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tejas\Documents\"/>
    </mc:Choice>
  </mc:AlternateContent>
  <xr:revisionPtr revIDLastSave="0" documentId="13_ncr:1_{B2A453D1-8B95-401E-AF4B-CB6AC280D2F7}" xr6:coauthVersionLast="47" xr6:coauthVersionMax="47" xr10:uidLastSave="{00000000-0000-0000-0000-000000000000}"/>
  <bookViews>
    <workbookView xWindow="3855" yWindow="3855" windowWidth="38700" windowHeight="15345" xr2:uid="{00000000-000D-0000-FFFF-FFFF00000000}"/>
  </bookViews>
  <sheets>
    <sheet name="Portfolio_Data"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O96" i="2" l="1"/>
  <c r="Q96" i="2"/>
  <c r="T96" i="2"/>
  <c r="Q97" i="2"/>
  <c r="T97" i="2"/>
  <c r="Q98" i="2"/>
  <c r="T98" i="2"/>
  <c r="Q99" i="2"/>
  <c r="T99" i="2"/>
  <c r="Q100" i="2"/>
  <c r="T100" i="2"/>
  <c r="F2" i="2" a="1"/>
  <c r="F2" i="2" s="1"/>
  <c r="F42" i="2" a="1"/>
  <c r="F42" i="2" s="1"/>
  <c r="F31" i="2" a="1"/>
  <c r="F31" i="2" s="1"/>
  <c r="F7" i="2" a="1"/>
  <c r="F7" i="2" s="1"/>
  <c r="F75" i="2" a="1"/>
  <c r="F75" i="2" s="1"/>
  <c r="F28" i="2" a="1"/>
  <c r="F28" i="2" s="1"/>
  <c r="F36" i="2" a="1"/>
  <c r="F36" i="2" s="1"/>
  <c r="F76" i="2" a="1"/>
  <c r="F76" i="2" s="1"/>
  <c r="F83" i="2" a="1"/>
  <c r="F83" i="2" s="1"/>
  <c r="F50" i="2" a="1"/>
  <c r="F50" i="2" s="1"/>
  <c r="F88" i="2" a="1"/>
  <c r="F88" i="2" s="1"/>
  <c r="F84" i="2" a="1"/>
  <c r="F84" i="2" s="1"/>
  <c r="F53" i="2" a="1"/>
  <c r="F53" i="2" s="1"/>
  <c r="F66" i="2" a="1"/>
  <c r="F66" i="2" s="1"/>
  <c r="F90" i="2" a="1"/>
  <c r="F90" i="2" s="1"/>
  <c r="F39" i="2" a="1"/>
  <c r="F39" i="2" s="1"/>
  <c r="F32" i="2" a="1"/>
  <c r="F32" i="2" s="1"/>
  <c r="F85" i="2" a="1"/>
  <c r="F85" i="2" s="1"/>
  <c r="F72" i="2" a="1"/>
  <c r="F72" i="2" s="1"/>
  <c r="F37" i="2" a="1"/>
  <c r="F37" i="2" s="1"/>
  <c r="F52" i="2" a="1"/>
  <c r="F52" i="2" s="1"/>
  <c r="F10" i="2" a="1"/>
  <c r="F10" i="2" s="1"/>
  <c r="F9" i="2" a="1"/>
  <c r="F9" i="2" s="1"/>
  <c r="F73" i="2" a="1"/>
  <c r="F73" i="2" s="1"/>
  <c r="F22" i="2" a="1"/>
  <c r="F22" i="2" s="1"/>
  <c r="F3" i="2" a="1"/>
  <c r="F3" i="2" s="1"/>
  <c r="F40" i="2" a="1"/>
  <c r="F40" i="2" s="1"/>
  <c r="F4" i="2" a="1"/>
  <c r="F4" i="2" s="1"/>
  <c r="F48" i="2" a="1"/>
  <c r="F48" i="2" s="1"/>
  <c r="F57" i="2" a="1"/>
  <c r="F57" i="2" s="1"/>
  <c r="F15" i="2" a="1"/>
  <c r="F15" i="2" s="1"/>
  <c r="F80" i="2" a="1"/>
  <c r="F80" i="2" s="1"/>
  <c r="F56" i="2" a="1"/>
  <c r="F56" i="2" s="1"/>
  <c r="F69" i="2" a="1"/>
  <c r="F69" i="2" s="1"/>
  <c r="F6" i="2" a="1"/>
  <c r="F6" i="2" s="1"/>
  <c r="F18" i="2" a="1"/>
  <c r="F18" i="2" s="1"/>
  <c r="F33" i="2" a="1"/>
  <c r="F33" i="2" s="1"/>
  <c r="F63" i="2" a="1"/>
  <c r="F63" i="2" s="1"/>
  <c r="F70" i="2" a="1"/>
  <c r="F70" i="2" s="1"/>
  <c r="F34" i="2" a="1"/>
  <c r="F34" i="2" s="1"/>
  <c r="F55" i="2" a="1"/>
  <c r="F55" i="2" s="1"/>
  <c r="F12" i="2" a="1"/>
  <c r="F12" i="2" s="1"/>
  <c r="F87" i="2" a="1"/>
  <c r="F87" i="2" s="1"/>
  <c r="F46" i="2" a="1"/>
  <c r="F46" i="2" s="1"/>
  <c r="F44" i="2" a="1"/>
  <c r="F44" i="2" s="1"/>
  <c r="F30" i="2" a="1"/>
  <c r="F30" i="2" s="1"/>
  <c r="F58" i="2" a="1"/>
  <c r="F58" i="2" s="1"/>
  <c r="F29" i="2" a="1"/>
  <c r="F29" i="2" s="1"/>
  <c r="F68" i="2" a="1"/>
  <c r="F68" i="2" s="1"/>
  <c r="F81" i="2" a="1"/>
  <c r="F81" i="2" s="1"/>
  <c r="F60" i="2" a="1"/>
  <c r="F60" i="2" s="1"/>
  <c r="F62" i="2" a="1"/>
  <c r="F62" i="2" s="1"/>
  <c r="F79" i="2" a="1"/>
  <c r="F79" i="2" s="1"/>
  <c r="F13" i="2" a="1"/>
  <c r="F13" i="2" s="1"/>
  <c r="F21" i="2" a="1"/>
  <c r="F21" i="2" s="1"/>
  <c r="F17" i="2" a="1"/>
  <c r="F17" i="2" s="1"/>
  <c r="F20" i="2" a="1"/>
  <c r="F20" i="2" s="1"/>
  <c r="F49" i="2" a="1"/>
  <c r="F49" i="2" s="1"/>
  <c r="F25" i="2" a="1"/>
  <c r="F25" i="2" s="1"/>
  <c r="F95" i="2" a="1"/>
  <c r="F95" i="2" s="1"/>
  <c r="F26" i="2" a="1"/>
  <c r="F26" i="2" s="1"/>
  <c r="F19" i="2" a="1"/>
  <c r="F19" i="2" s="1"/>
  <c r="F51" i="2" a="1"/>
  <c r="F51" i="2" s="1"/>
  <c r="F47" i="2" a="1"/>
  <c r="F47" i="2" s="1"/>
  <c r="F5" i="2" a="1"/>
  <c r="F5" i="2" s="1"/>
  <c r="F11" i="2" a="1"/>
  <c r="F11" i="2" s="1"/>
  <c r="F82" i="2" a="1"/>
  <c r="F82" i="2" s="1"/>
  <c r="F14" i="2" a="1"/>
  <c r="F14" i="2" s="1"/>
  <c r="F71" i="2" a="1"/>
  <c r="F71" i="2" s="1"/>
  <c r="F45" i="2" a="1"/>
  <c r="F45" i="2" s="1"/>
  <c r="F65" i="2" a="1"/>
  <c r="F65" i="2" s="1"/>
  <c r="F78" i="2" a="1"/>
  <c r="F78" i="2" s="1"/>
  <c r="F41" i="2" a="1"/>
  <c r="F41" i="2" s="1"/>
  <c r="F74" i="2" a="1"/>
  <c r="F74" i="2" s="1"/>
  <c r="F23" i="2" a="1"/>
  <c r="F23" i="2" s="1"/>
  <c r="F67" i="2" a="1"/>
  <c r="F67" i="2" s="1"/>
  <c r="F93" i="2" a="1"/>
  <c r="F93" i="2" s="1"/>
  <c r="F24" i="2" a="1"/>
  <c r="F24" i="2" s="1"/>
  <c r="F77" i="2" a="1"/>
  <c r="F77" i="2" s="1"/>
  <c r="F35" i="2" a="1"/>
  <c r="F35" i="2" s="1"/>
  <c r="F27" i="2" a="1"/>
  <c r="F27" i="2" s="1"/>
  <c r="F94" i="2" a="1"/>
  <c r="F94" i="2" s="1"/>
  <c r="F8" i="2" a="1"/>
  <c r="F8" i="2" s="1"/>
  <c r="F86" i="2" a="1"/>
  <c r="F86" i="2" s="1"/>
  <c r="F38" i="2" a="1"/>
  <c r="F38" i="2" s="1"/>
  <c r="F89" i="2" a="1"/>
  <c r="F89" i="2" s="1"/>
  <c r="F91" i="2" a="1"/>
  <c r="F91" i="2" s="1"/>
  <c r="F54" i="2" a="1"/>
  <c r="F54" i="2" s="1"/>
  <c r="F92" i="2" a="1"/>
  <c r="F92" i="2" s="1"/>
  <c r="F43" i="2" a="1"/>
  <c r="F43" i="2" s="1"/>
  <c r="F59" i="2" a="1"/>
  <c r="F59" i="2" s="1"/>
  <c r="F61" i="2" a="1"/>
  <c r="F61" i="2" s="1"/>
  <c r="F64" i="2" a="1"/>
  <c r="F64" i="2" s="1"/>
  <c r="F16" i="2" a="1"/>
  <c r="F16" i="2" s="1"/>
  <c r="I2" i="2" a="1"/>
  <c r="I2" i="2" s="1"/>
  <c r="I42" i="2" a="1"/>
  <c r="I42" i="2" s="1"/>
  <c r="I31" i="2" a="1"/>
  <c r="I31" i="2" s="1"/>
  <c r="I7" i="2" a="1"/>
  <c r="I7" i="2" s="1"/>
  <c r="I75" i="2" a="1"/>
  <c r="I75" i="2" s="1"/>
  <c r="I28" i="2" a="1"/>
  <c r="I28" i="2" s="1"/>
  <c r="I50" i="2" a="1"/>
  <c r="I50" i="2" s="1"/>
  <c r="I9" i="2" a="1"/>
  <c r="I9" i="2" s="1"/>
  <c r="I46" i="2" a="1"/>
  <c r="I46" i="2" s="1"/>
  <c r="I4" i="2" a="1"/>
  <c r="I4" i="2" s="1"/>
  <c r="I55" i="2" a="1"/>
  <c r="I55" i="2" s="1"/>
  <c r="I57" i="2" a="1"/>
  <c r="I57" i="2" s="1"/>
  <c r="I56" i="2" a="1"/>
  <c r="I56" i="2" s="1"/>
  <c r="I6" i="2" a="1"/>
  <c r="I6" i="2" s="1"/>
  <c r="I80" i="2" a="1"/>
  <c r="I80" i="2" s="1"/>
  <c r="I34" i="2" a="1"/>
  <c r="I34" i="2" s="1"/>
  <c r="I44" i="2" a="1"/>
  <c r="I44" i="2" s="1"/>
  <c r="I58" i="2" a="1"/>
  <c r="I58" i="2" s="1"/>
  <c r="I95" i="2" a="1"/>
  <c r="I95" i="2" s="1"/>
  <c r="I14" i="2" a="1"/>
  <c r="I14" i="2" s="1"/>
  <c r="I5" i="2" a="1"/>
  <c r="I5" i="2" s="1"/>
  <c r="I20" i="2" a="1"/>
  <c r="I20" i="2" s="1"/>
  <c r="I17" i="2" a="1"/>
  <c r="I17" i="2" s="1"/>
  <c r="I25" i="2" a="1"/>
  <c r="I25" i="2" s="1"/>
  <c r="I51" i="2" a="1"/>
  <c r="I51" i="2" s="1"/>
  <c r="I41" i="2" a="1"/>
  <c r="I41" i="2" s="1"/>
  <c r="I23" i="2" a="1"/>
  <c r="I23" i="2" s="1"/>
  <c r="I27" i="2" a="1"/>
  <c r="I27" i="2" s="1"/>
  <c r="I82" i="2" a="1"/>
  <c r="I82" i="2" s="1"/>
  <c r="I77" i="2" a="1"/>
  <c r="I77" i="2" s="1"/>
  <c r="I71" i="2" a="1"/>
  <c r="I71" i="2" s="1"/>
  <c r="I94" i="2" a="1"/>
  <c r="I94" i="2" s="1"/>
  <c r="I38" i="2" a="1"/>
  <c r="I38" i="2" s="1"/>
  <c r="I54" i="2" a="1"/>
  <c r="I54" i="2" s="1"/>
  <c r="I89" i="2" a="1"/>
  <c r="I89" i="2" s="1"/>
  <c r="I16" i="2" a="1"/>
  <c r="I16" i="2" s="1"/>
  <c r="I76" i="2" a="1"/>
  <c r="I76" i="2" s="1"/>
  <c r="I84" i="2" a="1"/>
  <c r="I84" i="2" s="1"/>
  <c r="I83" i="2" a="1"/>
  <c r="I83" i="2" s="1"/>
  <c r="I36" i="2" a="1"/>
  <c r="I36" i="2" s="1"/>
  <c r="I32" i="2" a="1"/>
  <c r="I32" i="2" s="1"/>
  <c r="I88" i="2" a="1"/>
  <c r="I88" i="2" s="1"/>
  <c r="I53" i="2" a="1"/>
  <c r="I53" i="2" s="1"/>
  <c r="I39" i="2" a="1"/>
  <c r="I39" i="2" s="1"/>
  <c r="I10" i="2" a="1"/>
  <c r="I10" i="2" s="1"/>
  <c r="I72" i="2" a="1"/>
  <c r="I72" i="2" s="1"/>
  <c r="I52" i="2" a="1"/>
  <c r="I52" i="2" s="1"/>
  <c r="I90" i="2" a="1"/>
  <c r="I90" i="2" s="1"/>
  <c r="I22" i="2" a="1"/>
  <c r="I22" i="2" s="1"/>
  <c r="I37" i="2" a="1"/>
  <c r="I37" i="2" s="1"/>
  <c r="I3" i="2" a="1"/>
  <c r="I3" i="2" s="1"/>
  <c r="I48" i="2" a="1"/>
  <c r="I48" i="2" s="1"/>
  <c r="I73" i="2" a="1"/>
  <c r="I73" i="2" s="1"/>
  <c r="I15" i="2" a="1"/>
  <c r="I15" i="2" s="1"/>
  <c r="I40" i="2" a="1"/>
  <c r="I40" i="2" s="1"/>
  <c r="I69" i="2" a="1"/>
  <c r="I69" i="2" s="1"/>
  <c r="I63" i="2" a="1"/>
  <c r="I63" i="2" s="1"/>
  <c r="I60" i="2" a="1"/>
  <c r="I60" i="2" s="1"/>
  <c r="I18" i="2" a="1"/>
  <c r="I18" i="2" s="1"/>
  <c r="I12" i="2" a="1"/>
  <c r="I12" i="2" s="1"/>
  <c r="I33" i="2" a="1"/>
  <c r="I33" i="2" s="1"/>
  <c r="I70" i="2" a="1"/>
  <c r="I70" i="2" s="1"/>
  <c r="I81" i="2" a="1"/>
  <c r="I81" i="2" s="1"/>
  <c r="I29" i="2" a="1"/>
  <c r="I29" i="2" s="1"/>
  <c r="I62" i="2" a="1"/>
  <c r="I62" i="2" s="1"/>
  <c r="I68" i="2" a="1"/>
  <c r="I68" i="2" s="1"/>
  <c r="I47" i="2" a="1"/>
  <c r="I47" i="2" s="1"/>
  <c r="I13" i="2" a="1"/>
  <c r="I13" i="2" s="1"/>
  <c r="I21" i="2" a="1"/>
  <c r="I21" i="2" s="1"/>
  <c r="I19" i="2" a="1"/>
  <c r="I19" i="2" s="1"/>
  <c r="I65" i="2" a="1"/>
  <c r="I65" i="2" s="1"/>
  <c r="I78" i="2" a="1"/>
  <c r="I78" i="2" s="1"/>
  <c r="I49" i="2" a="1"/>
  <c r="I49" i="2" s="1"/>
  <c r="I26" i="2" a="1"/>
  <c r="I26" i="2" s="1"/>
  <c r="I45" i="2" a="1"/>
  <c r="I45" i="2" s="1"/>
  <c r="I79" i="2" a="1"/>
  <c r="I79" i="2" s="1"/>
  <c r="I11" i="2" a="1"/>
  <c r="I11" i="2" s="1"/>
  <c r="I74" i="2" a="1"/>
  <c r="I74" i="2" s="1"/>
  <c r="I24" i="2" a="1"/>
  <c r="I24" i="2" s="1"/>
  <c r="I93" i="2" a="1"/>
  <c r="I93" i="2" s="1"/>
  <c r="I92" i="2" a="1"/>
  <c r="I92" i="2" s="1"/>
  <c r="I43" i="2" a="1"/>
  <c r="I43" i="2" s="1"/>
  <c r="I64" i="2" a="1"/>
  <c r="I64" i="2" s="1"/>
  <c r="I59" i="2" a="1"/>
  <c r="I59" i="2" s="1"/>
  <c r="I66" i="2" a="1"/>
  <c r="I66" i="2" s="1"/>
  <c r="I85" i="2" a="1"/>
  <c r="I85" i="2" s="1"/>
  <c r="I87" i="2" a="1"/>
  <c r="I87" i="2" s="1"/>
  <c r="I30" i="2" a="1"/>
  <c r="I30" i="2" s="1"/>
  <c r="I67" i="2" a="1"/>
  <c r="I67" i="2" s="1"/>
  <c r="I35" i="2" a="1"/>
  <c r="I35" i="2" s="1"/>
  <c r="I8" i="2" a="1"/>
  <c r="I8" i="2" s="1"/>
  <c r="I86" i="2" a="1"/>
  <c r="I86" i="2" s="1"/>
  <c r="I91" i="2" a="1"/>
  <c r="I91" i="2" s="1"/>
  <c r="I61" i="2" a="1"/>
  <c r="I61" i="2" s="1"/>
  <c r="D2" i="2" a="1"/>
  <c r="D2" i="2" s="1"/>
  <c r="D42" i="2" a="1"/>
  <c r="D42" i="2" s="1"/>
  <c r="D31" i="2" a="1"/>
  <c r="D31" i="2" s="1"/>
  <c r="D7" i="2" a="1"/>
  <c r="D7" i="2" s="1"/>
  <c r="D75" i="2" a="1"/>
  <c r="D75" i="2" s="1"/>
  <c r="D28" i="2" a="1"/>
  <c r="D28" i="2" s="1"/>
  <c r="D50" i="2" a="1"/>
  <c r="D50" i="2" s="1"/>
  <c r="D76" i="2" a="1"/>
  <c r="D76" i="2" s="1"/>
  <c r="D84" i="2" a="1"/>
  <c r="D84" i="2" s="1"/>
  <c r="D83" i="2" a="1"/>
  <c r="D83" i="2" s="1"/>
  <c r="D66" i="2" a="1"/>
  <c r="D66" i="2" s="1"/>
  <c r="D36" i="2" a="1"/>
  <c r="D36" i="2" s="1"/>
  <c r="D32" i="2" a="1"/>
  <c r="D32" i="2" s="1"/>
  <c r="D88" i="2" a="1"/>
  <c r="D88" i="2" s="1"/>
  <c r="D53" i="2" a="1"/>
  <c r="D53" i="2" s="1"/>
  <c r="D39" i="2" a="1"/>
  <c r="D39" i="2" s="1"/>
  <c r="D10" i="2" a="1"/>
  <c r="D10" i="2" s="1"/>
  <c r="D72" i="2" a="1"/>
  <c r="D72" i="2" s="1"/>
  <c r="D52" i="2" a="1"/>
  <c r="D52" i="2" s="1"/>
  <c r="D90" i="2" a="1"/>
  <c r="D90" i="2" s="1"/>
  <c r="D22" i="2" a="1"/>
  <c r="D22" i="2" s="1"/>
  <c r="D85" i="2" a="1"/>
  <c r="D85" i="2" s="1"/>
  <c r="D9" i="2" a="1"/>
  <c r="D9" i="2" s="1"/>
  <c r="D37" i="2" a="1"/>
  <c r="D37" i="2" s="1"/>
  <c r="D3" i="2" a="1"/>
  <c r="D3" i="2" s="1"/>
  <c r="D48" i="2" a="1"/>
  <c r="D48" i="2" s="1"/>
  <c r="D46" i="2" a="1"/>
  <c r="D46" i="2" s="1"/>
  <c r="D4" i="2" a="1"/>
  <c r="D4" i="2" s="1"/>
  <c r="D73" i="2" a="1"/>
  <c r="D73" i="2" s="1"/>
  <c r="D55" i="2" a="1"/>
  <c r="D55" i="2" s="1"/>
  <c r="D15" i="2" a="1"/>
  <c r="D15" i="2" s="1"/>
  <c r="D56" i="2" a="1"/>
  <c r="D56" i="2" s="1"/>
  <c r="D40" i="2" a="1"/>
  <c r="D40" i="2" s="1"/>
  <c r="D69" i="2" a="1"/>
  <c r="D69" i="2" s="1"/>
  <c r="D6" i="2" a="1"/>
  <c r="D6" i="2" s="1"/>
  <c r="D80" i="2" a="1"/>
  <c r="D80" i="2" s="1"/>
  <c r="D34" i="2" a="1"/>
  <c r="D34" i="2" s="1"/>
  <c r="D63" i="2" a="1"/>
  <c r="D63" i="2" s="1"/>
  <c r="D60" i="2" a="1"/>
  <c r="D60" i="2" s="1"/>
  <c r="D18" i="2" a="1"/>
  <c r="D18" i="2" s="1"/>
  <c r="D12" i="2" a="1"/>
  <c r="D12" i="2" s="1"/>
  <c r="D33" i="2" a="1"/>
  <c r="D33" i="2" s="1"/>
  <c r="D70" i="2" a="1"/>
  <c r="D70" i="2" s="1"/>
  <c r="D44" i="2" a="1"/>
  <c r="D44" i="2" s="1"/>
  <c r="D87" i="2" a="1"/>
  <c r="D87" i="2" s="1"/>
  <c r="D81" i="2" a="1"/>
  <c r="D81" i="2" s="1"/>
  <c r="D29" i="2" a="1"/>
  <c r="D29" i="2" s="1"/>
  <c r="D62" i="2" a="1"/>
  <c r="D62" i="2" s="1"/>
  <c r="D68" i="2" a="1"/>
  <c r="D68" i="2" s="1"/>
  <c r="D58" i="2" a="1"/>
  <c r="D58" i="2" s="1"/>
  <c r="D30" i="2" a="1"/>
  <c r="D30" i="2" s="1"/>
  <c r="D95" i="2" a="1"/>
  <c r="D95" i="2" s="1"/>
  <c r="D14" i="2" a="1"/>
  <c r="D14" i="2" s="1"/>
  <c r="D47" i="2" a="1"/>
  <c r="D47" i="2" s="1"/>
  <c r="D5" i="2" a="1"/>
  <c r="D5" i="2" s="1"/>
  <c r="D20" i="2" a="1"/>
  <c r="D20" i="2" s="1"/>
  <c r="D13" i="2" a="1"/>
  <c r="D13" i="2" s="1"/>
  <c r="D21" i="2" a="1"/>
  <c r="D21" i="2" s="1"/>
  <c r="D19" i="2" a="1"/>
  <c r="D19" i="2" s="1"/>
  <c r="D65" i="2" a="1"/>
  <c r="D65" i="2" s="1"/>
  <c r="D78" i="2" a="1"/>
  <c r="D78" i="2" s="1"/>
  <c r="D17" i="2" a="1"/>
  <c r="D17" i="2" s="1"/>
  <c r="D25" i="2" a="1"/>
  <c r="D25" i="2" s="1"/>
  <c r="D49" i="2" a="1"/>
  <c r="D49" i="2" s="1"/>
  <c r="D26" i="2" a="1"/>
  <c r="D26" i="2" s="1"/>
  <c r="D45" i="2" a="1"/>
  <c r="D45" i="2" s="1"/>
  <c r="D79" i="2" a="1"/>
  <c r="D79" i="2" s="1"/>
  <c r="D51" i="2" a="1"/>
  <c r="D51" i="2" s="1"/>
  <c r="D41" i="2" a="1"/>
  <c r="D41" i="2" s="1"/>
  <c r="D23" i="2" a="1"/>
  <c r="D23" i="2" s="1"/>
  <c r="D11" i="2" a="1"/>
  <c r="D11" i="2" s="1"/>
  <c r="D27" i="2" a="1"/>
  <c r="D27" i="2" s="1"/>
  <c r="D74" i="2" a="1"/>
  <c r="D74" i="2" s="1"/>
  <c r="D82" i="2" a="1"/>
  <c r="D82" i="2" s="1"/>
  <c r="D77" i="2" a="1"/>
  <c r="D77" i="2" s="1"/>
  <c r="D24" i="2" a="1"/>
  <c r="D24" i="2" s="1"/>
  <c r="D67" i="2" a="1"/>
  <c r="D67" i="2" s="1"/>
  <c r="D35" i="2" a="1"/>
  <c r="D35" i="2" s="1"/>
  <c r="D8" i="2" a="1"/>
  <c r="D8" i="2" s="1"/>
  <c r="D94" i="2" a="1"/>
  <c r="D94" i="2" s="1"/>
  <c r="D38" i="2" a="1"/>
  <c r="D38" i="2" s="1"/>
  <c r="D93" i="2" a="1"/>
  <c r="D93" i="2" s="1"/>
  <c r="D54" i="2" a="1"/>
  <c r="D54" i="2" s="1"/>
  <c r="D86" i="2" a="1"/>
  <c r="D86" i="2" s="1"/>
  <c r="D92" i="2" a="1"/>
  <c r="D92" i="2" s="1"/>
  <c r="D89" i="2" a="1"/>
  <c r="D89" i="2" s="1"/>
  <c r="D43" i="2" a="1"/>
  <c r="D43" i="2" s="1"/>
  <c r="D91" i="2" a="1"/>
  <c r="D91" i="2" s="1"/>
  <c r="D64" i="2" a="1"/>
  <c r="D64" i="2" s="1"/>
  <c r="D59" i="2" a="1"/>
  <c r="D59" i="2" s="1"/>
  <c r="D61" i="2" a="1"/>
  <c r="D61" i="2" s="1"/>
  <c r="D16" i="2" a="1"/>
  <c r="D16" i="2" s="1"/>
  <c r="L2" i="2"/>
  <c r="L3" i="2"/>
  <c r="L6" i="2"/>
  <c r="L7" i="2"/>
  <c r="L8" i="2"/>
  <c r="L9" i="2"/>
  <c r="L10" i="2"/>
  <c r="L11" i="2"/>
  <c r="L12" i="2"/>
  <c r="L13" i="2"/>
  <c r="L14" i="2"/>
  <c r="L15" i="2"/>
  <c r="L16" i="2"/>
  <c r="L17" i="2"/>
  <c r="L18" i="2"/>
  <c r="L21" i="2"/>
  <c r="L22" i="2"/>
  <c r="L23" i="2"/>
  <c r="L24" i="2"/>
  <c r="L25" i="2"/>
  <c r="L26" i="2"/>
  <c r="L28" i="2"/>
  <c r="L29" i="2"/>
  <c r="L30" i="2"/>
  <c r="L32" i="2"/>
  <c r="L33" i="2"/>
  <c r="L34" i="2"/>
  <c r="L35" i="2"/>
  <c r="L36" i="2"/>
  <c r="L37" i="2"/>
  <c r="L38" i="2"/>
  <c r="L39" i="2"/>
  <c r="L40" i="2"/>
  <c r="L41" i="2"/>
  <c r="L42" i="2"/>
  <c r="L43" i="2"/>
  <c r="L44" i="2"/>
  <c r="L45" i="2"/>
  <c r="L46" i="2"/>
  <c r="L47" i="2"/>
  <c r="L48" i="2"/>
  <c r="L49" i="2"/>
  <c r="L50" i="2"/>
  <c r="L51" i="2"/>
  <c r="L53" i="2"/>
  <c r="L54" i="2"/>
  <c r="L55" i="2"/>
  <c r="L56" i="2"/>
  <c r="L57" i="2"/>
  <c r="L58" i="2"/>
  <c r="L59" i="2"/>
  <c r="L60" i="2"/>
  <c r="L61" i="2"/>
  <c r="L62" i="2"/>
  <c r="L65" i="2"/>
  <c r="L66" i="2"/>
  <c r="L67" i="2"/>
  <c r="L68" i="2"/>
  <c r="L69" i="2"/>
  <c r="L70" i="2"/>
  <c r="L71" i="2"/>
  <c r="L72" i="2"/>
  <c r="L74" i="2"/>
  <c r="L75" i="2"/>
  <c r="L76" i="2"/>
  <c r="L77" i="2"/>
  <c r="L78" i="2"/>
  <c r="L79" i="2"/>
  <c r="L81" i="2"/>
  <c r="L82" i="2"/>
  <c r="L83" i="2"/>
  <c r="L84" i="2"/>
  <c r="L85" i="2"/>
  <c r="L86" i="2"/>
  <c r="L87" i="2"/>
  <c r="L88" i="2"/>
  <c r="L89" i="2"/>
  <c r="L90" i="2"/>
  <c r="L91" i="2"/>
  <c r="L92" i="2"/>
  <c r="L93" i="2"/>
  <c r="L94" i="2"/>
  <c r="L95" i="2"/>
  <c r="L4" i="2"/>
  <c r="L19" i="2"/>
  <c r="L20" i="2"/>
  <c r="L27" i="2"/>
  <c r="L31" i="2"/>
  <c r="L52" i="2"/>
  <c r="L63" i="2"/>
  <c r="L64" i="2"/>
  <c r="L73" i="2"/>
  <c r="L80" i="2"/>
  <c r="L5" i="2"/>
  <c r="N3" i="2" a="1"/>
  <c r="N3" i="2" s="1"/>
  <c r="N4" i="2" a="1"/>
  <c r="N4" i="2" s="1"/>
  <c r="N5" i="2" a="1"/>
  <c r="N5" i="2" s="1"/>
  <c r="N6" i="2" a="1"/>
  <c r="N6" i="2" s="1"/>
  <c r="N7" i="2" a="1"/>
  <c r="N7" i="2" s="1"/>
  <c r="N8" i="2" a="1"/>
  <c r="N8" i="2" s="1"/>
  <c r="N9" i="2" a="1"/>
  <c r="N9" i="2" s="1"/>
  <c r="N10" i="2" a="1"/>
  <c r="N10" i="2" s="1"/>
  <c r="N11" i="2" a="1"/>
  <c r="N11" i="2" s="1"/>
  <c r="N12" i="2" a="1"/>
  <c r="N12" i="2" s="1"/>
  <c r="N13" i="2" a="1"/>
  <c r="N13" i="2" s="1"/>
  <c r="N14" i="2" a="1"/>
  <c r="N14" i="2" s="1"/>
  <c r="N15" i="2" a="1"/>
  <c r="N15" i="2" s="1"/>
  <c r="N16" i="2" a="1"/>
  <c r="N16" i="2" s="1"/>
  <c r="N17" i="2" a="1"/>
  <c r="N17" i="2" s="1"/>
  <c r="N18" i="2" a="1"/>
  <c r="N18" i="2" s="1"/>
  <c r="N19" i="2" a="1"/>
  <c r="N19" i="2" s="1"/>
  <c r="N20" i="2" a="1"/>
  <c r="N20" i="2" s="1"/>
  <c r="N21" i="2" a="1"/>
  <c r="N21" i="2" s="1"/>
  <c r="N22" i="2" a="1"/>
  <c r="N22" i="2" s="1"/>
  <c r="N23" i="2" a="1"/>
  <c r="N23" i="2" s="1"/>
  <c r="N24" i="2" a="1"/>
  <c r="N24" i="2" s="1"/>
  <c r="N25" i="2" a="1"/>
  <c r="N25" i="2" s="1"/>
  <c r="N26" i="2" a="1"/>
  <c r="N26" i="2" s="1"/>
  <c r="N27" i="2" a="1"/>
  <c r="N27" i="2" s="1"/>
  <c r="N28" i="2" a="1"/>
  <c r="N28" i="2" s="1"/>
  <c r="N29" i="2" a="1"/>
  <c r="N29" i="2" s="1"/>
  <c r="N30" i="2" a="1"/>
  <c r="N30" i="2" s="1"/>
  <c r="N31" i="2" a="1"/>
  <c r="N31" i="2" s="1"/>
  <c r="N32" i="2" a="1"/>
  <c r="N32" i="2" s="1"/>
  <c r="N33" i="2" a="1"/>
  <c r="N33" i="2" s="1"/>
  <c r="N34" i="2" a="1"/>
  <c r="N34" i="2" s="1"/>
  <c r="N35" i="2" a="1"/>
  <c r="N35" i="2" s="1"/>
  <c r="N36" i="2" a="1"/>
  <c r="N36" i="2" s="1"/>
  <c r="N37" i="2" a="1"/>
  <c r="N37" i="2" s="1"/>
  <c r="N38" i="2" a="1"/>
  <c r="N38" i="2" s="1"/>
  <c r="N39" i="2" a="1"/>
  <c r="N39" i="2" s="1"/>
  <c r="N40" i="2" a="1"/>
  <c r="N40" i="2" s="1"/>
  <c r="N41" i="2" a="1"/>
  <c r="N41" i="2" s="1"/>
  <c r="N42" i="2" a="1"/>
  <c r="N42" i="2" s="1"/>
  <c r="N43" i="2" a="1"/>
  <c r="N43" i="2" s="1"/>
  <c r="N44" i="2" a="1"/>
  <c r="N44" i="2" s="1"/>
  <c r="N45" i="2" a="1"/>
  <c r="N45" i="2" s="1"/>
  <c r="N46" i="2" a="1"/>
  <c r="N46" i="2" s="1"/>
  <c r="N47" i="2" a="1"/>
  <c r="N47" i="2" s="1"/>
  <c r="N48" i="2" a="1"/>
  <c r="N48" i="2" s="1"/>
  <c r="N49" i="2" a="1"/>
  <c r="N49" i="2" s="1"/>
  <c r="N50" i="2" a="1"/>
  <c r="N50" i="2" s="1"/>
  <c r="N51" i="2" a="1"/>
  <c r="N51" i="2" s="1"/>
  <c r="N52" i="2" a="1"/>
  <c r="N52" i="2" s="1"/>
  <c r="N53" i="2" a="1"/>
  <c r="N53" i="2" s="1"/>
  <c r="N54" i="2" a="1"/>
  <c r="N54" i="2" s="1"/>
  <c r="N55" i="2" a="1"/>
  <c r="N55" i="2" s="1"/>
  <c r="N56" i="2" a="1"/>
  <c r="N56" i="2" s="1"/>
  <c r="N57" i="2" a="1"/>
  <c r="N57" i="2" s="1"/>
  <c r="N58" i="2" a="1"/>
  <c r="N58" i="2" s="1"/>
  <c r="N59" i="2" a="1"/>
  <c r="N59" i="2" s="1"/>
  <c r="N60" i="2" a="1"/>
  <c r="N60" i="2" s="1"/>
  <c r="N61" i="2" a="1"/>
  <c r="N61" i="2" s="1"/>
  <c r="N62" i="2" a="1"/>
  <c r="N62" i="2" s="1"/>
  <c r="N63" i="2" a="1"/>
  <c r="N63" i="2" s="1"/>
  <c r="N64" i="2" a="1"/>
  <c r="N64" i="2" s="1"/>
  <c r="N65" i="2" a="1"/>
  <c r="N65" i="2" s="1"/>
  <c r="N66" i="2" a="1"/>
  <c r="N66" i="2" s="1"/>
  <c r="N67" i="2" a="1"/>
  <c r="N67" i="2" s="1"/>
  <c r="N68" i="2" a="1"/>
  <c r="N68" i="2" s="1"/>
  <c r="N69" i="2" a="1"/>
  <c r="N69" i="2" s="1"/>
  <c r="N70" i="2" a="1"/>
  <c r="N70" i="2" s="1"/>
  <c r="N71" i="2" a="1"/>
  <c r="N71" i="2" s="1"/>
  <c r="N72" i="2" a="1"/>
  <c r="N72" i="2" s="1"/>
  <c r="N73" i="2" a="1"/>
  <c r="N73" i="2" s="1"/>
  <c r="N74" i="2" a="1"/>
  <c r="N74" i="2" s="1"/>
  <c r="N75" i="2" a="1"/>
  <c r="N75" i="2" s="1"/>
  <c r="N76" i="2" a="1"/>
  <c r="N76" i="2" s="1"/>
  <c r="N77" i="2" a="1"/>
  <c r="N77" i="2" s="1"/>
  <c r="N78" i="2" a="1"/>
  <c r="N78" i="2" s="1"/>
  <c r="N79" i="2" a="1"/>
  <c r="N79" i="2" s="1"/>
  <c r="N80" i="2" a="1"/>
  <c r="N80" i="2" s="1"/>
  <c r="N81" i="2" a="1"/>
  <c r="N81" i="2" s="1"/>
  <c r="N82" i="2" a="1"/>
  <c r="N82" i="2" s="1"/>
  <c r="N83" i="2" a="1"/>
  <c r="N83" i="2" s="1"/>
  <c r="N84" i="2" a="1"/>
  <c r="N84" i="2" s="1"/>
  <c r="N85" i="2" a="1"/>
  <c r="N85" i="2" s="1"/>
  <c r="N86" i="2" a="1"/>
  <c r="N86" i="2" s="1"/>
  <c r="N87" i="2" a="1"/>
  <c r="N87" i="2" s="1"/>
  <c r="N88" i="2" a="1"/>
  <c r="N88" i="2" s="1"/>
  <c r="N89" i="2" a="1"/>
  <c r="N89" i="2" s="1"/>
  <c r="N90" i="2" a="1"/>
  <c r="N90" i="2" s="1"/>
  <c r="N91" i="2" a="1"/>
  <c r="N91" i="2" s="1"/>
  <c r="N92" i="2" a="1"/>
  <c r="N92" i="2" s="1"/>
  <c r="N93" i="2" a="1"/>
  <c r="N93" i="2" s="1"/>
  <c r="N94" i="2" a="1"/>
  <c r="N94" i="2" s="1"/>
  <c r="N95" i="2" a="1"/>
  <c r="N95" i="2" s="1"/>
  <c r="M3" i="2"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M95" i="2" a="1"/>
  <c r="M95" i="2" s="1"/>
  <c r="N2" i="2" a="1"/>
  <c r="N2" i="2" s="1"/>
  <c r="M2" i="2" a="1"/>
  <c r="M2" i="2" s="1"/>
  <c r="G3" i="2" a="1"/>
  <c r="G3" i="2" s="1"/>
  <c r="Y3" i="2" s="1"/>
  <c r="G4" i="2" a="1"/>
  <c r="G4" i="2" s="1"/>
  <c r="V4" i="2" s="1"/>
  <c r="G5" i="2" a="1"/>
  <c r="G5" i="2" s="1"/>
  <c r="V5" i="2" s="1"/>
  <c r="G6" i="2" a="1"/>
  <c r="G6" i="2" s="1"/>
  <c r="S6" i="2" s="1"/>
  <c r="G7" i="2" a="1"/>
  <c r="G7" i="2" s="1"/>
  <c r="S7" i="2" s="1"/>
  <c r="G8" i="2" a="1"/>
  <c r="G8" i="2" s="1"/>
  <c r="G9" i="2" a="1"/>
  <c r="G9" i="2" s="1"/>
  <c r="S9" i="2" s="1"/>
  <c r="G10" i="2" a="1"/>
  <c r="G10" i="2" s="1"/>
  <c r="Y10" i="2" s="1"/>
  <c r="G11" i="2" a="1"/>
  <c r="G11" i="2" s="1"/>
  <c r="Y11" i="2" s="1"/>
  <c r="G12" i="2" a="1"/>
  <c r="G12" i="2" s="1"/>
  <c r="V12" i="2" s="1"/>
  <c r="G13" i="2" a="1"/>
  <c r="G13" i="2" s="1"/>
  <c r="V13" i="2" s="1"/>
  <c r="G14" i="2" a="1"/>
  <c r="G14" i="2" s="1"/>
  <c r="S14" i="2" s="1"/>
  <c r="G15" i="2" a="1"/>
  <c r="G15" i="2" s="1"/>
  <c r="S15" i="2" s="1"/>
  <c r="G16" i="2" a="1"/>
  <c r="G16" i="2" s="1"/>
  <c r="S16" i="2" s="1"/>
  <c r="G17" i="2" a="1"/>
  <c r="G17" i="2" s="1"/>
  <c r="S17" i="2" s="1"/>
  <c r="G18" i="2" a="1"/>
  <c r="G18" i="2" s="1"/>
  <c r="Y18" i="2" s="1"/>
  <c r="G19" i="2" a="1"/>
  <c r="G19" i="2" s="1"/>
  <c r="Y19" i="2" s="1"/>
  <c r="G20" i="2" a="1"/>
  <c r="G20" i="2" s="1"/>
  <c r="V20" i="2" s="1"/>
  <c r="G21" i="2" a="1"/>
  <c r="G21" i="2" s="1"/>
  <c r="V21" i="2" s="1"/>
  <c r="G22" i="2" a="1"/>
  <c r="G22" i="2" s="1"/>
  <c r="S22" i="2" s="1"/>
  <c r="G23" i="2" a="1"/>
  <c r="G23" i="2" s="1"/>
  <c r="S23" i="2" s="1"/>
  <c r="G24" i="2" a="1"/>
  <c r="G24" i="2" s="1"/>
  <c r="S24" i="2" s="1"/>
  <c r="G25" i="2" a="1"/>
  <c r="G25" i="2" s="1"/>
  <c r="S25" i="2" s="1"/>
  <c r="G26" i="2" a="1"/>
  <c r="G26" i="2" s="1"/>
  <c r="Y26" i="2" s="1"/>
  <c r="G27" i="2" a="1"/>
  <c r="G27" i="2" s="1"/>
  <c r="Y27" i="2" s="1"/>
  <c r="G28" i="2" a="1"/>
  <c r="G28" i="2" s="1"/>
  <c r="V28" i="2" s="1"/>
  <c r="G29" i="2" a="1"/>
  <c r="G29" i="2" s="1"/>
  <c r="V29" i="2" s="1"/>
  <c r="G30" i="2" a="1"/>
  <c r="G30" i="2" s="1"/>
  <c r="S30" i="2" s="1"/>
  <c r="G31" i="2" a="1"/>
  <c r="G31" i="2" s="1"/>
  <c r="S31" i="2" s="1"/>
  <c r="G32" i="2" a="1"/>
  <c r="G32" i="2" s="1"/>
  <c r="S32" i="2" s="1"/>
  <c r="G33" i="2" a="1"/>
  <c r="G33" i="2" s="1"/>
  <c r="S33" i="2" s="1"/>
  <c r="G34" i="2" a="1"/>
  <c r="G34" i="2" s="1"/>
  <c r="Y34" i="2" s="1"/>
  <c r="G35" i="2" a="1"/>
  <c r="G35" i="2" s="1"/>
  <c r="Y35" i="2" s="1"/>
  <c r="G36" i="2" a="1"/>
  <c r="G36" i="2" s="1"/>
  <c r="V36" i="2" s="1"/>
  <c r="G37" i="2" a="1"/>
  <c r="G37" i="2" s="1"/>
  <c r="V37" i="2" s="1"/>
  <c r="G38" i="2" a="1"/>
  <c r="G38" i="2" s="1"/>
  <c r="S38" i="2" s="1"/>
  <c r="G39" i="2" a="1"/>
  <c r="G39" i="2" s="1"/>
  <c r="S39" i="2" s="1"/>
  <c r="G40" i="2" a="1"/>
  <c r="G40" i="2" s="1"/>
  <c r="S40" i="2" s="1"/>
  <c r="G41" i="2" a="1"/>
  <c r="G41" i="2" s="1"/>
  <c r="S41" i="2" s="1"/>
  <c r="G42" i="2" a="1"/>
  <c r="G42" i="2" s="1"/>
  <c r="Y42" i="2" s="1"/>
  <c r="G43" i="2" a="1"/>
  <c r="G43" i="2" s="1"/>
  <c r="Y43" i="2" s="1"/>
  <c r="G44" i="2" a="1"/>
  <c r="G44" i="2" s="1"/>
  <c r="V44" i="2" s="1"/>
  <c r="G45" i="2" a="1"/>
  <c r="G45" i="2" s="1"/>
  <c r="V45" i="2" s="1"/>
  <c r="G46" i="2" a="1"/>
  <c r="G46" i="2" s="1"/>
  <c r="S46" i="2" s="1"/>
  <c r="G47" i="2" a="1"/>
  <c r="G47" i="2" s="1"/>
  <c r="S47" i="2" s="1"/>
  <c r="G48" i="2" a="1"/>
  <c r="G48" i="2" s="1"/>
  <c r="S48" i="2" s="1"/>
  <c r="G49" i="2" a="1"/>
  <c r="G49" i="2" s="1"/>
  <c r="S49" i="2" s="1"/>
  <c r="G50" i="2" a="1"/>
  <c r="G50" i="2" s="1"/>
  <c r="Y50" i="2" s="1"/>
  <c r="G51" i="2" a="1"/>
  <c r="G51" i="2" s="1"/>
  <c r="Y51" i="2" s="1"/>
  <c r="G52" i="2" a="1"/>
  <c r="G52" i="2" s="1"/>
  <c r="V52" i="2" s="1"/>
  <c r="G53" i="2" a="1"/>
  <c r="G53" i="2" s="1"/>
  <c r="V53" i="2" s="1"/>
  <c r="G54" i="2" a="1"/>
  <c r="G54" i="2" s="1"/>
  <c r="S54" i="2" s="1"/>
  <c r="G55" i="2" a="1"/>
  <c r="G55" i="2" s="1"/>
  <c r="S55" i="2" s="1"/>
  <c r="G56" i="2" a="1"/>
  <c r="G56" i="2" s="1"/>
  <c r="S56" i="2" s="1"/>
  <c r="G57" i="2" a="1"/>
  <c r="G57" i="2" s="1"/>
  <c r="S57" i="2" s="1"/>
  <c r="G58" i="2" a="1"/>
  <c r="G58" i="2" s="1"/>
  <c r="Y58" i="2" s="1"/>
  <c r="G59" i="2" a="1"/>
  <c r="G59" i="2" s="1"/>
  <c r="Y59" i="2" s="1"/>
  <c r="G60" i="2" a="1"/>
  <c r="G60" i="2" s="1"/>
  <c r="V60" i="2" s="1"/>
  <c r="G61" i="2" a="1"/>
  <c r="G61" i="2" s="1"/>
  <c r="V61" i="2" s="1"/>
  <c r="G62" i="2" a="1"/>
  <c r="G62" i="2" s="1"/>
  <c r="S62" i="2" s="1"/>
  <c r="G63" i="2" a="1"/>
  <c r="G63" i="2" s="1"/>
  <c r="S63" i="2" s="1"/>
  <c r="G64" i="2" a="1"/>
  <c r="G64" i="2" s="1"/>
  <c r="S64" i="2" s="1"/>
  <c r="G65" i="2" a="1"/>
  <c r="G65" i="2" s="1"/>
  <c r="S65" i="2" s="1"/>
  <c r="G66" i="2" a="1"/>
  <c r="G66" i="2" s="1"/>
  <c r="Y66" i="2" s="1"/>
  <c r="G67" i="2" a="1"/>
  <c r="G67" i="2" s="1"/>
  <c r="Y67" i="2" s="1"/>
  <c r="G68" i="2" a="1"/>
  <c r="G68" i="2" s="1"/>
  <c r="V68" i="2" s="1"/>
  <c r="G69" i="2" a="1"/>
  <c r="G69" i="2" s="1"/>
  <c r="V69" i="2" s="1"/>
  <c r="G70" i="2" a="1"/>
  <c r="G70" i="2" s="1"/>
  <c r="S70" i="2" s="1"/>
  <c r="G71" i="2" a="1"/>
  <c r="G71" i="2" s="1"/>
  <c r="S71" i="2" s="1"/>
  <c r="G72" i="2" a="1"/>
  <c r="G72" i="2" s="1"/>
  <c r="S72" i="2" s="1"/>
  <c r="G73" i="2" a="1"/>
  <c r="G73" i="2" s="1"/>
  <c r="S73" i="2" s="1"/>
  <c r="G74" i="2" a="1"/>
  <c r="G74" i="2" s="1"/>
  <c r="Y74" i="2" s="1"/>
  <c r="G75" i="2" a="1"/>
  <c r="G75" i="2" s="1"/>
  <c r="Y75" i="2" s="1"/>
  <c r="G76" i="2" a="1"/>
  <c r="G76" i="2" s="1"/>
  <c r="V76" i="2" s="1"/>
  <c r="G77" i="2" a="1"/>
  <c r="G77" i="2" s="1"/>
  <c r="V77" i="2" s="1"/>
  <c r="G78" i="2" a="1"/>
  <c r="G78" i="2" s="1"/>
  <c r="S78" i="2" s="1"/>
  <c r="G79" i="2" a="1"/>
  <c r="G79" i="2" s="1"/>
  <c r="S79" i="2" s="1"/>
  <c r="G80" i="2" a="1"/>
  <c r="G80" i="2" s="1"/>
  <c r="S80" i="2" s="1"/>
  <c r="G81" i="2" a="1"/>
  <c r="G81" i="2" s="1"/>
  <c r="S81" i="2" s="1"/>
  <c r="G82" i="2" a="1"/>
  <c r="G82" i="2" s="1"/>
  <c r="Y82" i="2" s="1"/>
  <c r="G83" i="2" a="1"/>
  <c r="G83" i="2" s="1"/>
  <c r="Y83" i="2" s="1"/>
  <c r="G84" i="2" a="1"/>
  <c r="G84" i="2" s="1"/>
  <c r="V84" i="2" s="1"/>
  <c r="G85" i="2" a="1"/>
  <c r="G85" i="2" s="1"/>
  <c r="V85" i="2" s="1"/>
  <c r="G86" i="2" a="1"/>
  <c r="G86" i="2" s="1"/>
  <c r="S86" i="2" s="1"/>
  <c r="G87" i="2" a="1"/>
  <c r="G87" i="2" s="1"/>
  <c r="S87" i="2" s="1"/>
  <c r="G88" i="2" a="1"/>
  <c r="G88" i="2" s="1"/>
  <c r="S88" i="2" s="1"/>
  <c r="G89" i="2" a="1"/>
  <c r="G89" i="2" s="1"/>
  <c r="S89" i="2" s="1"/>
  <c r="G90" i="2" a="1"/>
  <c r="G90" i="2" s="1"/>
  <c r="Y90" i="2" s="1"/>
  <c r="G91" i="2" a="1"/>
  <c r="G91" i="2" s="1"/>
  <c r="Y91" i="2" s="1"/>
  <c r="G92" i="2" a="1"/>
  <c r="G92" i="2" s="1"/>
  <c r="V92" i="2" s="1"/>
  <c r="G93" i="2" a="1"/>
  <c r="G93" i="2" s="1"/>
  <c r="V93" i="2" s="1"/>
  <c r="G94" i="2" a="1"/>
  <c r="G94" i="2" s="1"/>
  <c r="S94" i="2" s="1"/>
  <c r="G95" i="2" a="1"/>
  <c r="G95" i="2" s="1"/>
  <c r="S95" i="2" s="1"/>
  <c r="G2" i="2" a="1"/>
  <c r="G2" i="2" s="1"/>
  <c r="Y2" i="2" s="1"/>
  <c r="Q20" i="2"/>
  <c r="Q60" i="2"/>
  <c r="Q75" i="2"/>
  <c r="Q27" i="2"/>
  <c r="Q6" i="2"/>
  <c r="Q41" i="2"/>
  <c r="Q50" i="2"/>
  <c r="Q68" i="2"/>
  <c r="Q78" i="2"/>
  <c r="Q2" i="2"/>
  <c r="Q5" i="2"/>
  <c r="Q42" i="2"/>
  <c r="Q4" i="2"/>
  <c r="Q34" i="2"/>
  <c r="Q67" i="2"/>
  <c r="Q63" i="2"/>
  <c r="Q55" i="2"/>
  <c r="Q70" i="2"/>
  <c r="Q92" i="2"/>
  <c r="Q46" i="2"/>
  <c r="Q66" i="2"/>
  <c r="Q57" i="2"/>
  <c r="Q51" i="2"/>
  <c r="Q76" i="2"/>
  <c r="Q53" i="2"/>
  <c r="Q7" i="2"/>
  <c r="Q8" i="2"/>
  <c r="Q39" i="2"/>
  <c r="Q26" i="2"/>
  <c r="Q73" i="2"/>
  <c r="Q48" i="2"/>
  <c r="Q74" i="2"/>
  <c r="Q13" i="2"/>
  <c r="Q44" i="2"/>
  <c r="Q3" i="2"/>
  <c r="Q93" i="2"/>
  <c r="Q31" i="2"/>
  <c r="Q47" i="2"/>
  <c r="Q61" i="2"/>
  <c r="Q84" i="2"/>
  <c r="Q23" i="2"/>
  <c r="Q87" i="2"/>
  <c r="Q52" i="2"/>
  <c r="Q37" i="2"/>
  <c r="Q86" i="2"/>
  <c r="Q24" i="2"/>
  <c r="Q95" i="2"/>
  <c r="Q28" i="2"/>
  <c r="Q9" i="2"/>
  <c r="Q77" i="2"/>
  <c r="Q32" i="2"/>
  <c r="Q88" i="2"/>
  <c r="Q11" i="2"/>
  <c r="Q83" i="2"/>
  <c r="Q43" i="2"/>
  <c r="Q22" i="2"/>
  <c r="Q40" i="2"/>
  <c r="Q49" i="2"/>
  <c r="Q85" i="2"/>
  <c r="Q80" i="2"/>
  <c r="Q62" i="2"/>
  <c r="Q21" i="2"/>
  <c r="Q72" i="2"/>
  <c r="Q12" i="2"/>
  <c r="Q15" i="2"/>
  <c r="Q35" i="2"/>
  <c r="Q36" i="2"/>
  <c r="Q56" i="2"/>
  <c r="Q79" i="2"/>
  <c r="Q33" i="2"/>
  <c r="Q25" i="2"/>
  <c r="Q17" i="2"/>
  <c r="Q29" i="2"/>
  <c r="Q94" i="2"/>
  <c r="Q16" i="2"/>
  <c r="Q65" i="2"/>
  <c r="Q18" i="2"/>
  <c r="Q82" i="2"/>
  <c r="Q59" i="2"/>
  <c r="Q58" i="2"/>
  <c r="Q30" i="2"/>
  <c r="Q81" i="2"/>
  <c r="Q54" i="2"/>
  <c r="Q71" i="2"/>
  <c r="Q69" i="2"/>
  <c r="Q64" i="2"/>
  <c r="Q10" i="2"/>
  <c r="Q90" i="2"/>
  <c r="Q19" i="2"/>
  <c r="Q14" i="2"/>
  <c r="Q89" i="2"/>
  <c r="Q91" i="2"/>
  <c r="Q38" i="2"/>
  <c r="Q45" i="2"/>
  <c r="V35" i="2" l="1"/>
  <c r="Y65" i="2"/>
  <c r="H8" i="2"/>
  <c r="V27" i="2"/>
  <c r="Y57" i="2"/>
  <c r="V19" i="2"/>
  <c r="Y49" i="2"/>
  <c r="V11" i="2"/>
  <c r="Y41" i="2"/>
  <c r="V3" i="2"/>
  <c r="Y33" i="2"/>
  <c r="Y89" i="2"/>
  <c r="Y25" i="2"/>
  <c r="Y81" i="2"/>
  <c r="Y17" i="2"/>
  <c r="Y73" i="2"/>
  <c r="Y9" i="2"/>
  <c r="S93" i="2"/>
  <c r="S85" i="2"/>
  <c r="S77" i="2"/>
  <c r="S69" i="2"/>
  <c r="S61" i="2"/>
  <c r="S53" i="2"/>
  <c r="S45" i="2"/>
  <c r="S37" i="2"/>
  <c r="S29" i="2"/>
  <c r="S21" i="2"/>
  <c r="S13" i="2"/>
  <c r="S5" i="2"/>
  <c r="V91" i="2"/>
  <c r="V83" i="2"/>
  <c r="V75" i="2"/>
  <c r="V67" i="2"/>
  <c r="V59" i="2"/>
  <c r="V51" i="2"/>
  <c r="V43" i="2"/>
  <c r="S92" i="2"/>
  <c r="S84" i="2"/>
  <c r="S76" i="2"/>
  <c r="S68" i="2"/>
  <c r="S60" i="2"/>
  <c r="S52" i="2"/>
  <c r="S44" i="2"/>
  <c r="S36" i="2"/>
  <c r="S28" i="2"/>
  <c r="S20" i="2"/>
  <c r="S12" i="2"/>
  <c r="S4" i="2"/>
  <c r="V90" i="2"/>
  <c r="V82" i="2"/>
  <c r="V74" i="2"/>
  <c r="V66" i="2"/>
  <c r="V58" i="2"/>
  <c r="V50" i="2"/>
  <c r="V42" i="2"/>
  <c r="V34" i="2"/>
  <c r="V26" i="2"/>
  <c r="V18" i="2"/>
  <c r="V10" i="2"/>
  <c r="V2" i="2"/>
  <c r="Y88" i="2"/>
  <c r="Y80" i="2"/>
  <c r="Y72" i="2"/>
  <c r="Y64" i="2"/>
  <c r="Y56" i="2"/>
  <c r="Y48" i="2"/>
  <c r="Y40" i="2"/>
  <c r="Y32" i="2"/>
  <c r="Y24" i="2"/>
  <c r="Y16" i="2"/>
  <c r="Y8" i="2"/>
  <c r="S91" i="2"/>
  <c r="S83" i="2"/>
  <c r="S75" i="2"/>
  <c r="S67" i="2"/>
  <c r="S59" i="2"/>
  <c r="S51" i="2"/>
  <c r="S43" i="2"/>
  <c r="S35" i="2"/>
  <c r="S27" i="2"/>
  <c r="S19" i="2"/>
  <c r="S11" i="2"/>
  <c r="S3" i="2"/>
  <c r="V89" i="2"/>
  <c r="V81" i="2"/>
  <c r="V73" i="2"/>
  <c r="V65" i="2"/>
  <c r="V57" i="2"/>
  <c r="V49" i="2"/>
  <c r="V41" i="2"/>
  <c r="V33" i="2"/>
  <c r="V25" i="2"/>
  <c r="V17" i="2"/>
  <c r="V9" i="2"/>
  <c r="Y95" i="2"/>
  <c r="Y87" i="2"/>
  <c r="Y79" i="2"/>
  <c r="Y71" i="2"/>
  <c r="Y63" i="2"/>
  <c r="Y55" i="2"/>
  <c r="Y47" i="2"/>
  <c r="Y39" i="2"/>
  <c r="Y31" i="2"/>
  <c r="Y23" i="2"/>
  <c r="Y15" i="2"/>
  <c r="Y7" i="2"/>
  <c r="S90" i="2"/>
  <c r="S82" i="2"/>
  <c r="S74" i="2"/>
  <c r="S66" i="2"/>
  <c r="S58" i="2"/>
  <c r="S50" i="2"/>
  <c r="S42" i="2"/>
  <c r="S34" i="2"/>
  <c r="S26" i="2"/>
  <c r="S18" i="2"/>
  <c r="S10" i="2"/>
  <c r="S2" i="2"/>
  <c r="V88" i="2"/>
  <c r="V80" i="2"/>
  <c r="V72" i="2"/>
  <c r="V64" i="2"/>
  <c r="V56" i="2"/>
  <c r="V48" i="2"/>
  <c r="V40" i="2"/>
  <c r="V32" i="2"/>
  <c r="V24" i="2"/>
  <c r="V16" i="2"/>
  <c r="V8" i="2"/>
  <c r="Y94" i="2"/>
  <c r="Y86" i="2"/>
  <c r="Y78" i="2"/>
  <c r="Y70" i="2"/>
  <c r="Y62" i="2"/>
  <c r="Y54" i="2"/>
  <c r="Y46" i="2"/>
  <c r="Y38" i="2"/>
  <c r="Y30" i="2"/>
  <c r="Y22" i="2"/>
  <c r="Y14" i="2"/>
  <c r="Y6" i="2"/>
  <c r="V95" i="2"/>
  <c r="V87" i="2"/>
  <c r="V79" i="2"/>
  <c r="V71" i="2"/>
  <c r="V63" i="2"/>
  <c r="V55" i="2"/>
  <c r="V47" i="2"/>
  <c r="V39" i="2"/>
  <c r="V31" i="2"/>
  <c r="V23" i="2"/>
  <c r="V15" i="2"/>
  <c r="V7" i="2"/>
  <c r="Y93" i="2"/>
  <c r="Y85" i="2"/>
  <c r="Y77" i="2"/>
  <c r="Y69" i="2"/>
  <c r="Y61" i="2"/>
  <c r="Y53" i="2"/>
  <c r="Y45" i="2"/>
  <c r="Z45" i="2" s="1"/>
  <c r="Y37" i="2"/>
  <c r="Y29" i="2"/>
  <c r="Y21" i="2"/>
  <c r="Y13" i="2"/>
  <c r="Y5" i="2"/>
  <c r="S8" i="2"/>
  <c r="V94" i="2"/>
  <c r="V86" i="2"/>
  <c r="V78" i="2"/>
  <c r="V70" i="2"/>
  <c r="V62" i="2"/>
  <c r="V54" i="2"/>
  <c r="V46" i="2"/>
  <c r="V38" i="2"/>
  <c r="V30" i="2"/>
  <c r="V22" i="2"/>
  <c r="V14" i="2"/>
  <c r="V6" i="2"/>
  <c r="Y92" i="2"/>
  <c r="Y84" i="2"/>
  <c r="Y76" i="2"/>
  <c r="Y68" i="2"/>
  <c r="Y60" i="2"/>
  <c r="Y52" i="2"/>
  <c r="Y44" i="2"/>
  <c r="Y36" i="2"/>
  <c r="Y28" i="2"/>
  <c r="Y20" i="2"/>
  <c r="Y12" i="2"/>
  <c r="Y4" i="2"/>
  <c r="H57" i="2"/>
  <c r="H66" i="2"/>
  <c r="H86" i="2"/>
  <c r="H87" i="2"/>
  <c r="H71" i="2"/>
  <c r="H35" i="2"/>
  <c r="H67" i="2"/>
  <c r="H30" i="2"/>
  <c r="H91" i="2"/>
  <c r="H85" i="2"/>
  <c r="H61" i="2"/>
  <c r="H96" i="2"/>
  <c r="L98" i="2"/>
  <c r="H99" i="2"/>
  <c r="M98" i="2"/>
  <c r="H97" i="2"/>
  <c r="M100" i="2"/>
  <c r="L100" i="2"/>
  <c r="M97" i="2"/>
  <c r="L97" i="2"/>
  <c r="H98" i="2"/>
  <c r="M99" i="2"/>
  <c r="L99" i="2"/>
  <c r="M96" i="2"/>
  <c r="L96" i="2"/>
  <c r="H100" i="2"/>
  <c r="E98" i="2"/>
  <c r="E96" i="2"/>
  <c r="E100" i="2"/>
  <c r="E99" i="2"/>
  <c r="E97" i="2"/>
  <c r="O20" i="2"/>
  <c r="T20" i="2"/>
  <c r="W20" i="2"/>
  <c r="Z20" i="2"/>
  <c r="O45" i="2"/>
  <c r="G98" i="2" l="1"/>
  <c r="G97" i="2"/>
  <c r="G99" i="2"/>
  <c r="G100" i="2"/>
  <c r="G96" i="2"/>
  <c r="AA20" i="2"/>
  <c r="AD20" i="2" s="1"/>
  <c r="T45" i="2"/>
  <c r="W45" i="2"/>
  <c r="O60" i="2"/>
  <c r="O75" i="2"/>
  <c r="O27" i="2"/>
  <c r="O41" i="2"/>
  <c r="O6" i="2"/>
  <c r="O50" i="2"/>
  <c r="O68" i="2"/>
  <c r="O78" i="2"/>
  <c r="O2" i="2"/>
  <c r="O5" i="2"/>
  <c r="O42" i="2"/>
  <c r="O4" i="2"/>
  <c r="O34" i="2"/>
  <c r="O67" i="2"/>
  <c r="O63" i="2"/>
  <c r="O92" i="2"/>
  <c r="O70" i="2"/>
  <c r="O46" i="2"/>
  <c r="O55" i="2"/>
  <c r="O66" i="2"/>
  <c r="O57" i="2"/>
  <c r="O51" i="2"/>
  <c r="O53" i="2"/>
  <c r="O7" i="2"/>
  <c r="O76" i="2"/>
  <c r="O8" i="2"/>
  <c r="O73" i="2"/>
  <c r="O39" i="2"/>
  <c r="O13" i="2"/>
  <c r="O48" i="2"/>
  <c r="O74" i="2"/>
  <c r="O3" i="2"/>
  <c r="O26" i="2"/>
  <c r="O93" i="2"/>
  <c r="O31" i="2"/>
  <c r="O44" i="2"/>
  <c r="O61" i="2"/>
  <c r="O52" i="2"/>
  <c r="O84" i="2"/>
  <c r="O87" i="2"/>
  <c r="O47" i="2"/>
  <c r="O23" i="2"/>
  <c r="O37" i="2"/>
  <c r="O86" i="2"/>
  <c r="O24" i="2"/>
  <c r="O95" i="2"/>
  <c r="O32" i="2"/>
  <c r="O9" i="2"/>
  <c r="O77" i="2"/>
  <c r="O28" i="2"/>
  <c r="O43" i="2"/>
  <c r="O88" i="2"/>
  <c r="O83" i="2"/>
  <c r="O11" i="2"/>
  <c r="O22" i="2"/>
  <c r="O40" i="2"/>
  <c r="O49" i="2"/>
  <c r="O85" i="2"/>
  <c r="O80" i="2"/>
  <c r="O62" i="2"/>
  <c r="O21" i="2"/>
  <c r="O72" i="2"/>
  <c r="O12" i="2"/>
  <c r="O35" i="2"/>
  <c r="O15" i="2"/>
  <c r="O36" i="2"/>
  <c r="O56" i="2"/>
  <c r="O79" i="2"/>
  <c r="O17" i="2"/>
  <c r="O33" i="2"/>
  <c r="O25" i="2"/>
  <c r="O29" i="2"/>
  <c r="O94" i="2"/>
  <c r="O16" i="2"/>
  <c r="O18" i="2"/>
  <c r="O82" i="2"/>
  <c r="O65" i="2"/>
  <c r="O59" i="2"/>
  <c r="O58" i="2"/>
  <c r="O30" i="2"/>
  <c r="O54" i="2"/>
  <c r="O81" i="2"/>
  <c r="O71" i="2"/>
  <c r="O69" i="2"/>
  <c r="O64" i="2"/>
  <c r="O10" i="2"/>
  <c r="O90" i="2"/>
  <c r="O19" i="2"/>
  <c r="O14" i="2"/>
  <c r="O89" i="2"/>
  <c r="O91" i="2"/>
  <c r="O38" i="2"/>
  <c r="AB96" i="2"/>
  <c r="AB97" i="2"/>
  <c r="AB98" i="2"/>
  <c r="AB99" i="2"/>
  <c r="AB100" i="2"/>
  <c r="AA45" i="2" l="1"/>
  <c r="AD45" i="2" s="1"/>
  <c r="N100" i="2"/>
  <c r="N98" i="2"/>
  <c r="N96" i="2"/>
  <c r="N99" i="2"/>
  <c r="N97" i="2"/>
  <c r="O99" i="2"/>
  <c r="W99" i="2"/>
  <c r="F99" i="2"/>
  <c r="O100" i="2"/>
  <c r="W100" i="2"/>
  <c r="F100" i="2"/>
  <c r="O98" i="2"/>
  <c r="W98" i="2"/>
  <c r="O97" i="2"/>
  <c r="W97" i="2"/>
  <c r="W96" i="2"/>
  <c r="F98" i="2"/>
  <c r="F97" i="2"/>
  <c r="F96" i="2"/>
  <c r="T90" i="2"/>
  <c r="W90" i="2"/>
  <c r="Z90" i="2"/>
  <c r="D102" i="2" l="1"/>
  <c r="AA90" i="2"/>
  <c r="AD90" i="2" s="1"/>
  <c r="T72" i="2"/>
  <c r="W72" i="2"/>
  <c r="Z72" i="2"/>
  <c r="T82" i="2"/>
  <c r="W82" i="2"/>
  <c r="Z82" i="2"/>
  <c r="T13" i="2"/>
  <c r="W13" i="2"/>
  <c r="Z13" i="2"/>
  <c r="T24" i="2"/>
  <c r="W24" i="2"/>
  <c r="Z24" i="2"/>
  <c r="T76" i="2"/>
  <c r="W76" i="2"/>
  <c r="Z76" i="2"/>
  <c r="AA24" i="2" l="1"/>
  <c r="AD24" i="2" s="1"/>
  <c r="AA82" i="2"/>
  <c r="AD82" i="2" s="1"/>
  <c r="AA76" i="2"/>
  <c r="AD76" i="2" s="1"/>
  <c r="AA72" i="2"/>
  <c r="AD72" i="2" s="1"/>
  <c r="AA13" i="2"/>
  <c r="AD13" i="2" s="1"/>
  <c r="T91" i="2"/>
  <c r="W91" i="2"/>
  <c r="Z91" i="2"/>
  <c r="T49" i="2"/>
  <c r="W49" i="2"/>
  <c r="Z49" i="2"/>
  <c r="T16" i="2"/>
  <c r="W16" i="2"/>
  <c r="Z16" i="2"/>
  <c r="T44" i="2"/>
  <c r="W44" i="2"/>
  <c r="Z44" i="2"/>
  <c r="T11" i="2"/>
  <c r="W11" i="2"/>
  <c r="Z11" i="2"/>
  <c r="T71" i="2"/>
  <c r="W71" i="2"/>
  <c r="Z71" i="2"/>
  <c r="T89" i="2"/>
  <c r="W89" i="2"/>
  <c r="Z89" i="2"/>
  <c r="T29" i="2"/>
  <c r="W29" i="2"/>
  <c r="Z29" i="2"/>
  <c r="T30" i="2"/>
  <c r="W30" i="2"/>
  <c r="Z30" i="2"/>
  <c r="T33" i="2"/>
  <c r="W33" i="2"/>
  <c r="Z33" i="2"/>
  <c r="AA30" i="2" l="1"/>
  <c r="AD30" i="2" s="1"/>
  <c r="AA91" i="2"/>
  <c r="AD91" i="2" s="1"/>
  <c r="AA33" i="2"/>
  <c r="AD33" i="2" s="1"/>
  <c r="AA49" i="2"/>
  <c r="AD49" i="2" s="1"/>
  <c r="AA71" i="2"/>
  <c r="AD71" i="2" s="1"/>
  <c r="AA89" i="2"/>
  <c r="AD89" i="2" s="1"/>
  <c r="AA44" i="2"/>
  <c r="AD44" i="2" s="1"/>
  <c r="AA16" i="2"/>
  <c r="AD16" i="2" s="1"/>
  <c r="AA29" i="2"/>
  <c r="AD29" i="2" s="1"/>
  <c r="AA11" i="2"/>
  <c r="AD11" i="2" s="1"/>
  <c r="T37" i="2"/>
  <c r="W37" i="2"/>
  <c r="Z37" i="2"/>
  <c r="T80" i="2"/>
  <c r="W80" i="2"/>
  <c r="Z80" i="2"/>
  <c r="T21" i="2"/>
  <c r="W21" i="2"/>
  <c r="Z21" i="2"/>
  <c r="T18" i="2"/>
  <c r="W18" i="2"/>
  <c r="Z18" i="2"/>
  <c r="T52" i="2"/>
  <c r="W52" i="2"/>
  <c r="Z52" i="2"/>
  <c r="T12" i="2"/>
  <c r="W12" i="2"/>
  <c r="Z12" i="2"/>
  <c r="T10" i="2"/>
  <c r="W10" i="2"/>
  <c r="Z10" i="2"/>
  <c r="T25" i="2"/>
  <c r="W25" i="2"/>
  <c r="Z25" i="2"/>
  <c r="AA12" i="2" l="1"/>
  <c r="AD12" i="2" s="1"/>
  <c r="AA21" i="2"/>
  <c r="AD21" i="2" s="1"/>
  <c r="AA10" i="2"/>
  <c r="AD10" i="2" s="1"/>
  <c r="AA18" i="2"/>
  <c r="AD18" i="2" s="1"/>
  <c r="AA25" i="2"/>
  <c r="AD25" i="2" s="1"/>
  <c r="AA37" i="2"/>
  <c r="AD37" i="2" s="1"/>
  <c r="AA52" i="2"/>
  <c r="AD52" i="2" s="1"/>
  <c r="AA80" i="2"/>
  <c r="AD80" i="2" s="1"/>
  <c r="P99" i="2"/>
  <c r="P100" i="2"/>
  <c r="P97" i="2"/>
  <c r="P98" i="2"/>
  <c r="P96" i="2"/>
  <c r="T47" i="2"/>
  <c r="W47" i="2"/>
  <c r="Z47" i="2"/>
  <c r="AA47" i="2" l="1"/>
  <c r="AD47" i="2" s="1"/>
  <c r="T46" i="2"/>
  <c r="W46" i="2"/>
  <c r="Z46" i="2"/>
  <c r="Z3" i="2"/>
  <c r="Z4" i="2"/>
  <c r="Z5" i="2"/>
  <c r="Z6" i="2"/>
  <c r="Z7" i="2"/>
  <c r="Z8" i="2"/>
  <c r="Z9" i="2"/>
  <c r="Z14" i="2"/>
  <c r="Z15" i="2"/>
  <c r="Z17" i="2"/>
  <c r="Z19" i="2"/>
  <c r="Z22" i="2"/>
  <c r="Z23" i="2"/>
  <c r="Z26" i="2"/>
  <c r="Z27" i="2"/>
  <c r="Z28" i="2"/>
  <c r="Z31" i="2"/>
  <c r="Z32" i="2"/>
  <c r="Z34" i="2"/>
  <c r="Z35" i="2"/>
  <c r="Z36" i="2"/>
  <c r="Z38" i="2"/>
  <c r="Z39" i="2"/>
  <c r="Z40" i="2"/>
  <c r="Z41" i="2"/>
  <c r="Z42" i="2"/>
  <c r="Z43" i="2"/>
  <c r="Z48" i="2"/>
  <c r="Z50" i="2"/>
  <c r="Z51" i="2"/>
  <c r="Z54" i="2"/>
  <c r="Z55" i="2"/>
  <c r="Z56" i="2"/>
  <c r="Z57" i="2"/>
  <c r="Z58" i="2"/>
  <c r="Z59" i="2"/>
  <c r="Z61" i="2"/>
  <c r="Z62" i="2"/>
  <c r="Z63" i="2"/>
  <c r="Z64" i="2"/>
  <c r="Z65" i="2"/>
  <c r="Z66" i="2"/>
  <c r="Z67" i="2"/>
  <c r="Z68" i="2"/>
  <c r="Z69" i="2"/>
  <c r="Z70" i="2"/>
  <c r="Z73" i="2"/>
  <c r="Z74" i="2"/>
  <c r="Z75" i="2"/>
  <c r="Z77" i="2"/>
  <c r="Z78" i="2"/>
  <c r="Z79" i="2"/>
  <c r="Z81" i="2"/>
  <c r="Z83" i="2"/>
  <c r="Z84" i="2"/>
  <c r="Z85" i="2"/>
  <c r="Z86" i="2"/>
  <c r="Z87" i="2"/>
  <c r="Z88" i="2"/>
  <c r="Z92" i="2"/>
  <c r="Z93" i="2"/>
  <c r="Z94" i="2"/>
  <c r="Z95" i="2"/>
  <c r="W3" i="2"/>
  <c r="W4" i="2"/>
  <c r="W5" i="2"/>
  <c r="W6" i="2"/>
  <c r="W7" i="2"/>
  <c r="W8" i="2"/>
  <c r="W9" i="2"/>
  <c r="W14" i="2"/>
  <c r="W15" i="2"/>
  <c r="W17" i="2"/>
  <c r="W19" i="2"/>
  <c r="W22" i="2"/>
  <c r="W23" i="2"/>
  <c r="W26" i="2"/>
  <c r="W27" i="2"/>
  <c r="W28" i="2"/>
  <c r="W31" i="2"/>
  <c r="W32" i="2"/>
  <c r="W34" i="2"/>
  <c r="W35" i="2"/>
  <c r="W36" i="2"/>
  <c r="W38" i="2"/>
  <c r="W39" i="2"/>
  <c r="W40" i="2"/>
  <c r="W41" i="2"/>
  <c r="W42" i="2"/>
  <c r="W43" i="2"/>
  <c r="W48" i="2"/>
  <c r="W50" i="2"/>
  <c r="W51" i="2"/>
  <c r="W54" i="2"/>
  <c r="W55" i="2"/>
  <c r="W56" i="2"/>
  <c r="W57" i="2"/>
  <c r="W58" i="2"/>
  <c r="W59" i="2"/>
  <c r="W61" i="2"/>
  <c r="W62" i="2"/>
  <c r="W63" i="2"/>
  <c r="W64" i="2"/>
  <c r="W65" i="2"/>
  <c r="W66" i="2"/>
  <c r="W67" i="2"/>
  <c r="W68" i="2"/>
  <c r="W69" i="2"/>
  <c r="W70" i="2"/>
  <c r="W73" i="2"/>
  <c r="W74" i="2"/>
  <c r="W75" i="2"/>
  <c r="W77" i="2"/>
  <c r="W78" i="2"/>
  <c r="W79" i="2"/>
  <c r="W81" i="2"/>
  <c r="W83" i="2"/>
  <c r="W84" i="2"/>
  <c r="W85" i="2"/>
  <c r="W86" i="2"/>
  <c r="W87" i="2"/>
  <c r="W88" i="2"/>
  <c r="W92" i="2"/>
  <c r="W93" i="2"/>
  <c r="W94" i="2"/>
  <c r="W95" i="2"/>
  <c r="T3" i="2"/>
  <c r="T4" i="2"/>
  <c r="T5" i="2"/>
  <c r="T6" i="2"/>
  <c r="T7" i="2"/>
  <c r="T8" i="2"/>
  <c r="T9" i="2"/>
  <c r="T14" i="2"/>
  <c r="T15" i="2"/>
  <c r="T17" i="2"/>
  <c r="T19" i="2"/>
  <c r="T22" i="2"/>
  <c r="T23" i="2"/>
  <c r="T26" i="2"/>
  <c r="T27" i="2"/>
  <c r="T28" i="2"/>
  <c r="T31" i="2"/>
  <c r="T32" i="2"/>
  <c r="T34" i="2"/>
  <c r="T35" i="2"/>
  <c r="T36" i="2"/>
  <c r="T38" i="2"/>
  <c r="T39" i="2"/>
  <c r="T40" i="2"/>
  <c r="T41" i="2"/>
  <c r="T42" i="2"/>
  <c r="T43" i="2"/>
  <c r="T48" i="2"/>
  <c r="T50" i="2"/>
  <c r="T51" i="2"/>
  <c r="T54" i="2"/>
  <c r="T55" i="2"/>
  <c r="T56" i="2"/>
  <c r="T57" i="2"/>
  <c r="T58" i="2"/>
  <c r="T59" i="2"/>
  <c r="T61" i="2"/>
  <c r="T62" i="2"/>
  <c r="T63" i="2"/>
  <c r="T64" i="2"/>
  <c r="T65" i="2"/>
  <c r="T66" i="2"/>
  <c r="T67" i="2"/>
  <c r="T68" i="2"/>
  <c r="T69" i="2"/>
  <c r="T70" i="2"/>
  <c r="T73" i="2"/>
  <c r="T74" i="2"/>
  <c r="T75" i="2"/>
  <c r="T77" i="2"/>
  <c r="T78" i="2"/>
  <c r="T79" i="2"/>
  <c r="T81" i="2"/>
  <c r="T83" i="2"/>
  <c r="T84" i="2"/>
  <c r="T85" i="2"/>
  <c r="T86" i="2"/>
  <c r="T87" i="2"/>
  <c r="T88" i="2"/>
  <c r="T92" i="2"/>
  <c r="T93" i="2"/>
  <c r="T94" i="2"/>
  <c r="T95" i="2"/>
  <c r="Z2" i="2"/>
  <c r="AA75" i="2" l="1"/>
  <c r="AD75" i="2" s="1"/>
  <c r="AA40" i="2"/>
  <c r="AD40" i="2" s="1"/>
  <c r="AA69" i="2"/>
  <c r="AD69" i="2" s="1"/>
  <c r="AA61" i="2"/>
  <c r="AD61" i="2" s="1"/>
  <c r="AA81" i="2"/>
  <c r="AD81" i="2" s="1"/>
  <c r="AA14" i="2"/>
  <c r="AD14" i="2" s="1"/>
  <c r="AA93" i="2"/>
  <c r="AD93" i="2" s="1"/>
  <c r="AA28" i="2"/>
  <c r="AD28" i="2" s="1"/>
  <c r="AA94" i="2"/>
  <c r="AD94" i="2" s="1"/>
  <c r="AA83" i="2"/>
  <c r="AD83" i="2" s="1"/>
  <c r="AA70" i="2"/>
  <c r="AD70" i="2" s="1"/>
  <c r="AA62" i="2"/>
  <c r="AD62" i="2" s="1"/>
  <c r="AA54" i="2"/>
  <c r="AD54" i="2" s="1"/>
  <c r="AA41" i="2"/>
  <c r="AD41" i="2" s="1"/>
  <c r="AA31" i="2"/>
  <c r="AD31" i="2" s="1"/>
  <c r="AA15" i="2"/>
  <c r="AD15" i="2" s="1"/>
  <c r="AA3" i="2"/>
  <c r="AD3" i="2" s="1"/>
  <c r="AA92" i="2"/>
  <c r="AD92" i="2" s="1"/>
  <c r="AA79" i="2"/>
  <c r="AD79" i="2" s="1"/>
  <c r="AA68" i="2"/>
  <c r="AD68" i="2" s="1"/>
  <c r="AA51" i="2"/>
  <c r="AD51" i="2" s="1"/>
  <c r="AA39" i="2"/>
  <c r="AD39" i="2" s="1"/>
  <c r="AA27" i="2"/>
  <c r="AD27" i="2" s="1"/>
  <c r="AA9" i="2"/>
  <c r="AD9" i="2" s="1"/>
  <c r="AA88" i="2"/>
  <c r="AD88" i="2" s="1"/>
  <c r="AA78" i="2"/>
  <c r="AD78" i="2" s="1"/>
  <c r="AA67" i="2"/>
  <c r="AD67" i="2" s="1"/>
  <c r="AA59" i="2"/>
  <c r="AD59" i="2" s="1"/>
  <c r="AA50" i="2"/>
  <c r="AD50" i="2" s="1"/>
  <c r="AA38" i="2"/>
  <c r="AD38" i="2" s="1"/>
  <c r="AA26" i="2"/>
  <c r="AD26" i="2" s="1"/>
  <c r="AA8" i="2"/>
  <c r="AD8" i="2" s="1"/>
  <c r="AA85" i="2"/>
  <c r="AD85" i="2" s="1"/>
  <c r="AA74" i="2"/>
  <c r="AD74" i="2" s="1"/>
  <c r="AA64" i="2"/>
  <c r="AD64" i="2" s="1"/>
  <c r="AA56" i="2"/>
  <c r="AD56" i="2" s="1"/>
  <c r="AA42" i="2"/>
  <c r="AD42" i="2" s="1"/>
  <c r="AA34" i="2"/>
  <c r="AD34" i="2" s="1"/>
  <c r="AA19" i="2"/>
  <c r="AD19" i="2" s="1"/>
  <c r="AA5" i="2"/>
  <c r="AD5" i="2" s="1"/>
  <c r="AA87" i="2"/>
  <c r="AD87" i="2" s="1"/>
  <c r="AA77" i="2"/>
  <c r="AD77" i="2" s="1"/>
  <c r="AA66" i="2"/>
  <c r="AD66" i="2" s="1"/>
  <c r="AA58" i="2"/>
  <c r="AD58" i="2" s="1"/>
  <c r="AA48" i="2"/>
  <c r="AD48" i="2" s="1"/>
  <c r="AA36" i="2"/>
  <c r="AD36" i="2" s="1"/>
  <c r="AA23" i="2"/>
  <c r="AD23" i="2" s="1"/>
  <c r="AA7" i="2"/>
  <c r="AD7" i="2" s="1"/>
  <c r="AA86" i="2"/>
  <c r="AD86" i="2" s="1"/>
  <c r="AA65" i="2"/>
  <c r="AD65" i="2" s="1"/>
  <c r="AA57" i="2"/>
  <c r="AD57" i="2" s="1"/>
  <c r="AA43" i="2"/>
  <c r="AD43" i="2" s="1"/>
  <c r="AA35" i="2"/>
  <c r="AD35" i="2" s="1"/>
  <c r="AA22" i="2"/>
  <c r="AD22" i="2" s="1"/>
  <c r="AA6" i="2"/>
  <c r="AD6" i="2" s="1"/>
  <c r="AA95" i="2"/>
  <c r="AD95" i="2" s="1"/>
  <c r="AA84" i="2"/>
  <c r="AD84" i="2" s="1"/>
  <c r="AA73" i="2"/>
  <c r="AD73" i="2" s="1"/>
  <c r="AA63" i="2"/>
  <c r="AD63" i="2" s="1"/>
  <c r="AA55" i="2"/>
  <c r="AD55" i="2" s="1"/>
  <c r="AA32" i="2"/>
  <c r="AD32" i="2" s="1"/>
  <c r="AA17" i="2"/>
  <c r="AD17" i="2" s="1"/>
  <c r="AA4" i="2"/>
  <c r="AD4" i="2" s="1"/>
  <c r="AA46" i="2"/>
  <c r="AD46" i="2" s="1"/>
  <c r="T2" i="2"/>
  <c r="R96" i="2"/>
  <c r="R98" i="2"/>
  <c r="R100" i="2"/>
  <c r="R97" i="2"/>
  <c r="R99" i="2"/>
  <c r="W2" i="2"/>
  <c r="U96" i="2"/>
  <c r="U97" i="2"/>
  <c r="U98" i="2"/>
  <c r="U99" i="2"/>
  <c r="U100" i="2"/>
  <c r="T60" i="2"/>
  <c r="Z60" i="2"/>
  <c r="X99" i="2"/>
  <c r="W60" i="2"/>
  <c r="Z53" i="2"/>
  <c r="X100" i="2"/>
  <c r="W53" i="2"/>
  <c r="T53" i="2"/>
  <c r="X97" i="2"/>
  <c r="X98" i="2"/>
  <c r="X96" i="2"/>
  <c r="AA53" i="2" l="1"/>
  <c r="AD53" i="2" s="1"/>
  <c r="AA60" i="2"/>
  <c r="AD60" i="2" s="1"/>
  <c r="AA2" i="2"/>
  <c r="AD2" i="2" s="1"/>
  <c r="S97" i="2"/>
  <c r="S99" i="2"/>
  <c r="S96" i="2"/>
  <c r="S98" i="2"/>
  <c r="S100" i="2"/>
  <c r="Y99" i="2"/>
  <c r="V99" i="2"/>
  <c r="V100" i="2"/>
  <c r="Y100" i="2"/>
  <c r="Y96" i="2"/>
  <c r="Y97" i="2"/>
  <c r="Y98" i="2"/>
  <c r="V96" i="2"/>
  <c r="V97" i="2"/>
  <c r="V98" i="2"/>
  <c r="AE33" i="2" l="1"/>
  <c r="AF33" i="2" s="1"/>
  <c r="AE79" i="2"/>
  <c r="AF79" i="2" s="1"/>
  <c r="AB31" i="2"/>
  <c r="AB57" i="2"/>
  <c r="AB3" i="2"/>
  <c r="AB46" i="2"/>
  <c r="AB15" i="2"/>
  <c r="AB62" i="2"/>
  <c r="AB28" i="2"/>
  <c r="AB50" i="2"/>
  <c r="AB51" i="2"/>
  <c r="AB73" i="2"/>
  <c r="AB41" i="2"/>
  <c r="AB86" i="2"/>
  <c r="AB66" i="2"/>
  <c r="AB36" i="2"/>
  <c r="AB6" i="2"/>
  <c r="AB27" i="2"/>
  <c r="AB69" i="2"/>
  <c r="AB70" i="2"/>
  <c r="AB85" i="2"/>
  <c r="AB75" i="2"/>
  <c r="AB63" i="2"/>
  <c r="AB5" i="2"/>
  <c r="AB48" i="2"/>
  <c r="AB32" i="2"/>
  <c r="AB22" i="2"/>
  <c r="AB78" i="2"/>
  <c r="AB14" i="2"/>
  <c r="AB58" i="2"/>
  <c r="AB92" i="2"/>
  <c r="AB8" i="2"/>
  <c r="AB39" i="2"/>
  <c r="AB65" i="2"/>
  <c r="AB56" i="2"/>
  <c r="AB43" i="2"/>
  <c r="AB84" i="2"/>
  <c r="AB35" i="2"/>
  <c r="AB64" i="2"/>
  <c r="AB34" i="2"/>
  <c r="AB7" i="2"/>
  <c r="AB88" i="2"/>
  <c r="AB93" i="2"/>
  <c r="AB74" i="2"/>
  <c r="AB77" i="2"/>
  <c r="AB23" i="2"/>
  <c r="AB95" i="2"/>
  <c r="AB59" i="2"/>
  <c r="AB40" i="2"/>
  <c r="AB60" i="2"/>
  <c r="AB83" i="2"/>
  <c r="AB42" i="2"/>
  <c r="AB17" i="2"/>
  <c r="AB68" i="2"/>
  <c r="AB4" i="2"/>
  <c r="AB26" i="2"/>
  <c r="AB81" i="2"/>
  <c r="AB79" i="2"/>
  <c r="AB67" i="2"/>
  <c r="AB19" i="2"/>
  <c r="AB61" i="2"/>
  <c r="AB9" i="2"/>
  <c r="AB94" i="2"/>
  <c r="AB54" i="2"/>
  <c r="AB55" i="2"/>
  <c r="AB38" i="2"/>
  <c r="AB87" i="2"/>
  <c r="AB53" i="2"/>
  <c r="AB2" i="2"/>
  <c r="AB20" i="2"/>
  <c r="AB45" i="2"/>
  <c r="AB90" i="2"/>
  <c r="AB82" i="2"/>
  <c r="AB13" i="2"/>
  <c r="AB76" i="2"/>
  <c r="AB24" i="2"/>
  <c r="AB72" i="2"/>
  <c r="AB33" i="2"/>
  <c r="AB71" i="2"/>
  <c r="AB91" i="2"/>
  <c r="AB29" i="2"/>
  <c r="AB49" i="2"/>
  <c r="AB30" i="2"/>
  <c r="AB11" i="2"/>
  <c r="AB16" i="2"/>
  <c r="AB44" i="2"/>
  <c r="AB89" i="2"/>
  <c r="AB52" i="2"/>
  <c r="AB18" i="2"/>
  <c r="AB12" i="2"/>
  <c r="AB37" i="2"/>
  <c r="AB25" i="2"/>
  <c r="AB10" i="2"/>
  <c r="AB21" i="2"/>
  <c r="AB80" i="2"/>
  <c r="AB47" i="2"/>
  <c r="Z96" i="2"/>
  <c r="Z99" i="2"/>
  <c r="Z98" i="2"/>
  <c r="Z100" i="2"/>
  <c r="Z97" i="2"/>
  <c r="AE19" i="2" l="1"/>
  <c r="AF19" i="2" s="1"/>
  <c r="AE15" i="2"/>
  <c r="AF15" i="2" s="1"/>
  <c r="AE35" i="2"/>
  <c r="AF35" i="2" s="1"/>
  <c r="AE95" i="2"/>
  <c r="AF95" i="2" s="1"/>
  <c r="AE52" i="2"/>
  <c r="AF52" i="2" s="1"/>
  <c r="AE23" i="2"/>
  <c r="AF23" i="2" s="1"/>
  <c r="AE39" i="2"/>
  <c r="AF39" i="2" s="1"/>
  <c r="AE67" i="2"/>
  <c r="AF67" i="2" s="1"/>
  <c r="AE59" i="2"/>
  <c r="AF59" i="2" s="1"/>
  <c r="AE12" i="2"/>
  <c r="AF12" i="2" s="1"/>
  <c r="AE48" i="2"/>
  <c r="AF48" i="2" s="1"/>
  <c r="AE28" i="2"/>
  <c r="AF28" i="2" s="1"/>
  <c r="AE61" i="2"/>
  <c r="AF61" i="2" s="1"/>
  <c r="AE69" i="2"/>
  <c r="AF69" i="2" s="1"/>
  <c r="AE64" i="2"/>
  <c r="AF64" i="2" s="1"/>
  <c r="AE7" i="2"/>
  <c r="AF7" i="2" s="1"/>
  <c r="AE43" i="2"/>
  <c r="AF43" i="2" s="1"/>
  <c r="AE24" i="2"/>
  <c r="AF24" i="2" s="1"/>
  <c r="AE22" i="2"/>
  <c r="AF22" i="2" s="1"/>
  <c r="AE88" i="2"/>
  <c r="AF88" i="2" s="1"/>
  <c r="AE14" i="2"/>
  <c r="AF14" i="2" s="1"/>
  <c r="AE75" i="2"/>
  <c r="AF75" i="2" s="1"/>
  <c r="AE5" i="2"/>
  <c r="AF5" i="2" s="1"/>
  <c r="AE86" i="2"/>
  <c r="AF86" i="2" s="1"/>
  <c r="AE76" i="2"/>
  <c r="AF76" i="2" s="1"/>
  <c r="AE50" i="2"/>
  <c r="AF50" i="2" s="1"/>
  <c r="AE55" i="2"/>
  <c r="AF55" i="2" s="1"/>
  <c r="AE46" i="2"/>
  <c r="AF46" i="2" s="1"/>
  <c r="AE70" i="2"/>
  <c r="AF70" i="2" s="1"/>
  <c r="AE89" i="2"/>
  <c r="AF89" i="2" s="1"/>
  <c r="AE11" i="2"/>
  <c r="AF11" i="2" s="1"/>
  <c r="AE9" i="2"/>
  <c r="AF9" i="2" s="1"/>
  <c r="AE34" i="2"/>
  <c r="AF34" i="2" s="1"/>
  <c r="AE72" i="2"/>
  <c r="AF72" i="2" s="1"/>
  <c r="AE17" i="2"/>
  <c r="AF17" i="2" s="1"/>
  <c r="AE20" i="2"/>
  <c r="AF20" i="2" s="1"/>
  <c r="AE30" i="2"/>
  <c r="AF30" i="2" s="1"/>
  <c r="AE81" i="2"/>
  <c r="AF81" i="2" s="1"/>
  <c r="AE45" i="2"/>
  <c r="AF45" i="2" s="1"/>
  <c r="AE36" i="2"/>
  <c r="AF36" i="2" s="1"/>
  <c r="AE57" i="2"/>
  <c r="AF57" i="2" s="1"/>
  <c r="AE40" i="2"/>
  <c r="AF40" i="2" s="1"/>
  <c r="AE31" i="2"/>
  <c r="AF31" i="2" s="1"/>
  <c r="AE26" i="2"/>
  <c r="AF26" i="2" s="1"/>
  <c r="AE29" i="2"/>
  <c r="AF29" i="2" s="1"/>
  <c r="AE41" i="2"/>
  <c r="AF41" i="2" s="1"/>
  <c r="AE94" i="2"/>
  <c r="AF94" i="2" s="1"/>
  <c r="AE56" i="2"/>
  <c r="AF56" i="2" s="1"/>
  <c r="AE80" i="2"/>
  <c r="AF80" i="2" s="1"/>
  <c r="AE84" i="2"/>
  <c r="AF84" i="2" s="1"/>
  <c r="AE74" i="2"/>
  <c r="AF74" i="2" s="1"/>
  <c r="AE71" i="2"/>
  <c r="AF71" i="2" s="1"/>
  <c r="AE93" i="2"/>
  <c r="AF93" i="2" s="1"/>
  <c r="AE4" i="2"/>
  <c r="AF4" i="2" s="1"/>
  <c r="AE90" i="2"/>
  <c r="AF90" i="2" s="1"/>
  <c r="AE92" i="2"/>
  <c r="AF92" i="2" s="1"/>
  <c r="AE2" i="2"/>
  <c r="AF2" i="2" s="1"/>
  <c r="AE66" i="2"/>
  <c r="AF66" i="2" s="1"/>
  <c r="AE54" i="2"/>
  <c r="AF54" i="2" s="1"/>
  <c r="AE63" i="2"/>
  <c r="AF63" i="2" s="1"/>
  <c r="AE18" i="2"/>
  <c r="AF18" i="2" s="1"/>
  <c r="AE78" i="2"/>
  <c r="AF78" i="2" s="1"/>
  <c r="AE44" i="2"/>
  <c r="AF44" i="2" s="1"/>
  <c r="AE32" i="2"/>
  <c r="AF32" i="2" s="1"/>
  <c r="AE68" i="2"/>
  <c r="AF68" i="2" s="1"/>
  <c r="AE83" i="2"/>
  <c r="AF83" i="2" s="1"/>
  <c r="AE47" i="2"/>
  <c r="AF47" i="2" s="1"/>
  <c r="AE27" i="2"/>
  <c r="AF27" i="2" s="1"/>
  <c r="AE49" i="2"/>
  <c r="AF49" i="2" s="1"/>
  <c r="AE13" i="2"/>
  <c r="AF13" i="2" s="1"/>
  <c r="AE10" i="2"/>
  <c r="AF10" i="2" s="1"/>
  <c r="AE85" i="2"/>
  <c r="AF85" i="2" s="1"/>
  <c r="AE87" i="2"/>
  <c r="AF87" i="2" s="1"/>
  <c r="AE6" i="2"/>
  <c r="AF6" i="2" s="1"/>
  <c r="AE21" i="2"/>
  <c r="AF21" i="2" s="1"/>
  <c r="AE38" i="2"/>
  <c r="AF38" i="2" s="1"/>
  <c r="AE37" i="2"/>
  <c r="AF37" i="2" s="1"/>
  <c r="AE3" i="2"/>
  <c r="AF3" i="2" s="1"/>
  <c r="AE73" i="2"/>
  <c r="AF73" i="2" s="1"/>
  <c r="AE58" i="2"/>
  <c r="AF58" i="2" s="1"/>
  <c r="AE82" i="2"/>
  <c r="AF82" i="2" s="1"/>
  <c r="AE60" i="2"/>
  <c r="AF60" i="2" s="1"/>
  <c r="AE91" i="2"/>
  <c r="AF91" i="2" s="1"/>
  <c r="AE65" i="2"/>
  <c r="AF65" i="2" s="1"/>
  <c r="AE53" i="2"/>
  <c r="AF53" i="2" s="1"/>
  <c r="AE42" i="2"/>
  <c r="AF42" i="2" s="1"/>
  <c r="AE8" i="2"/>
  <c r="AF8" i="2" s="1"/>
  <c r="AE51" i="2"/>
  <c r="AF51" i="2" s="1"/>
  <c r="AE77" i="2"/>
  <c r="AF77" i="2" s="1"/>
  <c r="AE16" i="2"/>
  <c r="AF16" i="2" s="1"/>
  <c r="AE25" i="2"/>
  <c r="AF25" i="2" s="1"/>
  <c r="AE62" i="2"/>
  <c r="AF62" i="2" s="1"/>
  <c r="AC100" i="2"/>
  <c r="AC96" i="2"/>
  <c r="AC99" i="2"/>
  <c r="AC97" i="2"/>
  <c r="AC98" i="2"/>
  <c r="AA96" i="2" l="1"/>
  <c r="AA98" i="2"/>
  <c r="AA100" i="2"/>
  <c r="AA97" i="2"/>
  <c r="AA99" i="2"/>
  <c r="AD97" i="2" l="1"/>
  <c r="AD100" i="2"/>
  <c r="AD96" i="2"/>
  <c r="AD99" i="2"/>
  <c r="AE99" i="2"/>
  <c r="AD98" i="2"/>
  <c r="AE96" i="2" l="1"/>
  <c r="AE98" i="2"/>
  <c r="AE97" i="2"/>
  <c r="AE100"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6">
    <bk>
      <extLst>
        <ext uri="{3e2802c4-a4d2-4d8b-9148-e3be6c30e623}">
          <xlrd:rvb i="2"/>
        </ext>
      </extLst>
    </bk>
    <bk>
      <extLst>
        <ext uri="{3e2802c4-a4d2-4d8b-9148-e3be6c30e623}">
          <xlrd:rvb i="5"/>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101"/>
        </ext>
      </extLst>
    </bk>
    <bk>
      <extLst>
        <ext uri="{3e2802c4-a4d2-4d8b-9148-e3be6c30e623}">
          <xlrd:rvb i="104"/>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4"/>
        </ext>
      </extLst>
    </bk>
    <bk>
      <extLst>
        <ext uri="{3e2802c4-a4d2-4d8b-9148-e3be6c30e623}">
          <xlrd:rvb i="141"/>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futureMetadata>
  <cellMetadata count="1">
    <bk>
      <rc t="1" v="0"/>
    </bk>
  </cellMetadata>
  <valueMetadata count="9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valueMetadata>
</metadata>
</file>

<file path=xl/sharedStrings.xml><?xml version="1.0" encoding="utf-8"?>
<sst xmlns="http://schemas.openxmlformats.org/spreadsheetml/2006/main" count="318" uniqueCount="242">
  <si>
    <t>SPY</t>
  </si>
  <si>
    <t>VOO</t>
  </si>
  <si>
    <t>AAPL</t>
  </si>
  <si>
    <t>GOOGL</t>
  </si>
  <si>
    <t>MSFT</t>
  </si>
  <si>
    <t>SONY</t>
  </si>
  <si>
    <t>NVDA</t>
  </si>
  <si>
    <t>AMD</t>
  </si>
  <si>
    <t>AMZN</t>
  </si>
  <si>
    <t>TSLA</t>
  </si>
  <si>
    <t>NFLX</t>
  </si>
  <si>
    <t>COIN</t>
  </si>
  <si>
    <t>ZM</t>
  </si>
  <si>
    <t>SPOT</t>
  </si>
  <si>
    <t>DOCU</t>
  </si>
  <si>
    <t>ETSY</t>
  </si>
  <si>
    <t>PTON</t>
  </si>
  <si>
    <t>MDB</t>
  </si>
  <si>
    <t>TRU</t>
  </si>
  <si>
    <t>EFX</t>
  </si>
  <si>
    <t>ZEN</t>
  </si>
  <si>
    <t>DASH</t>
  </si>
  <si>
    <t>UBER</t>
  </si>
  <si>
    <t>LYFT</t>
  </si>
  <si>
    <t>SHOP</t>
  </si>
  <si>
    <t>SQ</t>
  </si>
  <si>
    <t>ON</t>
  </si>
  <si>
    <t>WMT</t>
  </si>
  <si>
    <t>TGT</t>
  </si>
  <si>
    <t>ZG</t>
  </si>
  <si>
    <t>TWTR</t>
  </si>
  <si>
    <t>FB</t>
  </si>
  <si>
    <t>SNAP</t>
  </si>
  <si>
    <t>NKE</t>
  </si>
  <si>
    <t>PYPL</t>
  </si>
  <si>
    <t>ADBE</t>
  </si>
  <si>
    <t>MA</t>
  </si>
  <si>
    <t>HD</t>
  </si>
  <si>
    <t>QQQ</t>
  </si>
  <si>
    <t>VUG</t>
  </si>
  <si>
    <t>VOOG</t>
  </si>
  <si>
    <t>REGN</t>
  </si>
  <si>
    <t>CRM</t>
  </si>
  <si>
    <t>INTU</t>
  </si>
  <si>
    <t>CRWD</t>
  </si>
  <si>
    <t>IWP</t>
  </si>
  <si>
    <t>SPYG</t>
  </si>
  <si>
    <t>V</t>
  </si>
  <si>
    <t>UNH</t>
  </si>
  <si>
    <t>JNJ</t>
  </si>
  <si>
    <t>QCOM</t>
  </si>
  <si>
    <t>AVGO</t>
  </si>
  <si>
    <t>PG</t>
  </si>
  <si>
    <t>TMO</t>
  </si>
  <si>
    <t>ACN</t>
  </si>
  <si>
    <t>SHAK</t>
  </si>
  <si>
    <t>MCD</t>
  </si>
  <si>
    <t>MTH</t>
  </si>
  <si>
    <t>SLYG</t>
  </si>
  <si>
    <t>ARKK</t>
  </si>
  <si>
    <t>DIS</t>
  </si>
  <si>
    <t>T</t>
  </si>
  <si>
    <t>TWLO</t>
  </si>
  <si>
    <t>YETI</t>
  </si>
  <si>
    <t>TTWO</t>
  </si>
  <si>
    <t>SPCE</t>
  </si>
  <si>
    <t>Ticker</t>
  </si>
  <si>
    <t>Close</t>
  </si>
  <si>
    <t>1Y Change</t>
  </si>
  <si>
    <t>3Y Change</t>
  </si>
  <si>
    <t>5Y Change</t>
  </si>
  <si>
    <t>ALGN</t>
  </si>
  <si>
    <t>Age (Inc.)</t>
  </si>
  <si>
    <t>1Y Start</t>
  </si>
  <si>
    <t>1Y End</t>
  </si>
  <si>
    <t>3Y Start</t>
  </si>
  <si>
    <t>3Y End</t>
  </si>
  <si>
    <t>5Y Start</t>
  </si>
  <si>
    <t>5Y End</t>
  </si>
  <si>
    <t>NIO</t>
  </si>
  <si>
    <t>Founded</t>
  </si>
  <si>
    <t>Name</t>
  </si>
  <si>
    <t>APPLE INC.</t>
  </si>
  <si>
    <t>ACCENTURE PUBLIC LIMITED COMPANY</t>
  </si>
  <si>
    <t>ADOBE INC.</t>
  </si>
  <si>
    <t>ALIGN TECHNOLOGY, INC.</t>
  </si>
  <si>
    <t>ADVANCED MICRO DEVICES, INC.</t>
  </si>
  <si>
    <t>AMAZON.COM, INC.</t>
  </si>
  <si>
    <t>ARK Innovation</t>
  </si>
  <si>
    <t>Broadcom Inc.</t>
  </si>
  <si>
    <t>COINBASE GLOBAL, INC.</t>
  </si>
  <si>
    <t>SALESFORCE.COM, INC.</t>
  </si>
  <si>
    <t>CROWDSTRIKE HOLDINGS, INC.</t>
  </si>
  <si>
    <t>DOORDASH, INC.</t>
  </si>
  <si>
    <t>THE WALT DISNEY COMPANY</t>
  </si>
  <si>
    <t>DOCUSIGN, INC.</t>
  </si>
  <si>
    <t>EQUIFAX INC.</t>
  </si>
  <si>
    <t>ETSY, INC.</t>
  </si>
  <si>
    <t>Meta Platforms, Inc.</t>
  </si>
  <si>
    <t>ALPHABET INC.</t>
  </si>
  <si>
    <t>THE HOME DEPOT, INC.</t>
  </si>
  <si>
    <t>INTUIT INC.</t>
  </si>
  <si>
    <t>iShares:Russ MC Gr</t>
  </si>
  <si>
    <t>JOHNSON &amp; JOHNSON</t>
  </si>
  <si>
    <t>LYFT, INC.</t>
  </si>
  <si>
    <t>MASTERCARD INCORPORATED.</t>
  </si>
  <si>
    <t>MCDONALD'S CORPORATION</t>
  </si>
  <si>
    <t>MONGODB, INC.</t>
  </si>
  <si>
    <t>MICROSOFT CORPORATION</t>
  </si>
  <si>
    <t>MERITAGE HOMES CORPORATION</t>
  </si>
  <si>
    <t>NETFLIX, INC.</t>
  </si>
  <si>
    <t>NIO INC.</t>
  </si>
  <si>
    <t>NIKE, INC.</t>
  </si>
  <si>
    <t>NVIDIA CORPORATION</t>
  </si>
  <si>
    <t>ON SEMICONDUCTOR CORPORATION</t>
  </si>
  <si>
    <t>THE PROCTER &amp; GAMBLE COMPANY</t>
  </si>
  <si>
    <t>PELOTON INTERACTIVE, INC.</t>
  </si>
  <si>
    <t>PAYPAL HOLDINGS, INC.</t>
  </si>
  <si>
    <t>QUALCOMM INCORPORATED</t>
  </si>
  <si>
    <t>Invesco QQQ Trust 1</t>
  </si>
  <si>
    <t>REGENERON PHARMACEUTICALS, INC.</t>
  </si>
  <si>
    <t>SHAKE SHACK INC.</t>
  </si>
  <si>
    <t>SHOPIFY INC.</t>
  </si>
  <si>
    <t>SPDR S&amp;P 600 Sm Cap Gro</t>
  </si>
  <si>
    <t>SNAP INC.</t>
  </si>
  <si>
    <t>Sony Group Corporation</t>
  </si>
  <si>
    <t>Virgin Galactic Holdings, Inc.</t>
  </si>
  <si>
    <t>Spotify Technology SA</t>
  </si>
  <si>
    <t>SPDR S&amp;P 500 ETF</t>
  </si>
  <si>
    <t>SPDR Ptf S&amp;P 500 Growth</t>
  </si>
  <si>
    <t>BLOCK, INC.</t>
  </si>
  <si>
    <t>AT&amp;T INC.</t>
  </si>
  <si>
    <t>TARGET CORPORATION</t>
  </si>
  <si>
    <t>THERMO FISHER SCIENTIFIC INC.</t>
  </si>
  <si>
    <t>TRANSUNION</t>
  </si>
  <si>
    <t>TESLA, INC.</t>
  </si>
  <si>
    <t>TAKE-TWO INTERACTIVE SOFTWARE, INC.</t>
  </si>
  <si>
    <t>TWILIO INC.</t>
  </si>
  <si>
    <t>TWITTER, INC.</t>
  </si>
  <si>
    <t>UBER TECHNOLOGIES, INC.</t>
  </si>
  <si>
    <t>UNITEDHEALTH GROUP INCORPORATED</t>
  </si>
  <si>
    <t>VISA INC.</t>
  </si>
  <si>
    <t>Vanguard 500 Idx;ETF</t>
  </si>
  <si>
    <t>Vanguard S&amp;P 500G;ETF</t>
  </si>
  <si>
    <t>Vanguard Gro Idx;ETF</t>
  </si>
  <si>
    <t>WALMART INC.</t>
  </si>
  <si>
    <t>YETI HOLDINGS, INC.</t>
  </si>
  <si>
    <t>ZENDESK, INC.</t>
  </si>
  <si>
    <t>ZILLOW GROUP, INC.</t>
  </si>
  <si>
    <t>ZOOM VIDEO COMMUNICATIONS, INC.</t>
  </si>
  <si>
    <t>EBAY</t>
  </si>
  <si>
    <t>BABA</t>
  </si>
  <si>
    <t>BLK</t>
  </si>
  <si>
    <t>PFE</t>
  </si>
  <si>
    <t>CVS</t>
  </si>
  <si>
    <t>DELL</t>
  </si>
  <si>
    <t>TXN</t>
  </si>
  <si>
    <t>KO</t>
  </si>
  <si>
    <t>IBM</t>
  </si>
  <si>
    <t>Alibaba Group Holding Limited</t>
  </si>
  <si>
    <t>BLACKROCK, INC.</t>
  </si>
  <si>
    <t>CVS HEALTH CORPORATION</t>
  </si>
  <si>
    <t>DELL TECHNOLOGIES INC.</t>
  </si>
  <si>
    <t>EBAY INC.</t>
  </si>
  <si>
    <t>THE COCA-COLA COMPANY</t>
  </si>
  <si>
    <t>PFIZER INC.</t>
  </si>
  <si>
    <t>TEXAS INSTRUMENTS INCORPORATED</t>
  </si>
  <si>
    <t>INTERNATIONAL BUSINESS MACHINES CORPORATION</t>
  </si>
  <si>
    <t>GLD</t>
  </si>
  <si>
    <t>FDX</t>
  </si>
  <si>
    <t>WOOF</t>
  </si>
  <si>
    <t>TLT</t>
  </si>
  <si>
    <t>BBY</t>
  </si>
  <si>
    <t>MU</t>
  </si>
  <si>
    <t>CRSR</t>
  </si>
  <si>
    <t>NOK</t>
  </si>
  <si>
    <t>XOP</t>
  </si>
  <si>
    <t>TSM</t>
  </si>
  <si>
    <t>DPZ</t>
  </si>
  <si>
    <t>CMG</t>
  </si>
  <si>
    <t>ULTA</t>
  </si>
  <si>
    <t>TM</t>
  </si>
  <si>
    <t>Best Buy Co., Inc.</t>
  </si>
  <si>
    <t>PETCO HEALTH AND WELLNESS COMPANY, INC.</t>
  </si>
  <si>
    <t>FEDEX CORPORATION</t>
  </si>
  <si>
    <t>SPDR Gold</t>
  </si>
  <si>
    <t>MICRON TECHNOLOGY, INC.</t>
  </si>
  <si>
    <t>CORSAIR GAMING, INC.</t>
  </si>
  <si>
    <t>SPDR S&amp;P Oil&amp;Gas Exp</t>
  </si>
  <si>
    <t>Taiwan Semiconductor Manufacturing Co., Ltd.</t>
  </si>
  <si>
    <t>DOMINO'S PIZZA, INC.</t>
  </si>
  <si>
    <t>ULTA BEAUTY, INC.</t>
  </si>
  <si>
    <t>TOYOTA MOTOR CORPORATION</t>
  </si>
  <si>
    <t>CHIPOTLE MEXICAN GRILL, INC.</t>
  </si>
  <si>
    <t>Nokia Corporation</t>
  </si>
  <si>
    <t>iShares:20+ Trs Bd ETF</t>
  </si>
  <si>
    <t>XOM</t>
  </si>
  <si>
    <t>EXXON MOBIL CORPORATION</t>
  </si>
  <si>
    <t>HIGH</t>
  </si>
  <si>
    <t>LOW</t>
  </si>
  <si>
    <t>AVG</t>
  </si>
  <si>
    <t>High</t>
  </si>
  <si>
    <t>Low</t>
  </si>
  <si>
    <t>Average</t>
  </si>
  <si>
    <t>TK Score</t>
  </si>
  <si>
    <t>TOT</t>
  </si>
  <si>
    <t>Total</t>
  </si>
  <si>
    <t>CAP</t>
  </si>
  <si>
    <t>Capital</t>
  </si>
  <si>
    <t>NUM</t>
  </si>
  <si>
    <t>Weight ($)</t>
  </si>
  <si>
    <t>Weight (%)</t>
  </si>
  <si>
    <t>Raw Score</t>
  </si>
  <si>
    <t>MED</t>
  </si>
  <si>
    <t>Median</t>
  </si>
  <si>
    <t>Raw Weight (%)</t>
  </si>
  <si>
    <t>Rating</t>
  </si>
  <si>
    <t>52Wk Lo</t>
  </si>
  <si>
    <t>52Wk Hi</t>
  </si>
  <si>
    <t>% Up</t>
  </si>
  <si>
    <t>CLOUDFLARE, INC.</t>
  </si>
  <si>
    <t>DATADOG, INC.</t>
  </si>
  <si>
    <t>NET</t>
  </si>
  <si>
    <t>DDOG</t>
  </si>
  <si>
    <t>P/E</t>
  </si>
  <si>
    <t>EV/EBITDA</t>
  </si>
  <si>
    <t>EPS</t>
  </si>
  <si>
    <t>EV</t>
  </si>
  <si>
    <t>EBITDA</t>
  </si>
  <si>
    <t>Mkt Cap (M)</t>
  </si>
  <si>
    <t>Data</t>
  </si>
  <si>
    <t>Market</t>
  </si>
  <si>
    <t>Quantity</t>
  </si>
  <si>
    <t>NYSE Arca</t>
  </si>
  <si>
    <t>Sector</t>
  </si>
  <si>
    <t>MANUFACTURING</t>
  </si>
  <si>
    <t>TECHNOLOGY</t>
  </si>
  <si>
    <t>TRADE &amp; SERVICES</t>
  </si>
  <si>
    <t>LIFE SCIENCES</t>
  </si>
  <si>
    <t>FINANCE</t>
  </si>
  <si>
    <t>REAL ESTATE &amp; CONSTRUCTION</t>
  </si>
  <si>
    <t>ENERGY &amp; TRANSPORTATION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</si>
</sst>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0.0000%"/>
    <numFmt numFmtId="165" formatCode="_([$$-409]* #,##0.00_);_([$$-409]* \(#,##0.00\);_([$$-409]* &quot;-&quot;??_);_(@_)"/>
    <numFmt numFmtId="166" formatCode="_([$$-409]* #,##0_);_([$$-409]* \(#,##0\);_([$$-409]* &quot;-&quot;_);_(@_)"/>
  </numFmts>
  <fonts count="6" x14ac:knownFonts="1">
    <font>
      <sz val="12"/>
      <color theme="1"/>
      <name val="Calibri"/>
      <family val="2"/>
      <scheme val="minor"/>
    </font>
    <font>
      <b/>
      <sz val="12"/>
      <color theme="1"/>
      <name val="Calibri"/>
      <family val="2"/>
      <scheme val="minor"/>
    </font>
    <font>
      <sz val="11"/>
      <color rgb="FF000000"/>
      <name val="Calibri"/>
      <family val="2"/>
      <scheme val="minor"/>
    </font>
    <font>
      <b/>
      <sz val="12"/>
      <color theme="0"/>
      <name val="Calibri"/>
      <family val="2"/>
      <scheme val="minor"/>
    </font>
    <font>
      <sz val="12"/>
      <color theme="1"/>
      <name val="Calibri"/>
      <family val="2"/>
      <scheme val="minor"/>
    </font>
    <font>
      <sz val="12"/>
      <color theme="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5"/>
        <bgColor indexed="64"/>
      </patternFill>
    </fill>
    <fill>
      <patternFill patternType="solid">
        <fgColor rgb="FF00B050"/>
        <bgColor indexed="64"/>
      </patternFill>
    </fill>
  </fills>
  <borders count="7">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44" fontId="4" fillId="0" borderId="0" applyFont="0" applyFill="0" applyBorder="0" applyAlignment="0" applyProtection="0"/>
    <xf numFmtId="9" fontId="4" fillId="0" borderId="0" applyFont="0" applyFill="0" applyBorder="0" applyAlignment="0" applyProtection="0"/>
  </cellStyleXfs>
  <cellXfs count="78">
    <xf numFmtId="0" fontId="0" fillId="0" borderId="0" xfId="0"/>
    <xf numFmtId="0" fontId="1" fillId="0" borderId="0" xfId="0" applyFont="1" applyAlignment="1">
      <alignment horizontal="center"/>
    </xf>
    <xf numFmtId="44" fontId="0" fillId="0" borderId="0" xfId="1" applyFont="1"/>
    <xf numFmtId="0" fontId="0" fillId="0" borderId="0" xfId="0" applyNumberFormat="1"/>
    <xf numFmtId="0" fontId="2" fillId="0" borderId="0" xfId="0" applyFont="1" applyFill="1" applyBorder="1"/>
    <xf numFmtId="0" fontId="3" fillId="2" borderId="1" xfId="0" applyFont="1" applyFill="1" applyBorder="1" applyAlignment="1">
      <alignment horizontal="center"/>
    </xf>
    <xf numFmtId="44" fontId="3" fillId="2" borderId="1" xfId="1" applyFont="1" applyFill="1" applyBorder="1" applyAlignment="1">
      <alignment horizontal="center"/>
    </xf>
    <xf numFmtId="0" fontId="3" fillId="2" borderId="1" xfId="0" applyNumberFormat="1" applyFont="1" applyFill="1" applyBorder="1" applyAlignment="1">
      <alignment horizontal="center"/>
    </xf>
    <xf numFmtId="44" fontId="1" fillId="0" borderId="1" xfId="1" applyFont="1" applyBorder="1" applyAlignment="1">
      <alignment horizontal="center"/>
    </xf>
    <xf numFmtId="0" fontId="0" fillId="3" borderId="3" xfId="0" applyFont="1" applyFill="1" applyBorder="1"/>
    <xf numFmtId="44" fontId="0" fillId="3" borderId="3" xfId="1" applyFont="1" applyFill="1" applyBorder="1"/>
    <xf numFmtId="0" fontId="5" fillId="2" borderId="3" xfId="0" applyFont="1" applyFill="1" applyBorder="1"/>
    <xf numFmtId="44" fontId="5" fillId="2" borderId="3" xfId="1" applyFont="1" applyFill="1" applyBorder="1"/>
    <xf numFmtId="0" fontId="1" fillId="3" borderId="2" xfId="0" applyFont="1" applyFill="1" applyBorder="1"/>
    <xf numFmtId="0" fontId="3" fillId="2" borderId="2" xfId="0" applyFont="1" applyFill="1" applyBorder="1"/>
    <xf numFmtId="0" fontId="0" fillId="0" borderId="0" xfId="1" applyNumberFormat="1" applyFont="1"/>
    <xf numFmtId="2" fontId="0" fillId="0" borderId="0" xfId="1" applyNumberFormat="1" applyFont="1"/>
    <xf numFmtId="2" fontId="3" fillId="2" borderId="1" xfId="1" applyNumberFormat="1" applyFont="1" applyFill="1" applyBorder="1" applyAlignment="1">
      <alignment horizontal="center"/>
    </xf>
    <xf numFmtId="2" fontId="0" fillId="3" borderId="3" xfId="2" applyNumberFormat="1" applyFont="1" applyFill="1" applyBorder="1"/>
    <xf numFmtId="2" fontId="5" fillId="2" borderId="3" xfId="1" applyNumberFormat="1" applyFont="1" applyFill="1" applyBorder="1"/>
    <xf numFmtId="0" fontId="0" fillId="4" borderId="5" xfId="0" applyFill="1" applyBorder="1"/>
    <xf numFmtId="0" fontId="0" fillId="4" borderId="1" xfId="0" applyFill="1" applyBorder="1"/>
    <xf numFmtId="0" fontId="1" fillId="4" borderId="2" xfId="0" applyFont="1" applyFill="1" applyBorder="1"/>
    <xf numFmtId="0" fontId="0" fillId="4" borderId="3" xfId="0" applyFill="1" applyBorder="1"/>
    <xf numFmtId="164" fontId="0" fillId="0" borderId="0" xfId="2" applyNumberFormat="1" applyFont="1"/>
    <xf numFmtId="10" fontId="3" fillId="2" borderId="1" xfId="2" applyNumberFormat="1" applyFont="1" applyFill="1" applyBorder="1" applyAlignment="1">
      <alignment horizontal="center"/>
    </xf>
    <xf numFmtId="164" fontId="3" fillId="2" borderId="1" xfId="2" applyNumberFormat="1" applyFont="1" applyFill="1" applyBorder="1" applyAlignment="1">
      <alignment horizontal="center"/>
    </xf>
    <xf numFmtId="164" fontId="0" fillId="3" borderId="3" xfId="2" applyNumberFormat="1" applyFont="1" applyFill="1" applyBorder="1"/>
    <xf numFmtId="164" fontId="5" fillId="2" borderId="3" xfId="2" applyNumberFormat="1" applyFont="1" applyFill="1" applyBorder="1"/>
    <xf numFmtId="0" fontId="3" fillId="3" borderId="2" xfId="0" applyFont="1" applyFill="1" applyBorder="1"/>
    <xf numFmtId="0" fontId="5" fillId="3" borderId="3" xfId="0" applyFont="1" applyFill="1" applyBorder="1"/>
    <xf numFmtId="44" fontId="5" fillId="3" borderId="3" xfId="1" applyFont="1" applyFill="1" applyBorder="1"/>
    <xf numFmtId="2" fontId="5" fillId="3" borderId="3" xfId="2" applyNumberFormat="1" applyFont="1" applyFill="1" applyBorder="1"/>
    <xf numFmtId="164" fontId="5" fillId="3" borderId="3" xfId="2" applyNumberFormat="1" applyFont="1" applyFill="1" applyBorder="1"/>
    <xf numFmtId="2" fontId="5" fillId="3" borderId="3" xfId="1" applyNumberFormat="1" applyFont="1" applyFill="1" applyBorder="1"/>
    <xf numFmtId="9" fontId="0" fillId="0" borderId="0" xfId="2" applyFont="1"/>
    <xf numFmtId="9" fontId="0" fillId="3" borderId="3" xfId="2" applyFont="1" applyFill="1" applyBorder="1"/>
    <xf numFmtId="9" fontId="5" fillId="3" borderId="3" xfId="2" applyFont="1" applyFill="1" applyBorder="1"/>
    <xf numFmtId="9" fontId="5" fillId="2" borderId="3" xfId="2" applyFont="1" applyFill="1" applyBorder="1"/>
    <xf numFmtId="0" fontId="0" fillId="0" borderId="0" xfId="0" applyBorder="1"/>
    <xf numFmtId="44" fontId="0" fillId="4" borderId="3" xfId="1" applyFont="1" applyFill="1" applyBorder="1"/>
    <xf numFmtId="44" fontId="0" fillId="4" borderId="1" xfId="1" applyFont="1" applyFill="1" applyBorder="1"/>
    <xf numFmtId="44" fontId="0" fillId="4" borderId="4" xfId="1" applyFont="1" applyFill="1" applyBorder="1"/>
    <xf numFmtId="10" fontId="0" fillId="3" borderId="3" xfId="2" applyNumberFormat="1" applyFont="1" applyFill="1" applyBorder="1"/>
    <xf numFmtId="10" fontId="5" fillId="3" borderId="3" xfId="2" applyNumberFormat="1" applyFont="1" applyFill="1" applyBorder="1"/>
    <xf numFmtId="10" fontId="5" fillId="2" borderId="3" xfId="2" applyNumberFormat="1" applyFont="1" applyFill="1" applyBorder="1"/>
    <xf numFmtId="10" fontId="0" fillId="0" borderId="0" xfId="2" applyNumberFormat="1" applyFont="1"/>
    <xf numFmtId="2" fontId="5" fillId="2" borderId="3" xfId="2" applyNumberFormat="1" applyFont="1" applyFill="1" applyBorder="1"/>
    <xf numFmtId="2" fontId="0" fillId="0" borderId="0" xfId="0" applyNumberFormat="1"/>
    <xf numFmtId="2" fontId="3" fillId="2" borderId="1" xfId="2" applyNumberFormat="1" applyFont="1" applyFill="1" applyBorder="1" applyAlignment="1">
      <alignment horizontal="center"/>
    </xf>
    <xf numFmtId="2" fontId="0" fillId="3" borderId="3" xfId="1" applyNumberFormat="1" applyFont="1" applyFill="1" applyBorder="1"/>
    <xf numFmtId="1" fontId="3" fillId="2" borderId="1" xfId="0" applyNumberFormat="1" applyFont="1" applyFill="1" applyBorder="1" applyAlignment="1">
      <alignment horizontal="center"/>
    </xf>
    <xf numFmtId="1" fontId="0" fillId="3" borderId="3" xfId="0" applyNumberFormat="1" applyFill="1" applyBorder="1"/>
    <xf numFmtId="1" fontId="5" fillId="3" borderId="3" xfId="0" applyNumberFormat="1" applyFont="1" applyFill="1" applyBorder="1"/>
    <xf numFmtId="1" fontId="5" fillId="3" borderId="3" xfId="1" applyNumberFormat="1" applyFont="1" applyFill="1" applyBorder="1"/>
    <xf numFmtId="1" fontId="5" fillId="2" borderId="3" xfId="1" applyNumberFormat="1" applyFont="1" applyFill="1" applyBorder="1"/>
    <xf numFmtId="1" fontId="0" fillId="0" borderId="0" xfId="1" applyNumberFormat="1" applyFont="1"/>
    <xf numFmtId="1" fontId="0" fillId="4" borderId="6" xfId="1" applyNumberFormat="1" applyFont="1" applyFill="1" applyBorder="1"/>
    <xf numFmtId="166" fontId="2" fillId="0" borderId="0" xfId="0" applyNumberFormat="1" applyFont="1" applyFill="1"/>
    <xf numFmtId="165" fontId="2" fillId="0" borderId="0" xfId="0" applyNumberFormat="1" applyFont="1" applyFill="1"/>
    <xf numFmtId="2" fontId="2" fillId="0" borderId="0" xfId="0" applyNumberFormat="1" applyFont="1" applyFill="1" applyBorder="1"/>
    <xf numFmtId="4" fontId="2" fillId="0" borderId="0" xfId="0" applyNumberFormat="1" applyFont="1" applyFill="1"/>
    <xf numFmtId="0" fontId="2" fillId="0" borderId="0" xfId="0" applyNumberFormat="1" applyFont="1" applyFill="1" applyBorder="1"/>
    <xf numFmtId="44" fontId="2" fillId="0" borderId="0" xfId="1" applyFont="1" applyFill="1"/>
    <xf numFmtId="10" fontId="2" fillId="0" borderId="0" xfId="2" applyNumberFormat="1" applyFont="1" applyFill="1"/>
    <xf numFmtId="1" fontId="2" fillId="0" borderId="0" xfId="0" applyNumberFormat="1" applyFont="1" applyFill="1" applyBorder="1"/>
    <xf numFmtId="44" fontId="0" fillId="0" borderId="0" xfId="1" applyFont="1" applyFill="1" applyBorder="1"/>
    <xf numFmtId="10" fontId="0" fillId="0" borderId="0" xfId="2" applyNumberFormat="1" applyFont="1" applyFill="1" applyBorder="1"/>
    <xf numFmtId="2" fontId="0" fillId="0" borderId="0" xfId="1" applyNumberFormat="1" applyFont="1" applyFill="1"/>
    <xf numFmtId="164" fontId="0" fillId="0" borderId="0" xfId="2" applyNumberFormat="1" applyFont="1" applyFill="1"/>
    <xf numFmtId="2" fontId="0" fillId="0" borderId="0" xfId="2" applyNumberFormat="1" applyFont="1" applyFill="1"/>
    <xf numFmtId="164" fontId="1" fillId="0" borderId="0" xfId="2" applyNumberFormat="1" applyFont="1" applyFill="1"/>
    <xf numFmtId="44" fontId="1" fillId="0" borderId="0" xfId="1" applyFont="1" applyFill="1"/>
    <xf numFmtId="2" fontId="2" fillId="0" borderId="0" xfId="0" applyNumberFormat="1" applyFont="1" applyFill="1"/>
    <xf numFmtId="0" fontId="2" fillId="0" borderId="0" xfId="0" applyFont="1" applyFill="1"/>
    <xf numFmtId="10" fontId="2" fillId="0" borderId="0" xfId="2" applyNumberFormat="1" applyFont="1" applyFill="1" applyBorder="1"/>
    <xf numFmtId="2" fontId="0" fillId="0" borderId="0" xfId="1" applyNumberFormat="1" applyFont="1" applyFill="1" applyBorder="1"/>
    <xf numFmtId="2" fontId="0" fillId="0" borderId="0" xfId="2" applyNumberFormat="1" applyFont="1" applyFill="1" applyBorder="1"/>
  </cellXfs>
  <cellStyles count="3">
    <cellStyle name="Currency" xfId="1" builtinId="4"/>
    <cellStyle name="Normal" xfId="0" builtinId="0"/>
    <cellStyle name="Percent" xfId="2" builtinId="5"/>
  </cellStyles>
  <dxfs count="36">
    <dxf>
      <font>
        <b val="0"/>
        <i val="0"/>
        <strike val="0"/>
        <condense val="0"/>
        <extend val="0"/>
        <outline val="0"/>
        <shadow val="0"/>
        <u val="none"/>
        <vertAlign val="baseline"/>
        <sz val="12"/>
        <color theme="1"/>
        <name val="Calibri"/>
        <family val="2"/>
        <scheme val="minor"/>
      </font>
      <numFmt numFmtId="34" formatCode="_(&quot;$&quot;* #,##0.00_);_(&quot;$&quot;* \(#,##0.00\);_(&quot;$&quot;* &quot;-&quot;??_);_(@_)"/>
      <fill>
        <patternFill patternType="none">
          <bgColor auto="1"/>
        </patternFill>
      </fill>
    </dxf>
    <dxf>
      <font>
        <b val="0"/>
        <i val="0"/>
        <strike val="0"/>
        <condense val="0"/>
        <extend val="0"/>
        <outline val="0"/>
        <shadow val="0"/>
        <u val="none"/>
        <vertAlign val="baseline"/>
        <sz val="12"/>
        <color theme="1"/>
        <name val="Calibri"/>
        <family val="2"/>
        <scheme val="minor"/>
      </font>
      <numFmt numFmtId="34" formatCode="_(&quot;$&quot;* #,##0.00_);_(&quot;$&quot;* \(#,##0.00\);_(&quot;$&quot;* &quot;-&quot;??_);_(@_)"/>
      <fill>
        <patternFill patternType="none">
          <bgColor auto="1"/>
        </patternFill>
      </fill>
    </dxf>
    <dxf>
      <font>
        <b val="0"/>
        <i val="0"/>
        <strike val="0"/>
        <condense val="0"/>
        <extend val="0"/>
        <outline val="0"/>
        <shadow val="0"/>
        <u val="none"/>
        <vertAlign val="baseline"/>
        <sz val="12"/>
        <color theme="1"/>
        <name val="Calibri"/>
        <family val="2"/>
        <scheme val="minor"/>
      </font>
      <numFmt numFmtId="34" formatCode="_(&quot;$&quot;* #,##0.00_);_(&quot;$&quot;* \(#,##0.00\);_(&quot;$&quot;* &quot;-&quot;??_);_(@_)"/>
      <fill>
        <patternFill patternType="none">
          <bgColor auto="1"/>
        </patternFill>
      </fill>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dxf>
    <dxf>
      <fill>
        <patternFill patternType="none">
          <bgColor auto="1"/>
        </patternFill>
      </fill>
    </dxf>
    <dxf>
      <font>
        <b/>
        <family val="2"/>
      </font>
      <fill>
        <patternFill patternType="none">
          <bgColor auto="1"/>
        </patternFill>
      </fill>
    </dxf>
    <dxf>
      <font>
        <b/>
        <i val="0"/>
        <strike val="0"/>
        <condense val="0"/>
        <extend val="0"/>
        <outline val="0"/>
        <shadow val="0"/>
        <u val="none"/>
        <vertAlign val="baseline"/>
        <sz val="12"/>
        <color theme="1"/>
        <name val="Calibri"/>
        <family val="2"/>
        <scheme val="minor"/>
      </font>
      <numFmt numFmtId="164" formatCode="0.0000%"/>
      <fill>
        <patternFill patternType="none">
          <bgColor auto="1"/>
        </patternFill>
      </fill>
    </dxf>
    <dxf>
      <font>
        <b val="0"/>
        <i val="0"/>
        <strike val="0"/>
        <condense val="0"/>
        <extend val="0"/>
        <outline val="0"/>
        <shadow val="0"/>
        <u val="none"/>
        <vertAlign val="baseline"/>
        <sz val="12"/>
        <color theme="1"/>
        <name val="Calibri"/>
        <family val="2"/>
        <scheme val="minor"/>
      </font>
      <numFmt numFmtId="2" formatCode="0.00"/>
      <fill>
        <patternFill patternType="none">
          <bgColor auto="1"/>
        </patternFill>
      </fill>
    </dxf>
    <dxf>
      <font>
        <b val="0"/>
        <i val="0"/>
        <strike val="0"/>
        <condense val="0"/>
        <extend val="0"/>
        <outline val="0"/>
        <shadow val="0"/>
        <u val="none"/>
        <vertAlign val="baseline"/>
        <sz val="12"/>
        <color theme="1"/>
        <name val="Calibri"/>
        <family val="2"/>
        <scheme val="minor"/>
      </font>
      <numFmt numFmtId="2" formatCode="0.00"/>
      <fill>
        <patternFill patternType="none">
          <bgColor auto="1"/>
        </patternFill>
      </fill>
    </dxf>
    <dxf>
      <font>
        <b val="0"/>
        <i val="0"/>
        <strike val="0"/>
        <condense val="0"/>
        <extend val="0"/>
        <outline val="0"/>
        <shadow val="0"/>
        <u val="none"/>
        <vertAlign val="baseline"/>
        <sz val="12"/>
        <color theme="1"/>
        <name val="Calibri"/>
        <family val="2"/>
        <scheme val="minor"/>
      </font>
      <numFmt numFmtId="164" formatCode="0.0000%"/>
      <fill>
        <patternFill patternType="none">
          <bgColor auto="1"/>
        </patternFill>
      </fill>
    </dxf>
    <dxf>
      <font>
        <b val="0"/>
        <i val="0"/>
        <strike val="0"/>
        <condense val="0"/>
        <extend val="0"/>
        <outline val="0"/>
        <shadow val="0"/>
        <u val="none"/>
        <vertAlign val="baseline"/>
        <sz val="12"/>
        <color theme="1"/>
        <name val="Calibri"/>
        <family val="2"/>
        <scheme val="minor"/>
      </font>
      <numFmt numFmtId="2" formatCode="0.00"/>
      <fill>
        <patternFill patternType="none">
          <bgColor auto="1"/>
        </patternFill>
      </fill>
    </dxf>
    <dxf>
      <font>
        <b val="0"/>
        <i val="0"/>
        <strike val="0"/>
        <condense val="0"/>
        <extend val="0"/>
        <outline val="0"/>
        <shadow val="0"/>
        <u val="none"/>
        <vertAlign val="baseline"/>
        <sz val="12"/>
        <color theme="1"/>
        <name val="Calibri"/>
        <family val="2"/>
        <scheme val="minor"/>
      </font>
      <numFmt numFmtId="14" formatCode="0.00%"/>
      <fill>
        <patternFill patternType="none">
          <bgColor auto="1"/>
        </patternFill>
      </fill>
    </dxf>
    <dxf>
      <font>
        <b val="0"/>
        <i val="0"/>
        <strike val="0"/>
        <condense val="0"/>
        <extend val="0"/>
        <outline val="0"/>
        <shadow val="0"/>
        <u val="none"/>
        <vertAlign val="baseline"/>
        <sz val="12"/>
        <color theme="1"/>
        <name val="Calibri"/>
        <family val="2"/>
        <scheme val="minor"/>
      </font>
      <fill>
        <patternFill patternType="none">
          <bgColor auto="1"/>
        </patternFill>
      </fill>
    </dxf>
    <dxf>
      <font>
        <b val="0"/>
        <i val="0"/>
        <strike val="0"/>
        <condense val="0"/>
        <extend val="0"/>
        <outline val="0"/>
        <shadow val="0"/>
        <u val="none"/>
        <vertAlign val="baseline"/>
        <sz val="12"/>
        <color theme="1"/>
        <name val="Calibri"/>
        <family val="2"/>
        <scheme val="minor"/>
      </font>
      <numFmt numFmtId="14" formatCode="0.00%"/>
      <fill>
        <patternFill patternType="none">
          <bgColor auto="1"/>
        </patternFill>
      </fill>
    </dxf>
    <dxf>
      <font>
        <b val="0"/>
        <i val="0"/>
        <strike val="0"/>
        <condense val="0"/>
        <extend val="0"/>
        <outline val="0"/>
        <shadow val="0"/>
        <u val="none"/>
        <vertAlign val="baseline"/>
        <sz val="12"/>
        <color theme="1"/>
        <name val="Calibri"/>
        <family val="2"/>
        <scheme val="minor"/>
      </font>
      <fill>
        <patternFill patternType="none">
          <bgColor auto="1"/>
        </patternFill>
      </fill>
    </dxf>
    <dxf>
      <font>
        <b val="0"/>
        <i val="0"/>
        <strike val="0"/>
        <condense val="0"/>
        <extend val="0"/>
        <outline val="0"/>
        <shadow val="0"/>
        <u val="none"/>
        <vertAlign val="baseline"/>
        <sz val="12"/>
        <color theme="1"/>
        <name val="Calibri"/>
        <family val="2"/>
        <scheme val="minor"/>
      </font>
      <numFmt numFmtId="14" formatCode="0.00%"/>
      <fill>
        <patternFill patternType="none">
          <bgColor auto="1"/>
        </patternFill>
      </fill>
    </dxf>
    <dxf>
      <font>
        <b val="0"/>
        <i val="0"/>
        <strike val="0"/>
        <condense val="0"/>
        <extend val="0"/>
        <outline val="0"/>
        <shadow val="0"/>
        <u val="none"/>
        <vertAlign val="baseline"/>
        <sz val="12"/>
        <color theme="1"/>
        <name val="Calibri"/>
        <family val="2"/>
        <scheme val="minor"/>
      </font>
      <fill>
        <patternFill patternType="none">
          <bgColor auto="1"/>
        </patternFill>
      </fill>
    </dxf>
    <dxf>
      <font>
        <b val="0"/>
        <i val="0"/>
        <strike val="0"/>
        <condense val="0"/>
        <extend val="0"/>
        <outline val="0"/>
        <shadow val="0"/>
        <u val="none"/>
        <vertAlign val="baseline"/>
        <sz val="11"/>
        <color rgb="FF000000"/>
        <name val="Calibri"/>
        <family val="2"/>
        <scheme val="minor"/>
      </font>
      <numFmt numFmtId="1" formatCode="0"/>
      <fill>
        <patternFill patternType="none">
          <bgColor auto="1"/>
        </patternFill>
      </fill>
    </dxf>
    <dxf>
      <font>
        <b val="0"/>
        <i val="0"/>
        <strike val="0"/>
        <condense val="0"/>
        <extend val="0"/>
        <outline val="0"/>
        <shadow val="0"/>
        <u val="none"/>
        <vertAlign val="baseline"/>
        <sz val="11"/>
        <color rgb="FF000000"/>
        <name val="Calibri"/>
        <family val="2"/>
        <scheme val="minor"/>
      </font>
      <numFmt numFmtId="1" formatCode="0"/>
      <fill>
        <patternFill patternType="none">
          <bgColor auto="1"/>
        </patternFill>
      </fill>
    </dxf>
    <dxf>
      <font>
        <b val="0"/>
        <i val="0"/>
        <strike val="0"/>
        <condense val="0"/>
        <extend val="0"/>
        <outline val="0"/>
        <shadow val="0"/>
        <u val="none"/>
        <vertAlign val="baseline"/>
        <sz val="11"/>
        <color rgb="FF000000"/>
        <name val="Calibri"/>
        <family val="2"/>
        <scheme val="minor"/>
      </font>
      <numFmt numFmtId="14" formatCode="0.00%"/>
      <fill>
        <patternFill patternType="none">
          <bgColor auto="1"/>
        </patternFill>
      </fill>
    </dxf>
    <dxf>
      <fill>
        <patternFill patternType="none">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minor"/>
      </font>
      <numFmt numFmtId="0" formatCode="General"/>
      <fill>
        <patternFill patternType="none">
          <bgColor auto="1"/>
        </patternFill>
      </fill>
    </dxf>
    <dxf>
      <font>
        <b val="0"/>
        <i val="0"/>
        <strike val="0"/>
        <condense val="0"/>
        <extend val="0"/>
        <outline val="0"/>
        <shadow val="0"/>
        <u val="none"/>
        <vertAlign val="baseline"/>
        <sz val="11"/>
        <color rgb="FF000000"/>
        <name val="Calibri"/>
        <family val="2"/>
        <scheme val="minor"/>
      </font>
      <numFmt numFmtId="0" formatCode="General"/>
      <fill>
        <patternFill patternType="none">
          <bgColor auto="1"/>
        </patternFill>
      </fill>
    </dxf>
    <dxf>
      <font>
        <b val="0"/>
        <i val="0"/>
        <strike val="0"/>
        <condense val="0"/>
        <extend val="0"/>
        <outline val="0"/>
        <shadow val="0"/>
        <u val="none"/>
        <vertAlign val="baseline"/>
        <sz val="11"/>
        <color rgb="FF000000"/>
        <name val="Calibri"/>
        <family val="2"/>
        <scheme val="minor"/>
      </font>
      <numFmt numFmtId="0" formatCode="General"/>
      <fill>
        <patternFill patternType="none">
          <bgColor auto="1"/>
        </patternFill>
      </fill>
    </dxf>
    <dxf>
      <numFmt numFmtId="4" formatCode="#,##0.00"/>
      <fill>
        <patternFill patternType="none">
          <bgColor auto="1"/>
        </patternFill>
      </fill>
    </dxf>
    <dxf>
      <font>
        <b val="0"/>
        <i val="0"/>
        <strike val="0"/>
        <condense val="0"/>
        <extend val="0"/>
        <outline val="0"/>
        <shadow val="0"/>
        <u val="none"/>
        <vertAlign val="baseline"/>
        <sz val="11"/>
        <color rgb="FF000000"/>
        <name val="Calibri"/>
        <family val="2"/>
        <scheme val="minor"/>
      </font>
      <numFmt numFmtId="2" formatCode="0.00"/>
      <fill>
        <patternFill patternType="none">
          <bgColor auto="1"/>
        </patternFill>
      </fill>
    </dxf>
    <dxf>
      <fill>
        <patternFill patternType="none">
          <bgColor auto="1"/>
        </patternFill>
      </fill>
    </dxf>
    <dxf>
      <numFmt numFmtId="166" formatCode="_([$$-409]* #,##0_);_([$$-409]* \(#,##0\);_([$$-409]* &quot;-&quot;_);_(@_)"/>
      <fill>
        <patternFill patternType="none">
          <bgColor auto="1"/>
        </patternFill>
      </fill>
    </dxf>
    <dxf>
      <font>
        <b val="0"/>
        <i val="0"/>
        <strike val="0"/>
        <condense val="0"/>
        <extend val="0"/>
        <outline val="0"/>
        <shadow val="0"/>
        <u val="none"/>
        <vertAlign val="baseline"/>
        <sz val="11"/>
        <color rgb="FF000000"/>
        <name val="Calibri"/>
        <family val="2"/>
        <scheme val="minor"/>
      </font>
      <numFmt numFmtId="0" formatCode="General"/>
      <fill>
        <patternFill patternType="none">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minor"/>
      </font>
      <fill>
        <patternFill patternType="none">
          <bgColor auto="1"/>
        </patternFill>
      </fill>
    </dxf>
    <dxf>
      <font>
        <b val="0"/>
        <i val="0"/>
        <strike val="0"/>
        <condense val="0"/>
        <extend val="0"/>
        <outline val="0"/>
        <shadow val="0"/>
        <u val="none"/>
        <vertAlign val="baseline"/>
        <sz val="11"/>
        <color rgb="FF000000"/>
        <name val="Calibri"/>
        <family val="2"/>
        <scheme val="minor"/>
      </font>
      <fill>
        <patternFill patternType="none">
          <bgColor auto="1"/>
        </patternFill>
      </fill>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16">
  <rv s="0">
    <v>https://www.bing.com/financeapi/forcetrigger?t=a1mou2&amp;q=XNAS%3aAAPL&amp;form=skydnc</v>
    <v>Learn more on Bing</v>
  </rv>
  <rv s="1">
    <v>en-US</v>
    <v>a1mou2</v>
    <v>268435456</v>
    <v>1</v>
    <v>Powered by Refinitiv</v>
    <v>0</v>
    <v>APPLE INC. (XNAS:AAPL)</v>
    <v>2</v>
    <v>3</v>
    <v>Finance</v>
    <v>4</v>
    <v>182.94</v>
    <v>122.25</v>
    <v>1.1956</v>
    <v>-5.22</v>
    <v>3.8800000000000002E-3</v>
    <v>-3.3189000000000003E-2</v>
    <v>0.59</v>
    <v>USD</v>
    <v>Apple Inc. designs, manufactures and markets smartphones, personal computers, tablets, wearables and accessories, and sells a variety of related services. The Company’s products include iPhone, Mac, iPad, and Wearables, Home and Accessories. iPhone is the Company’s line of smartphones based on its iOS operating system. Mac is the Company’s line of personal computers based on its macOS operating system. iPad is the Company’s line of multi-purpose tablets based on its iPadOS operating system. Wearables, Home and Accessories includes AirPods, Apple TV, Apple Watch, Beats products, HomePod, iPod touch and other Apple-branded and third-party accessories. AirPods are the Company’s wireless headphones that interact with Siri. Apple Watch is the Company’s line of smart watches. Its services include Advertising, AppleCare, Cloud Services, Digital Content and Payment Services. Its customers are primarily in the consumer, small and mid-sized business, education, enterprise and government markets.</v>
    <v>154000</v>
    <v>Nasdaq Stock Market</v>
    <v>XNAS</v>
    <v>XNAS</v>
    <v>1 Apple Park Way, CUPERTINO, CA, 95014-0642 US</v>
    <v>155.83000000000001</v>
    <v>Computers, Phones &amp; Household Electronics</v>
    <v>Stock</v>
    <v>44690.999942777344</v>
    <v>0</v>
    <v>151.49</v>
    <v>2461118470800</v>
    <v>APPLE INC.</v>
    <v>APPLE INC.</v>
    <v>154.92500000000001</v>
    <v>25.565200000000001</v>
    <v>157.28</v>
    <v>152.06</v>
    <v>152.65</v>
    <v>16185180000</v>
    <v>AAPL</v>
    <v>APPLE INC. (XNAS:AAPL)</v>
    <v>131577921</v>
    <v>90192056</v>
    <v>1977</v>
  </rv>
  <rv s="2">
    <v>1</v>
  </rv>
  <rv s="0">
    <v>https://www.bing.com/financeapi/forcetrigger?t=a1mthw&amp;q=XNYS%3aACN&amp;form=skydnc</v>
    <v>Learn more on Bing</v>
  </rv>
  <rv s="1">
    <v>en-US</v>
    <v>a1mthw</v>
    <v>268435456</v>
    <v>1</v>
    <v>Powered by Refinitiv</v>
    <v>0</v>
    <v>ACCENTURE PUBLIC LIMITED COMPANY (XNYS:ACN)</v>
    <v>2</v>
    <v>3</v>
    <v>Finance</v>
    <v>4</v>
    <v>417.37</v>
    <v>276.88</v>
    <v>1.2410000000000001</v>
    <v>-8.25</v>
    <v>4.0000000000000001E-3</v>
    <v>-2.7896000000000001E-2</v>
    <v>1.1499999999999999</v>
    <v>USD</v>
    <v>Accenture plc is a professional services company, providing a range of services in strategy and consulting, interactive, technology and operations. It also provides network engineering, operations and services. Its segments include Communications, Media and Technology; Financial Services; Health and Public Service; Products, and Resources. The Communications, Media &amp; Technology segment serves communications, electronics, technology, media and entertainment industries. The Financial Services segment serves banking, capital markets and insurance industries. The Health &amp; Public service segment serves healthcare payers and providers, and government departments and agencies, public service organizations, educational institutions and non-profit organizations. The Resources segment serves chemicals, energy, forest products, metals and mining, utilities and related industries. It offers digital advertising services. It also provides companies with content creation production and distribution.</v>
    <v>624000</v>
    <v>New York Stock Exchange</v>
    <v>XNYS</v>
    <v>XNYS</v>
    <v>1 Grand Canal Square, Grand Canal Harbour, Dublin 2, DUBLIN, DUBLIN IE</v>
    <v>292.49</v>
    <v>Software &amp; IT Services</v>
    <v>Stock</v>
    <v>44690.988541943749</v>
    <v>3</v>
    <v>285.86</v>
    <v>190443236907</v>
    <v>ACCENTURE PUBLIC LIMITED COMPANY</v>
    <v>ACCENTURE PUBLIC LIMITED COMPANY</v>
    <v>290.66000000000003</v>
    <v>29.8049</v>
    <v>295.74</v>
    <v>287.49</v>
    <v>288.64</v>
    <v>662434300</v>
    <v>ACN</v>
    <v>ACCENTURE PUBLIC LIMITED COMPANY (XNYS:ACN)</v>
    <v>2584159</v>
    <v>2252908</v>
    <v>2009</v>
  </rv>
  <rv s="2">
    <v>4</v>
  </rv>
  <rv s="0">
    <v>http://en.wikipedia.org/wiki/Public_domain</v>
    <v>Public domain</v>
  </rv>
  <rv s="0">
    <v>http://es.wikipedia.org/wiki/Adobe_(empresa)</v>
    <v>Wikipedia</v>
  </rv>
  <rv s="3">
    <v>6</v>
    <v>7</v>
  </rv>
  <rv s="4">
    <v>9</v>
    <v>https://www.bing.com/th?id=AMMS_503c684ccc667ad525fe1d703881df2c&amp;qlt=95</v>
    <v>8</v>
    <v>0</v>
    <v>https://www.bing.com/images/search?form=xlimg&amp;q=adobe+systems</v>
    <v>Image of ADOBE INC.</v>
  </rv>
  <rv s="0">
    <v>https://www.bing.com/financeapi/forcetrigger?t=a1mv7w&amp;q=XNAS%3aADBE&amp;form=skydnc</v>
    <v>Learn more on Bing</v>
  </rv>
  <rv s="5">
    <v>en-US</v>
    <v>a1mv7w</v>
    <v>268435456</v>
    <v>1</v>
    <v>Powered by Refinitiv</v>
    <v>5</v>
    <v>ADOBE INC. (XNAS:ADBE)</v>
    <v>7</v>
    <v>8</v>
    <v>Finance</v>
    <v>4</v>
    <v>699.54</v>
    <v>374.86</v>
    <v>1.0871999999999999</v>
    <v>-14.1</v>
    <v>6.3680000000000004E-3</v>
    <v>-3.6060000000000002E-2</v>
    <v>2.4</v>
    <v>USD</v>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v>25988</v>
    <v>Nasdaq Stock Market</v>
    <v>XNAS</v>
    <v>XNAS</v>
    <v>345 PARK AVE, SAN JOSE, CA, 95110-2704 US</v>
    <v>389.62709999999998</v>
    <v>9</v>
    <v>Software &amp; IT Services</v>
    <v>Stock</v>
    <v>44690.999791967188</v>
    <v>10</v>
    <v>374.86</v>
    <v>178089975000</v>
    <v>ADOBE INC.</v>
    <v>ADOBE INC.</v>
    <v>381.95</v>
    <v>38.834600000000002</v>
    <v>391.01</v>
    <v>376.91</v>
    <v>379.31</v>
    <v>472500000</v>
    <v>ADBE</v>
    <v>ADOBE INC. (XNAS:ADBE)</v>
    <v>4324888</v>
    <v>2821207</v>
    <v>1997</v>
  </rv>
  <rv s="2">
    <v>11</v>
  </rv>
  <rv s="0">
    <v>https://www.bing.com/financeapi/forcetrigger?t=a1na6h&amp;q=XNAS%3aALGN&amp;form=skydnc</v>
    <v>Learn more on Bing</v>
  </rv>
  <rv s="1">
    <v>en-US</v>
    <v>a1na6h</v>
    <v>268435456</v>
    <v>1</v>
    <v>Powered by Refinitiv</v>
    <v>0</v>
    <v>ALIGN TECHNOLOGY, INC. (XNAS:ALGN)</v>
    <v>2</v>
    <v>3</v>
    <v>Finance</v>
    <v>4</v>
    <v>737.452</v>
    <v>265.3</v>
    <v>1.7644</v>
    <v>-11.45</v>
    <v>7.5849999999999997E-3</v>
    <v>-4.0833000000000001E-2</v>
    <v>2.04</v>
    <v>USD</v>
    <v>Align Technology, Inc. is a global medical device company. The Company is engaged in the design, manufacture and marketing of Invisalign clear aligners, iTero intraoral scanners and services for dentistry, and exocad computer-aided design and computer-aided manufacturing (CAD/CAM) software for dental laboratories and dental practitioners. It operates through two segments: Clear Aligner, and Systems and Services. Its Clear Aligner segment consists of Comprehensive Products, which includes Invisalign Comprehensive and Invisalign First; Non-Comprehensive Products, which includes Invisalign Moderate, Lite and Express packages and Invisalign Go and Invisalign Go Plus, and Non-Case products, which include retention products, Invisalign training, adjusting tools used by dental professionals during the course of treatment and consumer products that are complementary to its doctor-prescribed principal products. Its Systems and Services segment consists of its iTero intraoral scanning systems.</v>
    <v>22540</v>
    <v>Nasdaq Stock Market</v>
    <v>XNAS</v>
    <v>XNAS</v>
    <v>410 NORTH SCOTTSDALE ROAD, SUITE 1300, TEMPE, AZ, 85281 US</v>
    <v>277.67</v>
    <v>Healthcare Equipment &amp; Supplies</v>
    <v>Stock</v>
    <v>44690.998672395312</v>
    <v>13</v>
    <v>265.3</v>
    <v>21195540728</v>
    <v>ALIGN TECHNOLOGY, INC.</v>
    <v>ALIGN TECHNOLOGY, INC.</v>
    <v>274.22000000000003</v>
    <v>31.5883</v>
    <v>280.41000000000003</v>
    <v>268.95999999999998</v>
    <v>271</v>
    <v>78805550</v>
    <v>ALGN</v>
    <v>ALIGN TECHNOLOGY, INC. (XNAS:ALGN)</v>
    <v>1308104</v>
    <v>1035858</v>
    <v>1997</v>
  </rv>
  <rv s="2">
    <v>14</v>
  </rv>
  <rv s="0">
    <v>https://www.bing.com/financeapi/forcetrigger?t=a1ndww&amp;q=XNAS%3aAMD&amp;form=skydnc</v>
    <v>Learn more on Bing</v>
  </rv>
  <rv s="1">
    <v>en-US</v>
    <v>a1ndww</v>
    <v>268435456</v>
    <v>1</v>
    <v>Powered by Refinitiv</v>
    <v>0</v>
    <v>ADVANCED MICRO DEVICES, INC. (XNAS:AMD)</v>
    <v>2</v>
    <v>3</v>
    <v>Finance</v>
    <v>4</v>
    <v>164.4599</v>
    <v>72.5</v>
    <v>1.8606</v>
    <v>-8.98</v>
    <v>-1.9689999999999998E-3</v>
    <v>-9.4189000000000009E-2</v>
    <v>-0.17</v>
    <v>USD</v>
    <v>Advanced Micro Devices, Inc. is a global semiconductor company. Its segments include Computing and Graphics, and Enterprise, Embedded and Semi-Custom. The Computing and Graphics segment primarily includes desktop and notebook microprocessors, accelerated processing units that integrate microprocessors and graphics, chipsets, discrete graphics processing units (GPUs), data center and professional GPUs, and development services. It may also sell or license portions of its intellectual property (IP) portfolio. The Enterprise, Embedded and Semi-Custom segment primarily includes server and embedded processors, semi-custom system-on-chip (SoC) products, development services, and technology for game consoles, and it may also sell or license portions of its IP portfolio. Its microprocessor customers consist primarily of original equipment manufacturers (OEMs), large public cloud service providers, original design manufacturers (ODMs), system integrators, and independent distributors.</v>
    <v>15500</v>
    <v>Nasdaq Stock Market</v>
    <v>XNAS</v>
    <v>XNAS</v>
    <v>2485 Augustine Dr, SANTA CLARA, CA, 95054-3002 US</v>
    <v>93.74</v>
    <v>Semiconductors &amp; Semiconductor Equipment</v>
    <v>Stock</v>
    <v>44690.999974328122</v>
    <v>16</v>
    <v>85.38</v>
    <v>139947070880</v>
    <v>ADVANCED MICRO DEVICES, INC.</v>
    <v>ADVANCED MICRO DEVICES, INC.</v>
    <v>92.864999999999995</v>
    <v>35.5672</v>
    <v>95.34</v>
    <v>86.36</v>
    <v>86.19</v>
    <v>1620508000</v>
    <v>AMD</v>
    <v>ADVANCED MICRO DEVICES, INC. (XNAS:AMD)</v>
    <v>144523668</v>
    <v>98664413</v>
    <v>1969</v>
  </rv>
  <rv s="2">
    <v>17</v>
  </rv>
  <rv s="0">
    <v>https://www.bing.com/financeapi/forcetrigger?t=a1nhlh&amp;q=XNAS%3aAMZN&amp;form=skydnc</v>
    <v>Learn more on Bing</v>
  </rv>
  <rv s="1">
    <v>en-US</v>
    <v>a1nhlh</v>
    <v>268435456</v>
    <v>1</v>
    <v>Powered by Refinitiv</v>
    <v>0</v>
    <v>AMAZON.COM, INC. (XNAS:AMZN)</v>
    <v>2</v>
    <v>3</v>
    <v>Finance</v>
    <v>4</v>
    <v>3773.0781999999999</v>
    <v>2159.14</v>
    <v>1.2392000000000001</v>
    <v>-119.67</v>
    <v>-1.2780000000000001E-3</v>
    <v>-5.2134E-2</v>
    <v>-2.78</v>
    <v>USD</v>
    <v>Amazon.com, Inc. provides a range of products and services to customers. The products offered through its stores include merchandise and content that it purchased for resale and products offered by third-party sellers. It also manufactures and sells electronic devices, including Kindle, Fire tablet, Fire TV, Echo, and Ring, and it develops and produces media content. It operates through three segments: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It serves consumers through its online and physical stores. Customers access its offerings through websites, mobile applications, Alexa, devices, streaming, and physically visiting its stores.</v>
    <v>1608000</v>
    <v>Nasdaq Stock Market</v>
    <v>XNAS</v>
    <v>XNAS</v>
    <v>410 Terry Ave N, SEATTLE, WA, 98109-5210 US</v>
    <v>2280</v>
    <v>Diversified Retail</v>
    <v>Stock</v>
    <v>44690.999989930468</v>
    <v>19</v>
    <v>2159.14</v>
    <v>1167742000000</v>
    <v>AMAZON.COM, INC.</v>
    <v>AMAZON.COM, INC.</v>
    <v>2226.25</v>
    <v>55.500599999999999</v>
    <v>2295.4499999999998</v>
    <v>2175.7800000000002</v>
    <v>2173</v>
    <v>508720500</v>
    <v>AMZN</v>
    <v>AMAZON.COM, INC. (XNAS:AMZN)</v>
    <v>6406219</v>
    <v>4144910</v>
    <v>1996</v>
  </rv>
  <rv s="2">
    <v>20</v>
  </rv>
  <rv s="0">
    <v>https://www.bing.com/financeapi/forcetrigger?t=a1nq6h&amp;q=ARCX%3aARKK&amp;form=skydnc</v>
    <v>Learn more on Bing</v>
  </rv>
  <rv s="6">
    <v>en-US</v>
    <v>a1nq6h</v>
    <v>268435456</v>
    <v>1</v>
    <v>Powered by Refinitiv</v>
    <v>10</v>
    <v>ARK Innovation (ARCX:ARKK)</v>
    <v>11</v>
    <v>12</v>
    <v>Finance</v>
    <v>13</v>
    <v>132.5</v>
    <v>40.755000000000003</v>
    <v>1.6932</v>
    <v>-4.5</v>
    <v>4.8630000000000001E-3</v>
    <v>-9.8618999999999998E-2</v>
    <v>0.2</v>
    <v>USD</v>
    <v>NYSE Arca</v>
    <v>ARCX</v>
    <v>7.4999999999999997E-3</v>
    <v>44.975000000000001</v>
    <v>ETF</v>
    <v>44691.000000624997</v>
    <v>22</v>
    <v>40.755000000000003</v>
    <v>8840234508.1870003</v>
    <v>ARK Innovation</v>
    <v>44.12</v>
    <v>45.63</v>
    <v>41.13</v>
    <v>41.33</v>
    <v>ARKK</v>
    <v>ARK Innovation (ARCX:ARKK)</v>
    <v>43539567</v>
    <v>26231796</v>
  </rv>
  <rv s="2">
    <v>23</v>
  </rv>
  <rv s="7">
    <v>12</v>
    <v>1</v>
  </rv>
  <rv s="8">
    <v>12</v>
    <v>P/E</v>
    <v>0</v>
  </rv>
  <rv s="0">
    <v>https://www.bing.com/financeapi/forcetrigger?t=a1nz8m&amp;q=XNAS%3aAVGO&amp;form=skydnc</v>
    <v>Learn more on Bing</v>
  </rv>
  <rv s="1">
    <v>en-US</v>
    <v>a1nz8m</v>
    <v>268435456</v>
    <v>1</v>
    <v>Powered by Refinitiv</v>
    <v>0</v>
    <v>Broadcom Inc. (XNAS:AVGO)</v>
    <v>2</v>
    <v>3</v>
    <v>Finance</v>
    <v>4</v>
    <v>677.76</v>
    <v>419.14</v>
    <v>1.0509999999999999</v>
    <v>-17.18</v>
    <v>3.6949999999999999E-3</v>
    <v>-2.9615999999999996E-2</v>
    <v>2.08</v>
    <v>USD</v>
    <v>Broadcom Inc. is a technology company. The Company designs, develops and supplies a range of semiconductor and infrastructure software solutions. It operates through two segments: semiconductor solutions and infrastructure software. Its semiconductor solutions segment includes semiconductor solution product lines, as well as its Internet protocol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Its mainframe software provides DevOps, AIOps, Security and Data Management Systems solutions.</v>
    <v>20000</v>
    <v>Nasdaq Stock Market</v>
    <v>XNAS</v>
    <v>XNAS</v>
    <v>1320 Ridder Park Drive, SAN JOSE, CA, 95131 US</v>
    <v>578</v>
    <v>Semiconductors &amp; Semiconductor Equipment</v>
    <v>Stock</v>
    <v>44690.999928402343</v>
    <v>27</v>
    <v>560.27</v>
    <v>229829653103</v>
    <v>Broadcom Inc.</v>
    <v>Broadcom Inc.</v>
    <v>572.88</v>
    <v>33.044600000000003</v>
    <v>580.1</v>
    <v>562.91999999999996</v>
    <v>565</v>
    <v>408281200</v>
    <v>AVGO</v>
    <v>Broadcom Inc. (XNAS:AVGO)</v>
    <v>3007388</v>
    <v>2187571</v>
    <v>2018</v>
  </rv>
  <rv s="2">
    <v>28</v>
  </rv>
  <rv s="0">
    <v>https://www.bing.com/financeapi/forcetrigger?t=a1o4mw&amp;q=XNYS%3aBABA&amp;form=skydnc</v>
    <v>Learn more on Bing</v>
  </rv>
  <rv s="1">
    <v>en-US</v>
    <v>a1o4mw</v>
    <v>268435456</v>
    <v>1</v>
    <v>Powered by Refinitiv</v>
    <v>0</v>
    <v>Alibaba Group Holding Limited (XNYS:BABA)</v>
    <v>2</v>
    <v>3</v>
    <v>Finance</v>
    <v>4</v>
    <v>230.89</v>
    <v>73.28</v>
    <v>0.91169999999999995</v>
    <v>-5.21</v>
    <v>-1.65E-3</v>
    <v>-5.7857000000000006E-2</v>
    <v>-0.14000000000000001</v>
    <v>USD</v>
    <v>Alibaba Group Holding Ltd is a holding company that provides the technology infrastructure and marketing reach to help merchants, brands and other businesses to leverage the power of new technology to engage with users and customers to operate. The Company operates four business segments. The Core Commerce segment provides China retail, China wholesale, International retail, International wholesale, Cainiao logistics services and local consumer services through Taobao Marketplace and Tmall. The Cloud Computing segment provides complete suite of cloud services, including database, storage, network virtualization services, big data analytics and others. The Digital Media and Entertainment segment provides consumer services beyond the core business operations. The Innovation Initiatives and Others segment is to innovate and deliver new services and products.</v>
    <v>259316</v>
    <v>New York Stock Exchange</v>
    <v>XNYS</v>
    <v>XNYS</v>
    <v>No. 699 Wangshang Road, Binjiang District, HANGZHOU, ZHEJIANG, 310052 CN</v>
    <v>88.6</v>
    <v>Software &amp; IT Services</v>
    <v>Stock</v>
    <v>44690.999870902342</v>
    <v>30</v>
    <v>84.43</v>
    <v>229068000000</v>
    <v>Alibaba Group Holding Limited</v>
    <v>Alibaba Group Holding Limited</v>
    <v>86.954999999999998</v>
    <v>23.975300000000001</v>
    <v>90.05</v>
    <v>84.84</v>
    <v>84.7</v>
    <v>2700000000</v>
    <v>BABA</v>
    <v>Alibaba Group Holding Limited (XNYS:BABA)</v>
    <v>23338572</v>
    <v>25463721</v>
    <v>1999</v>
  </rv>
  <rv s="2">
    <v>31</v>
  </rv>
  <rv s="0">
    <v>https://www.bing.com/financeapi/forcetrigger?t=a1o9gh&amp;q=XNYS%3aBBY&amp;form=skydnc</v>
    <v>Learn more on Bing</v>
  </rv>
  <rv s="1">
    <v>en-US</v>
    <v>a1o9gh</v>
    <v>268435456</v>
    <v>1</v>
    <v>Powered by Refinitiv</v>
    <v>0</v>
    <v>Best Buy Co., Inc. (XNYS:BBY)</v>
    <v>2</v>
    <v>3</v>
    <v>Finance</v>
    <v>4</v>
    <v>141.97</v>
    <v>85.58</v>
    <v>1.4260999999999999</v>
    <v>-0.33</v>
    <v>0</v>
    <v>-3.6099999999999999E-3</v>
    <v>0</v>
    <v>USD</v>
    <v>Best Buy Co., Inc. is a provider of consumer technology products and services. The Company offers a range of merchandise and services to its customers, including computing and mobile phones, consumer electronics, appliances, entertainment and other products. Its services include consultation, delivery, design, health-related services, installation, memberships, repair, set-up, technical support, and warranty-related services. The Company's business segments are Domestic and International. Domestic segment includes the operations in all states, districts, and territories of the United States, under various brand names including Best Buy, Best Buy Business, Current Health, Best Buy Health, CST, Geek Squad, GreatCall, Lively, Magnolia and Pacific Kitchen and Home and the domain names bestbuy.com and greatcall.com. The International segment includes all operations in Canada under the brand names Best Buy, Best Buy Express, Best Buy Mobile and Geek Squad and the domain name bestbuy.ca.</v>
    <v>105000</v>
    <v>New York Stock Exchange</v>
    <v>XNYS</v>
    <v>XNYS</v>
    <v>7601 Penn Ave S, RICHFIELD, MN, 55423-8500 US</v>
    <v>92.15</v>
    <v>Specialty Retailers</v>
    <v>Stock</v>
    <v>44690.992710543753</v>
    <v>33</v>
    <v>89.62</v>
    <v>20490058116</v>
    <v>Best Buy Co., Inc.</v>
    <v>Best Buy Co., Inc.</v>
    <v>89.82</v>
    <v>9.2859999999999996</v>
    <v>91.41</v>
    <v>91.08</v>
    <v>91.08</v>
    <v>224967700</v>
    <v>BBY</v>
    <v>Best Buy Co., Inc. (XNYS:BBY)</v>
    <v>2681544</v>
    <v>2210979</v>
    <v>1966</v>
  </rv>
  <rv s="2">
    <v>34</v>
  </rv>
  <rv s="0">
    <v>https://www.bing.com/financeapi/forcetrigger?t=a1om4c&amp;q=XNYS%3aBLK&amp;form=skydnc</v>
    <v>Learn more on Bing</v>
  </rv>
  <rv s="1">
    <v>en-US</v>
    <v>a1om4c</v>
    <v>268435456</v>
    <v>1</v>
    <v>Powered by Refinitiv</v>
    <v>0</v>
    <v>BLACKROCK, INC. (XNYS:BLK)</v>
    <v>2</v>
    <v>3</v>
    <v>Finance</v>
    <v>4</v>
    <v>973.16</v>
    <v>603.44000000000005</v>
    <v>1.2855000000000001</v>
    <v>-23.06</v>
    <v>-9.2480000000000004E-4</v>
    <v>-3.6684000000000001E-2</v>
    <v>-0.56000000000000005</v>
    <v>USD</v>
    <v>BlackRock, Inc. is an investment management company. The Company provides a range of investment and risk management services to institutional and retail clients. Its diverse platform of active (alpha) and index (beta)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18400</v>
    <v>New York Stock Exchange</v>
    <v>XNYS</v>
    <v>XNYS</v>
    <v>55 E 52nd St, NEW YORK, NY, 10055-0002 US</v>
    <v>624.34990000000005</v>
    <v>Investment Banking &amp; Investment Services</v>
    <v>Stock</v>
    <v>44690.99998236094</v>
    <v>36</v>
    <v>603.44000000000005</v>
    <v>91878954335</v>
    <v>BLACKROCK, INC.</v>
    <v>BLACKROCK, INC.</v>
    <v>616.72</v>
    <v>15.793200000000001</v>
    <v>628.62</v>
    <v>605.55999999999995</v>
    <v>605</v>
    <v>151725600</v>
    <v>BLK</v>
    <v>BLACKROCK, INC. (XNYS:BLK)</v>
    <v>1079546</v>
    <v>887118</v>
    <v>2006</v>
  </rv>
  <rv s="2">
    <v>37</v>
  </rv>
  <rv s="0">
    <v>https://www.bing.com/financeapi/forcetrigger?t=a1pxbh&amp;q=XNYS%3aCMG&amp;form=skydnc</v>
    <v>Learn more on Bing</v>
  </rv>
  <rv s="1">
    <v>en-US</v>
    <v>a1pxbh</v>
    <v>268435456</v>
    <v>1</v>
    <v>Powered by Refinitiv</v>
    <v>0</v>
    <v>CHIPOTLE MEXICAN GRILL, INC. (XNYS:CMG)</v>
    <v>2</v>
    <v>3</v>
    <v>Finance</v>
    <v>4</v>
    <v>1958.5450000000001</v>
    <v>1272</v>
    <v>1.2981</v>
    <v>-77.959999999999994</v>
    <v>2.6870000000000002E-3</v>
    <v>-5.7554999999999995E-2</v>
    <v>3.43</v>
    <v>USD</v>
    <v>Chipotle Mexican Grill, Inc. together with its subsidiaries owns and operates Chipotle Mexican Grill restaurants. The Company’s Chipotle Mexican Grill restaurants serves a relevant menu of burritos, burrito bowls (a burrito without the tortilla), quesadillas, tacos, and salads. The Company owns and operates approximately 2,918 Chipotle restaurants throughout the United States, 44 international Chipotle restaurants, and four non-Chipotle restaurants. In its Chipotle restaurants, the Company serves only meats and brand these meats as Responsibly Raised. The Company manages its operations based on eight regions. It sells gift cards, which do not have expiration dates. The Company’s subsidiaries include Chipotle Mexican Grill, Corp.; Nova Scotia, Chipotle Mexican Grill, SAS; France Chipotle, Grill Germany GMBH; Chipotle Mexican Grill of Berwyn Heights, LLC; Chipotle Services, LLC; Chipotle Texas, LLC; CMG Concessions, LLC; CMG of Prince Georges, LLC and other.</v>
    <v>97660</v>
    <v>New York Stock Exchange</v>
    <v>XNYS</v>
    <v>XNYS</v>
    <v>610 NEWPORT CENTER DR, SUITE 1400, NEWPORT BEACH, CA, 92660 US</v>
    <v>1330</v>
    <v>Hotels &amp; Entertainment Services</v>
    <v>Stock</v>
    <v>44690.999473935153</v>
    <v>39</v>
    <v>1272</v>
    <v>35696024796</v>
    <v>CHIPOTLE MEXICAN GRILL, INC.</v>
    <v>CHIPOTLE MEXICAN GRILL, INC.</v>
    <v>1323.61</v>
    <v>56.312100000000001</v>
    <v>1354.53</v>
    <v>1276.57</v>
    <v>1280</v>
    <v>27962450</v>
    <v>CMG</v>
    <v>CHIPOTLE MEXICAN GRILL, INC. (XNYS:CMG)</v>
    <v>398239</v>
    <v>255145</v>
    <v>1998</v>
  </rv>
  <rv s="2">
    <v>40</v>
  </rv>
  <rv s="0">
    <v>https://www.bing.com/financeapi/forcetrigger?t=bzu86h&amp;q=XNAS%3aCOIN&amp;form=skydnc</v>
    <v>Learn more on Bing</v>
  </rv>
  <rv s="9">
    <v>en-US</v>
    <v>bzu86h</v>
    <v>268435456</v>
    <v>1</v>
    <v>Powered by Refinitiv</v>
    <v>14</v>
    <v>COINBASE GLOBAL, INC. (XNAS:COIN)</v>
    <v>2</v>
    <v>15</v>
    <v>Finance</v>
    <v>4</v>
    <v>368.9</v>
    <v>81.78</v>
    <v>-20.23</v>
    <v>-7.1849999999999995E-4</v>
    <v>-0.19500699999999999</v>
    <v>-0.06</v>
    <v>USD</v>
    <v>Coinbase Global, Inc. is a financial technology company that provides end-to-end financial infrastructure and technology for the cryptoeconomy. The Company offers retail users the primary financial account for the crypto economy, institutions a marketplace with a liquidity for transacting in crypto assets, and ecosystem partners technology and services that enable them to build crypto-based applications and accept crypto assets as payment. The Company is engaged in building technology and financial infrastructure products and services that enable any person or business with an Internet connection to discover, transact, and engage with crypto assets and decentralized applications. It offers Coinbase Prime, a one-stop shop for institutions to participate in the cryptoeconomy. Its Coinbase Prime combines advanced trading, custody, real-time market data and analytics, and financing products to help customers access and transact in crypto markets.</v>
    <v>3730</v>
    <v>Nasdaq Stock Market</v>
    <v>XNAS</v>
    <v>XNAS</v>
    <v>C/O The Corporation Trust Company, 1209 Orange Street, WILMINGTON, DE, 19801 US</v>
    <v>96.43</v>
    <v>Financial Technology (Fintech) &amp; Infrastructure</v>
    <v>Stock</v>
    <v>44690.999990289063</v>
    <v>42</v>
    <v>81.78</v>
    <v>18532472392</v>
    <v>COINBASE GLOBAL, INC.</v>
    <v>COINBASE GLOBAL, INC.</v>
    <v>96</v>
    <v>8.1358999999999995</v>
    <v>103.74</v>
    <v>83.51</v>
    <v>83.45</v>
    <v>221919200</v>
    <v>COIN</v>
    <v>COINBASE GLOBAL, INC. (XNAS:COIN)</v>
    <v>16845410</v>
    <v>4834946</v>
    <v>2014</v>
  </rv>
  <rv s="2">
    <v>43</v>
  </rv>
  <rv s="0">
    <v>https://www.bing.com/financeapi/forcetrigger?t=a1qc1h&amp;q=XNYS%3aCRM&amp;form=skydnc</v>
    <v>Learn more on Bing</v>
  </rv>
  <rv s="1">
    <v>en-US</v>
    <v>a1qc1h</v>
    <v>268435456</v>
    <v>1</v>
    <v>Powered by Refinitiv</v>
    <v>0</v>
    <v>SALESFORCE, INC. (XNYS:CRM)</v>
    <v>2</v>
    <v>3</v>
    <v>Finance</v>
    <v>4</v>
    <v>311.75</v>
    <v>162.13</v>
    <v>1.1557999999999999</v>
    <v>-6.1</v>
    <v>0</v>
    <v>-3.5945999999999999E-2</v>
    <v>0</v>
    <v>USD</v>
    <v>Salesforce, Inc., formerly Salesforce.com, Inc., is a provider of customer relationship management (CRM) platform. Its Customer 360 platform delivers a source, which connects customer data across systems, applications and devices to help companies sell, service, market and conduct commerce from anywhere. It focuses on cloud, mobile, social, analytics and artificial intelligence, which connect to its customers and enable companies to transform their businesses. It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v>
    <v>73541</v>
    <v>New York Stock Exchange</v>
    <v>XNYS</v>
    <v>XNYS</v>
    <v>SALESFORCE TOWER, 415 MISSION STREET 3RD FL, SAN FRANCISCO, CA, 94105 US</v>
    <v>170.2885</v>
    <v>Software &amp; IT Services</v>
    <v>Stock</v>
    <v>44690.998831747653</v>
    <v>45</v>
    <v>162.13</v>
    <v>162540820880</v>
    <v>SALESFORCE, INC.</v>
    <v>SALESFORCE, INC.</v>
    <v>166.72</v>
    <v>113.0429</v>
    <v>169.7</v>
    <v>163.6</v>
    <v>163.6</v>
    <v>993525800</v>
    <v>CRM</v>
    <v>SALESFORCE, INC. (XNYS:CRM)</v>
    <v>9997769</v>
    <v>6970969</v>
    <v>1999</v>
  </rv>
  <rv s="2">
    <v>46</v>
  </rv>
  <rv s="0">
    <v>https://www.bing.com/financeapi/forcetrigger?t=bvkn2w&amp;q=XNAS%3aCRSR&amp;form=skydnc</v>
    <v>Learn more on Bing</v>
  </rv>
  <rv s="9">
    <v>en-US</v>
    <v>bvkn2w</v>
    <v>268435456</v>
    <v>1</v>
    <v>Powered by Refinitiv</v>
    <v>14</v>
    <v>CORSAIR GAMING, INC. (XNAS:CRSR)</v>
    <v>2</v>
    <v>15</v>
    <v>Finance</v>
    <v>4</v>
    <v>42.97</v>
    <v>14.12</v>
    <v>-0.03</v>
    <v>-1.3444000000000001E-2</v>
    <v>-1.9170000000000001E-3</v>
    <v>-0.21</v>
    <v>USD</v>
    <v>Corsair Gaming, Inc (Corsair) is engaged in providing high-performance gear for gamers, streamers and content creators. Its segments include Gamer and creator peripherals and Gaming components and systems. Gamer and creator peripherals Include high-performance gaming keyboards, mice, headsets, controllers, and our streaming gear, including capture cards, Stream Decks, Universal Serial Bus (USB) microphones, Facecam streaming camera, studio accessories and EpocCam software, as well as coaching and training services, among others. Gaming components and systems includes high-performance power supply units (PSUs), cooling solutions, computer cases, DRAM modules, as well as high-end prebuilt and custom-built gaming personal computers (PCs), among others. Its product offering includes two software platforms: iCUE for gamers and Elgatos streaming suite for streamers and content creators.</v>
    <v>2490</v>
    <v>Nasdaq Stock Market</v>
    <v>XNAS</v>
    <v>XNAS</v>
    <v>47100 Bayside Parkway, FREMONT, CA, 94538 US</v>
    <v>16.27</v>
    <v>Computers, Phones &amp; Household Electronics</v>
    <v>Stock</v>
    <v>44690.982486041408</v>
    <v>48</v>
    <v>14.845000000000001</v>
    <v>1489997423</v>
    <v>CORSAIR GAMING, INC.</v>
    <v>CORSAIR GAMING, INC.</v>
    <v>14.86</v>
    <v>31.998899999999999</v>
    <v>15.65</v>
    <v>15.62</v>
    <v>15.41</v>
    <v>95390360</v>
    <v>CRSR</v>
    <v>CORSAIR GAMING, INC. (XNAS:CRSR)</v>
    <v>2613300</v>
    <v>845176</v>
    <v>2017</v>
  </rv>
  <rv s="2">
    <v>49</v>
  </rv>
  <rv s="0">
    <v>https://www.bing.com/financeapi/forcetrigger?t=bq8rqh&amp;q=XNAS%3aCRWD&amp;form=skydnc</v>
    <v>Learn more on Bing</v>
  </rv>
  <rv s="10">
    <v>en-US</v>
    <v>bq8rqh</v>
    <v>268435456</v>
    <v>1</v>
    <v>Powered by Refinitiv</v>
    <v>16</v>
    <v>CROWDSTRIKE HOLDINGS, INC. (XNAS:CRWD)</v>
    <v>2</v>
    <v>17</v>
    <v>Finance</v>
    <v>4</v>
    <v>298.48</v>
    <v>142.06</v>
    <v>-21.12</v>
    <v>-6.263000000000001E-4</v>
    <v>-0.12814800000000001</v>
    <v>-0.09</v>
    <v>USD</v>
    <v>CrowdStrike Holdings, Inc. provides cloud-delivered solutions for endpoint and cloud workload protection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It also offers approximately 22 cloud modules on its Falcon platform, which include Falcon Prevent, Falcon Insight, Falcon Device Control, Falcon Firewall Management, Falcon XDR, Falcon Discover, Falcon Spotlight and others.</v>
    <v>4965</v>
    <v>Nasdaq Stock Market</v>
    <v>XNAS</v>
    <v>XNAS</v>
    <v>206 E. 9TH STREET, SUITE 1400, AUSTIN, TX, 78701 US</v>
    <v>160.6</v>
    <v>Software &amp; IT Services</v>
    <v>Stock</v>
    <v>44690.999676250001</v>
    <v>51</v>
    <v>142.06</v>
    <v>33159039551</v>
    <v>CROWDSTRIKE HOLDINGS, INC.</v>
    <v>CROWDSTRIKE HOLDINGS, INC.</v>
    <v>159.01</v>
    <v>164.81</v>
    <v>143.69</v>
    <v>143.6</v>
    <v>230767900</v>
    <v>CRWD</v>
    <v>CROWDSTRIKE HOLDINGS, INC. (XNAS:CRWD)</v>
    <v>9275447</v>
    <v>4191779</v>
    <v>2011</v>
  </rv>
  <rv s="2">
    <v>52</v>
  </rv>
  <rv s="0">
    <v>https://www.bing.com/financeapi/forcetrigger?t=a1qlnm&amp;q=XNYS%3aCVS&amp;form=skydnc</v>
    <v>Learn more on Bing</v>
  </rv>
  <rv s="1">
    <v>en-US</v>
    <v>a1qlnm</v>
    <v>268435456</v>
    <v>1</v>
    <v>Powered by Refinitiv</v>
    <v>0</v>
    <v>CVS HEALTH CORPORATION (XNYS:CVS)</v>
    <v>2</v>
    <v>3</v>
    <v>Finance</v>
    <v>4</v>
    <v>111.25</v>
    <v>79.334999999999994</v>
    <v>0.76800000000000002</v>
    <v>-1.83</v>
    <v>1.4159999999999999E-3</v>
    <v>-1.8175E-2</v>
    <v>0.14000000000000001</v>
    <v>USD</v>
    <v>CVS Health Corporation, together with its subsidiaries, is a health solutions company. The Company's segments include Pharmacy Services, Retail/LTC, Health Care Benefits and Corporate/Other. The Pharmacy Services segment provides a range of pharmacy benefit management (PBM) solutions, including plan design offerings and administration, retail pharmacy network management services, mail order pharmacy, specialty pharmacy, clinical services, disease management services and medical spend management. Retail/LTC segment sells prescription drugs and a range of health and wellness products and general merchandise. The Health Care Benefits segment offers a range of traditional, voluntary and consumer-directed health insurance products and related services. The Company's services include health &amp; wellness services, health plans, pharmacy services and prescription drug coverage. The Company has approximately 9,900 retail locations, over 1,200 walk-in medical clinics, a pharmacy benefits manager.</v>
    <v>300000</v>
    <v>New York Stock Exchange</v>
    <v>XNYS</v>
    <v>XNYS</v>
    <v>1 Cvs Dr, WOONSOCKET, RI, 02895-6146 US</v>
    <v>100.15</v>
    <v>Healthcare Providers &amp; Services</v>
    <v>Stock</v>
    <v>44690.998621990628</v>
    <v>54</v>
    <v>98.37</v>
    <v>129636007740</v>
    <v>CVS HEALTH CORPORATION</v>
    <v>CVS HEALTH CORPORATION</v>
    <v>99.58</v>
    <v>16.735199999999999</v>
    <v>100.69</v>
    <v>98.86</v>
    <v>99</v>
    <v>1311309000</v>
    <v>CVS</v>
    <v>CVS HEALTH CORPORATION (XNYS:CVS)</v>
    <v>7147249</v>
    <v>5914312</v>
    <v>1996</v>
  </rv>
  <rv s="2">
    <v>55</v>
  </rv>
  <rv s="0">
    <v>https://www.bing.com/financeapi/forcetrigger?t=bx11nm&amp;q=XNYS%3aDASH&amp;form=skydnc</v>
    <v>Learn more on Bing</v>
  </rv>
  <rv s="9">
    <v>en-US</v>
    <v>bx11nm</v>
    <v>268435456</v>
    <v>1</v>
    <v>Powered by Refinitiv</v>
    <v>14</v>
    <v>DOORDASH, INC. (XNYS:DASH)</v>
    <v>2</v>
    <v>15</v>
    <v>Finance</v>
    <v>4</v>
    <v>257.24990000000003</v>
    <v>63.11</v>
    <v>-7.93</v>
    <v>1.2777E-2</v>
    <v>-0.109971</v>
    <v>0.82</v>
    <v>USD</v>
    <v>DoorDash, Inc. is engaged in providing local logistics platform. The local logistics platform connects merchants, consumers, and dashers. The Company’s business consists of Marketplace and Platform services. The Company operates the DoorDash Marketplace, which enables merchants to establish an online presence and expand their reach by connecting them with consumers (the Marketplace). It also offers Pickup, which allows consumers to place advance orders, skip lines, and pick up their orders conveniently with no consumer fees, as well as DoorDash for work, which provides merchants on the Company’s platform with large group orders and catering orders for businesses and events. Marketplace also includes DashPass, the Company’s membership product, which provides consumers with unlimited access to eligible merchants with zero delivery fees and reduced service fees. The Company offers Platform services, which includes DoorDash, which is a white-label logistics service and DoorDash Storefront.</v>
    <v>8600</v>
    <v>New York Stock Exchange</v>
    <v>XNYS</v>
    <v>XNYS</v>
    <v>303 2Nd Street, South Tower, 8Th Floor, San Francisco, CA, 94107 US</v>
    <v>71.7</v>
    <v>Software &amp; IT Services</v>
    <v>Stock</v>
    <v>44690.999953205472</v>
    <v>57</v>
    <v>63.32</v>
    <v>22542551110</v>
    <v>DOORDASH, INC.</v>
    <v>DOORDASH, INC.</v>
    <v>69.02</v>
    <v>0</v>
    <v>72.11</v>
    <v>64.180000000000007</v>
    <v>65</v>
    <v>351239500</v>
    <v>DASH</v>
    <v>DOORDASH, INC. (XNYS:DASH)</v>
    <v>10907043</v>
    <v>5338972</v>
    <v>2013</v>
  </rv>
  <rv s="2">
    <v>58</v>
  </rv>
  <rv s="0">
    <v>https://www.bing.com/financeapi/forcetrigger?t=brjvjc&amp;q=XNAS%3aDDOG&amp;form=skydnc</v>
    <v>Learn more on Bing</v>
  </rv>
  <rv s="9">
    <v>en-US</v>
    <v>brjvjc</v>
    <v>268435456</v>
    <v>1</v>
    <v>Powered by Refinitiv</v>
    <v>14</v>
    <v>DATADOG, INC. (XNAS:DDOG)</v>
    <v>2</v>
    <v>15</v>
    <v>Finance</v>
    <v>4</v>
    <v>199.67500000000001</v>
    <v>73.040000000000006</v>
    <v>-12.47</v>
    <v>9.4330000000000004E-3</v>
    <v>-0.11336399999999999</v>
    <v>0.92</v>
    <v>USD</v>
    <v>Datadog, Inc. (Datadog) provides monitoring and analytics platform for developers, information technology (IT) operations teams and business users in the cloud age. Its Software-as-a-Service (SaaS) platform integrates and automates infrastructure monitoring, application performance monitoring and log management to provide real-time observability of its customers’ entire technology stack. Datadog is used by organizations of all sizes and across a range of industries to enable digital transformation and cloud migration, drive collaboration among development, operations and business teams, understand user behavior and track key business metrics. The Company’s platform provides visibility and insights into IT infrastructure, application performance and the real time events. Its platform is employed across public cloud, private cloud, on-premise and multi-cloud hybrid environments.</v>
    <v>3200</v>
    <v>Nasdaq Stock Market</v>
    <v>XNAS</v>
    <v>XNAS</v>
    <v>620 8th Ave Fl 45, NEW YORK, NY, 10018-1741 US</v>
    <v>108.06</v>
    <v>Software &amp; IT Services</v>
    <v>Stock</v>
    <v>44690.999074872656</v>
    <v>60</v>
    <v>96.08</v>
    <v>30715425243</v>
    <v>DATADOG, INC.</v>
    <v>DATADOG, INC.</v>
    <v>105.1</v>
    <v>22357.72</v>
    <v>110</v>
    <v>97.53</v>
    <v>98.45</v>
    <v>314933100</v>
    <v>DDOG</v>
    <v>DATADOG, INC. (XNAS:DDOG)</v>
    <v>8865838</v>
    <v>4313602</v>
    <v>2010</v>
  </rv>
  <rv s="2">
    <v>61</v>
  </rv>
  <rv s="0">
    <v>https://www.bing.com/financeapi/forcetrigger?t=a1retc&amp;q=XNYS%3aDELL&amp;form=skydnc</v>
    <v>Learn more on Bing</v>
  </rv>
  <rv s="1">
    <v>en-US</v>
    <v>a1retc</v>
    <v>268435456</v>
    <v>1</v>
    <v>Powered by Refinitiv</v>
    <v>0</v>
    <v>DELL TECHNOLOGIES INC. (XNYS:DELL)</v>
    <v>2</v>
    <v>3</v>
    <v>Finance</v>
    <v>4</v>
    <v>61.54</v>
    <v>44.68</v>
    <v>0.86250000000000004</v>
    <v>-0.39</v>
    <v>0</v>
    <v>-8.5560000000000011E-3</v>
    <v>0</v>
    <v>USD</v>
    <v>Dell Technologies Inc. is a provider of information technology solutions. The Company operates through two segments: Infrastructure Solutions Group (ISG) and Client Solutions Group (CSG). The ISG segment enables the digital transformation of the Company’s customers through its multi-cloud and big data solutions, which are built upon a modern data center infrastructure. The ISG segment has a portfolio of advanced storage solutions, which includes traditional storage solutions, as well as next-generation storage solutions, while the Company’s server portfolio includes performance rack, blade, tower and hyperscale servers. The CSG segment includes sales to commercial and consumer customers of branded hardware and branded peripherals, as well as services and third-party software and peripherals. The CSG segment also offers attached software, peripherals, and services, including support and deployment, configuration, and extended warranty services.</v>
    <v>133000</v>
    <v>New York Stock Exchange</v>
    <v>XNYS</v>
    <v>XNYS</v>
    <v>ONE DELL WAY, ROUND ROCK, TX, 78682 US</v>
    <v>45.82</v>
    <v>Computers, Phones &amp; Household Electronics</v>
    <v>Stock</v>
    <v>44690.991513714842</v>
    <v>63</v>
    <v>44.68</v>
    <v>34362403696</v>
    <v>DELL TECHNOLOGIES INC.</v>
    <v>DELL TECHNOLOGIES INC.</v>
    <v>44.97</v>
    <v>7.2765000000000004</v>
    <v>45.58</v>
    <v>45.19</v>
    <v>45.19</v>
    <v>760398400</v>
    <v>DELL</v>
    <v>DELL TECHNOLOGIES INC. (XNYS:DELL)</v>
    <v>4320643</v>
    <v>4178141</v>
    <v>2013</v>
  </rv>
  <rv s="2">
    <v>64</v>
  </rv>
  <rv s="0">
    <v>http://en.wikipedia.org/wiki/The_Walt_Disney_Company</v>
    <v>Wikipedia</v>
  </rv>
  <rv s="3">
    <v>6</v>
    <v>66</v>
  </rv>
  <rv s="4">
    <v>9</v>
    <v>https://www.bing.com/th?id=AMMS_0aa288ba528f6f45e3de87d97e250136&amp;qlt=95</v>
    <v>67</v>
    <v>0</v>
    <v>https://www.bing.com/images/search?form=xlimg&amp;q=the+walt+disney+company</v>
    <v>Image of THE WALT DISNEY COMPANY</v>
  </rv>
  <rv s="0">
    <v>https://www.bing.com/financeapi/forcetrigger?t=a1r2z2&amp;q=XNYS%3aDIS&amp;form=skydnc</v>
    <v>Learn more on Bing</v>
  </rv>
  <rv s="5">
    <v>en-US</v>
    <v>a1r2z2</v>
    <v>268435456</v>
    <v>1</v>
    <v>Powered by Refinitiv</v>
    <v>5</v>
    <v>THE WALT DISNEY COMPANY (XNYS:DIS)</v>
    <v>7</v>
    <v>8</v>
    <v>Finance</v>
    <v>4</v>
    <v>187.57990000000001</v>
    <v>106.48</v>
    <v>1.2143999999999999</v>
    <v>-3.31</v>
    <v>2.0560000000000001E-3</v>
    <v>-3.0011999999999997E-2</v>
    <v>0.22</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Content Sales/Licensing business consist of selling film and episodic television content in the television and subscription video-on-demand (TV/SVOD) and home entertainment markets.</v>
    <v>190000</v>
    <v>New York Stock Exchange</v>
    <v>XNYS</v>
    <v>XNYS</v>
    <v>500 S Buena Vista St, BURBANK, CA, 91521-0001 US</v>
    <v>110.74</v>
    <v>68</v>
    <v>Media &amp; Publishing</v>
    <v>Stock</v>
    <v>44690.999965000003</v>
    <v>69</v>
    <v>106.48</v>
    <v>200797700000</v>
    <v>THE WALT DISNEY COMPANY</v>
    <v>THE WALT DISNEY COMPANY</v>
    <v>108.11</v>
    <v>64.100499999999997</v>
    <v>110.29</v>
    <v>106.98</v>
    <v>107.2</v>
    <v>1820633000</v>
    <v>DIS</v>
    <v>THE WALT DISNEY COMPANY (XNYS:DIS)</v>
    <v>17941596</v>
    <v>13465793</v>
    <v>2018</v>
  </rv>
  <rv s="2">
    <v>70</v>
  </rv>
  <rv s="0">
    <v>https://www.bing.com/financeapi/forcetrigger?t=azqpgh&amp;q=XNAS%3aDOCU&amp;form=skydnc</v>
    <v>Learn more on Bing</v>
  </rv>
  <rv s="11">
    <v>en-US</v>
    <v>azqpgh</v>
    <v>268435456</v>
    <v>1</v>
    <v>Powered by Refinitiv</v>
    <v>18</v>
    <v>DOCUSIGN, INC. (XNAS:DOCU)</v>
    <v>2</v>
    <v>19</v>
    <v>Finance</v>
    <v>4</v>
    <v>314.76</v>
    <v>67.923199999999994</v>
    <v>1.0501</v>
    <v>-5.94</v>
    <v>6.411E-3</v>
    <v>-7.9657000000000006E-2</v>
    <v>0.44</v>
    <v>USD</v>
    <v>DocuSign, Inc. offers electronic signature product, enabling an agreement to be signed electronically on a variety of devices, from virtually anywhere in the world. The Company offers DocuSign Agreement Cloud, which is a cloud software platform that automates and connects the entire agreement process. It includes DocuSign eSignature, an electronic signature solution. The Agreement Cloud also includes several other applications for automating pre- and post-signature processes, such as automatically generating an agreement from data in other systems, supporting negotiation workflow, collecting payment after signatures, and using artificial intelligence (AI) to analyze a collection of agreements for risks and opportunities. The Agreement Cloud also includes hundreds of integrations to other systems, so agreement processes can integrate with other business processes and data. Its offers DocuSign Insight, which uses AI to search and analyze agreements by legal concepts and clauses.</v>
    <v>7461</v>
    <v>Nasdaq Stock Market</v>
    <v>XNAS</v>
    <v>XNAS</v>
    <v>221 Main St Ste 1550, SAN FRANCISCO, CA, 94105-1947 US</v>
    <v>73.84</v>
    <v>Software &amp; IT Services</v>
    <v>Stock</v>
    <v>44690.999033865628</v>
    <v>72</v>
    <v>67.923199999999994</v>
    <v>13719363479</v>
    <v>DOCUSIGN, INC.</v>
    <v>DOCUSIGN, INC.</v>
    <v>72.47</v>
    <v>74.569999999999993</v>
    <v>68.63</v>
    <v>69.069999999999993</v>
    <v>199903300</v>
    <v>DOCU</v>
    <v>DOCUSIGN, INC. (XNAS:DOCU)</v>
    <v>5426073</v>
    <v>3920358</v>
    <v>2012</v>
  </rv>
  <rv s="2">
    <v>73</v>
  </rv>
  <rv s="0">
    <v>https://www.bing.com/financeapi/forcetrigger?t=a1r9lh&amp;q=XNYS%3aDPZ&amp;form=skydnc</v>
    <v>Learn more on Bing</v>
  </rv>
  <rv s="1">
    <v>en-US</v>
    <v>a1r9lh</v>
    <v>268435456</v>
    <v>1</v>
    <v>Powered by Refinitiv</v>
    <v>0</v>
    <v>DOMINO'S PIZZA, INC. (XNYS:DPZ)</v>
    <v>2</v>
    <v>3</v>
    <v>Finance</v>
    <v>4</v>
    <v>567.57000000000005</v>
    <v>331.47</v>
    <v>0.70940000000000003</v>
    <v>-8.19</v>
    <v>0</v>
    <v>-2.3961999999999997E-2</v>
    <v>0</v>
    <v>USD</v>
    <v>Domino’s Pizza, Inc. is a quick-service restaurant company. The Company operates through three segments: U.S. Stores, Supply Chain and International Franchise. The U.S. Stores segment includes operations with respect to all franchised and Company-owned stores throughout the United States. Its U.S. stores segment consists of over 6,185 franchised stores and also operates a network of approximately 375 U.S. Company-owned stores. The Supply Chain segment primarily includes the distribution of food, equipment and supplies to stores from the Company’s supply chain center operations in the United States and Canada. The International Franchise segment primarily includes operations related to the Company’s franchising business in foreign markets. It operates over two distinct service models within its stores, which include delivery and carryout. The Company is operating pizza restaurants in approximately 18,800 locations in over 90 markets.</v>
    <v>13500</v>
    <v>New York Stock Exchange</v>
    <v>XNYS</v>
    <v>XNYS</v>
    <v>30 Frank Lloyd Wright Dr, ANN ARBOR, MI, 48106 US</v>
    <v>338.87</v>
    <v>Hotels &amp; Entertainment Services</v>
    <v>Stock</v>
    <v>44690.958333356248</v>
    <v>75</v>
    <v>331.47</v>
    <v>12319840000</v>
    <v>DOMINO'S PIZZA, INC.</v>
    <v>DOMINO'S PIZZA, INC.</v>
    <v>335.55</v>
    <v>26.224699999999999</v>
    <v>341.79</v>
    <v>333.6</v>
    <v>333.6</v>
    <v>36045070</v>
    <v>DPZ</v>
    <v>DOMINO'S PIZZA, INC. (XNYS:DPZ)</v>
    <v>596909</v>
    <v>594022</v>
    <v>2002</v>
  </rv>
  <rv s="2">
    <v>76</v>
  </rv>
  <rv s="0">
    <v>https://www.bing.com/financeapi/forcetrigger?t=a1rk52&amp;q=XNAS%3aEBAY&amp;form=skydnc</v>
    <v>Learn more on Bing</v>
  </rv>
  <rv s="1">
    <v>en-US</v>
    <v>a1rk52</v>
    <v>268435456</v>
    <v>1</v>
    <v>Powered by Refinitiv</v>
    <v>0</v>
    <v>EBAY INC. (XNAS:EBAY)</v>
    <v>2</v>
    <v>3</v>
    <v>Finance</v>
    <v>4</v>
    <v>81.19</v>
    <v>47.03</v>
    <v>1.1523000000000001</v>
    <v>0.45</v>
    <v>2.2330000000000002E-3</v>
    <v>9.2189999999999998E-3</v>
    <v>0.11</v>
    <v>USD</v>
    <v>eBay Inc. is a global commerce company, through its Marketplace platforms, which connects buyer and seller in more than 190 markets around the world. The Company's products include Promoted Listings Express, Promoted Listings Advanced, and External Promoted Listings. The Company has developed user interfaces, buyer, seller and developer tools and transaction processing, database and network applications that help enable its users to reliably and securely complete transactions on its sites. The Company's platforms include online marketplace located at www.ebay.com and its localized counterparts, including off-platform businesses in Japan and Turkey, as well as eBays suite of mobile apps. The platforms are accessible through an online experience (desktop and laptop computers), iOS and Android mobile devices (smartphones and tablets) and its application programming interfaces (APIs platform access for third party software developers).</v>
    <v>10800</v>
    <v>Nasdaq Stock Market</v>
    <v>XNAS</v>
    <v>XNAS</v>
    <v>2025 Hamilton Ave, SAN JOSE, CA, 95125-5904 US</v>
    <v>50.914999999999999</v>
    <v>Software &amp; IT Services</v>
    <v>Stock</v>
    <v>44690.997950265628</v>
    <v>78</v>
    <v>47.67</v>
    <v>27944503434</v>
    <v>EBAY INC.</v>
    <v>EBAY INC.</v>
    <v>48.08</v>
    <v>253.23410000000001</v>
    <v>48.81</v>
    <v>49.26</v>
    <v>49.37</v>
    <v>567285900</v>
    <v>EBAY</v>
    <v>EBAY INC. (XNAS:EBAY)</v>
    <v>12832114</v>
    <v>6205233</v>
    <v>1998</v>
  </rv>
  <rv s="2">
    <v>79</v>
  </rv>
  <rv s="0">
    <v>https://www.bing.com/financeapi/forcetrigger?t=a1rrh7&amp;q=XNYS%3aEFX&amp;form=skydnc</v>
    <v>Learn more on Bing</v>
  </rv>
  <rv s="1">
    <v>en-US</v>
    <v>a1rrh7</v>
    <v>268435456</v>
    <v>1</v>
    <v>Powered by Refinitiv</v>
    <v>0</v>
    <v>EQUIFAX INC. (XNYS:EFX)</v>
    <v>2</v>
    <v>3</v>
    <v>Finance</v>
    <v>4</v>
    <v>300.11</v>
    <v>198.97</v>
    <v>1.5033000000000001</v>
    <v>-5.47</v>
    <v>0</v>
    <v>-2.6669999999999999E-2</v>
    <v>0</v>
    <v>USD</v>
    <v>Equifax Inc. is a global data, analytics and technology company, which provides information solutions and human resources business process outsourcing services for businesses, governments and consumers. The Company’s segments include Workforce Solutions, U.S. Information Solutions (USIS) and International. Workforce Solutions provides services enabling customers to verify income, employment, educational history, criminal history, healthcare professional licensure and sanctions (Verification Services) of people in the United States. USIS segment provides consumer and commercial information solutions to businesses in the United States including online information, decisioning technology solutions, identity management services, analytical services, fraud management services, portfolio management services, mortgage reporting and marketing services. International provides information, technology and services to support debt collections and recovery management.</v>
    <v>12700</v>
    <v>New York Stock Exchange</v>
    <v>XNYS</v>
    <v>XNYS</v>
    <v>1550 Peachtree St NW, ATLANTA, GA, 30309-2402 US</v>
    <v>206.5</v>
    <v>Professional &amp; Commercial Services</v>
    <v>Stock</v>
    <v>44690.958333356248</v>
    <v>81</v>
    <v>198.97</v>
    <v>24421756013</v>
    <v>EQUIFAX INC.</v>
    <v>EQUIFAX INC.</v>
    <v>205</v>
    <v>33.168399999999998</v>
    <v>205.1</v>
    <v>199.63</v>
    <v>199.63</v>
    <v>122335100</v>
    <v>EFX</v>
    <v>EQUIFAX INC. (XNYS:EFX)</v>
    <v>1568787</v>
    <v>1363183</v>
    <v>1913</v>
  </rv>
  <rv s="2">
    <v>82</v>
  </rv>
  <rv s="0">
    <v>https://www.bing.com/financeapi/forcetrigger?t=a1sar7&amp;q=XNAS%3aETSY&amp;form=skydnc</v>
    <v>Learn more on Bing</v>
  </rv>
  <rv s="1">
    <v>en-US</v>
    <v>a1sar7</v>
    <v>268435456</v>
    <v>1</v>
    <v>Powered by Refinitiv</v>
    <v>0</v>
    <v>ETSY, INC. (XNAS:ETSY)</v>
    <v>2</v>
    <v>3</v>
    <v>Finance</v>
    <v>4</v>
    <v>307.75</v>
    <v>81.114999999999995</v>
    <v>1.7456</v>
    <v>0.02</v>
    <v>1.157E-3</v>
    <v>2.3150000000000002E-4</v>
    <v>0.1</v>
    <v>USD</v>
    <v>Etsy, Inc. (Etsy) operates two-sided online marketplaces that connect people and buyers, and sellers around the world. The Company operates through four segments: Etsy, Reverb, Depop, and Elo7. The Company’s primary marketplace, Etsy.com, is the global destination for goods made by independent sellers. Its Reverb is a two-sided marketplace on the principle that buying and selling musical instruments should be easy. The Company’s Depop is dedicated to building the diverse and progressive home of fashion. Its Elo7, known as the Etsy of Brazil, specializes in custom and made-to-order merchandise. Its Elo7 marketplace includes items in over 40 retail categories. Its services include on-site advertising services, which allow Etsy sellers to pay for placement of its listings in search results, and shipping labels, which allow Etsy sellers in the United States, Canada, United Kingdom, Australia, and India to purchase discounted shipping labels.</v>
    <v>2576</v>
    <v>Nasdaq Stock Market</v>
    <v>XNAS</v>
    <v>XNAS</v>
    <v>117 Adams St, BROOKLYN, NY, 11201 US</v>
    <v>88.965000000000003</v>
    <v>Diversified Retail</v>
    <v>Stock</v>
    <v>44690.998570253905</v>
    <v>84</v>
    <v>82.41</v>
    <v>10983081600</v>
    <v>ETSY, INC.</v>
    <v>ETSY, INC.</v>
    <v>85.08</v>
    <v>29.154399999999999</v>
    <v>86.38</v>
    <v>86.4</v>
    <v>86.5</v>
    <v>127119000</v>
    <v>ETSY</v>
    <v>ETSY, INC. (XNAS:ETSY)</v>
    <v>8281549</v>
    <v>5003183</v>
    <v>2006</v>
  </rv>
  <rv s="2">
    <v>85</v>
  </rv>
  <rv s="0">
    <v>https://www.bing.com/financeapi/forcetrigger?t=a1slm7&amp;q=XNAS%3aFB&amp;form=skydnc</v>
    <v>Learn more on Bing</v>
  </rv>
  <rv s="1">
    <v>en-US</v>
    <v>a1slm7</v>
    <v>268435456</v>
    <v>1</v>
    <v>Powered by Refinitiv</v>
    <v>0</v>
    <v>Meta Platforms, Inc. (XNAS:FB)</v>
    <v>2</v>
    <v>3</v>
    <v>Finance</v>
    <v>4</v>
    <v>384.33</v>
    <v>169</v>
    <v>1.371</v>
    <v>-7.56</v>
    <v>6.2690000000000003E-3</v>
    <v>-3.7101000000000002E-2</v>
    <v>1.23</v>
    <v>USD</v>
    <v>Meta Platforms Inc., formerly Facebook, Inc., is a social technology company. The Company is engaged in the products that enable people to connect and share with friends and family through mobile devices, personal computers, virtual reality (VR) headsets, wearables, and in-home devices. The Company operates through two segments: Family of Apps (FoA) and Reality Labs (RL). FoA includes Facebook, Instagram, Messenger, WhatsApp, and other services. RL includes augmented and virtual reality-related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and creators. Messenger is a messaging application for people to connect with friends, family, groups, and businesses across platforms and devices.</v>
    <v>77805</v>
    <v>Nasdaq Stock Market</v>
    <v>XNAS</v>
    <v>XNAS</v>
    <v>1601 Willow Rd, MENLO PARK, CA, 94025 US</v>
    <v>202.57</v>
    <v>Software &amp; IT Services</v>
    <v>Stock</v>
    <v>44690.999997522653</v>
    <v>87</v>
    <v>195.58</v>
    <v>531007635830</v>
    <v>Meta Platforms, Inc.</v>
    <v>Meta Platforms, Inc.</v>
    <v>199.84</v>
    <v>15.4222</v>
    <v>203.77</v>
    <v>196.21</v>
    <v>197.44</v>
    <v>2706323000</v>
    <v>FB</v>
    <v>Meta Platforms, Inc. (XNAS:FB)</v>
    <v>36303200</v>
    <v>35240985</v>
    <v>2004</v>
  </rv>
  <rv s="2">
    <v>88</v>
  </rv>
  <rv s="0">
    <v>https://www.bing.com/financeapi/forcetrigger?t=a1sqr7&amp;q=XNYS%3aFDX&amp;form=skydnc</v>
    <v>Learn more on Bing</v>
  </rv>
  <rv s="1">
    <v>en-US</v>
    <v>a1sqr7</v>
    <v>268435456</v>
    <v>1</v>
    <v>Powered by Refinitiv</v>
    <v>0</v>
    <v>FEDEX CORPORATION (XNYS:FDX)</v>
    <v>2</v>
    <v>3</v>
    <v>Finance</v>
    <v>4</v>
    <v>319.89999999999998</v>
    <v>192.82</v>
    <v>1.3226</v>
    <v>-1.94</v>
    <v>1.008E-3</v>
    <v>-9.2290000000000011E-3</v>
    <v>0.21</v>
    <v>USD</v>
    <v>FedEx Corporation (FedEx) provides a portfolio of transportation, e-commerce and business services through companies competing collectively and operating independently, under the FedEx brand. The Company's segments include FedEx Express, FedEx Ground, FedEx Freight and FedEx Services. The FedEx Express segment offers a range of United States domestic and international shipping services for delivery of packages and freight. The FedEx Ground segment provides small-package ground delivery services, which includes day-certain service to any business address in the United States and Canada, as well as residential delivery services through its FedEx Home Delivery service. The FedEx Freight segment offers less-than-truckload (LTL) freight services. The FedEx Services segment provides sales, marketing, information technology, communications, customer service, technical support, billing and collection services, and certain back-office functions that support the Company's operating segments.</v>
    <v>228000</v>
    <v>New York Stock Exchange</v>
    <v>XNYS</v>
    <v>XNYS</v>
    <v>942 Shady Grove Rd S, MEMPHIS, TN, 38120-4117 US</v>
    <v>212.57570000000001</v>
    <v>Freight &amp; Logistics Services</v>
    <v>Stock</v>
    <v>44690.99858352969</v>
    <v>90</v>
    <v>205.68</v>
    <v>53979043714</v>
    <v>FEDEX CORPORATION</v>
    <v>FEDEX CORPORATION</v>
    <v>207.32</v>
    <v>11.584300000000001</v>
    <v>210.21</v>
    <v>208.27</v>
    <v>208.48</v>
    <v>259178200</v>
    <v>FDX</v>
    <v>FEDEX CORPORATION (XNYS:FDX)</v>
    <v>2320649</v>
    <v>2309505</v>
    <v>1997</v>
  </rv>
  <rv s="2">
    <v>91</v>
  </rv>
  <rv s="0">
    <v>https://www.bing.com/financeapi/forcetrigger?t=a1twnm&amp;q=ARCX%3aGLD&amp;form=skydnc</v>
    <v>Learn more on Bing</v>
  </rv>
  <rv s="6">
    <v>en-US</v>
    <v>a1twnm</v>
    <v>268435456</v>
    <v>1</v>
    <v>Powered by Refinitiv</v>
    <v>10</v>
    <v>SPDR Gold (ARCX:GLD)</v>
    <v>11</v>
    <v>12</v>
    <v>Finance</v>
    <v>13</v>
    <v>193.3</v>
    <v>160.68</v>
    <v>0.82040000000000002</v>
    <v>-2.54</v>
    <v>7.5200000000000006E-4</v>
    <v>-1.448E-2</v>
    <v>0.13</v>
    <v>USD</v>
    <v>NYSE Arca</v>
    <v>ARCX</v>
    <v>4.0000000000000001E-3</v>
    <v>174.27</v>
    <v>ETF</v>
    <v>44690.999165300782</v>
    <v>93</v>
    <v>172.79</v>
    <v>67238867995.139999</v>
    <v>SPDR Gold</v>
    <v>174.27</v>
    <v>175.42</v>
    <v>172.88</v>
    <v>173.01</v>
    <v>GLD</v>
    <v>SPDR Gold (ARCX:GLD)</v>
    <v>10742410</v>
    <v>9391192</v>
  </rv>
  <rv s="2">
    <v>94</v>
  </rv>
  <rv s="0">
    <v>http://en.wikipedia.org/wiki/Alphabet_Inc.</v>
    <v>Wikipedia</v>
  </rv>
  <rv s="3">
    <v>6</v>
    <v>96</v>
  </rv>
  <rv s="4">
    <v>9</v>
    <v>https://www.bing.com/th?id=AMMS_91f59ff6c9305ce24b1cf0389cd856f8&amp;qlt=95</v>
    <v>97</v>
    <v>0</v>
    <v>https://www.bing.com/images/search?form=xlimg&amp;q=alphabet+inc.</v>
    <v>Image of ALPHABET INC.</v>
  </rv>
  <rv s="0">
    <v>https://www.bing.com/financeapi/forcetrigger?t=a1u3rw&amp;q=XNAS%3aGOOGL&amp;form=skydnc</v>
    <v>Learn more on Bing</v>
  </rv>
  <rv s="5">
    <v>en-US</v>
    <v>a1u3rw</v>
    <v>268435456</v>
    <v>1</v>
    <v>Powered by Refinitiv</v>
    <v>5</v>
    <v>ALPHABET INC. (XNAS:GOOGL)</v>
    <v>7</v>
    <v>8</v>
    <v>Finance</v>
    <v>4</v>
    <v>3030.9315000000001</v>
    <v>2193.62</v>
    <v>1.1311</v>
    <v>-64.709999999999994</v>
    <v>5.679E-3</v>
    <v>-2.7953000000000002E-2</v>
    <v>12.78</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Google's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enables developers to build, test, and deploy applications on its infrastructure. The Company's Google Workspace collaboration tools include applications, such as Gmail, Docs, Drive, Calendar, Meet, and various others. The Company also has various hardware products.</v>
    <v>163906</v>
    <v>Nasdaq Stock Market</v>
    <v>XNAS</v>
    <v>XNAS</v>
    <v>1600 Amphitheatre Pkwy, MOUNTAIN VIEW, CA, 94043-1351 US</v>
    <v>2301.5418</v>
    <v>98</v>
    <v>Software &amp; IT Services</v>
    <v>Stock</v>
    <v>44690.999962430469</v>
    <v>99</v>
    <v>2240.0101</v>
    <v>1523839000000</v>
    <v>ALPHABET INC.</v>
    <v>ALPHABET INC.</v>
    <v>2265</v>
    <v>20.940200000000001</v>
    <v>2314.9299999999998</v>
    <v>2250.2199999999998</v>
    <v>2263</v>
    <v>658499900</v>
    <v>GOOGL</v>
    <v>ALPHABET INC. (XNAS:GOOGL)</v>
    <v>2040143</v>
    <v>1914294</v>
    <v>2015</v>
  </rv>
  <rv s="2">
    <v>100</v>
  </rv>
  <rv s="0">
    <v>https://www.bing.com/financeapi/forcetrigger?t=a1uj52&amp;q=XNYS%3aHD&amp;form=skydnc</v>
    <v>Learn more on Bing</v>
  </rv>
  <rv s="1">
    <v>en-US</v>
    <v>a1uj52</v>
    <v>268435456</v>
    <v>1</v>
    <v>Powered by Refinitiv</v>
    <v>0</v>
    <v>THE HOME DEPOT, INC. (XNYS:HD)</v>
    <v>2</v>
    <v>3</v>
    <v>Finance</v>
    <v>4</v>
    <v>420.61</v>
    <v>288.5</v>
    <v>0.97809999999999997</v>
    <v>2.72</v>
    <v>4.7129999999999996E-4</v>
    <v>9.2420000000000002E-3</v>
    <v>0.14000000000000001</v>
    <v>USD</v>
    <v>The Home Depot, Inc. is a home improvement retailer. The Company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approximately 2,317 stores located throughout the United States (U.S.), including the Commonwealth of Puerto Rico and the territories of the U.S. Virgin Islands and Guam; Canada, and Mexico. The Company serves two primary customer groups: do-it-yourself (DIY) Customers and Professional Customers (Pros). DIY Customers include homeowners who purchase products and complete their own projects and installations. Pros are primarily professional renovators/remodelers, general contractors, handymen, property managers, building service contractors and specialty tradesmen, such as electricians, plumbers and painters.</v>
    <v>490600</v>
    <v>New York Stock Exchange</v>
    <v>XNYS</v>
    <v>XNYS</v>
    <v>2455 Paces Ferry Rd SE, ATLANTA, GA, 30339-6444 US</v>
    <v>300.74</v>
    <v>Specialty Retailers</v>
    <v>Stock</v>
    <v>44690.998651539063</v>
    <v>102</v>
    <v>288.5</v>
    <v>304129800000</v>
    <v>THE HOME DEPOT, INC.</v>
    <v>THE HOME DEPOT, INC.</v>
    <v>290.27999999999997</v>
    <v>18.966699999999999</v>
    <v>294.31</v>
    <v>297.02999999999997</v>
    <v>297.17</v>
    <v>1033366000</v>
    <v>HD</v>
    <v>THE HOME DEPOT, INC. (XNYS:HD)</v>
    <v>5243628</v>
    <v>4303294</v>
    <v>1978</v>
  </rv>
  <rv s="2">
    <v>103</v>
  </rv>
  <rv s="0">
    <v>http://en.wikipedia.org/wiki/IBM</v>
    <v>Wikipedia</v>
  </rv>
  <rv s="3">
    <v>6</v>
    <v>105</v>
  </rv>
  <rv s="4">
    <v>9</v>
    <v>https://www.bing.com/th?id=AMMS_41da901be1b295dc42c72dadb9c0f67d&amp;qlt=95</v>
    <v>106</v>
    <v>0</v>
    <v>https://www.bing.com/images/search?form=xlimg&amp;q=ibm</v>
    <v>Image of INTERNATIONAL BUSINESS MACHINES CORPORATION</v>
  </rv>
  <rv s="0">
    <v>https://www.bing.com/financeapi/forcetrigger?t=a1v6nm&amp;q=XNYS%3aIBM&amp;form=skydnc</v>
    <v>Learn more on Bing</v>
  </rv>
  <rv s="5">
    <v>en-US</v>
    <v>a1v6nm</v>
    <v>268435456</v>
    <v>1</v>
    <v>Powered by Refinitiv</v>
    <v>5</v>
    <v>INTERNATIONAL BUSINESS MACHINES CORPORATION (XNYS:IBM)</v>
    <v>7</v>
    <v>8</v>
    <v>Finance</v>
    <v>4</v>
    <v>145.9873</v>
    <v>114.56</v>
    <v>0.99750000000000005</v>
    <v>-1.5799000000000001</v>
    <v>1.4880000000000001E-4</v>
    <v>-1.1615E-2</v>
    <v>0.02</v>
    <v>USD</v>
    <v>International Business Machines Corporation (IBM) is a technology company. The Company segments include Cloud &amp; Cognitive Software, Global Business Services (GBS), Systems and Global Financing. The Cloud &amp; Cognitive Software Solutions segment delivers integrated and secure cloud, data and artificial intelligence (AI) solutions to its clients. It comprises three business areas: cognitive applications, cloud &amp; data platforms, and transaction processing platforms. The GBS segment provides consulting, business process and application management services. The Global Financing segment is engaged in financing, which is primarily conducted through IBM Credit LLC, and remanufacturing and remarketing. The Systems segment provides clients with infrastructure platforms to help meet the requirements of hybrid multi-cloud and enterprise AI workloads. It also provides telco consulting services and solutions to help communications service providers (CSP) and media on multiple cloud platforms.</v>
    <v>307600</v>
    <v>New York Stock Exchange</v>
    <v>XNYS</v>
    <v>XNYS</v>
    <v>1 New Orchard Rd, ARMONK, NY, 10504-1722 US</v>
    <v>136.345</v>
    <v>107</v>
    <v>Software &amp; IT Services</v>
    <v>Stock</v>
    <v>44690.999850207816</v>
    <v>108</v>
    <v>133.315</v>
    <v>123825300000</v>
    <v>INTERNATIONAL BUSINESS MACHINES CORPORATION</v>
    <v>INTERNATIONAL BUSINESS MACHINES CORPORATION</v>
    <v>134.41</v>
    <v>21.7028</v>
    <v>136.01990000000001</v>
    <v>134.44</v>
    <v>134.46</v>
    <v>899435300</v>
    <v>IBM</v>
    <v>INTERNATIONAL BUSINESS MACHINES CORPORATION (XNYS:IBM)</v>
    <v>7647933</v>
    <v>5391454</v>
    <v>1911</v>
  </rv>
  <rv s="2">
    <v>109</v>
  </rv>
  <rv s="0">
    <v>https://www.bing.com/financeapi/forcetrigger?t=a1vmtc&amp;q=XNAS%3aINTU&amp;form=skydnc</v>
    <v>Learn more on Bing</v>
  </rv>
  <rv s="1">
    <v>en-US</v>
    <v>a1vmtc</v>
    <v>268435456</v>
    <v>1</v>
    <v>Powered by Refinitiv</v>
    <v>0</v>
    <v>INTUIT INC. (XNAS:INTU)</v>
    <v>2</v>
    <v>3</v>
    <v>Finance</v>
    <v>4</v>
    <v>716.86</v>
    <v>363.76499999999999</v>
    <v>1.1538999999999999</v>
    <v>-28.7</v>
    <v>6.5120000000000004E-3</v>
    <v>-7.2527999999999995E-2</v>
    <v>2.39</v>
    <v>USD</v>
    <v>Intuit Inc. is a global technology platform that helps consumers, small businesses, and the self-employed prosper by delivering financial management and compliance products and services. The Company operates through three segments: Small Business &amp; Self-Employed, Consumer and Strategic Partner. The Small Business segment serves small businesses and the self-employed around the world and includes QuickBooks financial and business management online services and desktop software, payroll solutions, merchant payment processing solutions, and financing for small businesses. The Consumer segment serves consumers and includes do-it-yourself and assisted TurboTax income tax preparation products and services, which enable individuals to prepare and file their own federal and state personal income tax returns. The Strategic Partner segment serves professional accountants in the United States and Canada. Its professional tax offerings include Lacerte, ProSeries, ProFile and ProConnect Tax Online.</v>
    <v>13500</v>
    <v>Nasdaq Stock Market</v>
    <v>XNAS</v>
    <v>XNAS</v>
    <v>2700 Coast Ave, MOUNTAIN VIEW, CA, 94043-1140 US</v>
    <v>390.93</v>
    <v>Financial Technology (Fintech) &amp; Infrastructure</v>
    <v>Stock</v>
    <v>44690.995452650001</v>
    <v>111</v>
    <v>363.76499999999999</v>
    <v>103795015625</v>
    <v>INTUIT INC.</v>
    <v>INTUIT INC.</v>
    <v>386.83</v>
    <v>50.486800000000002</v>
    <v>395.71</v>
    <v>367.01</v>
    <v>369.4</v>
    <v>282812500</v>
    <v>INTU</v>
    <v>INTUIT INC. (XNAS:INTU)</v>
    <v>3485197</v>
    <v>1682077</v>
    <v>1993</v>
  </rv>
  <rv s="2">
    <v>112</v>
  </rv>
  <rv s="0">
    <v>https://www.bing.com/financeapi/forcetrigger?t=a1vxoc&amp;q=ARCX%3aIWP&amp;form=skydnc</v>
    <v>Learn more on Bing</v>
  </rv>
  <rv s="6">
    <v>en-US</v>
    <v>a1vxoc</v>
    <v>268435456</v>
    <v>1</v>
    <v>Powered by Refinitiv</v>
    <v>10</v>
    <v>iShares:Russ MC Gr (ARCX:IWP)</v>
    <v>11</v>
    <v>12</v>
    <v>Finance</v>
    <v>13</v>
    <v>123.45</v>
    <v>80.819999999999993</v>
    <v>0.99980000000000002</v>
    <v>-4.71</v>
    <v>1.5146E-2</v>
    <v>-5.4817999999999999E-2</v>
    <v>1.23</v>
    <v>USD</v>
    <v>NYSE Arca</v>
    <v>ARCX</v>
    <v>2.3E-3</v>
    <v>84.68</v>
    <v>ETF</v>
    <v>44691.000000624997</v>
    <v>114</v>
    <v>80.819999999999993</v>
    <v>12006212618.48</v>
    <v>iShares:Russ MC Gr</v>
    <v>84.34</v>
    <v>85.92</v>
    <v>81.209999999999994</v>
    <v>82.44</v>
    <v>IWP</v>
    <v>iShares:Russ MC Gr (ARCX:IWP)</v>
    <v>3072025</v>
    <v>1222700</v>
  </rv>
  <rv s="2">
    <v>115</v>
  </rv>
  <rv s="0">
    <v>https://www.bing.com/financeapi/forcetrigger?t=a1w8ec&amp;q=XNYS%3aJNJ&amp;form=skydnc</v>
    <v>Learn more on Bing</v>
  </rv>
  <rv s="1">
    <v>en-US</v>
    <v>a1w8ec</v>
    <v>268435456</v>
    <v>1</v>
    <v>Powered by Refinitiv</v>
    <v>0</v>
    <v>JOHNSON &amp; JOHNSON (XNYS:JNJ)</v>
    <v>2</v>
    <v>3</v>
    <v>Finance</v>
    <v>4</v>
    <v>186.69</v>
    <v>155.72</v>
    <v>0.65959999999999996</v>
    <v>0.96</v>
    <v>2.2560000000000001E-4</v>
    <v>5.4429999999999999E-3</v>
    <v>0.04</v>
    <v>USD</v>
    <v>Johnson &amp; Johnson is a holding company that is engaged in the research and development, manufacture and sale of a range of products in the healthcare field. The Company operates through three segments: Consumer Health, Pharmaceutical and Medical Devices. Its primary focus is products related to human health and well-being. The Consumer Health segment includes a range of products that is focused on personal healthcare used in the skin health/beauty, over-the-counter medicines, baby care, oral care, women’s health and wound care markets. The Pharmaceutical segment is focused on six therapeutic areas: Immunology, Infectious Diseases, Neuroscience, Oncology, Cardiovascular and Metabolism and Pulmonary Hypertension. The Medical Devices segment includes a range of products used in the interventional solutions, orthopaedics, surgery, and vision fields. Its geographic area includes the United States, Europe, Western Hemisphere (excluding the United States), and Africa, Asia and Pacific.</v>
    <v>141700</v>
    <v>New York Stock Exchange</v>
    <v>XNYS</v>
    <v>XNYS</v>
    <v>One Johnson &amp; Johnson Plaza, NEW BRUNSWICK, NJ, 08933 US</v>
    <v>178.56</v>
    <v>Pharmaceuticals</v>
    <v>Stock</v>
    <v>44690.999663842187</v>
    <v>117</v>
    <v>174.59</v>
    <v>466626516660</v>
    <v>JOHNSON &amp; JOHNSON</v>
    <v>JOHNSON &amp; JOHNSON</v>
    <v>175.45</v>
    <v>23.756399999999999</v>
    <v>176.37</v>
    <v>177.33</v>
    <v>177.37</v>
    <v>2631402000</v>
    <v>JNJ</v>
    <v>JOHNSON &amp; JOHNSON (XNYS:JNJ)</v>
    <v>7855212</v>
    <v>7837919</v>
    <v>1887</v>
  </rv>
  <rv s="2">
    <v>118</v>
  </rv>
  <rv s="0">
    <v>https://www.bing.com/financeapi/forcetrigger?t=a1wljc&amp;q=XNYS%3aKO&amp;form=skydnc</v>
    <v>Learn more on Bing</v>
  </rv>
  <rv s="1">
    <v>en-US</v>
    <v>a1wljc</v>
    <v>268435456</v>
    <v>1</v>
    <v>Powered by Refinitiv</v>
    <v>0</v>
    <v>THE COCA-COLA COMPANY (XNYS:KO)</v>
    <v>2</v>
    <v>3</v>
    <v>Finance</v>
    <v>4</v>
    <v>67.2</v>
    <v>52.28</v>
    <v>0.58340000000000003</v>
    <v>-0.13</v>
    <v>4.3340000000000002E-3</v>
    <v>-2.0080000000000002E-3</v>
    <v>0.28000000000000003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hydration, sports, coffee and tea; nutrition, juice, dairy and plant-based beverages; and emerging beverages. It owns and markets five nonalcoholic sparkling soft drink brands, such as Coca-Cola, Sprite, Fanta, Diet Coke and Coca-Cola Zero Sugar. Its hydration, sports, coffee and tea brands include quarius, Ayataka, BODYARMOR, Ciel, Costa, dogadan, Dasani, FUZE TEA, Georgia, glaceau smartwater, glaceau vitaminwater, Gold Peak, Powerade and others. Its nutrition, juice, dairy and plant-based beverages brands include AdeS, Del Valle, fairlife, innocent, Minute Maid, Minute Maid Pulpy and Simply. Its products are available to consumers in more than 200 countries.</v>
    <v>79000</v>
    <v>New York Stock Exchange</v>
    <v>XNYS</v>
    <v>XNYS</v>
    <v>1 Coca Cola Plz NW, ATLANTA, GA, 30313-2420 US</v>
    <v>65.364999999999995</v>
    <v>Beverages</v>
    <v>Stock</v>
    <v>44690.999719895313</v>
    <v>120</v>
    <v>64.040000000000006</v>
    <v>280086223690</v>
    <v>THE COCA-COLA COMPANY</v>
    <v>THE COCA-COLA COMPANY</v>
    <v>64.47</v>
    <v>27.305</v>
    <v>64.739999999999995</v>
    <v>64.61</v>
    <v>64.89</v>
    <v>4335029000</v>
    <v>KO</v>
    <v>THE COCA-COLA COMPANY (XNYS:KO)</v>
    <v>20055332</v>
    <v>17007121</v>
    <v>1919</v>
  </rv>
  <rv s="2">
    <v>121</v>
  </rv>
  <rv s="0">
    <v>https://www.bing.com/financeapi/forcetrigger?t=b6m84c&amp;q=XNAS%3aLYFT&amp;form=skydnc</v>
    <v>Learn more on Bing</v>
  </rv>
  <rv s="10">
    <v>en-US</v>
    <v>b6m84c</v>
    <v>268435456</v>
    <v>1</v>
    <v>Powered by Refinitiv</v>
    <v>16</v>
    <v>LYFT, INC. (XNAS:LYFT)</v>
    <v>2</v>
    <v>17</v>
    <v>Finance</v>
    <v>4</v>
    <v>63.07</v>
    <v>18.399999999999999</v>
    <v>-1.9</v>
    <v>-8.5979999999999997E-3</v>
    <v>-9.2637999999999998E-2</v>
    <v>-0.16</v>
    <v>USD</v>
    <v>Lyft, Inc. owns and operates multimodal transportation networks in the United States and Canada that offer access to a variety of transportation options through its platform and mobile-based applications. The Lyft Platform provides a marketplace where drivers are matched with riders via the Lyft App. Transportation options through the Company's platform and mobile-based applications are comprised of its ridesharing marketplace that connects drivers and riders in cities across the United States and Canada; Lyft's network of Light Vehicles; the Express Drive program, where drivers can enter into short-term rental agreements with Flexdrive or a third party for vehicles is used to provide ridesharing services, and Lyft Rentals, a consumer offering for users who want to rent a car for a fixed period of time for personal use, and Lyft Driver Centers and Lyft Auto Care, where drivers and riders can request auto maintenance and collision repair services offered through the Lyft Platform.</v>
    <v>4453</v>
    <v>Nasdaq Stock Market</v>
    <v>XNAS</v>
    <v>XNAS</v>
    <v>185 Berry St Ste 5000, SAN FRANCISCO, CA, 94107-2503 US</v>
    <v>20.64</v>
    <v>Software &amp; IT Services</v>
    <v>Stock</v>
    <v>44690.999973853905</v>
    <v>123</v>
    <v>18.399999999999999</v>
    <v>6486735098</v>
    <v>LYFT, INC.</v>
    <v>LYFT, INC.</v>
    <v>19.850000000000001</v>
    <v>20.51</v>
    <v>18.61</v>
    <v>18.45</v>
    <v>348561800</v>
    <v>LYFT</v>
    <v>LYFT, INC. (XNAS:LYFT)</v>
    <v>22056843</v>
    <v>12484144</v>
    <v>2007</v>
  </rv>
  <rv s="2">
    <v>124</v>
  </rv>
  <rv s="0">
    <v>https://www.bing.com/financeapi/forcetrigger?t=a1x8w7&amp;q=XNYS%3aMA&amp;form=skydnc</v>
    <v>Learn more on Bing</v>
  </rv>
  <rv s="1">
    <v>en-US</v>
    <v>a1x8w7</v>
    <v>268435456</v>
    <v>1</v>
    <v>Powered by Refinitiv</v>
    <v>0</v>
    <v>MASTERCARD INCORPORATED. (XNYS:MA)</v>
    <v>2</v>
    <v>3</v>
    <v>Finance</v>
    <v>4</v>
    <v>399.92</v>
    <v>305.60500000000002</v>
    <v>1.0065</v>
    <v>-19.13</v>
    <v>7.5309999999999995E-3</v>
    <v>-5.5111E-2</v>
    <v>2.4700000000000002</v>
    <v>USD</v>
    <v>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It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Its products include consumer credit, consumer debit, prepaid and commercial credit and debit. It also provides integrated offerings such as cyber and intelligence products, information and analytics services, identity verification services, consulting, loyalty and reward programs, processing and open banking.</v>
    <v>24000</v>
    <v>New York Stock Exchange</v>
    <v>XNYS</v>
    <v>XNYS</v>
    <v>2000 Purchase St, PURCHASE, NY, 10577-2405 US</v>
    <v>342.39</v>
    <v>Software &amp; IT Services</v>
    <v>Stock</v>
    <v>44690.99966704844</v>
    <v>126</v>
    <v>324.89</v>
    <v>319017735153</v>
    <v>MASTERCARD INCORPORATED.</v>
    <v>MASTERCARD INCORPORATED.</v>
    <v>341</v>
    <v>36.122100000000003</v>
    <v>347.12</v>
    <v>327.99</v>
    <v>330.46</v>
    <v>972644700</v>
    <v>MA</v>
    <v>MASTERCARD INCORPORATED. (XNYS:MA)</v>
    <v>5777431</v>
    <v>3434392</v>
    <v>2001</v>
  </rv>
  <rv s="2">
    <v>127</v>
  </rv>
  <rv s="0">
    <v>http://en.wikipedia.org/wiki/McDonald's</v>
    <v>Wikipedia</v>
  </rv>
  <rv s="3">
    <v>6</v>
    <v>129</v>
  </rv>
  <rv s="4">
    <v>9</v>
    <v>https://www.bing.com/th?id=AMMS_7d8255243964a8970376f8dd41121106&amp;qlt=95</v>
    <v>130</v>
    <v>0</v>
    <v>https://www.bing.com/images/search?form=xlimg&amp;q=mcdonald%27s</v>
    <v>Image of MCDONALD'S CORPORATION</v>
  </rv>
  <rv s="0">
    <v>https://www.bing.com/financeapi/forcetrigger?t=a1xdec&amp;q=XNYS%3aMCD&amp;form=skydnc</v>
    <v>Learn more on Bing</v>
  </rv>
  <rv s="5">
    <v>en-US</v>
    <v>a1xdec</v>
    <v>268435456</v>
    <v>1</v>
    <v>Powered by Refinitiv</v>
    <v>5</v>
    <v>MCDONALD'S CORPORATION (XNYS:MCD)</v>
    <v>7</v>
    <v>8</v>
    <v>Finance</v>
    <v>4</v>
    <v>271.14999999999998</v>
    <v>217.67500000000001</v>
    <v>0.56930000000000003</v>
    <v>-3.29</v>
    <v>2.0609999999999999E-3</v>
    <v>-1.3119E-2</v>
    <v>0.51</v>
    <v>USD</v>
    <v>McDonald's Corporation (McDonald's) operates and franchises McDonald's restaurants. The Company's restaurants serve a locally relevant menu of food and beverages. Its restaurants are owned and operated by independent local business owners. The Company's segments include United States (U.S.), International Operated Markets (IOM) and International Developmental Licensed Markets &amp; Corporate (IDL). The U.S. segment focuses on Company's menu and offerings, as well as delivery and digital platforms. Its IOM segment includes its operations in markets, such as Australia, Canada, France, Germany, Italy, the Netherlands, Russia, Spain, and the United Kingdom. Its IDL segment includes its operations in markets, such as Latin America and Asia. Its digital offerings include drive thru, takeaway, delivery, curbside pick-up and dine-in. Its menu includes hamburgers and cheeseburgers, Big Mac, Quarter Pounder with Cheese, Filet-O-Fish, wraps, soft drinks, coffee, McCafe beverages and other beverages.</v>
    <v>200000</v>
    <v>New York Stock Exchange</v>
    <v>XNYS</v>
    <v>XNYS</v>
    <v>110 N Carpenter St, CHICAGO, IL, 60607-2104 US</v>
    <v>249.9</v>
    <v>131</v>
    <v>Hotels &amp; Entertainment Services</v>
    <v>Stock</v>
    <v>44690.998149270315</v>
    <v>132</v>
    <v>246.79</v>
    <v>183030462281</v>
    <v>MCDONALD'S CORPORATION</v>
    <v>MCDONALD'S CORPORATION</v>
    <v>247</v>
    <v>26.494399999999999</v>
    <v>250.78</v>
    <v>247.49</v>
    <v>248</v>
    <v>739546900</v>
    <v>MCD</v>
    <v>MCDONALD'S CORPORATION (XNYS:MCD)</v>
    <v>2918862</v>
    <v>2690180</v>
    <v>1964</v>
  </rv>
  <rv s="2">
    <v>133</v>
  </rv>
  <rv s="0">
    <v>http://commons.wikimedia.org/wiki/File:MongoDB_Logo.svg</v>
    <v>&lt;a rel="nofollow" class="external text" href="https://www.mongodb.com/legal/trademark-usage-guidelines"&gt;MongoDB, Inc.&lt;/a&gt;</v>
  </rv>
  <rv s="0">
    <v>http://en.wikipedia.org/wiki/MongoDB_Inc.</v>
    <v>Wikipedia</v>
  </rv>
  <rv s="3">
    <v>135</v>
    <v>136</v>
  </rv>
  <rv s="4">
    <v>9</v>
    <v>https://www.bing.com/th?id=AMMS_e1db2e3234bc1bb199e8aee07d2a0340&amp;qlt=95</v>
    <v>137</v>
    <v>0</v>
    <v>https://www.bing.com/images/search?form=xlimg&amp;q=10gen</v>
    <v>Image of MONGODB, INC.</v>
  </rv>
  <rv s="0">
    <v>https://www.bing.com/financeapi/forcetrigger?t=a1xf1h&amp;q=XNAS%3aMDB&amp;form=skydnc</v>
    <v>Learn more on Bing</v>
  </rv>
  <rv s="12">
    <v>en-US</v>
    <v>a1xf1h</v>
    <v>268435456</v>
    <v>1</v>
    <v>Powered by Refinitiv</v>
    <v>20</v>
    <v>MONGODB, INC. (XNAS:MDB)</v>
    <v>7</v>
    <v>21</v>
    <v>Finance</v>
    <v>4</v>
    <v>590</v>
    <v>238.01</v>
    <v>0.98580000000000001</v>
    <v>-46.99</v>
    <v>-7.9139999999999991E-5</v>
    <v>-0.15678500000000001</v>
    <v>-0.02</v>
    <v>USD</v>
    <v>MongoDB, Inc. is a modern, general purpose database platform. Its platform enables developers to build and modernize applications across a range of use cases in the cloud, on-premise or in a hybrid environment. Its primary commercial database offering is MongoDB Enterprise Advanced, which includes its proprietary database server, enterprise management capabilities, analytics integrations and technical support. It also offers MongoDB Atlas, its cloud hosted database-as-a-service (DBaaS) offering that includes infrastructure and management of its community server offering. MongoDB Atlas is available on cloud providers in North America, Europe and Asia Pacific. The Company’s MongoDB enterprise database server, called Enterprise Server, is its proprietary database. The Company’s other products include Community Server, a free-to-download version of its database. The Company also provides professional services to its customers, including consulting and training.</v>
    <v>3544</v>
    <v>Nasdaq Stock Market</v>
    <v>XNAS</v>
    <v>XNAS</v>
    <v>1633 Broadway Fl 38, NEW YORK, NY, 10019-6763 US</v>
    <v>293.13</v>
    <v>138</v>
    <v>Software &amp; IT Services</v>
    <v>Stock</v>
    <v>44690.999662962502</v>
    <v>139</v>
    <v>249.01</v>
    <v>17075365444</v>
    <v>MONGODB, INC.</v>
    <v>MONGODB, INC.</v>
    <v>290.62</v>
    <v>299.70999999999998</v>
    <v>252.72</v>
    <v>252.7</v>
    <v>67566340</v>
    <v>MDB</v>
    <v>MONGODB, INC. (XNAS:MDB)</v>
    <v>2706826</v>
    <v>1101561</v>
    <v>2007</v>
  </rv>
  <rv s="2">
    <v>140</v>
  </rv>
  <rv s="0">
    <v>https://en.wikipedia.org/wiki/Microsoft</v>
    <v>Wikipedia</v>
  </rv>
  <rv s="3">
    <v>6</v>
    <v>142</v>
  </rv>
  <rv s="4">
    <v>9</v>
    <v>https://www.bing.com/th?id=AMMS_e6e837c7bf3a77408619758b7447855a&amp;qlt=95</v>
    <v>143</v>
    <v>0</v>
    <v>https://www.bing.com/images/search?form=xlimg&amp;q=microsoft</v>
    <v>Image of MICROSOFT CORPORATION</v>
  </rv>
  <rv s="0">
    <v>https://www.bing.com/financeapi/forcetrigger?t=a1xzim&amp;q=XNAS%3aMSFT&amp;form=skydnc</v>
    <v>Learn more on Bing</v>
  </rv>
  <rv s="5">
    <v>en-US</v>
    <v>a1xzim</v>
    <v>268435456</v>
    <v>1</v>
    <v>Powered by Refinitiv</v>
    <v>5</v>
    <v>MICROSOFT CORPORATION (XNAS:MSFT)</v>
    <v>7</v>
    <v>8</v>
    <v>Finance</v>
    <v>4</v>
    <v>349.67</v>
    <v>238.07</v>
    <v>0.93820000000000003</v>
    <v>-10.15</v>
    <v>2.343E-3</v>
    <v>-3.6944999999999999E-2</v>
    <v>0.62</v>
    <v>USD</v>
    <v>Microsoft Corporation is a technology company. The Company develops and supports a range of software products, services, devices, and solutions.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and video games. It also designs, manufactures, and sells devices, including personal computers (PCs), tablets, gaming and entertainment consoles, other intelligent devices, and related accessories. It offers an array of services, including cloud-based solutions that provide customers with software, services, platforms, and content, and it provides solution support and consulting services. It markets and distributes its products and services through original equipment manufacturers, direct, and distributors and resellers.</v>
    <v>181000</v>
    <v>Nasdaq Stock Market</v>
    <v>XNAS</v>
    <v>XNAS</v>
    <v>1 Microsoft Way, REDMOND, WA, 98052-6399 US</v>
    <v>272.36</v>
    <v>144</v>
    <v>Software &amp; IT Services</v>
    <v>Stock</v>
    <v>44690.999999015628</v>
    <v>145</v>
    <v>263.32</v>
    <v>1978802551140</v>
    <v>MICROSOFT CORPORATION</v>
    <v>MICROSOFT CORPORATION</v>
    <v>270.06</v>
    <v>28.6629</v>
    <v>274.73</v>
    <v>264.58</v>
    <v>265.2</v>
    <v>7479033000</v>
    <v>MSFT</v>
    <v>MICROSOFT CORPORATION (XNAS:MSFT)</v>
    <v>47725952</v>
    <v>32126373</v>
    <v>1993</v>
  </rv>
  <rv s="2">
    <v>146</v>
  </rv>
  <rv s="0">
    <v>https://www.bing.com/financeapi/forcetrigger?t=a1y327&amp;q=XNYS%3aMTH&amp;form=skydnc</v>
    <v>Learn more on Bing</v>
  </rv>
  <rv s="1">
    <v>en-US</v>
    <v>a1y327</v>
    <v>268435456</v>
    <v>1</v>
    <v>Powered by Refinitiv</v>
    <v>0</v>
    <v>MERITAGE HOMES CORPORATION (XNYS:MTH)</v>
    <v>2</v>
    <v>3</v>
    <v>Finance</v>
    <v>4</v>
    <v>125.01</v>
    <v>75.56</v>
    <v>1.5570999999999999</v>
    <v>0.24</v>
    <v>0</v>
    <v>2.8910000000000003E-3</v>
    <v>0</v>
    <v>USD</v>
    <v>Meritage Homes Corporation is a designer and builder of single-family homes. The Company’s segments include Homebuilding and Financial Services. The Homebuilding segment is engaged in the business of acquiring and developing land, constructing homes, marketing and selling those homes and providing warranty and customer services. In addition, Homebuilding operations consist of three regions West, Central and East, which includes nine states Arizona, California, Colorado, Texas, Florida, Georgia, North Carolina, South Carolina and Tennessee. Financial services reporting segment, which offers title and escrow, mortgage, and insurance services. Its financial services operations also provide mortgage services to its homebuyers through an unconsolidated joint venture. The Company also operates Carefree Title Agency, Inc. (Carefree Title) company. Carefree Title's core business includes title insurance and closing/settlement services to its homebuyers.</v>
    <v>1773</v>
    <v>New York Stock Exchange</v>
    <v>XNYS</v>
    <v>XNYS</v>
    <v>8800 East Raintree Drive, Suite 300, SCOTTSDALE, AZ US</v>
    <v>85.36</v>
    <v>Homebuilding &amp; Construction Supplies</v>
    <v>Stock</v>
    <v>44690.958333356248</v>
    <v>148</v>
    <v>81.677899999999994</v>
    <v>3054862912</v>
    <v>MERITAGE HOMES CORPORATION</v>
    <v>MERITAGE HOMES CORPORATION</v>
    <v>81.87</v>
    <v>3.8361999999999998</v>
    <v>83.01</v>
    <v>83.25</v>
    <v>83.25</v>
    <v>36695050</v>
    <v>MTH</v>
    <v>MERITAGE HOMES CORPORATION (XNYS:MTH)</v>
    <v>354492</v>
    <v>393137</v>
    <v>1988</v>
  </rv>
  <rv s="2">
    <v>149</v>
  </rv>
  <rv s="0">
    <v>https://www.bing.com/financeapi/forcetrigger?t=a1y4oc&amp;q=XNAS%3aMU&amp;form=skydnc</v>
    <v>Learn more on Bing</v>
  </rv>
  <rv s="1">
    <v>en-US</v>
    <v>a1y4oc</v>
    <v>268435456</v>
    <v>1</v>
    <v>Powered by Refinitiv</v>
    <v>0</v>
    <v>MICRON TECHNOLOGY, INC. (XNAS:MU)</v>
    <v>2</v>
    <v>3</v>
    <v>Finance</v>
    <v>4</v>
    <v>98.45</v>
    <v>65.67</v>
    <v>1.1756</v>
    <v>-2.42</v>
    <v>2.8710000000000003E-3</v>
    <v>-3.4398999999999999E-2</v>
    <v>0.19500000000000001</v>
    <v>USD</v>
    <v>Micron Technology, Inc. offers memory and storage solutions. The Company's portfolio of memory and storage technologies, including dynamic random-access memory (DRAM), negative-AND (NAND), three-dimensional (3D) XPoint memory, and NOR. Its brands include Micron and Crucial. Its business segments include Compute and Networking Business Unit (CNBU), which includes memory products sold into client, cloud server, enterprise, graphics, and networking markets; Mobile Business Unit (MBU), which includes memory products sold into smartphone and other mobile-device markets; Storage Business Unit (SBU), which includes solid state drives (SSDs) and solutions sold into enterprise, cloud, client, and consumer storage markets, other storage products sold in component and wafer form, and Embedded Business Unit (EBU), which includes memory and storage products sold into automotive, industrial, and consumer markets.</v>
    <v>43000</v>
    <v>Nasdaq Stock Market</v>
    <v>XNAS</v>
    <v>XNAS</v>
    <v>8000 S Federal Way, Po Box 6, BOISE, ID, 83716-9632 US</v>
    <v>71.400000000000006</v>
    <v>Semiconductors &amp; Semiconductor Equipment</v>
    <v>Stock</v>
    <v>44690.99961918906</v>
    <v>151</v>
    <v>67.48</v>
    <v>75855189310</v>
    <v>MICRON TECHNOLOGY, INC.</v>
    <v>MICRON TECHNOLOGY, INC.</v>
    <v>69.2</v>
    <v>8.8574000000000002</v>
    <v>70.349999999999994</v>
    <v>67.930000000000007</v>
    <v>68.125</v>
    <v>1116667000</v>
    <v>MU</v>
    <v>MICRON TECHNOLOGY, INC. (XNAS:MU)</v>
    <v>21770876</v>
    <v>19484425</v>
    <v>1984</v>
  </rv>
  <rv s="2">
    <v>152</v>
  </rv>
  <rv s="0">
    <v>https://www.bing.com/financeapi/forcetrigger?t=brh6oc&amp;q=XNYS%3aNET&amp;form=skydnc</v>
    <v>Learn more on Bing</v>
  </rv>
  <rv s="9">
    <v>en-US</v>
    <v>brh6oc</v>
    <v>268435456</v>
    <v>1</v>
    <v>Powered by Refinitiv</v>
    <v>14</v>
    <v>CLOUDFLARE, INC. (XNYS:NET)</v>
    <v>2</v>
    <v>15</v>
    <v>Finance</v>
    <v>4</v>
    <v>221.64</v>
    <v>56</v>
    <v>-9.0500000000000007</v>
    <v>-9.5469999999999999E-3</v>
    <v>-0.137936</v>
    <v>-0.54</v>
    <v>USD</v>
    <v>Cloudflare, Inc. is a global cloud services provider that delivers a range of services to businesses of all sizes and in all geographies. The Company's network serves as a scalable, unified control plane to deliver security, performance, and reliability across on-premise, hybrid, cloud, and software-as-a-service (SaaS) applications. The Company's integrated suite of products consists of solutions for an organization's external-facing infrastructure, such as Websites, applications, and application programming interfaces (APIs) to deliver security, performance, and reliability; solutions to serve an organization's internal resources, such as Internal networks and devices; developer-based solutions, and consumer offerings. Its security products include Cloud Firewall, Bot Management, Unmetered Mitigation, Cloudflare Orbit, SSL for SaaS, Dedicated &amp; Custom Certs and others. Its performance products include Content Delivery, Intelligent Routing, Content Optimization and others.</v>
    <v>2751</v>
    <v>New York Stock Exchange</v>
    <v>XNYS</v>
    <v>XNYS</v>
    <v>101 Townsend St, SAN FRANCISCO, CA, 94107-1934 US</v>
    <v>64.42</v>
    <v>Software &amp; IT Services</v>
    <v>Stock</v>
    <v>44690.999849883592</v>
    <v>154</v>
    <v>56</v>
    <v>18441014704</v>
    <v>CLOUDFLARE, INC.</v>
    <v>CLOUDFLARE, INC.</v>
    <v>63.17</v>
    <v>0</v>
    <v>65.61</v>
    <v>56.56</v>
    <v>56.02</v>
    <v>326043400</v>
    <v>NET</v>
    <v>CLOUDFLARE, INC. (XNYS:NET)</v>
    <v>9819312</v>
    <v>4535523</v>
    <v>2009</v>
  </rv>
  <rv s="2">
    <v>155</v>
  </rv>
  <rv s="0">
    <v>https://www.bing.com/financeapi/forcetrigger?t=a1ygoc&amp;q=XNAS%3aNFLX&amp;form=skydnc</v>
    <v>Learn more on Bing</v>
  </rv>
  <rv s="1">
    <v>en-US</v>
    <v>a1ygoc</v>
    <v>268435456</v>
    <v>1</v>
    <v>Powered by Refinitiv</v>
    <v>0</v>
    <v>NETFLIX, INC. (XNAS:NFLX)</v>
    <v>2</v>
    <v>3</v>
    <v>Finance</v>
    <v>4</v>
    <v>700.98940000000005</v>
    <v>172.3</v>
    <v>1.2826</v>
    <v>-7.87</v>
    <v>-1.444E-3</v>
    <v>-4.3487999999999999E-2</v>
    <v>-0.25</v>
    <v>USD</v>
    <v>Netflix, Inc. is an entertainment services company. The Company has paid streaming memberships in over 190 countries, and it allows members to watch a variety of television (TV) series, documentaries, feature films and mobile games across a variety of genres and languages. Its members can watch as much as they want, anytime, anywhere, on any Internet-connected screen. Members can play, pause and resume watching, without commercials. Additionally, the Company offers its digital versatile disk (DVD) -by-mail service in the United States. It offers a variety of streaming membership plans, the price of which varies by country and the features of the plan. The pricing of its plans ranges from U.S. dollar equivalent of approximately $2 to $27 per month. It members can watch streaming content through a host of Internet-connected devices, including TVs, digital video players, TV set-top boxes and mobile devices. It acquires, licenses and produces content, including original programming.</v>
    <v>11300</v>
    <v>Nasdaq Stock Market</v>
    <v>XNAS</v>
    <v>XNAS</v>
    <v>100 Winchester Cir, LOS GATOS, CA, 95032-1815 US</v>
    <v>183.2</v>
    <v>Software &amp; IT Services</v>
    <v>Stock</v>
    <v>44690.999998842184</v>
    <v>157</v>
    <v>172.3</v>
    <v>76903812090</v>
    <v>NETFLIX, INC.</v>
    <v>NETFLIX, INC.</v>
    <v>177.655</v>
    <v>17.303899999999999</v>
    <v>180.97</v>
    <v>173.1</v>
    <v>172.85</v>
    <v>444273900</v>
    <v>NFLX</v>
    <v>NETFLIX, INC. (XNAS:NFLX)</v>
    <v>14031327</v>
    <v>18925577</v>
    <v>1997</v>
  </rv>
  <rv s="2">
    <v>158</v>
  </rv>
  <rv s="0">
    <v>https://www.bing.com/financeapi/forcetrigger?t=bjqejc&amp;q=XNYS%3aNIO&amp;form=skydnc</v>
    <v>Learn more on Bing</v>
  </rv>
  <rv s="1">
    <v>en-US</v>
    <v>bjqejc</v>
    <v>268435456</v>
    <v>1</v>
    <v>Powered by Refinitiv</v>
    <v>0</v>
    <v>NIO INC. (XNYS:NIO)</v>
    <v>2</v>
    <v>3</v>
    <v>Finance</v>
    <v>4</v>
    <v>55.13</v>
    <v>13.01</v>
    <v>2.4676</v>
    <v>-1.37</v>
    <v>-1.107E-2</v>
    <v>-9.1823000000000002E-2</v>
    <v>-0.15</v>
    <v>USD</v>
    <v>NIO Inc is a China-based holding company principally engaged in the research, development and manufacturing of premium smart electric vehicles. The Company is mainly engaged in the design, development, manufacture and sales of high-end smart electric vehicles. The Company's products mainly include ES8, ES6, EC6 and ET7. The Company develops battery swapping technologies and autonomous driving technologies. Its electric vehicles apply NAD (NIO Autonomous Driving) technology, including super computing platform NIO Adam and super sensing system NIO Aquila. The Company is also engaged in the provision of charging piles, vehicle internet connection services and extended lifetime warranties. The Company mainly conducts its businesses in the domestic market.</v>
    <v>15204</v>
    <v>New York Stock Exchange</v>
    <v>XNYS</v>
    <v>XNYS</v>
    <v>Building 20, No. 56 Antuo Road, Anting Town, Jiading District, Shanghai, SHANGHAI, 201804 CN</v>
    <v>14.525</v>
    <v>Automobiles &amp; Auto Parts</v>
    <v>Stock</v>
    <v>44690.999995914062</v>
    <v>160</v>
    <v>13.48</v>
    <v>20918286750</v>
    <v>NIO INC.</v>
    <v>NIO INC.</v>
    <v>14.33</v>
    <v>0</v>
    <v>14.92</v>
    <v>13.55</v>
    <v>13.4</v>
    <v>1543785000</v>
    <v>NIO</v>
    <v>NIO INC. (XNYS:NIO)</v>
    <v>63121038</v>
    <v>63643434</v>
    <v>2014</v>
  </rv>
  <rv s="2">
    <v>161</v>
  </rv>
  <rv s="0">
    <v>https://www.bing.com/financeapi/forcetrigger?t=a1yjxm&amp;q=XNYS%3aNKE&amp;form=skydnc</v>
    <v>Learn more on Bing</v>
  </rv>
  <rv s="1">
    <v>en-US</v>
    <v>a1yjxm</v>
    <v>268435456</v>
    <v>1</v>
    <v>Powered by Refinitiv</v>
    <v>0</v>
    <v>NIKE, INC. (XNYS:NKE)</v>
    <v>2</v>
    <v>3</v>
    <v>Finance</v>
    <v>4</v>
    <v>179.1</v>
    <v>110.59</v>
    <v>0.96319999999999995</v>
    <v>-3.28</v>
    <v>5.9350000000000002E-3</v>
    <v>-2.8649000000000001E-2</v>
    <v>0.66</v>
    <v>USD</v>
    <v>NIKE, Inc. is engaged in the designing, marketing and distributing of athletic footwear, apparel, equipment and accessories for sports and fitness activities. The Company's operating segments include North America, Europe, Middle East &amp; Africa (EMEA), Greater China, and Asia Pacific &amp; Latin America (APLA). It focuses its NIKE Brand product offerings in categories such as Running, NIKE Basketball, the Jordan Brand, Football (Soccer), Training and Sportswear. It also markets products designed for kids, as well as for other athletic and recreational uses such as American football, baseball, cricket, golf, lacrosse, skateboarding, tennis, volleyball, walking, wrestling and other outdoor activities. It sells a line of performance equipment and accessories under the NIKE Brand name, including bags, socks, sport balls, eyewear, timepieces, digital devices, bats, gloves, protective equipment and other equipment designed for sports activities.</v>
    <v>73300</v>
    <v>New York Stock Exchange</v>
    <v>XNYS</v>
    <v>XNYS</v>
    <v>1 SW Bowerman Dr, BEAVERTON, OR, 97005-6453 US</v>
    <v>114.43</v>
    <v>Textiles &amp; Apparel</v>
    <v>Stock</v>
    <v>44690.999852106252</v>
    <v>163</v>
    <v>110.59</v>
    <v>175018628070</v>
    <v>NIKE, INC.</v>
    <v>NIKE, INC.</v>
    <v>112.97</v>
    <v>30.23</v>
    <v>114.49</v>
    <v>111.21</v>
    <v>111.87</v>
    <v>1573767000</v>
    <v>NKE</v>
    <v>NIKE, INC. (XNYS:NKE)</v>
    <v>7505970</v>
    <v>6735496</v>
    <v>1969</v>
  </rv>
  <rv s="2">
    <v>164</v>
  </rv>
  <rv s="0">
    <v>https://www.bing.com/financeapi/forcetrigger?t=a1ynp2&amp;q=XNYS%3aNOK&amp;form=skydnc</v>
    <v>Learn more on Bing</v>
  </rv>
  <rv s="1">
    <v>en-US</v>
    <v>a1ynp2</v>
    <v>268435456</v>
    <v>1</v>
    <v>Powered by Refinitiv</v>
    <v>0</v>
    <v>Nokia Corporation (XNYS:NOK)</v>
    <v>2</v>
    <v>3</v>
    <v>Finance</v>
    <v>4</v>
    <v>6.3958000000000004</v>
    <v>4.51</v>
    <v>0.80679999999999996</v>
    <v>-0.18</v>
    <v>-2.0920000000000001E-3</v>
    <v>-3.6290000000000003E-2</v>
    <v>-0.01</v>
    <v>USD</v>
    <v>Nokia Oyj is a Finland-based company engaged in the network and Internet protocol (IP) infrastructure, software, and related services market. The Company's businesses include Nokia Networks and Nokia Technologies. The Company's segments include Ultra Broadband Networks, IP Networks and Applications, and Nokia Technologies. The Ultra Broadband Networks segment comprises Mobile Networks and Fixed Networks operating segments. The IP Networks and Applications segment comprises IP/Optical Networks and Applications &amp; Analytics operating segments. The Applications &amp; Analytics operating segment offers software solutions spanning customer experience management, network operations and management, communications and collaboration, policy and charging, as well as Cloud, Internet of things (IoT), security, and analytics platforms that enable digital services providers and enterprises to accelerate and optimize their customer experience. The Company has Comptel Oyj among its subsidiaries.</v>
    <v>87927</v>
    <v>New York Stock Exchange</v>
    <v>XNYS</v>
    <v>XNYS</v>
    <v>Karakaari 7, ESPOO, ETELA-SUOMEN, 02610 FI</v>
    <v>4.8899999999999997</v>
    <v>Communications &amp; Networking</v>
    <v>Stock</v>
    <v>44690.998390682813</v>
    <v>166</v>
    <v>4.76</v>
    <v>28623300000</v>
    <v>Nokia Corporation</v>
    <v>Nokia Corporation</v>
    <v>4.8499999999999996</v>
    <v>16.7913</v>
    <v>4.96</v>
    <v>4.78</v>
    <v>4.7699999999999996</v>
    <v>5696261000</v>
    <v>NOK</v>
    <v>Nokia Corporation (XNYS:NOK)</v>
    <v>38416085</v>
    <v>31234407</v>
    <v>1896</v>
  </rv>
  <rv s="2">
    <v>167</v>
  </rv>
  <rv s="0">
    <v>https://www.bing.com/financeapi/forcetrigger?t=a1yv52&amp;q=XNAS%3aNVDA&amp;form=skydnc</v>
    <v>Learn more on Bing</v>
  </rv>
  <rv s="1">
    <v>en-US</v>
    <v>a1yv52</v>
    <v>268435456</v>
    <v>1</v>
    <v>Powered by Refinitiv</v>
    <v>0</v>
    <v>NVIDIA CORPORATION (XNAS:NVDA)</v>
    <v>2</v>
    <v>3</v>
    <v>Finance</v>
    <v>4</v>
    <v>346.47</v>
    <v>134.59</v>
    <v>1.5874999999999999</v>
    <v>-17.25</v>
    <v>5.8999999999999992E-4</v>
    <v>-9.2369000000000007E-2</v>
    <v>0.1</v>
    <v>USD</v>
    <v>NVIDIA Corporation is a personal computer (PC) gaming market. The Company’s segments include Graphics and Compute &amp; Networking. The Graphics segment includes GeForce graphics processing units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software for building three-dimensional (3D) designs and virtual worlds. The Compute &amp; Networking segment includes Data Center platforms and systems for artificial intelligence (AI), high-performance computing (HPC), and accelerated computing; Mellanox networking and interconnect solutions; automotive AI Cockpit, autonomous driving development agreements, and autonomous vehicle solutions; cryptocurrency mining processors (CMP); Jetson for robotics, and NVIDIA AI Enterprise.</v>
    <v>22473</v>
    <v>Nasdaq Stock Market</v>
    <v>XNAS</v>
    <v>XNAS</v>
    <v>2788 San Tomas Expy, SANTA CLARA, CA, 95051-0952 US</v>
    <v>182.55</v>
    <v>Semiconductors &amp; Semiconductor Equipment</v>
    <v>Stock</v>
    <v>44690.999997464845</v>
    <v>169</v>
    <v>168.27</v>
    <v>424430373000</v>
    <v>NVIDIA CORPORATION</v>
    <v>NVIDIA CORPORATION</v>
    <v>180.34</v>
    <v>48.552399999999999</v>
    <v>186.75</v>
    <v>169.5</v>
    <v>169.6</v>
    <v>2504014000</v>
    <v>NVDA</v>
    <v>NVIDIA CORPORATION (XNAS:NVDA)</v>
    <v>64445451</v>
    <v>56285036</v>
    <v>1998</v>
  </rv>
  <rv s="2">
    <v>170</v>
  </rv>
  <rv s="0">
    <v>https://www.bing.com/financeapi/forcetrigger?t=a1z8jc&amp;q=XNAS%3aON&amp;form=skydnc</v>
    <v>Learn more on Bing</v>
  </rv>
  <rv s="1">
    <v>en-US</v>
    <v>a1z8jc</v>
    <v>268435456</v>
    <v>1</v>
    <v>Powered by Refinitiv</v>
    <v>0</v>
    <v>ON SEMICONDUCTOR CORPORATION (XNAS:ON)</v>
    <v>2</v>
    <v>3</v>
    <v>Finance</v>
    <v>4</v>
    <v>71.254999999999995</v>
    <v>34.01</v>
    <v>1.7252000000000001</v>
    <v>-4.3099999999999996</v>
    <v>3.542E-3</v>
    <v>-7.8178999999999998E-2</v>
    <v>0.18</v>
    <v>USD</v>
    <v>ON Semiconductor Corporation provides intelligent sensing and power solutions. The Company's segments include the Power Solutions Group (PSG), the Advanced Solutions Group (ASG) and the Intelligent Sensing Group (ISG). The PSG segment offers a range of analog, discrete, module and integrated semiconductor products. The ASG segment designs and develops analog, mixed-signal, advanced logic, application specific standard products (ASSPs) and application specific integrated circuits (ASICs), radio frequency (RF) and integrated power solutions for a base of end-users in different end-markets. The ISG segment designs and develops complementary metal oxide semiconductor (CMOS) image sensors, image signal processors, single photon detectors, including Silicon photomultipliers (SiPM) and Single photon avalanche diode (SPAD) arrays, as well as actuator drivers for autofocus and image stabilization for a base of end-users in the different end-markets.</v>
    <v>30000</v>
    <v>Nasdaq Stock Market</v>
    <v>XNAS</v>
    <v>XNAS</v>
    <v>5005 E McDowell Rd, PHOENIX, AZ, 85008-4229 US</v>
    <v>54.6</v>
    <v>Semiconductors &amp; Semiconductor Equipment</v>
    <v>Stock</v>
    <v>44690.999805277344</v>
    <v>172</v>
    <v>50.57</v>
    <v>22081574592</v>
    <v>ON SEMICONDUCTOR CORPORATION</v>
    <v>ON SEMICONDUCTOR CORPORATION</v>
    <v>53.55</v>
    <v>16.936299999999999</v>
    <v>55.13</v>
    <v>50.82</v>
    <v>51</v>
    <v>434505600</v>
    <v>ON</v>
    <v>ON SEMICONDUCTOR CORPORATION (XNAS:ON)</v>
    <v>7720547</v>
    <v>6328839</v>
    <v>2000</v>
  </rv>
  <rv s="2">
    <v>173</v>
  </rv>
  <rv s="0">
    <v>https://www.bing.com/financeapi/forcetrigger?t=a1zqnm&amp;q=XNYS%3aPFE&amp;form=skydnc</v>
    <v>Learn more on Bing</v>
  </rv>
  <rv s="1">
    <v>en-US</v>
    <v>a1zqnm</v>
    <v>268435456</v>
    <v>1</v>
    <v>Powered by Refinitiv</v>
    <v>0</v>
    <v>PFIZER INC. (XNYS:PFE)</v>
    <v>2</v>
    <v>3</v>
    <v>Finance</v>
    <v>4</v>
    <v>61.71</v>
    <v>38.475000000000001</v>
    <v>0.75770000000000004</v>
    <v>-0.4</v>
    <v>-3.9060000000000002E-3</v>
    <v>-8.1569999999999993E-3</v>
    <v>-0.19</v>
    <v>USD</v>
    <v>Pfizer Inc. (Pfizer) is a research-based global biopharmaceutical company. The Company is engaged in the discovery, development, manufacture, marketing, sales and distribution of biopharmaceutical products. Its global portfolio includes medicines and vaccines. The Company offers therapeutic candidates in gastroenterology, dermatology, and cardiology, including etrasimod, an oral, selective sphingosine 1-phosphate (S1P) receptor modulator in development for a range of immuno-inflammatory diseases, including ulcerative colitis, Crohn’s Disease, atopic dermatitis, eosinophilic esophagitis, and alopecia areata. The Company works across markets to develop wellness, prevention, treatments and cures. It collaborates with healthcare providers, governments and local communities to support and provide access to healthcare. The Company's medicines and vaccines provide value for healthcare providers and patients, through treatment of diseases, improvements in health, wellness.</v>
    <v>79000</v>
    <v>New York Stock Exchange</v>
    <v>XNYS</v>
    <v>XNYS</v>
    <v>235 E 42ND ST, NEW YORK, NY, 10017-5703 US</v>
    <v>49.17</v>
    <v>Pharmaceuticals</v>
    <v>Stock</v>
    <v>44690.999876758593</v>
    <v>175</v>
    <v>47.77</v>
    <v>274707727360</v>
    <v>PFIZER INC.</v>
    <v>PFIZER INC.</v>
    <v>48.38</v>
    <v>11.057600000000001</v>
    <v>49.04</v>
    <v>48.64</v>
    <v>48.45</v>
    <v>5647774000</v>
    <v>PFE</v>
    <v>PFIZER INC. (XNYS:PFE)</v>
    <v>25012347</v>
    <v>25188452</v>
    <v>1942</v>
  </rv>
  <rv s="2">
    <v>176</v>
  </rv>
  <rv s="0">
    <v>https://www.bing.com/financeapi/forcetrigger?t=a1zsjc&amp;q=XNYS%3aPG&amp;form=skydnc</v>
    <v>Learn more on Bing</v>
  </rv>
  <rv s="1">
    <v>en-US</v>
    <v>a1zsjc</v>
    <v>268435456</v>
    <v>1</v>
    <v>Powered by Refinitiv</v>
    <v>0</v>
    <v>THE PROCTER &amp; GAMBLE COMPANY (XNYS:PG)</v>
    <v>2</v>
    <v>3</v>
    <v>Finance</v>
    <v>4</v>
    <v>165.35</v>
    <v>131.94</v>
    <v>0.38269999999999998</v>
    <v>-0.39</v>
    <v>3.2129999999999997E-3</v>
    <v>-2.5000000000000001E-3</v>
    <v>0.5</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in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3000</v>
    <v>New York Stock Exchange</v>
    <v>XNYS</v>
    <v>XNYS</v>
    <v>1 Procter and Gamble Plz, CINCINNATI, OH, 45202-3315 US</v>
    <v>156.76</v>
    <v>Personal &amp; Household Products &amp; Services</v>
    <v>Stock</v>
    <v>44690.999658657034</v>
    <v>178</v>
    <v>152.75</v>
    <v>373354606170</v>
    <v>THE PROCTER &amp; GAMBLE COMPANY</v>
    <v>THE PROCTER &amp; GAMBLE COMPANY</v>
    <v>153.96</v>
    <v>27.261900000000001</v>
    <v>156</v>
    <v>155.61000000000001</v>
    <v>156.11000000000001</v>
    <v>2399297000</v>
    <v>PG</v>
    <v>THE PROCTER &amp; GAMBLE COMPANY (XNYS:PG)</v>
    <v>8540760</v>
    <v>7838990</v>
    <v>1905</v>
  </rv>
  <rv s="2">
    <v>179</v>
  </rv>
  <rv s="0">
    <v>https://www.bing.com/financeapi/forcetrigger?t=brfjjc&amp;q=XNAS%3aPTON&amp;form=skydnc</v>
    <v>Learn more on Bing</v>
  </rv>
  <rv s="9">
    <v>en-US</v>
    <v>brfjjc</v>
    <v>268435456</v>
    <v>1</v>
    <v>Powered by Refinitiv</v>
    <v>14</v>
    <v>PELOTON INTERACTIVE, INC. (XNAS:PTON)</v>
    <v>2</v>
    <v>15</v>
    <v>Finance</v>
    <v>4</v>
    <v>129.69999999999999</v>
    <v>14.06</v>
    <v>-1.57</v>
    <v>-2.477E-2</v>
    <v>-0.1</v>
    <v>-0.35</v>
    <v>USD</v>
    <v>Peloton Interactive, Inc. is a provider of interactive fitness platform. The Company provides connected, technology-enabled fitness, and the streaming of immersive, instructor-led boutique classes to its customers. The Company segments include Connected Fitness Products and Subscription. The Connected Fitness Products segment include the Company’s portfolio of connected fitness products and related accessories, Precor branded fitness products, delivery and installation services, Company’s branded apparel, extended warranty agreements, and commercial service contracts. Its Subscriptions segment provide access to content in its library of live and on-demand fitness classes. The Company products include Peloton Bike, Peloton Bike+, Tread and Tread+. Its accessories include cycling shoes, dumbbells, resistance bands, reversible workout, bike mat, heart rate monitor, yoga blocks, yoga straps, cleats, pedals, bike weights, and among others.</v>
    <v>6743</v>
    <v>Nasdaq Stock Market</v>
    <v>XNAS</v>
    <v>XNAS</v>
    <v>441 Ninth Avenue, Sixth Floor, NEW YORK, NY, 10001 US</v>
    <v>15.61</v>
    <v>Leisure Products</v>
    <v>Stock</v>
    <v>44690.999938876565</v>
    <v>181</v>
    <v>14.06</v>
    <v>4685510826</v>
    <v>PELOTON INTERACTIVE, INC.</v>
    <v>PELOTON INTERACTIVE, INC.</v>
    <v>15.34</v>
    <v>170.41579999999999</v>
    <v>15.7</v>
    <v>14.13</v>
    <v>13.78</v>
    <v>331600200</v>
    <v>PTON</v>
    <v>PELOTON INTERACTIVE, INC. (XNAS:PTON)</v>
    <v>15995025</v>
    <v>9401036</v>
    <v>2015</v>
  </rv>
  <rv s="2">
    <v>182</v>
  </rv>
  <rv s="0">
    <v>https://www.bing.com/financeapi/forcetrigger?t=a21icw&amp;q=XNAS%3aPYPL&amp;form=skydnc</v>
    <v>Learn more on Bing</v>
  </rv>
  <rv s="1">
    <v>en-US</v>
    <v>a21icw</v>
    <v>268435456</v>
    <v>1</v>
    <v>Powered by Refinitiv</v>
    <v>0</v>
    <v>PAYPAL HOLDINGS, INC. (XNAS:PYPL)</v>
    <v>2</v>
    <v>3</v>
    <v>Finance</v>
    <v>4</v>
    <v>310.16000000000003</v>
    <v>78.849999999999994</v>
    <v>1.395</v>
    <v>-2.15</v>
    <v>7.796E-3</v>
    <v>-2.6322000000000002E-2</v>
    <v>0.62</v>
    <v>USD</v>
    <v>PayPal Holdings, Inc. is a technology platform that enables digital payments and commerce experiences on behalf of merchants and consumers across the world. It operates a global, two-sided network at scale that connects merchants and consumers with 426 million active accounts across more than 200 markets. Its brands include PayPal, Braintree, Venmo, Xoom, Zettle, Hyperwallet, Honey, Happy Returns by PayPal, Chargehound, Paidy and Simility. The Company helps merchants and consumers connect, transact, and complete payments, whether they are online or in person. It enables consumers to exchange funds with merchants using a range of funding sources, which may include a bank account, a PayPal or Venmo account balance, PayPal and Venmo branded credit products, a credit card, a debit card, certain cryptocurrencies, or other stored value products, such as gift cards, and eligible credit card rewards. It also offers consumers person-to-person (P2P) payment solutions.</v>
    <v>30900</v>
    <v>Nasdaq Stock Market</v>
    <v>XNAS</v>
    <v>XNAS</v>
    <v>2211 N 1st St, SAN JOSE, CA, 95131 US</v>
    <v>82.14</v>
    <v>Software &amp; IT Services</v>
    <v>Stock</v>
    <v>44690.999965821095</v>
    <v>184</v>
    <v>78.849999999999994</v>
    <v>92098921200</v>
    <v>PAYPAL HOLDINGS, INC.</v>
    <v>PAYPAL HOLDINGS, INC.</v>
    <v>79.89</v>
    <v>26.997599999999998</v>
    <v>81.680000000000007</v>
    <v>79.53</v>
    <v>80.150000000000006</v>
    <v>1158040000</v>
    <v>PYPL</v>
    <v>PAYPAL HOLDINGS, INC. (XNAS:PYPL)</v>
    <v>25513691</v>
    <v>18727016</v>
    <v>2015</v>
  </rv>
  <rv s="2">
    <v>185</v>
  </rv>
  <rv s="0">
    <v>http://en.wikipedia.org/wiki/Qualcomm</v>
    <v>Wikipedia</v>
  </rv>
  <rv s="3">
    <v>6</v>
    <v>187</v>
  </rv>
  <rv s="4">
    <v>9</v>
    <v>https://www.bing.com/th?id=AMMS_2b1c176dae370ecc0d55a1517537f595&amp;qlt=95</v>
    <v>188</v>
    <v>0</v>
    <v>https://www.bing.com/images/search?form=xlimg&amp;q=qualcomm</v>
    <v>Image of QUALCOMM INCORPORATED</v>
  </rv>
  <rv s="0">
    <v>https://www.bing.com/financeapi/forcetrigger?t=a21k2w&amp;q=XNAS%3aQCOM&amp;form=skydnc</v>
    <v>Learn more on Bing</v>
  </rv>
  <rv s="5">
    <v>en-US</v>
    <v>a21k2w</v>
    <v>268435456</v>
    <v>1</v>
    <v>Powered by Refinitiv</v>
    <v>5</v>
    <v>QUALCOMM INCORPORATED (XNAS:QCOM)</v>
    <v>7</v>
    <v>8</v>
    <v>Finance</v>
    <v>4</v>
    <v>193.58</v>
    <v>122.16500000000001</v>
    <v>1.2150000000000001</v>
    <v>-5.66</v>
    <v>5.7809999999999997E-3</v>
    <v>-4.0261999999999999E-2</v>
    <v>0.78</v>
    <v>USD</v>
    <v>Qualcomm Incorporated is engaged in the development and commercialization of foundational technologies for the wireless industry. Its segments include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45000</v>
    <v>Nasdaq Stock Market</v>
    <v>XNAS</v>
    <v>XNAS</v>
    <v>5775 Morehouse Dr, SAN DIEGO, CA, 92121-1714 US</v>
    <v>140.11000000000001</v>
    <v>189</v>
    <v>Semiconductors &amp; Semiconductor Equipment</v>
    <v>Stock</v>
    <v>44690.999533344533</v>
    <v>190</v>
    <v>134.06</v>
    <v>151110400000</v>
    <v>QUALCOMM INCORPORATED</v>
    <v>QUALCOMM INCORPORATED</v>
    <v>137.99</v>
    <v>14.391500000000001</v>
    <v>140.58000000000001</v>
    <v>134.91999999999999</v>
    <v>135.69999999999999</v>
    <v>1120000000</v>
    <v>QCOM</v>
    <v>QUALCOMM INCORPORATED (XNAS:QCOM)</v>
    <v>11668081</v>
    <v>12284862</v>
    <v>1991</v>
  </rv>
  <rv s="2">
    <v>191</v>
  </rv>
  <rv s="0">
    <v>https://www.bing.com/financeapi/forcetrigger?t=a21mim&amp;q=XNAS%3aQQQ&amp;form=skydnc</v>
    <v>Learn more on Bing</v>
  </rv>
  <rv s="6">
    <v>en-US</v>
    <v>a21mim</v>
    <v>268435456</v>
    <v>1</v>
    <v>Powered by Refinitiv</v>
    <v>10</v>
    <v>Invesco QQQ Trust 1 (XNAS:QQQ)</v>
    <v>11</v>
    <v>12</v>
    <v>Finance</v>
    <v>13</v>
    <v>408.71</v>
    <v>295.72000000000003</v>
    <v>1.0176000000000001</v>
    <v>-12.1</v>
    <v>3.5339999999999998E-3</v>
    <v>-3.9127000000000002E-2</v>
    <v>1.05</v>
    <v>USD</v>
    <v>Nasdaq Stock Market</v>
    <v>XNAS</v>
    <v>2E-3</v>
    <v>309.34870000000001</v>
    <v>ETF</v>
    <v>44690.999978923435</v>
    <v>193</v>
    <v>295.72000000000003</v>
    <v>170052367351.73499</v>
    <v>Invesco QQQ Trust 1</v>
    <v>303.48</v>
    <v>309.25</v>
    <v>297.14999999999998</v>
    <v>298.2</v>
    <v>QQQ</v>
    <v>Invesco QQQ Trust 1 (XNAS:QQQ)</v>
    <v>113387342</v>
    <v>84236788</v>
  </rv>
  <rv s="2">
    <v>194</v>
  </rv>
  <rv s="0">
    <v>https://www.bing.com/financeapi/forcetrigger?t=a21uim&amp;q=XNAS%3aREGN&amp;form=skydnc</v>
    <v>Learn more on Bing</v>
  </rv>
  <rv s="1">
    <v>en-US</v>
    <v>a21uim</v>
    <v>268435456</v>
    <v>1</v>
    <v>Powered by Refinitiv</v>
    <v>0</v>
    <v>REGENERON PHARMACEUTICALS, INC. (XNAS:REGN)</v>
    <v>2</v>
    <v>3</v>
    <v>Finance</v>
    <v>4</v>
    <v>747.42139999999995</v>
    <v>492.13</v>
    <v>0.25040000000000001</v>
    <v>-23.28</v>
    <v>-2.117E-3</v>
    <v>-3.7365000000000002E-2</v>
    <v>-1.27</v>
    <v>USD</v>
    <v>Regeneron Pharmaceuticals, Inc. is an integrated biotechnology company that discovers, invents, develops, manufactures, and commercializes medicines for serious diseases. Its commercialized medicines and product candidates in development are designed to help patients with eye diseases, allergic and inflammatory diseases, cancer, cardiovascular and metabolic diseases, pain, hematologic conditions, infectious diseases, and rare diseases. The Company's marketed products include EYLEA (aflibercept) Injection, Dupixent (dupilumab) Injection, Libtayo (cemiplimab) Injection, Praluent (alirocumab) Injection, REGEN-COV, Kevzara (sarilumab) Solution for Subcutaneous Injection, Evkeeza (evinacumab) Injection, Inmazeb (atoltivimab, maftivimab, and odesivimab-ebgn) Injection, ARCALYST (rilonacept) Injection for Subcutaneous Use and ZALTRAP (ziv-aflibercept) Injection for Intravenous Infusion. Its product candidates in clinical development include REGN4018, REGN5668, and Fasinumab, among others.</v>
    <v>10368</v>
    <v>Nasdaq Stock Market</v>
    <v>XNAS</v>
    <v>XNAS</v>
    <v>777 Old Saw Mill River Rd, TARRYTOWN, NY, 10591-6717 US</v>
    <v>616.49030000000005</v>
    <v>Biotechnology &amp; Medical Research</v>
    <v>Stock</v>
    <v>44690.99158430547</v>
    <v>196</v>
    <v>597.76</v>
    <v>65882455374</v>
    <v>REGENERON PHARMACEUTICALS, INC.</v>
    <v>REGENERON PHARMACEUTICALS, INC.</v>
    <v>612.66999999999996</v>
    <v>8.8294999999999995</v>
    <v>623.04999999999995</v>
    <v>599.77</v>
    <v>598.5</v>
    <v>109846200</v>
    <v>REGN</v>
    <v>REGENERON PHARMACEUTICALS, INC. (XNAS:REGN)</v>
    <v>819435</v>
    <v>626906</v>
    <v>1988</v>
  </rv>
  <rv s="2">
    <v>197</v>
  </rv>
  <rv s="0">
    <v>http://en.wikipedia.org/wiki/Shake_Shack</v>
    <v>Wikipedia</v>
  </rv>
  <rv s="3">
    <v>6</v>
    <v>199</v>
  </rv>
  <rv s="4">
    <v>9</v>
    <v>https://www.bing.com/th?id=AMMS_e7926709713a70d0ca1ce8199dbe50b0&amp;qlt=95</v>
    <v>200</v>
    <v>0</v>
    <v>https://www.bing.com/images/search?form=xlimg&amp;q=shake+shack</v>
    <v>Image of SHAKE SHACK INC.</v>
  </rv>
  <rv s="0">
    <v>https://www.bing.com/financeapi/forcetrigger?t=a22voc&amp;q=XNYS%3aSHAK&amp;form=skydnc</v>
    <v>Learn more on Bing</v>
  </rv>
  <rv s="5">
    <v>en-US</v>
    <v>a22voc</v>
    <v>268435456</v>
    <v>1</v>
    <v>Powered by Refinitiv</v>
    <v>5</v>
    <v>SHAKE SHACK INC. (XNYS:SHAK)</v>
    <v>7</v>
    <v>8</v>
    <v>Finance</v>
    <v>4</v>
    <v>111.49</v>
    <v>48.51</v>
    <v>1.4558</v>
    <v>-5.98</v>
    <v>7.5940000000000001E-3</v>
    <v>-0.10932399999999999</v>
    <v>0.37</v>
    <v>USD</v>
    <v>Shake Shack Inc. is a roadside burger stand serving American menu of burgers, chicken sandwiches, hot dogs, crinkle cut fries, shakes, frozen custard, beer and wine. The Company's menu focuses on food and beverages, crafted from a range of American foods. Its burger category includes ShackBurger, SmokeShack, Shroom Burger (a vegetarian burger), Shack Stack, Avocado Bacon Burger and Hamburger. Its chicken products include Chicken Shack and Chicken Bites. It offers wines, including Shack Red, Shack White and Shack Rose. In addition, it serves Abita Root Beer, Shack-made lemonade, organic fresh brewed iced tea, Fifty/Fifty (half lemonade, half organic iced tea), Honest Kids organic apple juice, and Shack20 bottled water. It offers delivery services through its Shack app as well as Shake Shack Website. The Company operates approximately 369 Shacks, of which 218 are domestic Company-operated Shacks, 25 are domestic licensed Shacks, and 126 are international licensed Shacks.</v>
    <v>9695</v>
    <v>New York Stock Exchange</v>
    <v>XNYS</v>
    <v>XNYS</v>
    <v>225 Varick St Rm 301, NEW YORK, NY, 10014-5816 US</v>
    <v>53.524999999999999</v>
    <v>201</v>
    <v>Hotels &amp; Entertainment Services</v>
    <v>Stock</v>
    <v>44690.983159467185</v>
    <v>202</v>
    <v>48.51</v>
    <v>2052567753</v>
    <v>SHAKE SHACK INC.</v>
    <v>SHAKE SHACK INC.</v>
    <v>53.3</v>
    <v>0</v>
    <v>54.7</v>
    <v>48.72</v>
    <v>49.09</v>
    <v>42129880</v>
    <v>SHAK</v>
    <v>SHAKE SHACK INC. (XNYS:SHAK)</v>
    <v>1323646</v>
    <v>861741</v>
    <v>2014</v>
  </rv>
  <rv s="2">
    <v>203</v>
  </rv>
  <rv s="0">
    <v>https://www.bing.com/financeapi/forcetrigger?t=a22wz2&amp;q=XNYS%3aSHOP&amp;form=skydnc</v>
    <v>Learn more on Bing</v>
  </rv>
  <rv s="1">
    <v>en-US</v>
    <v>a22wz2</v>
    <v>268435456</v>
    <v>1</v>
    <v>Powered by Refinitiv</v>
    <v>0</v>
    <v>SHOPIFY INC. (XNYS:SHOP)</v>
    <v>2</v>
    <v>3</v>
    <v>Finance</v>
    <v>4</v>
    <v>1762.9184</v>
    <v>337.29</v>
    <v>1.8168</v>
    <v>-37.450000000000003</v>
    <v>1.059E-3</v>
    <v>-9.9208000000000005E-2</v>
    <v>0.36</v>
    <v>USD</v>
    <v>Shopify Inc. (Shopify) provides a cloud-based, multi-channel commerce platform designed for small and medium-sized businesses. The Company offers subscription solutions and merchant solutions. The Company's software is used by merchants to run their business across all of their sales channels, including Web and mobile storefronts, physical retail locations, social media storefronts and marketplaces. The Shopify platform provides merchants with a single view of their business and customers across all of their sales channels and enables them to manage products and inventory, process orders and payments, ship orders, build customer relationships and leverage analytics and reporting all from one integrated back office. The Shopify platform includes a mobile-optimized checkout system, which is designed to enable merchants' consumers to buy products over mobile Websites.</v>
    <v>10000</v>
    <v>New York Stock Exchange</v>
    <v>XNYS</v>
    <v>XNYS</v>
    <v>151 O'connor Street, Ground Floor, OTTAWA, ON, K2P 2L8 CA</v>
    <v>371.71</v>
    <v>Software &amp; IT Services</v>
    <v>Stock</v>
    <v>44690.999992060155</v>
    <v>205</v>
    <v>337.29</v>
    <v>42810083888</v>
    <v>SHOPIFY INC.</v>
    <v>SHOPIFY INC.</v>
    <v>362</v>
    <v>303.88830000000002</v>
    <v>377.49</v>
    <v>340.04</v>
    <v>340.4</v>
    <v>125897200</v>
    <v>SHOP</v>
    <v>SHOPIFY INC. (XNYS:SHOP)</v>
    <v>6412678</v>
    <v>4111056</v>
    <v>2004</v>
  </rv>
  <rv s="2">
    <v>206</v>
  </rv>
  <rv s="0">
    <v>https://www.bing.com/financeapi/forcetrigger?t=a234a2&amp;q=ARCX%3aSLYG&amp;form=skydnc</v>
    <v>Learn more on Bing</v>
  </rv>
  <rv s="6">
    <v>en-US</v>
    <v>a234a2</v>
    <v>268435456</v>
    <v>1</v>
    <v>Powered by Refinitiv</v>
    <v>10</v>
    <v>SPDR S&amp;P 600 Sm Cap Gro (ARCX:SLYG)</v>
    <v>11</v>
    <v>12</v>
    <v>Finance</v>
    <v>13</v>
    <v>96.85</v>
    <v>72.540000000000006</v>
    <v>0.99880000000000002</v>
    <v>-2.39</v>
    <v>1.5368E-2</v>
    <v>-3.1751999999999996E-2</v>
    <v>1.1200000000000001</v>
    <v>USD</v>
    <v>NYSE Arca</v>
    <v>ARCX</v>
    <v>1.5E-3</v>
    <v>74.519900000000007</v>
    <v>ETF</v>
    <v>44691.000000022657</v>
    <v>208</v>
    <v>72.540000000000006</v>
    <v>2018900295.1600001</v>
    <v>SPDR S&amp;P 600 Sm Cap Gro</v>
    <v>74.180000000000007</v>
    <v>75.27</v>
    <v>72.88</v>
    <v>74</v>
    <v>SLYG</v>
    <v>SPDR S&amp;P 600 Sm Cap Gro (ARCX:SLYG)</v>
    <v>178023</v>
    <v>126918</v>
  </rv>
  <rv s="2">
    <v>209</v>
  </rv>
  <rv s="0">
    <v>https://www.bing.com/financeapi/forcetrigger?t=a237m7&amp;q=XNYS%3aSNAP&amp;form=skydnc</v>
    <v>Learn more on Bing</v>
  </rv>
  <rv s="1">
    <v>en-US</v>
    <v>a237m7</v>
    <v>268435456</v>
    <v>1</v>
    <v>Powered by Refinitiv</v>
    <v>0</v>
    <v>SNAP INC. (XNYS:SNAP)</v>
    <v>2</v>
    <v>3</v>
    <v>Finance</v>
    <v>4</v>
    <v>83.34</v>
    <v>23.18</v>
    <v>1.1944999999999999</v>
    <v>-1.53</v>
    <v>0</v>
    <v>-6.1395999999999999E-2</v>
    <v>0</v>
    <v>USD</v>
    <v>Snap Inc. is a camera company. The Company's flagship product, Snapchat, is a camera application that helps people communicate visually with friends and family through short videos and images called Snaps. Snapchat is its core mobile device application and contains five tabs. Its tabs include Camera, Communication, Snap Map, Stories and Spotlight. The Camera is the starting point for creation in Snapchat. Snapchat opens directly to the Camera, making it easy to create a Snap and send it to friends. Communication allows users to send Snaps to friends collectively or individually, through its messaging architecture. Snap Map is a live and personalized map that allows Snapchatters to connect with friends and explore what is going on in their local area. Stories feature content from a Snapchatter's friends, its community, and its content partners. Spotlight is a way to share user-generated content with the entire Snapchat community. Its advertising products include Snap Ads and AR Ads.</v>
    <v>5661</v>
    <v>New York Stock Exchange</v>
    <v>XNYS</v>
    <v>XNYS</v>
    <v>3000 31St Street, Loop North, SANTA MONICA, CA, 90405 US</v>
    <v>25.12</v>
    <v>Software &amp; IT Services</v>
    <v>Stock</v>
    <v>44690.999995323436</v>
    <v>211</v>
    <v>23.18</v>
    <v>38273618360</v>
    <v>SNAP INC.</v>
    <v>SNAP INC.</v>
    <v>24.98</v>
    <v>0</v>
    <v>24.92</v>
    <v>23.39</v>
    <v>23.39</v>
    <v>1636324000</v>
    <v>SNAP</v>
    <v>SNAP INC. (XNYS:SNAP)</v>
    <v>31604518</v>
    <v>31658912</v>
    <v>2012</v>
  </rv>
  <rv s="2">
    <v>212</v>
  </rv>
  <rv s="0">
    <v>http://en.wikipedia.org/wiki/Sony_Corporation_of_America</v>
    <v>Wikipedia</v>
  </rv>
  <rv s="3">
    <v>6</v>
    <v>214</v>
  </rv>
  <rv s="4">
    <v>9</v>
    <v>https://www.bing.com/th?id=AMMS_ae9f622f64f109cc937f5e2dec52dc40&amp;qlt=95</v>
    <v>215</v>
    <v>0</v>
    <v>https://www.bing.com/images/search?form=xlimg&amp;q=sony+corporation+of+america</v>
    <v>Image of Sony Group Corporation</v>
  </rv>
  <rv s="0">
    <v>https://www.bing.com/financeapi/forcetrigger?t=a238cw&amp;q=XNYS%3aSONY&amp;form=skydnc</v>
    <v>Learn more on Bing</v>
  </rv>
  <rv s="5">
    <v>en-US</v>
    <v>a238cw</v>
    <v>268435456</v>
    <v>1</v>
    <v>Powered by Refinitiv</v>
    <v>5</v>
    <v>Sony Group Corporation (XNYS:SONY)</v>
    <v>7</v>
    <v>8</v>
    <v>Finance</v>
    <v>4</v>
    <v>133.75</v>
    <v>80.53</v>
    <v>0.87719999999999998</v>
    <v>-2.82</v>
    <v>-1.0390999999999999E-2</v>
    <v>-3.3708000000000002E-2</v>
    <v>-0.84</v>
    <v>USD</v>
    <v>Sony Corporation is engaged in the development, design, production, manufacture and sale of various electronic equipment, instruments and devices for consumer, professional and industrial markets such as network services, game hardware and software, televisions, audio and video recorders and players, still and video cameras, mobile phones, and semiconductors. The Company engages in the development, production, manufacture, and distribution of recorded music and the management and licensing of the words and music of songs as well as the production and distribution of animation titles, including game applications based on animation titles. It also engages in motion pictures and television programming and television and digital networks business, and various financial services businesses. It includes Mobile Communications, Game &amp; Network Services, Music, Films, Home Entertainment &amp; Sound, Imaging Products &amp; Solutions, Semiconductors, Financial Services and All Other segments.</v>
    <v>109700</v>
    <v>New York Stock Exchange</v>
    <v>XNYS</v>
    <v>XNYS</v>
    <v>1-7-1, Konan, MINATO-KU, TOKYO-TO, 108-0075 JP</v>
    <v>82.6</v>
    <v>216</v>
    <v>Computers, Phones &amp; Household Electronics</v>
    <v>Stock</v>
    <v>44690.999196897654</v>
    <v>217</v>
    <v>80.53</v>
    <v>107666300000</v>
    <v>Sony Group Corporation</v>
    <v>Sony Group Corporation</v>
    <v>82.47</v>
    <v>13.6396</v>
    <v>83.66</v>
    <v>80.84</v>
    <v>80</v>
    <v>1261082000</v>
    <v>SONY</v>
    <v>Sony Group Corporation (XNYS:SONY)</v>
    <v>1099816</v>
    <v>827728</v>
    <v>1946</v>
  </rv>
  <rv s="2">
    <v>218</v>
  </rv>
  <rv s="0">
    <v>https://www.bing.com/financeapi/forcetrigger?t=a1vpr7&amp;q=XNYS%3aSPCE&amp;form=skydnc</v>
    <v>Learn more on Bing</v>
  </rv>
  <rv s="1">
    <v>en-US</v>
    <v>a1vpr7</v>
    <v>268435456</v>
    <v>1</v>
    <v>Powered by Refinitiv</v>
    <v>0</v>
    <v>Virgin Galactic Holdings, Inc. (XNYS:SPCE)</v>
    <v>2</v>
    <v>3</v>
    <v>Finance</v>
    <v>4</v>
    <v>57.509500000000003</v>
    <v>6.06</v>
    <v>0.55269999999999997</v>
    <v>-0.73</v>
    <v>-8.2369999999999995E-3</v>
    <v>-0.107353</v>
    <v>-0.05</v>
    <v>USD</v>
    <v>Virgin Galactic Holdings, Inc. is an aerospace company. The Company is focused on the development, manufacture and operations of spaceships and related technologies for the purpose of conducting commercial human spaceflight and flying commercial research and development payloads into space. The Company's assets include its carrier aircraft, the mothership, which is a twin-fuselage, custom-built aircraft designed to carry its spaceships up to an altitude of approximately 45,000 feet, where the spaceship is released for its flight into space; its spaceship platform is a reusable spaceship with the capacity to carry two pilots and up to six future astronauts into space before returning them safely to the Earth’s surface; its hybrid rocket motor is designed to provide performance capabilities necessary for spaceflight with a focus on safety, reliability and economy; its Spaceport America is a commercial spaceport, which includes space terminal, hangar facilities and a 12,000 foot runway.</v>
    <v>804</v>
    <v>New York Stock Exchange</v>
    <v>XNYS</v>
    <v>XNYS</v>
    <v>1700 FLIGHT WAY, TUSTIN, CA, 92782 US</v>
    <v>6.6</v>
    <v>Aerospace &amp; Defense</v>
    <v>Stock</v>
    <v>44690.999942453127</v>
    <v>220</v>
    <v>6.06</v>
    <v>1569641300</v>
    <v>Virgin Galactic Holdings, Inc.</v>
    <v>Virgin Galactic Holdings, Inc.</v>
    <v>6.59</v>
    <v>0</v>
    <v>6.8</v>
    <v>6.07</v>
    <v>6.02</v>
    <v>258590000</v>
    <v>SPCE</v>
    <v>Virgin Galactic Holdings, Inc. (XNYS:SPCE)</v>
    <v>12586340</v>
    <v>9853759</v>
    <v>2019</v>
  </rv>
  <rv s="2">
    <v>221</v>
  </rv>
  <rv s="0">
    <v>https://www.bing.com/financeapi/forcetrigger?t=azgv7w&amp;q=XNYS%3aSPOT&amp;form=skydnc</v>
    <v>Learn more on Bing</v>
  </rv>
  <rv s="1">
    <v>en-US</v>
    <v>azgv7w</v>
    <v>268435456</v>
    <v>1</v>
    <v>Powered by Refinitiv</v>
    <v>0</v>
    <v>Spotify Technology SA (XNYS:SPOT)</v>
    <v>2</v>
    <v>3</v>
    <v>Finance</v>
    <v>4</v>
    <v>305.60000000000002</v>
    <v>93.52</v>
    <v>1.7970999999999999</v>
    <v>-10.24</v>
    <v>3.4939999999999997E-3</v>
    <v>-9.7821999999999992E-2</v>
    <v>0.33</v>
    <v>USD</v>
    <v>Spotify Technology SA a Luxembourg-based company, which offers digital music-streaming services. The Company enables users to discover new releases, which includes the latest singles and albums; playlists, which includes ready-made playlists put together by music fans and experts, and over millions of songs so that users can play their favorites, discover new tracks and build a personalized collection. Users can either select Spotify Free, which includes only shuffle play or Spotify Premium, which encompasses a range of features, such as shuffle play, advertisement free, unlimited skips, listen offline, play any track and high quality audio. The Company operates through a number of subsidiaries, including Spotify LTD and is present in over 20 countries.</v>
    <v>6617</v>
    <v>New York Stock Exchange</v>
    <v>XNYS</v>
    <v>XNYS</v>
    <v>42-44 Avenue de la Gare, LUXEMBOURG, LUXEMBOURG-NA, 1610 LU</v>
    <v>104.19</v>
    <v>Software &amp; IT Services</v>
    <v>Stock</v>
    <v>44690.999954606254</v>
    <v>223</v>
    <v>93.52</v>
    <v>18146815992</v>
    <v>Spotify Technology SA</v>
    <v>Spotify Technology SA</v>
    <v>101.78</v>
    <v>257.63780000000003</v>
    <v>104.68</v>
    <v>94.44</v>
    <v>94.77</v>
    <v>192151800</v>
    <v>SPOT</v>
    <v>Spotify Technology SA (XNYS:SPOT)</v>
    <v>2305515</v>
    <v>2660968</v>
    <v>2007</v>
  </rv>
  <rv s="2">
    <v>224</v>
  </rv>
  <rv s="0">
    <v>https://www.bing.com/financeapi/forcetrigger?t=a23hqh&amp;q=ARCX%3aSPY&amp;form=skydnc</v>
    <v>Learn more on Bing</v>
  </rv>
  <rv s="6">
    <v>en-US</v>
    <v>a23hqh</v>
    <v>268435456</v>
    <v>1</v>
    <v>Powered by Refinitiv</v>
    <v>10</v>
    <v>SPDR S&amp;P 500 ETF (ARCX:SPY)</v>
    <v>11</v>
    <v>12</v>
    <v>Finance</v>
    <v>13</v>
    <v>479.98</v>
    <v>396.5</v>
    <v>0.99709999999999999</v>
    <v>-13.17</v>
    <v>3.215E-3</v>
    <v>-3.2017000000000004E-2</v>
    <v>1.28</v>
    <v>USD</v>
    <v>NYSE Arca</v>
    <v>ARCX</v>
    <v>8.9999999999999998E-4</v>
    <v>406.41</v>
    <v>ETF</v>
    <v>44690.999998390624</v>
    <v>226</v>
    <v>396.5</v>
    <v>371019015745.65002</v>
    <v>SPDR S&amp;P 500 ETF</v>
    <v>405.1</v>
    <v>411.34</v>
    <v>398.17</v>
    <v>399.45</v>
    <v>SPY</v>
    <v>SPDR S&amp;P 500 ETF (ARCX:SPY)</v>
    <v>155586067</v>
    <v>99799889</v>
  </rv>
  <rv s="2">
    <v>227</v>
  </rv>
  <rv s="0">
    <v>https://www.bing.com/financeapi/forcetrigger?t=a23hz2&amp;q=ARCX%3aSPYG&amp;form=skydnc</v>
    <v>Learn more on Bing</v>
  </rv>
  <rv s="6">
    <v>en-US</v>
    <v>a23hz2</v>
    <v>268435456</v>
    <v>1</v>
    <v>Powered by Refinitiv</v>
    <v>10</v>
    <v>SPDR Ptf S&amp;P 500 Growth (ARCX:SPYG)</v>
    <v>11</v>
    <v>12</v>
    <v>Finance</v>
    <v>13</v>
    <v>73.64</v>
    <v>54.832999999999998</v>
    <v>0.99850000000000005</v>
    <v>-2.25</v>
    <v>4.3569999999999998E-3</v>
    <v>-3.9239999999999997E-2</v>
    <v>0.24</v>
    <v>USD</v>
    <v>NYSE Arca</v>
    <v>ARCX</v>
    <v>4.0000000000000002E-4</v>
    <v>56.6</v>
    <v>ETF</v>
    <v>44691.000000624997</v>
    <v>229</v>
    <v>54.832999999999998</v>
    <v>12538255414.98</v>
    <v>SPDR Ptf S&amp;P 500 Growth</v>
    <v>56.27</v>
    <v>57.34</v>
    <v>55.09</v>
    <v>55.33</v>
    <v>SPYG</v>
    <v>SPDR Ptf S&amp;P 500 Growth (ARCX:SPYG)</v>
    <v>3592485</v>
    <v>2706480</v>
  </rv>
  <rv s="2">
    <v>230</v>
  </rv>
  <rv s="0">
    <v>https://www.bing.com/financeapi/forcetrigger?t=a23i8m&amp;q=XNYS%3aSQ&amp;form=skydnc</v>
    <v>Learn more on Bing</v>
  </rv>
  <rv s="1">
    <v>en-US</v>
    <v>a23i8m</v>
    <v>268435456</v>
    <v>1</v>
    <v>Powered by Refinitiv</v>
    <v>0</v>
    <v>BLOCK, INC. (XNYS:SQ)</v>
    <v>2</v>
    <v>3</v>
    <v>Finance</v>
    <v>4</v>
    <v>289.23</v>
    <v>80.819999999999993</v>
    <v>2.3719000000000001</v>
    <v>-12.33</v>
    <v>-6.4390000000000003E-3</v>
    <v>-0.12818399999999999</v>
    <v>-0.54</v>
    <v>USD</v>
    <v>Block, Inc. creates tools that enables businesses, sellers and individuals to participate in the economy. Its segments include Square and Cash App. The Square segment includes managed payment services, software solutions, hardware and financial services products offered to sellers. The Cash App segment includes the financial tools available to individuals within the mobile Cash App, including peer-to-peer payments, bitcoin and stock investments. Cash App segment also includes Cash Card, which is linked to customer-stored balances that customers can use to pay for purchases or withdraw funds from an automated teller machine (ATM). Its Square ecosystem consists of more than 30 distinct software, hardware, and financial services products. With Cash App, it is building an ecosystem of financial products and services that helps individuals manage their money by making it relatable, instantly available, and universally accessible. Cash App primarily serves customers in the United States.</v>
    <v>8521</v>
    <v>New York Stock Exchange</v>
    <v>XNYS</v>
    <v>XNYS</v>
    <v>1455 Market Street, Suite 600, SAN FRANCISCO, CA, 94103 US</v>
    <v>93.968500000000006</v>
    <v>Professional &amp; Commercial Services</v>
    <v>Stock</v>
    <v>44690.999935428124</v>
    <v>232</v>
    <v>80.819999999999993</v>
    <v>48671673120</v>
    <v>BLOCK, INC.</v>
    <v>BLOCK, INC.</v>
    <v>93.06</v>
    <v>313.78280000000001</v>
    <v>96.19</v>
    <v>83.86</v>
    <v>83.32</v>
    <v>580392000</v>
    <v>SQ</v>
    <v>BLOCK, INC. (XNYS:SQ)</v>
    <v>31319614</v>
    <v>15848737</v>
    <v>2009</v>
  </rv>
  <rv s="2">
    <v>233</v>
  </rv>
  <rv s="0">
    <v>https://www.bing.com/financeapi/forcetrigger?t=a23www&amp;q=XNYS%3aT&amp;form=skydnc</v>
    <v>Learn more on Bing</v>
  </rv>
  <rv s="1">
    <v>en-US</v>
    <v>a23www</v>
    <v>268435456</v>
    <v>1</v>
    <v>Powered by Refinitiv</v>
    <v>0</v>
    <v>AT&amp;T INC. (XNYS:T)</v>
    <v>2</v>
    <v>3</v>
    <v>Finance</v>
    <v>4</v>
    <v>25.5718</v>
    <v>16.620200000000001</v>
    <v>0.54339999999999999</v>
    <v>-0.48</v>
    <v>-2.0460000000000001E-3</v>
    <v>-2.3963999999999999E-2</v>
    <v>-0.04</v>
    <v>USD</v>
    <v>AT&amp;T Inc. is a holding company. The Company is a provider of telecommunications, media and technology services globally. The Company operates through three segments: Communication segment, WarnerMedia segment, and Latin America segment. The Communications segment provides wireless and wireline telecom, video and broadband services to consumers. The business units of the Communication segment includes Mobility, Business Wireline and Consumer Wireline. Business Wireline provides advanced IP-based services, traditional voice and data services. The WarnerMedia segment develops, produces and distributes feature films, television, gaming and other content over various physical and digital formats. WarnerMedia segment also includes Xandr that provides advertising services. Latin America segment provides entertainment and wireless services outside of the United States. Mexico is the business unit of the Latin America segment that provides wireless service and equipment to customers in Mexico.</v>
    <v>203000</v>
    <v>New York Stock Exchange</v>
    <v>XNYS</v>
    <v>XNYS</v>
    <v>208 S Akard St, DALLAS, TX, 75202 US</v>
    <v>20.040099999999999</v>
    <v>Telecommunications Services</v>
    <v>Stock</v>
    <v>44690.999865786718</v>
    <v>235</v>
    <v>19.47</v>
    <v>139958450000</v>
    <v>AT&amp;T INC.</v>
    <v>AT&amp;T INC.</v>
    <v>19.98</v>
    <v>8.4510000000000005</v>
    <v>20.03</v>
    <v>19.55</v>
    <v>19.510000000000002</v>
    <v>7159000000</v>
    <v>T</v>
    <v>AT&amp;T INC. (XNYS:T)</v>
    <v>51563301</v>
    <v>62565716</v>
    <v>1983</v>
  </rv>
  <rv s="2">
    <v>236</v>
  </rv>
  <rv s="0">
    <v>https://www.bing.com/financeapi/forcetrigger?t=a246z2&amp;q=XNYS%3aTGT&amp;form=skydnc</v>
    <v>Learn more on Bing</v>
  </rv>
  <rv s="1">
    <v>en-US</v>
    <v>a246z2</v>
    <v>268435456</v>
    <v>1</v>
    <v>Powered by Refinitiv</v>
    <v>0</v>
    <v>TARGET CORPORATION (XNYS:TGT)</v>
    <v>2</v>
    <v>3</v>
    <v>Finance</v>
    <v>4</v>
    <v>268.98</v>
    <v>184</v>
    <v>0.94540000000000002</v>
    <v>-1.01</v>
    <v>4.0140000000000002E-3</v>
    <v>-4.4850000000000003E-3</v>
    <v>0.9</v>
    <v>USD</v>
    <v>Target Corporation (Target) is a general merchandise retailer selling products through its stores and digital channels. The Company sells an assortment of general merchandise and food. The Company’s product category includes apparel and accessories, beauty and household essentials, food and beverage, hardlines, and home furnishing and decor. Its general merchandise stores offer an edited food assortment, including perishables, dry grocery, dairy and frozen items. The Company has stores of approximately 170,000 square feet offer a full line of food items comparable to traditional supermarkets. Its small-format stores have over 50,000 square feet that offer curated general merchandise and food assortments. Its brands include Art Class, Smartly, Auden, JoyLab, Smith &amp; Hawken, Ava &amp; Viv, Kindfull, Sonia Kashuk, Casaluna, Market Pantry, Threshold, Cat &amp; Jack, Mondo Llama, Universal Thread, Cloud Island, More Than Magic, up &amp; up, Colsie, Opalhouse, Wild Fable and Open Story, Wondershop.</v>
    <v>450000</v>
    <v>New York Stock Exchange</v>
    <v>XNYS</v>
    <v>XNYS</v>
    <v>1000 Nicollet Mall, MINNEAPOLIS, MN, 55403-2542 US</v>
    <v>228.18</v>
    <v>Diversified Retail</v>
    <v>Stock</v>
    <v>44690.999938078123</v>
    <v>238</v>
    <v>222.32</v>
    <v>103955755640</v>
    <v>TARGET CORPORATION</v>
    <v>TARGET CORPORATION</v>
    <v>223.2</v>
    <v>16.003699999999998</v>
    <v>225.21</v>
    <v>224.2</v>
    <v>225.1</v>
    <v>463674200</v>
    <v>TGT</v>
    <v>TARGET CORPORATION (XNYS:TGT)</v>
    <v>4672300</v>
    <v>3618429</v>
    <v>1902</v>
  </rv>
  <rv s="2">
    <v>239</v>
  </rv>
  <rv s="0">
    <v>https://www.bing.com/financeapi/forcetrigger?t=a24b5r&amp;q=XNAS%3aTLT&amp;form=skydnc</v>
    <v>Learn more on Bing</v>
  </rv>
  <rv s="6">
    <v>en-US</v>
    <v>a24b5r</v>
    <v>268435456</v>
    <v>1</v>
    <v>Powered by Refinitiv</v>
    <v>10</v>
    <v>iShares:20+ Trs Bd ETF (XNAS:TLT)</v>
    <v>11</v>
    <v>12</v>
    <v>Finance</v>
    <v>13</v>
    <v>155.12</v>
    <v>112.62</v>
    <v>1.0552999999999999</v>
    <v>1</v>
    <v>1.9189999999999999E-3</v>
    <v>8.797000000000001E-3</v>
    <v>0.22</v>
    <v>USD</v>
    <v>Nasdaq Stock Market</v>
    <v>XNAS</v>
    <v>1.5E-3</v>
    <v>114.71</v>
    <v>ETF</v>
    <v>44690.99964265</v>
    <v>241</v>
    <v>112.62</v>
    <v>18845510626.84</v>
    <v>iShares:20+ Trs Bd ETF</v>
    <v>112.86</v>
    <v>113.67</v>
    <v>114.67</v>
    <v>114.89</v>
    <v>TLT</v>
    <v>iShares:20+ Trs Bd ETF (XNAS:TLT)</v>
    <v>26773036</v>
    <v>25067588</v>
  </rv>
  <rv s="2">
    <v>242</v>
  </rv>
  <rv s="0">
    <v>https://www.bing.com/financeapi/forcetrigger?t=a24bh7&amp;q=XNYS%3aTM&amp;form=skydnc</v>
    <v>Learn more on Bing</v>
  </rv>
  <rv s="1">
    <v>en-US</v>
    <v>a24bh7</v>
    <v>268435456</v>
    <v>1</v>
    <v>Powered by Refinitiv</v>
    <v>0</v>
    <v>TOYOTA MOTOR CORPORATION (XNYS:TM)</v>
    <v>2</v>
    <v>3</v>
    <v>Finance</v>
    <v>4</v>
    <v>213.74</v>
    <v>151.155</v>
    <v>0.51090000000000002</v>
    <v>-4.83</v>
    <v>9.0220000000000005E-3</v>
    <v>-2.7871E-2</v>
    <v>1.52</v>
    <v>USD</v>
    <v>Toyota Motor Corp is a Japan-based company engaged in the automobile business, finance business and other businesses. The Company operates in three business segments. The Automobile segment is engaged in the design, manufacture and sale of sedans, minivans, 2box, sports utility vehicles, trucks and related vehicles, as well as related parts and products. The Finance segment is engaged in finance and vehicle leasing business. The Other segment is engaged in the design, manufacture and sale of houses, as well as conduct information communication business. The Company is also engaged in the control of manufacturing and sales companies, as well as public relations and research activities business in North American and Europe. The Company also provides robots, basic research projects, marine and agribio business. The Company also provides electric vehicles and vehicles equipped with the new function Advanced Drive of driving support technology, driver assistance or connected cars services.</v>
    <v>366283</v>
    <v>New York Stock Exchange</v>
    <v>XNYS</v>
    <v>XNYS</v>
    <v>1, Toyota-cho, TOYOTA-SHI, AICHI-KEN, 471-8571 JP</v>
    <v>171.4</v>
    <v>Automobiles &amp; Auto Parts</v>
    <v>Stock</v>
    <v>44690.973613587499</v>
    <v>244</v>
    <v>168.25</v>
    <v>285352400000</v>
    <v>TOYOTA MOTOR CORPORATION</v>
    <v>TOYOTA MOTOR CORPORATION</v>
    <v>170.49</v>
    <v>9.0098000000000003</v>
    <v>173.3</v>
    <v>168.47</v>
    <v>169.99</v>
    <v>1631499000</v>
    <v>TM</v>
    <v>TOYOTA MOTOR CORPORATION (XNYS:TM)</v>
    <v>366347</v>
    <v>245167</v>
    <v>1937</v>
  </rv>
  <rv s="2">
    <v>245</v>
  </rv>
  <rv s="0">
    <v>https://www.bing.com/financeapi/forcetrigger?t=a24bsm&amp;q=XNYS%3aTMO&amp;form=skydnc</v>
    <v>Learn more on Bing</v>
  </rv>
  <rv s="1">
    <v>en-US</v>
    <v>a24bsm</v>
    <v>268435456</v>
    <v>1</v>
    <v>Powered by Refinitiv</v>
    <v>0</v>
    <v>THERMO FISHER SCIENTIFIC INC. (XNYS:TMO)</v>
    <v>2</v>
    <v>3</v>
    <v>Finance</v>
    <v>4</v>
    <v>672.34</v>
    <v>438.72</v>
    <v>0.83289999999999997</v>
    <v>-29.29</v>
    <v>1.16E-3</v>
    <v>-5.3578000000000001E-2</v>
    <v>0.6</v>
    <v>USD</v>
    <v>Thermo Fisher Scientific Inc. develops, manufactures and sells a range of products. The Company segments include Life Sciences Solutions, Analytical Instruments, Specialty Diagnostics, and Laboratory Products and Services. The Company offers its products and services through various brands, including Thermo Scientific, Applied Biosystems, Invitrogen, Fisher Scientific, Unity Lab Services, Patheon and PPD. Life Sciences Solutions segment provides a portfolio of reagents, instruments and consumables used in biological and medical research, discovery and production of new drugs and vaccines. Analytical Instruments segment provides a broad offering of instruments, consumables, software and services that are used for applications in the laboratory. Specialty Diagnostics segment offers a wide range of diagnostic test kits, reagents, culture media, instruments and associated products. Its Laboratory Products and Services segment offers products and solutions needed for the laboratory.</v>
    <v>130000</v>
    <v>New York Stock Exchange</v>
    <v>XNYS</v>
    <v>XNYS</v>
    <v>168 3rd Ave, WALTHAM, MA, 02451-7551 US</v>
    <v>538.66</v>
    <v>Healthcare Equipment &amp; Supplies</v>
    <v>Stock</v>
    <v>44690.996024490625</v>
    <v>247</v>
    <v>514.88</v>
    <v>202526882905</v>
    <v>THERMO FISHER SCIENTIFIC INC.</v>
    <v>THERMO FISHER SCIENTIFIC INC.</v>
    <v>538.66</v>
    <v>28.467500000000001</v>
    <v>546.67999999999995</v>
    <v>517.39</v>
    <v>517.99</v>
    <v>391439500</v>
    <v>TMO</v>
    <v>THERMO FISHER SCIENTIFIC INC. (XNYS:TMO)</v>
    <v>1568734</v>
    <v>1566298</v>
    <v>1960</v>
  </rv>
  <rv s="2">
    <v>248</v>
  </rv>
  <rv s="0">
    <v>https://www.bing.com/financeapi/forcetrigger?t=a24iz2&amp;q=XNYS%3aTRU&amp;form=skydnc</v>
    <v>Learn more on Bing</v>
  </rv>
  <rv s="1">
    <v>en-US</v>
    <v>a24iz2</v>
    <v>268435456</v>
    <v>1</v>
    <v>Powered by Refinitiv</v>
    <v>0</v>
    <v>TRANSUNION (XNYS:TRU)</v>
    <v>2</v>
    <v>3</v>
    <v>Finance</v>
    <v>4</v>
    <v>125.35</v>
    <v>82.13</v>
    <v>1.3966000000000001</v>
    <v>-1.93</v>
    <v>0</v>
    <v>-2.2856000000000001E-2</v>
    <v>0</v>
    <v>USD</v>
    <v>TransUnion is a global information and insights company. The Company operates through three segments: U.S. Markets, International, and Consumer Interactive. The U.S. Markets segment provides consumer reports, actionable insights, and analytics to businesses. These businesses use its services to acquire customers, assess consumers ability to pay for services, identify cross-selling opportunities, measure and manage debt portfolio risk, collect debt, verify consumer identities, and mitigate fraud risk. The International segment provides services similar to its U.S. Markets segment to businesses in select regions outside the United States. The Consumer Interactive segment offers solutions that help consumers manage their personal finances and take precautions against identity theft. The services offered in this segment include credit reports and scores, credit monitoring, identity protection and resolution, and financial management for consumers.</v>
    <v>10200</v>
    <v>New York Stock Exchange</v>
    <v>XNYS</v>
    <v>XNYS</v>
    <v>555 W Adams St, CHICAGO, IL, 60661-3719 US</v>
    <v>83.97</v>
    <v>Professional &amp; Commercial Services</v>
    <v>Stock</v>
    <v>44690.958333367969</v>
    <v>250</v>
    <v>82.13</v>
    <v>15874924000</v>
    <v>TRANSUNION</v>
    <v>TRANSUNION</v>
    <v>83.3</v>
    <v>59.497100000000003</v>
    <v>84.44</v>
    <v>82.51</v>
    <v>82.51</v>
    <v>192400000</v>
    <v>TRU</v>
    <v>TRANSUNION (XNYS:TRU)</v>
    <v>1424488</v>
    <v>1633938</v>
    <v>2012</v>
  </rv>
  <rv s="2">
    <v>251</v>
  </rv>
  <rv s="0">
    <v>https://www.bing.com/financeapi/forcetrigger?t=a24kar&amp;q=XNAS%3aTSLA&amp;form=skydnc</v>
    <v>Learn more on Bing</v>
  </rv>
  <rv s="1">
    <v>en-US</v>
    <v>a24kar</v>
    <v>268435456</v>
    <v>1</v>
    <v>Powered by Refinitiv</v>
    <v>0</v>
    <v>TESLA, INC. (XNAS:TSLA)</v>
    <v>2</v>
    <v>3</v>
    <v>Finance</v>
    <v>4</v>
    <v>1243.49</v>
    <v>546.98</v>
    <v>2.1223000000000001</v>
    <v>-78.540000000000006</v>
    <v>-3.3029999999999995E-4</v>
    <v>-9.0730000000000005E-2</v>
    <v>-0.26</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includes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99290</v>
    <v>Nasdaq Stock Market</v>
    <v>XNAS</v>
    <v>XNAS</v>
    <v>13101 Harold Green Road, AUSTIN, TX, 78725 US</v>
    <v>845.63</v>
    <v>Automobiles &amp; Auto Parts</v>
    <v>Stock</v>
    <v>44690.999998888285</v>
    <v>253</v>
    <v>781.15</v>
    <v>815453831100</v>
    <v>TESLA, INC.</v>
    <v>TESLA, INC.</v>
    <v>836.45</v>
    <v>117.0038</v>
    <v>865.65</v>
    <v>787.11</v>
    <v>786.85</v>
    <v>1036010000</v>
    <v>TSLA</v>
    <v>TESLA, INC. (XNAS:TSLA)</v>
    <v>30270074</v>
    <v>25435457</v>
    <v>2003</v>
  </rv>
  <rv s="2">
    <v>254</v>
  </rv>
  <rv s="0">
    <v>https://www.bing.com/financeapi/forcetrigger?t=a24kjc&amp;q=XNYS%3aTSM&amp;form=skydnc</v>
    <v>Learn more on Bing</v>
  </rv>
  <rv s="1">
    <v>en-US</v>
    <v>a24kjc</v>
    <v>268435456</v>
    <v>1</v>
    <v>Powered by Refinitiv</v>
    <v>0</v>
    <v>Taiwan Semiconductor Manufacturing Co., Ltd. (XNYS:TSM)</v>
    <v>2</v>
    <v>3</v>
    <v>Finance</v>
    <v>4</v>
    <v>145</v>
    <v>87.01</v>
    <v>0.94089999999999996</v>
    <v>-4.33</v>
    <v>1.4890000000000001E-3</v>
    <v>-4.7255000000000005E-2</v>
    <v>0.13</v>
    <v>USD</v>
    <v>Taiwan Semiconductor Manufacturing Co., Ltd. is principally engaged in the manufacture and sale of integrated circuits and semiconductor products. The Company is mainly engaged in the manufacture, sale and packaging test of integrated circuits and other semiconductor devices, the manufacture of masks, as well as the provision of computer-aided design services. The Company's products are applied to personal computer (PCs) and peripheral products, information applications, wired and wireless communication systems, industrial equipment, consumer electronics such as digital video disc players, digital TVs, game consoles and digital cameras. The Company is also engaged in the development of 5 nanometer process technology, mask technology, complementary metal oxide semiconductor (CMOS) image sensor technology, three dimensional (3D) IC and TSMC system on integrated chips (TSMC-SoIC) technology, among others. The Company distributes its products to the United States, Asia and Europe.</v>
    <v>52045</v>
    <v>New York Stock Exchange</v>
    <v>XNYS</v>
    <v>XNYS</v>
    <v>No.8, Li-Hsin 6th Road, Hsinchu Science Park, HSINCHU, HSINCHU, 300 TW</v>
    <v>90.19</v>
    <v>Semiconductors &amp; Semiconductor Equipment</v>
    <v>Stock</v>
    <v>44690.999951272657</v>
    <v>256</v>
    <v>87.01</v>
    <v>461677600000</v>
    <v>Taiwan Semiconductor Manufacturing Co., Ltd.</v>
    <v>Taiwan Semiconductor Manufacturing Co., Ltd.</v>
    <v>89.94</v>
    <v>20.625800000000002</v>
    <v>91.63</v>
    <v>87.3</v>
    <v>87.43</v>
    <v>5186354000</v>
    <v>TSM</v>
    <v>Taiwan Semiconductor Manufacturing Co., Ltd. (XNYS:TSM)</v>
    <v>11428619</v>
    <v>11936945</v>
    <v>1987</v>
  </rv>
  <rv s="2">
    <v>257</v>
  </rv>
  <rv s="0">
    <v>https://www.bing.com/financeapi/forcetrigger?t=a24mnm&amp;q=XNAS%3aTTWO&amp;form=skydnc</v>
    <v>Learn more on Bing</v>
  </rv>
  <rv s="1">
    <v>en-US</v>
    <v>a24mnm</v>
    <v>268435456</v>
    <v>1</v>
    <v>Powered by Refinitiv</v>
    <v>0</v>
    <v>TAKE-TWO INTERACTIVE SOFTWARE, INC. (XNAS:TTWO)</v>
    <v>2</v>
    <v>3</v>
    <v>Finance</v>
    <v>4</v>
    <v>195.82499999999999</v>
    <v>105.01</v>
    <v>0.77159999999999995</v>
    <v>-8.1199999999999992</v>
    <v>1.0363000000000001E-2</v>
    <v>-7.1059999999999998E-2</v>
    <v>1.1000000000000001</v>
    <v>USD</v>
    <v>Take-Two Interactive Software, Inc. is a developer, publisher, and marketer of interactive entertainment for consumers around the world. The Company develops and publishes products through its labels, Rockstar Games, 2K, Private Division, Social Point, and Playdots. Its products are designed for console gaming systems, including Sony's PlayStation 4 and PlayStation 5; Microsoft's Xbox One and Xbox Series XS; and Nintendo's Switch, as well as personal computers, including smartphones and tablets. The Company delivers its products through physical retail, digital download, online platforms, and cloud streaming services. The Company is focused on publishing a select number of titles based on internally owned and developed intellectual properties. In addition, it selectively develops titles based on licensed properties, including sports leagues, and also publishes externally developed titles.</v>
    <v>6495</v>
    <v>Nasdaq Stock Market</v>
    <v>XNAS</v>
    <v>XNAS</v>
    <v>110 W 44th St, NEW YORK, NY, 10036-4011 US</v>
    <v>113.18</v>
    <v>Leisure Products</v>
    <v>Stock</v>
    <v>44690.99895734922</v>
    <v>259</v>
    <v>105.01</v>
    <v>12255781780</v>
    <v>TAKE-TWO INTERACTIVE SOFTWARE, INC.</v>
    <v>TAKE-TWO INTERACTIVE SOFTWARE, INC.</v>
    <v>111.735</v>
    <v>25.346599999999999</v>
    <v>114.27</v>
    <v>106.15</v>
    <v>107.25</v>
    <v>115457200</v>
    <v>TTWO</v>
    <v>TAKE-TWO INTERACTIVE SOFTWARE, INC. (XNAS:TTWO)</v>
    <v>4311289</v>
    <v>1866873</v>
    <v>1993</v>
  </rv>
  <rv s="2">
    <v>260</v>
  </rv>
  <rv s="0">
    <v>https://www.bing.com/financeapi/forcetrigger?t=a24nyc&amp;q=XNYS%3aTWLO&amp;form=skydnc</v>
    <v>Learn more on Bing</v>
  </rv>
  <rv s="1">
    <v>en-US</v>
    <v>a24nyc</v>
    <v>268435456</v>
    <v>1</v>
    <v>Powered by Refinitiv</v>
    <v>0</v>
    <v>TWILIO INC. (XNYS:TWLO)</v>
    <v>2</v>
    <v>3</v>
    <v>Finance</v>
    <v>4</v>
    <v>412.68</v>
    <v>98.47</v>
    <v>1.5351999999999999</v>
    <v>-6.63</v>
    <v>2.9780000000000003E-4</v>
    <v>-6.1742999999999999E-2</v>
    <v>0.03</v>
    <v>USD</v>
    <v>Twilio Inc. offers cloud communications platform, which enables developers to build, scale and operate real-time communications within software applications. The Company offers a customer engagement platform with software designed to address specific use cases, like account security and contact centers, and a set of Application Programming Interfaces (APIs). It also offers a set of APIs that enable developers to embed voice, messaging, video and email capabilities into their applications, and are designed to support all the fundamental ways humans communicate to address any communication market. The Super Network is its software layer that allows its customers' software to communicate with connected devices globally. It interconnects with communications networks and inbox service providers around the world. The Super Network also contains a set of APIs giving its customers access to foundational components of its platform, like phone numbers and session initiation protocol Trunking.</v>
    <v>8199</v>
    <v>New York Stock Exchange</v>
    <v>XNYS</v>
    <v>XNYS</v>
    <v>101 SPEAR STREET, FIRST FLOOR, SAN FRANCISCO, CA, 94105 US</v>
    <v>109.3368</v>
    <v>Software &amp; IT Services</v>
    <v>Stock</v>
    <v>44690.999246481253</v>
    <v>262</v>
    <v>98.47</v>
    <v>18302335675</v>
    <v>TWILIO INC.</v>
    <v>TWILIO INC.</v>
    <v>105</v>
    <v>0</v>
    <v>107.38</v>
    <v>100.75</v>
    <v>100.78</v>
    <v>181660900</v>
    <v>TWLO</v>
    <v>TWILIO INC. (XNYS:TWLO)</v>
    <v>5114723</v>
    <v>3660232</v>
    <v>2008</v>
  </rv>
  <rv s="2">
    <v>263</v>
  </rv>
  <rv s="0">
    <v>https://www.bing.com/financeapi/forcetrigger?t=a24op2&amp;q=XNYS%3aTWTR&amp;form=skydnc</v>
    <v>Learn more on Bing</v>
  </rv>
  <rv s="1">
    <v>en-US</v>
    <v>a24op2</v>
    <v>268435456</v>
    <v>1</v>
    <v>Powered by Refinitiv</v>
    <v>0</v>
    <v>TWITTER, INC. (XNYS:TWTR)</v>
    <v>2</v>
    <v>3</v>
    <v>Finance</v>
    <v>4</v>
    <v>73.34</v>
    <v>31.3</v>
    <v>0.56359999999999999</v>
    <v>-1.84</v>
    <v>-9.3830000000000007E-3</v>
    <v>-3.6948000000000002E-2</v>
    <v>-0.45</v>
    <v>USD</v>
    <v>Twitter, Inc. offers products and services for users, advertisers, developers and data partners. The Company's products and services include Twitter, Promoted Ads and Twitter Amplify, Follower Ads and Twitter Takeover. Twitter is a platform for public self-expression and conversation in real time. Its Promoted Ads include objective-based features that allow advertisers to pay only for the types of engagement selected by the advertisers, such as Tweet engagements, Website clicks, mobile application installs or engagements, obtaining new followers, or video views. Follower Ads provide a way for its advertisers to build and grow an audience that is interested in their business, product or service. Its Follower Ads are pay-for-performance advertising priced through an auction. Twitter Takeover appear at the top of the list of trending topics or timeline for an entire day in a particular country or on a global basis. The Company sell its Twitter Takeover on a fixed-fee-per-day basis.</v>
    <v>7500</v>
    <v>New York Stock Exchange</v>
    <v>XNYS</v>
    <v>XNYS</v>
    <v>1355 Market St Ste 900, SAN FRANCISCO, CA, 94103-1337 US</v>
    <v>49.44</v>
    <v>Software &amp; IT Services</v>
    <v>Stock</v>
    <v>44690.999969560158</v>
    <v>265</v>
    <v>47.625</v>
    <v>36650106372</v>
    <v>TWITTER, INC.</v>
    <v>TWITTER, INC.</v>
    <v>49.3</v>
    <v>205.70009999999999</v>
    <v>49.8</v>
    <v>47.96</v>
    <v>47.51</v>
    <v>764180700</v>
    <v>TWTR</v>
    <v>TWITTER, INC. (XNYS:TWTR)</v>
    <v>37706836</v>
    <v>97431702</v>
    <v>2007</v>
  </rv>
  <rv s="2">
    <v>266</v>
  </rv>
  <rv s="0">
    <v>https://www.bing.com/financeapi/forcetrigger?t=a24p1h&amp;q=XNAS%3aTXN&amp;form=skydnc</v>
    <v>Learn more on Bing</v>
  </rv>
  <rv s="1">
    <v>en-US</v>
    <v>a24p1h</v>
    <v>268435456</v>
    <v>1</v>
    <v>Powered by Refinitiv</v>
    <v>0</v>
    <v>TEXAS INSTRUMENTS INCORPORATED (XNAS:TXN)</v>
    <v>2</v>
    <v>3</v>
    <v>Finance</v>
    <v>4</v>
    <v>202.26</v>
    <v>160.5</v>
    <v>0.94289999999999996</v>
    <v>-2.5099999999999998</v>
    <v>1.091E-3</v>
    <v>-1.4990000000000002E-2</v>
    <v>0.18</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Signal Chain includes products that sense, condition and measure signals to allow information to be transferred or converted for further processing and control. The Embedded Processing segment includes microcontrollers, digital signal processors (DSPs), and applications processors. Microcontrollers are self-contained systems with a processor core, memory and peripherals that are designed to control a set of specific tasks for electronic equipment. DSPs perform mathematical computations to process or improve digital data. Applications processors are designed for specific computing activities.</v>
    <v>31000</v>
    <v>Nasdaq Stock Market</v>
    <v>XNAS</v>
    <v>XNAS</v>
    <v>12500 T I Blvd, DALLAS, TX, 75243-0592 US</v>
    <v>168.45500000000001</v>
    <v>Semiconductors &amp; Semiconductor Equipment</v>
    <v>Stock</v>
    <v>44690.998503460156</v>
    <v>268</v>
    <v>164.1</v>
    <v>152096765466</v>
    <v>TEXAS INSTRUMENTS INCORPORATED</v>
    <v>TEXAS INSTRUMENTS INCORPORATED</v>
    <v>166.11</v>
    <v>19.147300000000001</v>
    <v>167.45</v>
    <v>164.94</v>
    <v>165.12</v>
    <v>922133900</v>
    <v>TXN</v>
    <v>TEXAS INSTRUMENTS INCORPORATED (XNAS:TXN)</v>
    <v>7929929</v>
    <v>6213410</v>
    <v>1938</v>
  </rv>
  <rv s="2">
    <v>269</v>
  </rv>
  <rv s="0">
    <v>https://www.bing.com/financeapi/forcetrigger?t=bptw77&amp;q=XNYS%3aUBER&amp;form=skydnc</v>
    <v>Learn more on Bing</v>
  </rv>
  <rv s="9">
    <v>en-US</v>
    <v>bptw77</v>
    <v>268435456</v>
    <v>1</v>
    <v>Powered by Refinitiv</v>
    <v>14</v>
    <v>UBER TECHNOLOGIES, INC. (XNYS:UBER)</v>
    <v>2</v>
    <v>15</v>
    <v>Finance</v>
    <v>4</v>
    <v>52.36</v>
    <v>22.8</v>
    <v>-3.02</v>
    <v>1.9522999999999999E-2</v>
    <v>-0.11584199999999999</v>
    <v>0.45</v>
    <v>USD</v>
    <v>Uber Technologies, Inc. (Uber) develops and operates technology applications supporting a variety of offerings on its platform. The Company connects consumers with providers of ride services, merchants, and food delivery services as well as public transportation networks. Its segments include Mobility, Delivery, and Freight. Mobility refers to products that connect consumers with Mobility drivers who provide rides in a variety of vehicles, such as cars, auto rickshaws, motorbikes, minibuses, or taxis. Mobility also includes activity related to its financial partnership’s offerings. Delivery offering allows consumers to search for and discover local restaurants, order meal, and either pick-up at the restaurant or have the meal delivered and, in certain markets, also includes offerings for grocery, alcohol and convenience store delivery as well as other goods. The Freight segment connects carriers with shippers on its platform, gives carriers upfront, and enables to book a shipment.</v>
    <v>29300</v>
    <v>New York Stock Exchange</v>
    <v>XNYS</v>
    <v>XNYS</v>
    <v>1515 3Rd Street, SAN FRANCISCO, CA, 94158 US</v>
    <v>26.065000000000001</v>
    <v>Software &amp; IT Services</v>
    <v>Stock</v>
    <v>44690.99994040469</v>
    <v>271</v>
    <v>22.8</v>
    <v>45262363000</v>
    <v>UBER TECHNOLOGIES, INC.</v>
    <v>UBER TECHNOLOGIES, INC.</v>
    <v>25.41</v>
    <v>0</v>
    <v>26.07</v>
    <v>23.05</v>
    <v>23.5</v>
    <v>1963660000</v>
    <v>UBER</v>
    <v>UBER TECHNOLOGIES, INC. (XNYS:UBER)</v>
    <v>58095902</v>
    <v>33070719</v>
    <v>2010</v>
  </rv>
  <rv s="2">
    <v>272</v>
  </rv>
  <rv s="0">
    <v>https://www.bing.com/financeapi/forcetrigger?t=a24war&amp;q=XNAS%3aULTA&amp;form=skydnc</v>
    <v>Learn more on Bing</v>
  </rv>
  <rv s="1">
    <v>en-US</v>
    <v>a24war</v>
    <v>268435456</v>
    <v>1</v>
    <v>Powered by Refinitiv</v>
    <v>0</v>
    <v>ULTA BEAUTY, INC. (XNAS:ULTA)</v>
    <v>2</v>
    <v>3</v>
    <v>Finance</v>
    <v>4</v>
    <v>438.63279999999997</v>
    <v>299.77269999999999</v>
    <v>1.542</v>
    <v>-8.34</v>
    <v>1.2884E-2</v>
    <v>-2.1416000000000001E-2</v>
    <v>4.91</v>
    <v>USD</v>
    <v>Ulta Beauty, Inc. (Ulta Beauty) is a beauty retailer. The Company operates specialty retail stores, which is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 a portfolio across six categories: cosmetics; haircare products and styling tools; skincare; fragrance and bath; services; and accessories and other. The Company also provides private label and co-branded credit card programs, loyalty programs and gift card. Ulta Beauty also offers a full-service salon in every store featuring hair, skin, makeup, and brow services. The Company operates approximately 1,308 stores across 50 states.</v>
    <v>16500</v>
    <v>Nasdaq Stock Market</v>
    <v>XNAS</v>
    <v>XNAS</v>
    <v>1000 Remington Blvd Ste 120, BOLINGBROOK, IL, 60440-4708 US</v>
    <v>396.33</v>
    <v>Specialty Retailers</v>
    <v>Stock</v>
    <v>44690.899440624999</v>
    <v>274</v>
    <v>379.34</v>
    <v>19903240782</v>
    <v>ULTA BEAUTY, INC.</v>
    <v>ULTA BEAUTY, INC.</v>
    <v>384.03</v>
    <v>21.628699999999998</v>
    <v>389.43</v>
    <v>381.09</v>
    <v>386</v>
    <v>52227140</v>
    <v>ULTA</v>
    <v>ULTA BEAUTY, INC. (XNAS:ULTA)</v>
    <v>750919</v>
    <v>640473</v>
    <v>2016</v>
  </rv>
  <rv s="2">
    <v>275</v>
  </rv>
  <rv s="0">
    <v>https://www.bing.com/financeapi/forcetrigger?t=a24xlh&amp;q=XNYS%3aUNH&amp;form=skydnc</v>
    <v>Learn more on Bing</v>
  </rv>
  <rv s="1">
    <v>en-US</v>
    <v>a24xlh</v>
    <v>268435456</v>
    <v>1</v>
    <v>Powered by Refinitiv</v>
    <v>0</v>
    <v>UNITEDHEALTH GROUP INCORPORATED (XNYS:UNH)</v>
    <v>2</v>
    <v>3</v>
    <v>Finance</v>
    <v>4</v>
    <v>553.29</v>
    <v>383.12</v>
    <v>0.83360000000000001</v>
    <v>-13.2</v>
    <v>3.6589999999999999E-3</v>
    <v>-2.6419999999999999E-2</v>
    <v>1.78</v>
    <v>USD</v>
    <v>UnitedHealth Group Incorporated is a diversified health care company that operates Optum and UnitedHealthcare platforms. The Company’s segments include Optum Health, Optum Insight, Optum Rx and UnitedHealthcare. Optum Health provides health and wellness care, addressing the physical, emotional and health-related financial needs. Optum Health, through its national health care delivery platform, engages people in care settings, including clinical sites, in-home and virtual. Optum Insight serves the needs of health systems, such as physicians and hospital systems, health plans, state governments and life sciences companies. Optum Rx provides a range of pharmacy care services through retail pharmacies, specialty and community health pharmacies and provides in-home and community-based infusion services. UnitedHealthcare segment includes UnitedHealthcare Employer &amp; Individual, UnitedHealthcare Medicare &amp; Retirement, UnitedHealthcare Community &amp; State and UnitedHealthcare Global.</v>
    <v>350000</v>
    <v>New York Stock Exchange</v>
    <v>XNYS</v>
    <v>XNYS</v>
    <v>9900 Bren Rd E, HOPKINS, MN, 55343-9664 US</v>
    <v>494.63</v>
    <v>Healthcare Providers &amp; Services</v>
    <v>Stock</v>
    <v>44690.999665126561</v>
    <v>277</v>
    <v>484.43</v>
    <v>456345429672</v>
    <v>UNITEDHEALTH GROUP INCORPORATED</v>
    <v>UNITEDHEALTH GROUP INCORPORATED</v>
    <v>490.4</v>
    <v>27.348500000000001</v>
    <v>499.62</v>
    <v>486.42</v>
    <v>488.2</v>
    <v>938171600</v>
    <v>UNH</v>
    <v>UNITEDHEALTH GROUP INCORPORATED (XNYS:UNH)</v>
    <v>3862856</v>
    <v>3121387</v>
    <v>2015</v>
  </rv>
  <rv s="2">
    <v>278</v>
  </rv>
  <rv s="0">
    <v>https://www.bing.com/financeapi/forcetrigger?t=a256cw&amp;q=XNYS%3aV&amp;form=skydnc</v>
    <v>Learn more on Bing</v>
  </rv>
  <rv s="1">
    <v>en-US</v>
    <v>a256cw</v>
    <v>268435456</v>
    <v>1</v>
    <v>Powered by Refinitiv</v>
    <v>0</v>
    <v>VISA INC. (XNYS:V)</v>
    <v>2</v>
    <v>3</v>
    <v>Finance</v>
    <v>4</v>
    <v>252.67</v>
    <v>186.67</v>
    <v>0.89959999999999996</v>
    <v>-9.82</v>
    <v>3.8340000000000002E-3</v>
    <v>-4.8417000000000002E-2</v>
    <v>0.74</v>
    <v>USD</v>
    <v>Visa Inc. (Visa) is a payments technology company that provides digital payments across more than 200 countries and territories. The Company connects consumers, merchants, financial institutions, businesses, strategic partners and government entities to electronic payments. The Company operates through payment services segment. The Company's transaction processing network, VisaNet, facilitates authorization, clearing and settlement of payment transactions and enables to provide its financial institution and merchant clients a range of products, platforms and value-added services. Its products/services include transaction processing services and Visa-branded payment products. The Company also offers Tink, an open banking platform that enables financial institutions, fintech and merchants to build financial products and services and move money. Tink enables its customers to move money, access aggregated financial data, and use smart financial services such as risk insights, and others.</v>
    <v>21500</v>
    <v>New York Stock Exchange</v>
    <v>XNYS</v>
    <v>XNYS</v>
    <v>900 Metro Center Blvd, FOSTER CITY, CA, 94404 US</v>
    <v>200.75</v>
    <v>Software &amp; IT Services</v>
    <v>Stock</v>
    <v>44690.99974137656</v>
    <v>280</v>
    <v>192.08</v>
    <v>402051038000</v>
    <v>VISA INC.</v>
    <v>VISA INC.</v>
    <v>200.05</v>
    <v>34.362499999999997</v>
    <v>202.82</v>
    <v>193</v>
    <v>193.74</v>
    <v>2083166000</v>
    <v>V</v>
    <v>VISA INC. (XNYS:V)</v>
    <v>10314141</v>
    <v>7645722</v>
    <v>2007</v>
  </rv>
  <rv s="2">
    <v>281</v>
  </rv>
  <rv s="0">
    <v>https://www.bing.com/financeapi/forcetrigger?t=a25hm7&amp;q=ARCX%3aVOO&amp;form=skydnc</v>
    <v>Learn more on Bing</v>
  </rv>
  <rv s="6">
    <v>en-US</v>
    <v>a25hm7</v>
    <v>268435456</v>
    <v>1</v>
    <v>Powered by Refinitiv</v>
    <v>10</v>
    <v>Vanguard 500 Idx;ETF (ARCX:VOO)</v>
    <v>11</v>
    <v>12</v>
    <v>Finance</v>
    <v>13</v>
    <v>441.26</v>
    <v>364.5</v>
    <v>1.0004</v>
    <v>-12.2</v>
    <v>3.2799999999999999E-3</v>
    <v>-3.2267000000000004E-2</v>
    <v>1.2</v>
    <v>USD</v>
    <v>NYSE Arca</v>
    <v>ARCX</v>
    <v>2.9999999999999997E-4</v>
    <v>373.56</v>
    <v>ETF</v>
    <v>44690.999984316404</v>
    <v>283</v>
    <v>364.5</v>
    <v>291373036867</v>
    <v>Vanguard 500 Idx;ETF</v>
    <v>372.36</v>
    <v>378.1</v>
    <v>365.9</v>
    <v>367.1</v>
    <v>VOO</v>
    <v>Vanguard 500 Idx;ETF (ARCX:VOO)</v>
    <v>10793230</v>
    <v>6074446</v>
  </rv>
  <rv s="2">
    <v>284</v>
  </rv>
  <rv s="0">
    <v>https://www.bing.com/financeapi/forcetrigger?t=a25hp2&amp;q=ARCX%3aVOOG&amp;form=skydnc</v>
    <v>Learn more on Bing</v>
  </rv>
  <rv s="6">
    <v>en-US</v>
    <v>a25hp2</v>
    <v>268435456</v>
    <v>1</v>
    <v>Powered by Refinitiv</v>
    <v>10</v>
    <v>Vanguard S&amp;P 500G;ETF (ARCX:VOOG)</v>
    <v>11</v>
    <v>12</v>
    <v>Finance</v>
    <v>13</v>
    <v>306.64019999999999</v>
    <v>228.27</v>
    <v>0.99980000000000002</v>
    <v>-9.41</v>
    <v>6.5430000000000002E-3</v>
    <v>-3.943E-2</v>
    <v>1.5</v>
    <v>USD</v>
    <v>NYSE Arca</v>
    <v>ARCX</v>
    <v>1E-3</v>
    <v>235.45500000000001</v>
    <v>ETF</v>
    <v>44691.000000057815</v>
    <v>286</v>
    <v>228.27</v>
    <v>7790995800</v>
    <v>Vanguard S&amp;P 500G;ETF</v>
    <v>234.3</v>
    <v>238.65</v>
    <v>229.24</v>
    <v>230.74</v>
    <v>VOOG</v>
    <v>Vanguard S&amp;P 500G;ETF (ARCX:VOOG)</v>
    <v>522455</v>
    <v>206412</v>
  </rv>
  <rv s="2">
    <v>287</v>
  </rv>
  <rv s="0">
    <v>https://www.bing.com/financeapi/forcetrigger?t=a25moc&amp;q=ARCX%3aVUG&amp;form=skydnc</v>
    <v>Learn more on Bing</v>
  </rv>
  <rv s="6">
    <v>en-US</v>
    <v>a25moc</v>
    <v>268435456</v>
    <v>1</v>
    <v>Powered by Refinitiv</v>
    <v>10</v>
    <v>Vanguard Gro Idx;ETF (ARCX:VUG)</v>
    <v>11</v>
    <v>12</v>
    <v>Finance</v>
    <v>13</v>
    <v>328.52</v>
    <v>233.42</v>
    <v>1.0193000000000001</v>
    <v>-10.81</v>
    <v>8.9940000000000003E-3</v>
    <v>-4.4051E-2</v>
    <v>2.11</v>
    <v>USD</v>
    <v>NYSE Arca</v>
    <v>ARCX</v>
    <v>4.0000000000000002E-4</v>
    <v>242.07</v>
    <v>ETF</v>
    <v>44690.998588633593</v>
    <v>289</v>
    <v>233.42</v>
    <v>83435797250</v>
    <v>Vanguard Gro Idx;ETF</v>
    <v>240.63</v>
    <v>245.4</v>
    <v>234.59</v>
    <v>236.7</v>
    <v>VUG</v>
    <v>Vanguard Gro Idx;ETF (ARCX:VUG)</v>
    <v>2225431</v>
    <v>1259048</v>
  </rv>
  <rv s="2">
    <v>290</v>
  </rv>
  <rv s="0">
    <v>https://www.bing.com/financeapi/forcetrigger?t=a25ya2&amp;q=XNYS%3aWMT&amp;form=skydnc</v>
    <v>Learn more on Bing</v>
  </rv>
  <rv s="1">
    <v>en-US</v>
    <v>a25ya2</v>
    <v>268435456</v>
    <v>1</v>
    <v>Powered by Refinitiv</v>
    <v>0</v>
    <v>WALMART INC. (XNYS:WMT)</v>
    <v>2</v>
    <v>3</v>
    <v>Finance</v>
    <v>4</v>
    <v>160.77000000000001</v>
    <v>132.01</v>
    <v>0.50249999999999995</v>
    <v>1.75</v>
    <v>5.5520000000000005E-3</v>
    <v>1.1701E-2</v>
    <v>0.84</v>
    <v>USD</v>
    <v>Walmart Inc. offers shopping opportunities in both retail stores and through e-commerce and provides access to its other service offerings. The Company offers an assortment of merchandise and services at everyday low prices (EDLP). The Company operates through three segments: Walmart U.S., Walmart International and Sam's Club. The Walmart U.S. segment is a merchandiser of consumer products, operating under the Walmart and Walmart Neighborhood Market brands, as well as walmart.com and other e-commerce brands, and it operates in the United States. The Walmart International segment includes various formats divided into two categories: retail and wholesale. These categories consist of various formats, including supercenters, supermarkets, hypermarkets, warehouse clubs (including Sam's Clubs) and cash &amp; carry, as well as e-commerce through walmart.com.mx, walmart.ca, flipkart.com and other sites. The Sam's Club segment is a membership-only warehouse club that also operates samsclub.com.</v>
    <v>2300000</v>
    <v>New York Stock Exchange</v>
    <v>XNYS</v>
    <v>XNYS</v>
    <v>702 SW 8th St, BENTONVILLE, AR, 72716-6209 US</v>
    <v>153.1</v>
    <v>Food &amp; Drug Retailing</v>
    <v>Stock</v>
    <v>44690.999667696095</v>
    <v>292</v>
    <v>148.19</v>
    <v>416523444420</v>
    <v>WALMART INC.</v>
    <v>WALMART INC.</v>
    <v>148.47</v>
    <v>30.669</v>
    <v>149.56</v>
    <v>151.31</v>
    <v>152.15</v>
    <v>2752782000</v>
    <v>WMT</v>
    <v>WALMART INC. (XNYS:WMT)</v>
    <v>9402359</v>
    <v>7236202</v>
    <v>1969</v>
  </rv>
  <rv s="2">
    <v>293</v>
  </rv>
  <rv s="0">
    <v>https://www.bing.com/financeapi/forcetrigger?t=bwzyp2&amp;q=XNAS%3aWOOF&amp;form=skydnc</v>
    <v>Learn more on Bing</v>
  </rv>
  <rv s="9">
    <v>en-US</v>
    <v>bwzyp2</v>
    <v>268435456</v>
    <v>1</v>
    <v>Powered by Refinitiv</v>
    <v>14</v>
    <v>PETCO HEALTH AND WELLNESS COMPANY, INC. (XNAS:WOOF)</v>
    <v>2</v>
    <v>15</v>
    <v>Finance</v>
    <v>4</v>
    <v>28.73</v>
    <v>16.22</v>
    <v>-0.93</v>
    <v>-1.8595E-2</v>
    <v>-4.5835000000000001E-2</v>
    <v>-0.36</v>
    <v>USD</v>
    <v>Petco Health and Wellness Company, Inc. is a pet health and wellness company. The Company is focused on improving the lives of pets, pet parents and its Petco partners. The Company offers various services, including in-store events, grooming, positive dog training, veterinary services, Petco insurance, pet adoption and a resource center. The Company also offers a veterinary service platform, which includes full-service veterinary hospitals, Vetco clinics, and tele-veterinarian services. The Company operates approximately 1,500 pet care centers across the United States (U.S), Mexico and Puerto Rico, which also includes a network of more than 150 in-store veterinary hospitals, and offers a complete resource for pet health and wellness through the Petco.com Website and the Petco app. The Company also operates an independent nonprofit organization, Petco Foundation.</v>
    <v>28495</v>
    <v>Nasdaq Stock Market</v>
    <v>XNAS</v>
    <v>XNAS</v>
    <v>10850 Via Frontera, SAN DIEGO, CA, 92127 US</v>
    <v>20.37</v>
    <v>Specialty Retailers</v>
    <v>Stock</v>
    <v>44690.931026943748</v>
    <v>295</v>
    <v>19.225000000000001</v>
    <v>5867218368</v>
    <v>PETCO HEALTH AND WELLNESS COMPANY, INC.</v>
    <v>PETCO HEALTH AND WELLNESS COMPANY, INC.</v>
    <v>20.100000000000001</v>
    <v>32.666800000000002</v>
    <v>20.29</v>
    <v>19.36</v>
    <v>19</v>
    <v>303058800</v>
    <v>WOOF</v>
    <v>PETCO HEALTH AND WELLNESS COMPANY, INC. (XNAS:WOOF)</v>
    <v>3215612</v>
    <v>1771908</v>
    <v>2015</v>
  </rv>
  <rv s="2">
    <v>296</v>
  </rv>
  <rv s="0">
    <v>https://www.bing.com/financeapi/forcetrigger?t=a269ec&amp;q=XNYS%3aXOM&amp;form=skydnc</v>
    <v>Learn more on Bing</v>
  </rv>
  <rv s="1">
    <v>en-US</v>
    <v>a269ec</v>
    <v>268435456</v>
    <v>1</v>
    <v>Powered by Refinitiv</v>
    <v>0</v>
    <v>EXXON MOBIL CORPORATION (XNYS:XOM)</v>
    <v>2</v>
    <v>3</v>
    <v>Finance</v>
    <v>4</v>
    <v>92.05</v>
    <v>52.1</v>
    <v>1.0427999999999999</v>
    <v>-7.23</v>
    <v>7.1040000000000003E-4</v>
    <v>-7.8853000000000006E-2</v>
    <v>0.06</v>
    <v>USD</v>
    <v>Exxon Mobil Corporation is engaged in energy business. The Company’s principal business involves exploration for, and production of, crude oil and natural gas, and the manufacture, trade, transport and sale of crude oil, natural gas, petroleum products, petrochemicals and a range of specialty products. The Company's segments include Upstream, Downstream and Chemical. The Upstream segment is organized and operates to explore for and produce crude oil and natural gas. The Downstream segment manufactures, trades and sells petroleum products. The refining and supply operations encompass a global network of manufacturing plants, transportation systems, and distribution centers that provide a range of fuels, lubricants and other products and feedstocks to its customers around the world. The Chemical segment is organized and operates to manufacture and sell petrochemicals. The Chemical business supplies olefins, polyolefins, aromatics, and a variety of other petrochemicals.</v>
    <v>63000</v>
    <v>New York Stock Exchange</v>
    <v>XNYS</v>
    <v>XNYS</v>
    <v>5959 LAS COLINAS BLVD, IRVING, TX, 75039-2298 US</v>
    <v>89.56</v>
    <v>Oil &amp; Gas</v>
    <v>Stock</v>
    <v>44690.999712303128</v>
    <v>298</v>
    <v>84.02</v>
    <v>355791381780</v>
    <v>EXXON MOBIL CORPORATION</v>
    <v>EXXON MOBIL CORPORATION</v>
    <v>89.44</v>
    <v>15.2247</v>
    <v>91.69</v>
    <v>84.46</v>
    <v>84.52</v>
    <v>4212543000</v>
    <v>XOM</v>
    <v>EXXON MOBIL CORPORATION (XNYS:XOM)</v>
    <v>45851625</v>
    <v>27708107</v>
    <v>1882</v>
  </rv>
  <rv s="2">
    <v>299</v>
  </rv>
  <rv s="0">
    <v>https://www.bing.com/financeapi/forcetrigger?t=a269pr&amp;q=ARCX%3aXOP&amp;form=skydnc</v>
    <v>Learn more on Bing</v>
  </rv>
  <rv s="6">
    <v>en-US</v>
    <v>a269pr</v>
    <v>268435456</v>
    <v>1</v>
    <v>Powered by Refinitiv</v>
    <v>10</v>
    <v>SPDR S&amp;P Oil&amp;Gas Exp (ARCX:XOP)</v>
    <v>11</v>
    <v>12</v>
    <v>Finance</v>
    <v>13</v>
    <v>147.66999999999999</v>
    <v>71.48</v>
    <v>1.7783</v>
    <v>-14.64</v>
    <v>-1.8079999999999999E-3</v>
    <v>-0.103186</v>
    <v>-0.23</v>
    <v>USD</v>
    <v>NYSE Arca</v>
    <v>ARCX</v>
    <v>3.4999999999999996E-3</v>
    <v>138.33000000000001</v>
    <v>ETF</v>
    <v>44691.000000635941</v>
    <v>301</v>
    <v>126.53</v>
    <v>5561160355.8100004</v>
    <v>SPDR S&amp;P Oil&amp;Gas Exp</v>
    <v>138.22999999999999</v>
    <v>141.88</v>
    <v>127.24</v>
    <v>127.01</v>
    <v>XOP</v>
    <v>SPDR S&amp;P Oil&amp;Gas Exp (ARCX:XOP)</v>
    <v>12550456</v>
    <v>7053631</v>
  </rv>
  <rv s="2">
    <v>302</v>
  </rv>
  <rv s="0">
    <v>https://www.bing.com/financeapi/forcetrigger?t=bnegf2&amp;q=XNYS%3aYETI&amp;form=skydnc</v>
    <v>Learn more on Bing</v>
  </rv>
  <rv s="1">
    <v>en-US</v>
    <v>bnegf2</v>
    <v>268435456</v>
    <v>1</v>
    <v>Powered by Refinitiv</v>
    <v>0</v>
    <v>YETI HOLDINGS, INC. (XNYS:YETI)</v>
    <v>2</v>
    <v>3</v>
    <v>Finance</v>
    <v>4</v>
    <v>108.82</v>
    <v>45.52</v>
    <v>2.5724999999999998</v>
    <v>-1.55</v>
    <v>4.5732999999999996E-2</v>
    <v>-3.2804E-2</v>
    <v>2.09</v>
    <v>USD</v>
    <v>YETI Holdings, Inc. is a designer, retailer, and distributor of outdoor products. The Company's product portfolio is comprised of three categories: Coolers &amp; Equipment; Drinkware, and Other. Its Coolers &amp; Equipment family is comprised of hard coolers, soft coolers, cargo, bags, outdoor living, and associated accessories. It offers five product ranges within its hard cooler category: YETI Tundra, YETI Roadie, Tundra Haul, YETI TANK and YETI Silo 6G. The Hopper soft cooler product line includes Hopper M30, Hopper BackFlip, Hopper Flip, Daytrip Lunch Bag and Daytrip Lunch Box. Its Drinkware product family consists of Rambler Colster, Rambler Lowball, Rambler Wine Tumbler, Rambler Stackable Pints, Rambler Mugs, Rambler Tumblers, Rambler Bottles, and Rambler Jug. In Other products, it offers an array of YETI-branded gear, such as hats, shirts, bottle openers and ice substitutes. It operates in the Unites States, Canada, Australia, New Zealand, Europe, Hong Kong, China, Singapore and Japan.</v>
    <v>823</v>
    <v>New York Stock Exchange</v>
    <v>XNYS</v>
    <v>XNYS</v>
    <v>7601 Southwest Pkwy, AUSTIN, TX, 78735-8989 US</v>
    <v>47.97</v>
    <v>Leisure Products</v>
    <v>Stock</v>
    <v>44690.974408171096</v>
    <v>304</v>
    <v>45.52</v>
    <v>3978260405</v>
    <v>YETI HOLDINGS, INC.</v>
    <v>YETI HOLDINGS, INC.</v>
    <v>46.45</v>
    <v>19.7102</v>
    <v>47.25</v>
    <v>45.7</v>
    <v>47.79</v>
    <v>87051650</v>
    <v>YETI</v>
    <v>YETI HOLDINGS, INC. (XNYS:YETI)</v>
    <v>1964308</v>
    <v>1356862</v>
    <v>2012</v>
  </rv>
  <rv s="2">
    <v>305</v>
  </rv>
  <rv s="0">
    <v>https://www.bing.com/financeapi/forcetrigger?t=a26g6h&amp;q=XNYS%3aZEN&amp;form=skydnc</v>
    <v>Learn more on Bing</v>
  </rv>
  <rv s="1">
    <v>en-US</v>
    <v>a26g6h</v>
    <v>268435456</v>
    <v>1</v>
    <v>Powered by Refinitiv</v>
    <v>0</v>
    <v>ZENDESK, INC. (XNYS:ZEN)</v>
    <v>2</v>
    <v>3</v>
    <v>Finance</v>
    <v>4</v>
    <v>153.43</v>
    <v>87.9</v>
    <v>0.94259999999999999</v>
    <v>-14.74</v>
    <v>2.8847999999999999E-2</v>
    <v>-0.12943399999999999</v>
    <v>2.86</v>
    <v>USD</v>
    <v>Zendesk, Inc. is a software development company that provides software as a service (SaaS) solution. The Company offers a range of product solution, which includes Zendesk Support, Zendesk Chat, Zendesk Talk, Zendesk Guide, Zendesk Gather, Zendesk Explore, Zendesk Sell, and Zendesk Apps. Zendesk Support is a system for tracking, prioritizing, and solving customer support tickets across multiple channels. Zendesk Chat is a live chat and messaging software. Zendesk Talk is cloud-based call center software. Zendesk Guide is a knowledge base that powers both customer self-service and support agent productivity. Zendesk Gather is community forum software. Zendesk Explore provides analytics for organizations to measure and improve the entire customer experience. Zendesk Sell is a sales customer relationship management (CRM) product solution. The Company's platforms include Zendesk Sunshine, Sunshine Conversations, Zendesk Sunshine Developer Tools, Zendesk Apps, Zendesk API, and others.</v>
    <v>2570</v>
    <v>New York Stock Exchange</v>
    <v>XNYS</v>
    <v>XNYS</v>
    <v>989 MARKET STREET, SAN FRANCISCO, CA, 94103 US</v>
    <v>111.48</v>
    <v>Software &amp; IT Services</v>
    <v>Stock</v>
    <v>44690.988133205472</v>
    <v>307</v>
    <v>98.48</v>
    <v>12148942762</v>
    <v>ZENDESK, INC.</v>
    <v>ZENDESK, INC.</v>
    <v>110.765</v>
    <v>0</v>
    <v>113.88</v>
    <v>99.14</v>
    <v>102</v>
    <v>122543300</v>
    <v>ZEN</v>
    <v>ZENDESK, INC. (XNYS:ZEN)</v>
    <v>3065402</v>
    <v>2102673</v>
    <v>2009</v>
  </rv>
  <rv s="2">
    <v>308</v>
  </rv>
  <rv s="0">
    <v>https://www.bing.com/financeapi/forcetrigger?t=a26ghw&amp;q=XNAS%3aZG&amp;form=skydnc</v>
    <v>Learn more on Bing</v>
  </rv>
  <rv s="1">
    <v>en-US</v>
    <v>a26ghw</v>
    <v>268435456</v>
    <v>1</v>
    <v>Powered by Refinitiv</v>
    <v>0</v>
    <v>ZILLOW GROUP, INC. (XNAS:ZG)</v>
    <v>2</v>
    <v>3</v>
    <v>Finance</v>
    <v>4</v>
    <v>124.9</v>
    <v>33.260100000000001</v>
    <v>1.4854000000000001</v>
    <v>-0.85</v>
    <v>0</v>
    <v>-2.2745999999999999E-2</v>
    <v>0</v>
    <v>USD</v>
    <v>Zillow Group, Inc. owns and operates a portfolio of real estate brands on mobile applications and Websites. The Company’s segments include Homes, Internet, Media &amp; Technology (IMT), and Mortgages. The Homes segment provides financial results of purchase and sale of homes through Zillow Offers and the financial results from title and escrow services through Zillow Closing Services. The IMT segment includes the financial results for the premier agent, rentals and new construction marketplaces, dotloop, display, and other advertising and business software solutions. The Mortgages segment includes financial results for mortgage originations through Zillow Home Loans, advertising sold to mortgage lenders and other mortgage professionals, as well as Mortech mortgage software solutions. Its affiliates and subsidiaries include Zillow, Zillow Offers, Zillow Premier Agent, Zillow Home Loans, Zillow Homes, Inc., Trulia, Out East, ShowingTime, Bridge Interactive, dotloop, StreetEasy and HotPads.</v>
    <v>6549</v>
    <v>Nasdaq Stock Market</v>
    <v>XNAS</v>
    <v>XNAS</v>
    <v>1301 2nd Ave Fl 31, SEATTLE, WA, 98101-0003 US</v>
    <v>39.973599999999998</v>
    <v>Real Estate Operations</v>
    <v>Stock</v>
    <v>44690.999690740624</v>
    <v>310</v>
    <v>35.81</v>
    <v>9326966000</v>
    <v>ZILLOW GROUP, INC.</v>
    <v>ZILLOW GROUP, INC.</v>
    <v>35.85</v>
    <v>143.54320000000001</v>
    <v>37.369999999999997</v>
    <v>36.520000000000003</v>
    <v>36.520000000000003</v>
    <v>246309500</v>
    <v>ZG</v>
    <v>ZILLOW GROUP, INC. (XNAS:ZG)</v>
    <v>1921286</v>
    <v>959203</v>
    <v>2014</v>
  </rv>
  <rv s="2">
    <v>311</v>
  </rv>
  <rv s="0">
    <v>https://www.bing.com/financeapi/forcetrigger?t=bpoxyc&amp;q=XNAS%3aZM&amp;form=skydnc</v>
    <v>Learn more on Bing</v>
  </rv>
  <rv s="9">
    <v>en-US</v>
    <v>bpoxyc</v>
    <v>268435456</v>
    <v>1</v>
    <v>Powered by Refinitiv</v>
    <v>14</v>
    <v>ZOOM VIDEO COMMUNICATIONS, INC. (XNAS:ZM)</v>
    <v>2</v>
    <v>15</v>
    <v>Finance</v>
    <v>4</v>
    <v>406.48</v>
    <v>91.65</v>
    <v>-4.04</v>
    <v>1.0829999999999999E-4</v>
    <v>-4.1917000000000003E-2</v>
    <v>0.01</v>
    <v>USD</v>
    <v>Zoom Video Communications, Inc. is a provider of video communication platform. The Company's platform connects people through video, phone, chat, and webinars, and enables experiences across disparate devices and locations. Its products include Zoom Meetings, Zoom Phone, Zoom Chat, Zoom Rooms, Zoom Hardware-as-a-Service, Zoom Conference Room Connector, Zoom Events, Zoom Webinar, Zoom Developer Platform, Zoom App Marketplace, and Zoom Contact Center. Its customer base spans a range of industry categories, including education, entertainment/media, enterprise infrastructure, finance, government, healthcare, manufacturing, nonprofit/not-for-profit and social impact, retail/consumer products, and software/Internet. The Company’s subsidiaries include Zoom Voice Communications, Inc., ZVC UK LTD, ZVC Australia PTY LTD, ZVC Netherlands B.V., ZVC Japan KK, Zoom Video Communications (Suzhou) Inc., Saasbee Inc. (Hefei) Ltd., ZVC India PVT LTD, Keybase LLC and SaasBee Software (Hangzhou) Co., Ltd.</v>
    <v>6787</v>
    <v>Nasdaq Stock Market</v>
    <v>XNAS</v>
    <v>XNAS</v>
    <v>55 Almaden Blvd Fl 6, San Jose, CA, 95113-1608 US</v>
    <v>96.83</v>
    <v>Software &amp; IT Services</v>
    <v>Stock</v>
    <v>44690.998975647657</v>
    <v>313</v>
    <v>91.65</v>
    <v>27621110160</v>
    <v>ZOOM VIDEO COMMUNICATIONS, INC.</v>
    <v>ZOOM VIDEO COMMUNICATIONS, INC.</v>
    <v>94.05</v>
    <v>21.370999999999999</v>
    <v>96.38</v>
    <v>92.34</v>
    <v>92.35</v>
    <v>299124000</v>
    <v>ZM</v>
    <v>ZOOM VIDEO COMMUNICATIONS, INC. (XNAS:ZM)</v>
    <v>5766253</v>
    <v>3776013</v>
    <v>2011</v>
  </rv>
  <rv s="2">
    <v>314</v>
  </rv>
</rvData>
</file>

<file path=xl/richData/rdrichvaluestructure.xml><?xml version="1.0" encoding="utf-8"?>
<rvStructures xmlns="http://schemas.microsoft.com/office/spreadsheetml/2017/richdata" count="1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error">
    <k n="errorType" t="i"/>
    <k n="propagated" t="b"/>
  </s>
  <s t="_error">
    <k n="errorType" t="i"/>
    <k n="field" t="s"/>
    <k n="subType" t="i"/>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7">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7">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spbArrays>
  <spbData count="22">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0</v>
      <v>0</v>
    </spb>
    <spb s="6">
      <v>6</v>
      <v>1</v>
      <v>1</v>
      <v>1</v>
      <v>1</v>
    </spb>
    <spb s="7">
      <v>1</v>
      <v>2</v>
      <v>2</v>
      <v>1</v>
      <v>3</v>
      <v>1</v>
      <v>10</v>
      <v>1</v>
      <v>1</v>
      <v>4</v>
      <v>4</v>
      <v>5</v>
      <v>6</v>
      <v>1</v>
      <v>1</v>
      <v>1</v>
      <v>4</v>
      <v>7</v>
      <v>8</v>
      <v>9</v>
      <v>4</v>
      <v>1</v>
      <v>1</v>
      <v>5</v>
    </spb>
    <spb s="8">
      <v>Powered by Refinitiv</v>
    </spb>
    <spb s="0">
      <v>2</v>
      <v>Name</v>
      <v>LearnMoreOnLink</v>
    </spb>
    <spb s="9">
      <v>1</v>
      <v>1</v>
      <v>1</v>
    </spb>
    <spb s="10">
      <v>1</v>
      <v>2</v>
      <v>1</v>
      <v>3</v>
      <v>1</v>
      <v>1</v>
      <v>1</v>
      <v>4</v>
      <v>5</v>
      <v>6</v>
      <v>1</v>
      <v>1</v>
      <v>5</v>
      <v>1</v>
      <v>4</v>
      <v>7</v>
      <v>9</v>
      <v>1</v>
      <v>1</v>
      <v>5</v>
    </spb>
    <spb s="11">
      <v>at close</v>
      <v>from previous close</v>
      <v>Source: Nasdaq</v>
      <v>from previous close</v>
      <v>GMT</v>
      <v>Delayed 15 minutes</v>
      <v>from close</v>
      <v>from close</v>
    </spb>
    <spb s="0">
      <v>3</v>
      <v>Name</v>
      <v>LearnMoreOnLink</v>
    </spb>
    <spb s="12">
      <v>1</v>
      <v>2</v>
      <v>1</v>
      <v>3</v>
      <v>1</v>
      <v>1</v>
      <v>1</v>
      <v>4</v>
      <v>4</v>
      <v>5</v>
      <v>6</v>
      <v>1</v>
      <v>1</v>
      <v>1</v>
      <v>4</v>
      <v>7</v>
      <v>8</v>
      <v>9</v>
      <v>4</v>
      <v>1</v>
      <v>1</v>
      <v>5</v>
    </spb>
    <spb s="0">
      <v>4</v>
      <v>Name</v>
      <v>LearnMoreOnLink</v>
    </spb>
    <spb s="13">
      <v>1</v>
      <v>1</v>
      <v>3</v>
      <v>1</v>
      <v>1</v>
      <v>1</v>
      <v>4</v>
      <v>4</v>
      <v>5</v>
      <v>6</v>
      <v>1</v>
      <v>1</v>
      <v>1</v>
      <v>4</v>
      <v>7</v>
      <v>8</v>
      <v>9</v>
      <v>4</v>
      <v>1</v>
      <v>1</v>
      <v>5</v>
    </spb>
    <spb s="0">
      <v>5</v>
      <v>Name</v>
      <v>LearnMoreOnLink</v>
    </spb>
    <spb s="14">
      <v>1</v>
      <v>2</v>
      <v>1</v>
      <v>3</v>
      <v>1</v>
      <v>1</v>
      <v>1</v>
      <v>4</v>
      <v>4</v>
      <v>5</v>
      <v>6</v>
      <v>1</v>
      <v>1</v>
      <v>1</v>
      <v>4</v>
      <v>7</v>
      <v>8</v>
      <v>9</v>
      <v>4</v>
      <v>1</v>
      <v>1</v>
      <v>5</v>
    </spb>
    <spb s="0">
      <v>6</v>
      <v>Name</v>
      <v>LearnMoreOnLink</v>
    </spb>
    <spb s="15">
      <v>1</v>
      <v>2</v>
      <v>1</v>
      <v>3</v>
      <v>1</v>
      <v>10</v>
      <v>1</v>
      <v>1</v>
      <v>4</v>
      <v>4</v>
      <v>5</v>
      <v>6</v>
      <v>1</v>
      <v>1</v>
      <v>1</v>
      <v>4</v>
      <v>7</v>
      <v>8</v>
      <v>9</v>
      <v>4</v>
      <v>1</v>
      <v>1</v>
      <v>5</v>
    </spb>
  </spbData>
</supportingPropertyBags>
</file>

<file path=xl/richData/rdsupportingpropertybagstructure.xml><?xml version="1.0" encoding="utf-8"?>
<spbStructures xmlns="http://schemas.microsoft.com/office/spreadsheetml/2017/richdata2" count="16">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k n="Price (Extended hours)" t="i"/>
    <k n="Change (Extended hours)" t="i"/>
    <k n="Change % (Extended hours)" t="i"/>
  </s>
  <s>
    <k n="Price" t="s"/>
    <k n="Change" t="s"/>
    <k n="Exchange" t="s"/>
    <k n="Change (%)" t="s"/>
    <k n="Last trade time" t="s"/>
    <k n="Price (Extended hours)" t="s"/>
    <k n="Change (Extended hours)" t="s"/>
    <k n="Change % (Extended hours)" t="s"/>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AF95" totalsRowShown="0" headerRowDxfId="35" dataDxfId="4" headerRowBorderDxfId="34" tableBorderDxfId="33" headerRowCellStyle="Currency">
  <autoFilter ref="A1:AF95" xr:uid="{00000000-0009-0000-0100-000002000000}"/>
  <sortState xmlns:xlrd2="http://schemas.microsoft.com/office/spreadsheetml/2017/richdata2" ref="A2:AF95">
    <sortCondition ref="B1:B95"/>
  </sortState>
  <tableColumns count="32">
    <tableColumn id="26" xr3:uid="{E3B19F46-29A6-4AFC-8E48-531409BDC501}" name="Data" dataDxfId="32"/>
    <tableColumn id="1" xr3:uid="{00000000-0010-0000-0000-000001000000}" name="Ticker" dataDxfId="31"/>
    <tableColumn id="14" xr3:uid="{00000000-0010-0000-0000-00000E000000}" name="Name" dataDxfId="30"/>
    <tableColumn id="27" xr3:uid="{D361DC94-2249-4584-A6B1-113C4A1386D1}" name="Market" dataDxfId="29">
      <calculatedColumnFormula array="1">_FV(Table2[[#This Row],[Data]],"Exchange")</calculatedColumnFormula>
    </tableColumn>
    <tableColumn id="25" xr3:uid="{196F2F7F-4CB3-496E-9DD4-BF9D29606715}" name="Sector" dataDxfId="3"/>
    <tableColumn id="24" xr3:uid="{00000000-0010-0000-0000-000018000000}" name="Mkt Cap (M)" dataDxfId="28">
      <calculatedColumnFormula array="1">_FV(Table2[[#This Row],[Data]],"Market cap",TRUE)/1000000</calculatedColumnFormula>
    </tableColumn>
    <tableColumn id="2" xr3:uid="{00000000-0010-0000-0000-000002000000}" name="Close" dataDxfId="27">
      <calculatedColumnFormula array="1">_FV(Table2[[#This Row],[Data]],"Price")</calculatedColumnFormula>
    </tableColumn>
    <tableColumn id="31" xr3:uid="{00000000-0010-0000-0000-00001F000000}" name="EPS" dataDxfId="26">
      <calculatedColumnFormula>Table2[[#This Row],[Close]]/Table2[[#This Row],[P/E]]</calculatedColumnFormula>
    </tableColumn>
    <tableColumn id="32" xr3:uid="{00000000-0010-0000-0000-000020000000}" name="P/E" dataDxfId="25">
      <calculatedColumnFormula array="1">_FV(Table2[[#This Row],[Data]],"P/E",TRUE)</calculatedColumnFormula>
    </tableColumn>
    <tableColumn id="33" xr3:uid="{00000000-0010-0000-0000-000021000000}" name="EV" dataDxfId="24"/>
    <tableColumn id="34" xr3:uid="{00000000-0010-0000-0000-000022000000}" name="EBITDA" dataDxfId="23"/>
    <tableColumn id="35" xr3:uid="{00000000-0010-0000-0000-000023000000}" name="EV/EBITDA" dataDxfId="22">
      <calculatedColumnFormula>Table2[[#This Row],[EV]]/Table2[[#This Row],[EBITDA]]</calculatedColumnFormula>
    </tableColumn>
    <tableColumn id="22" xr3:uid="{00000000-0010-0000-0000-000016000000}" name="52Wk Lo" dataDxfId="21" dataCellStyle="Currency">
      <calculatedColumnFormula array="1">_FV(Table2[[#This Row],[Data]],"52 week low",TRUE)</calculatedColumnFormula>
    </tableColumn>
    <tableColumn id="21" xr3:uid="{00000000-0010-0000-0000-000015000000}" name="52Wk Hi" dataDxfId="20" dataCellStyle="Currency">
      <calculatedColumnFormula array="1">_FV(Table2[[#This Row],[Data]],"52 week high",TRUE)</calculatedColumnFormula>
    </tableColumn>
    <tableColumn id="23" xr3:uid="{00000000-0010-0000-0000-000017000000}" name="% Up" dataDxfId="19" dataCellStyle="Percent">
      <calculatedColumnFormula>(Table2[[#This Row],[Close]]-Table2[[#This Row],[52Wk Lo]])/Table2[[#This Row],[52Wk Lo]]</calculatedColumnFormula>
    </tableColumn>
    <tableColumn id="13" xr3:uid="{00000000-0010-0000-0000-00000D000000}" name="Founded" dataDxfId="18"/>
    <tableColumn id="3" xr3:uid="{00000000-0010-0000-0000-000003000000}" name="Age (Inc.)" dataDxfId="17">
      <calculatedColumnFormula>2022-Table2[[#This Row],[Founded]]</calculatedColumnFormula>
    </tableColumn>
    <tableColumn id="4" xr3:uid="{00000000-0010-0000-0000-000004000000}" name="1Y Start" dataDxfId="16" dataCellStyle="Currency"/>
    <tableColumn id="5" xr3:uid="{00000000-0010-0000-0000-000005000000}" name="1Y End" dataDxfId="2" dataCellStyle="Currency">
      <calculatedColumnFormula>Table2[[#This Row],[Close]]</calculatedColumnFormula>
    </tableColumn>
    <tableColumn id="6" xr3:uid="{00000000-0010-0000-0000-000006000000}" name="1Y Change" dataDxfId="15" dataCellStyle="Percent">
      <calculatedColumnFormula>(S2-R2)/R2</calculatedColumnFormula>
    </tableColumn>
    <tableColumn id="7" xr3:uid="{00000000-0010-0000-0000-000007000000}" name="3Y Start" dataDxfId="14" dataCellStyle="Currency"/>
    <tableColumn id="8" xr3:uid="{00000000-0010-0000-0000-000008000000}" name="3Y End" dataDxfId="1" dataCellStyle="Currency">
      <calculatedColumnFormula>Table2[[#This Row],[Close]]</calculatedColumnFormula>
    </tableColumn>
    <tableColumn id="9" xr3:uid="{00000000-0010-0000-0000-000009000000}" name="3Y Change" dataDxfId="13" dataCellStyle="Percent">
      <calculatedColumnFormula>(V2-U2)/U2</calculatedColumnFormula>
    </tableColumn>
    <tableColumn id="10" xr3:uid="{00000000-0010-0000-0000-00000A000000}" name="5Y Start" dataDxfId="12" dataCellStyle="Currency"/>
    <tableColumn id="11" xr3:uid="{00000000-0010-0000-0000-00000B000000}" name="5Y End" dataDxfId="0" dataCellStyle="Currency">
      <calculatedColumnFormula>Table2[[#This Row],[Close]]</calculatedColumnFormula>
    </tableColumn>
    <tableColumn id="12" xr3:uid="{00000000-0010-0000-0000-00000C000000}" name="5Y Change" dataDxfId="11" dataCellStyle="Percent">
      <calculatedColumnFormula>(Y2-X2)/X2</calculatedColumnFormula>
    </tableColumn>
    <tableColumn id="15" xr3:uid="{00000000-0010-0000-0000-00000F000000}" name="Raw Score" dataDxfId="10" dataCellStyle="Currency">
      <calculatedColumnFormula>100*(Table2[[#This Row],[1Y Change]]*0.17 + Table2[[#This Row],[3Y Change]]*0.166 + Table2[[#This Row],[5Y Change]]*0.166 + (Table2[[#This Row],[3Y Change]]-Table2[[#This Row],[1Y Change]])*0.166 + (Table2[[#This Row],[5Y Change]]-Table2[[#This Row],[1Y Change]])*0.166 + (Table2[[#This Row],[5Y Change]]-Table2[[#This Row],[3Y Change]])*0.166 + Table2[[#This Row],[Age (Inc.)]]/100)</calculatedColumnFormula>
    </tableColumn>
    <tableColumn id="19" xr3:uid="{00000000-0010-0000-0000-000013000000}" name="Raw Weight (%)" dataDxfId="9" dataCellStyle="Percent">
      <calculatedColumnFormula>Table2[[#This Row],[Raw Score]]/SUM(Table2[Raw Score])</calculatedColumnFormula>
    </tableColumn>
    <tableColumn id="20" xr3:uid="{00000000-0010-0000-0000-000014000000}" name="Rating" dataDxfId="8" dataCellStyle="Percent"/>
    <tableColumn id="18" xr3:uid="{00000000-0010-0000-0000-000012000000}" name="TK Score" dataDxfId="7" dataCellStyle="Currency">
      <calculatedColumnFormula>Table2[[#This Row],[Raw Score]]+Table2[[#This Row],[Rating]]/AVERAGE(Table2[Rating])*50 -Table2[[#This Row],[% Up]]*100</calculatedColumnFormula>
    </tableColumn>
    <tableColumn id="17" xr3:uid="{00000000-0010-0000-0000-000011000000}" name="Weight (%)" dataDxfId="6" dataCellStyle="Percent">
      <calculatedColumnFormula>Table2[[#This Row],[TK Score]]/SUM(Table2[TK Score])</calculatedColumnFormula>
    </tableColumn>
    <tableColumn id="16" xr3:uid="{00000000-0010-0000-0000-000010000000}" name="Weight ($)" dataDxfId="5" dataCellStyle="Currency">
      <calculatedColumnFormula>Table2[[#This Row],[Weight (%)]]*$D$101</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80BBCA8-25E0-46B1-8C0B-BFE9BABDCC6B}">
  <we:reference id="wa200001365" version="2.0.0.0" store="en-US" storeType="OMEX"/>
  <we:alternateReferences>
    <we:reference id="wa200001365" version="2.0.0.0" store="WA200001365"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_xldudf_ALPHAVANTAGE_EQUITYQUOTE</we:customFunctionIds>
        <we:customFunctionIds>_xldudf_ALPHAVANTAGE_EQUITYTIMESERIES</we:customFunctionIds>
        <we:customFunctionIds>_xldudf_ALPHAVANTAGE_EXCHANGERATE</we:customFunctionIds>
        <we:customFunctionIds>_xldudf_ALPHAVANTAGE_EXCHANGERATEUPDATING</we:customFunctionIds>
        <we:customFunctionIds>_xldudf_ALPHAVANTAGE_EXCHANGERATESERIES</we:customFunctionIds>
        <we:customFunctionIds>_xldudf_ALPHAVANTAGE_EXCHANGERATESERIESUPDATING</we:customFunctionIds>
        <we:customFunctionIds>_xldudf_ALPHAVANTAGE_TECHNICALINDICATOR</we:customFunctionIds>
        <we:customFunctionIds>_xldudf_ALPHAVANTAGE_SYMBOLSEARCH</we:customFunctionIds>
        <we:customFunctionIds>_xldudf_ALPHAVANTAGE_AVAILABLECRYPTOCURRENCIES</we:customFunctionIds>
        <we:customFunctionIds>_xldudf_ALPHAVANTAGE_AVAILABLEPHYSICALCURRENCIES</we:customFunctionIds>
        <we:customFunctionIds>_xldudf_ALPHAVANTAGE_COMPANYOVERVIEW</we:customFunctionIds>
        <we:customFunctionIds>_xldudf_ALPHAVANTAGE_COMPANYEARNINGS</we:customFunctionIds>
        <we:customFunctionIds>_xldudf_ALPHAVANTAGE_COMPANYFILINGS</we:customFunctionIds>
        <we:customFunctionIds>_xldudf_ALPHAVANTAGE_LISTINGSTATUS</we:customFunctionIds>
        <we:customFunctionIds>_xldudf_ALPHAVANTAGE_EARNINGSCALENDAR</we:customFunctionIds>
        <we:customFunctionIds>_xldudf_ALPHAVANTAGE_ECONOMICINDICATOR</we:customFunctionIds>
        <we:customFunctionIds>_xldudf_ALPHAVANTAGE_TREASURYYIELD</we:customFunctionIds>
        <we:customFunctionIds>_xldudf_ALPHAVANTAGE_UNIXTIMESTAMPTOUTCDATETIMENANO</we:customFunctionIds>
        <we:customFunctionIds>_xldudf_ALPHAVANTAGE_UTCDATETIMENANOTOUNIXTIMESTAMP</we:customFunctionIds>
        <we:customFunctionIds>_xldudf_ALPHAVANTAGE_HISTORICTICKQUOTES</we:customFunctionIds>
        <we:customFunctionIds>_xldudf_ALPHAVANTAGE_HISTORICTRADES</we:customFunctionIds>
        <we:customFunctionIds>_xldudf_ALPHAVANTAGE_EQUITYAGGREGATES</we:customFunctionIds>
        <we:customFunctionIds>_xldudf_ALPHAVANTAGE_EQUITYINTRADAYAGGREGATESUPDATING</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2"/>
  <sheetViews>
    <sheetView tabSelected="1" topLeftCell="I1" zoomScaleNormal="100" workbookViewId="0">
      <selection activeCell="P2" sqref="P2:P95"/>
    </sheetView>
  </sheetViews>
  <sheetFormatPr defaultRowHeight="15.75" x14ac:dyDescent="0.25"/>
  <cols>
    <col min="1" max="1" width="11.5" customWidth="1"/>
    <col min="2" max="2" width="11.875" bestFit="1" customWidth="1"/>
    <col min="3" max="3" width="24.375" style="2" customWidth="1"/>
    <col min="4" max="4" width="23.375" style="2" bestFit="1" customWidth="1"/>
    <col min="5" max="5" width="19.75" style="2" customWidth="1"/>
    <col min="6" max="6" width="12.5" style="2" bestFit="1" customWidth="1"/>
    <col min="7" max="7" width="9" style="35" customWidth="1"/>
    <col min="8" max="8" width="13" style="3" bestFit="1" customWidth="1"/>
    <col min="9" max="9" width="15.875" style="15" bestFit="1" customWidth="1"/>
    <col min="10" max="10" width="15.125" style="2" bestFit="1" customWidth="1"/>
    <col min="11" max="11" width="15" style="2" bestFit="1" customWidth="1"/>
    <col min="12" max="12" width="14.375" style="2" bestFit="1" customWidth="1"/>
    <col min="13" max="13" width="14.375" style="2" customWidth="1"/>
    <col min="14" max="14" width="15.875" style="46" bestFit="1" customWidth="1"/>
    <col min="15" max="15" width="15" style="56" bestFit="1" customWidth="1"/>
    <col min="16" max="16" width="14.25" style="56" customWidth="1"/>
    <col min="17" max="17" width="13.25" style="2" customWidth="1"/>
    <col min="18" max="18" width="15" style="2" bestFit="1" customWidth="1"/>
    <col min="19" max="19" width="15.125" style="46" bestFit="1" customWidth="1"/>
    <col min="20" max="20" width="20.125" style="24" bestFit="1" customWidth="1"/>
    <col min="21" max="21" width="11.75" style="2" bestFit="1" customWidth="1"/>
    <col min="22" max="22" width="13.625" style="46" bestFit="1" customWidth="1"/>
    <col min="23" max="23" width="15.75" style="24" bestFit="1" customWidth="1"/>
    <col min="24" max="24" width="15.25" style="2" bestFit="1" customWidth="1"/>
    <col min="25" max="25" width="19.625" style="46" bestFit="1" customWidth="1"/>
    <col min="26" max="26" width="15.25" style="48" bestFit="1" customWidth="1"/>
    <col min="27" max="27" width="13.875" style="24" bestFit="1" customWidth="1"/>
    <col min="28" max="28" width="15.875" style="48" bestFit="1" customWidth="1"/>
    <col min="29" max="29" width="16.5" style="16" bestFit="1" customWidth="1"/>
    <col min="30" max="30" width="15.875" style="24" bestFit="1" customWidth="1"/>
    <col min="31" max="31" width="16.5" style="2" bestFit="1" customWidth="1"/>
  </cols>
  <sheetData>
    <row r="1" spans="1:32" s="1" customFormat="1" x14ac:dyDescent="0.25">
      <c r="A1" s="5" t="s">
        <v>230</v>
      </c>
      <c r="B1" s="5" t="s">
        <v>66</v>
      </c>
      <c r="C1" s="5" t="s">
        <v>81</v>
      </c>
      <c r="D1" s="5" t="s">
        <v>231</v>
      </c>
      <c r="E1" s="5" t="s">
        <v>234</v>
      </c>
      <c r="F1" s="6" t="s">
        <v>229</v>
      </c>
      <c r="G1" s="6" t="s">
        <v>67</v>
      </c>
      <c r="H1" s="7" t="s">
        <v>226</v>
      </c>
      <c r="I1" s="7" t="s">
        <v>224</v>
      </c>
      <c r="J1" s="7" t="s">
        <v>227</v>
      </c>
      <c r="K1" s="7" t="s">
        <v>228</v>
      </c>
      <c r="L1" s="7" t="s">
        <v>225</v>
      </c>
      <c r="M1" s="6" t="s">
        <v>217</v>
      </c>
      <c r="N1" s="6" t="s">
        <v>218</v>
      </c>
      <c r="O1" s="25" t="s">
        <v>219</v>
      </c>
      <c r="P1" s="51" t="s">
        <v>80</v>
      </c>
      <c r="Q1" s="51" t="s">
        <v>72</v>
      </c>
      <c r="R1" s="8" t="s">
        <v>73</v>
      </c>
      <c r="S1" s="8" t="s">
        <v>74</v>
      </c>
      <c r="T1" s="25" t="s">
        <v>68</v>
      </c>
      <c r="U1" s="8" t="s">
        <v>75</v>
      </c>
      <c r="V1" s="8" t="s">
        <v>76</v>
      </c>
      <c r="W1" s="25" t="s">
        <v>69</v>
      </c>
      <c r="X1" s="8" t="s">
        <v>77</v>
      </c>
      <c r="Y1" s="8" t="s">
        <v>78</v>
      </c>
      <c r="Z1" s="25" t="s">
        <v>70</v>
      </c>
      <c r="AA1" s="17" t="s">
        <v>212</v>
      </c>
      <c r="AB1" s="26" t="s">
        <v>215</v>
      </c>
      <c r="AC1" s="49" t="s">
        <v>216</v>
      </c>
      <c r="AD1" s="17" t="s">
        <v>204</v>
      </c>
      <c r="AE1" s="26" t="s">
        <v>211</v>
      </c>
      <c r="AF1" s="6" t="s">
        <v>210</v>
      </c>
    </row>
    <row r="2" spans="1:32" x14ac:dyDescent="0.25">
      <c r="A2" s="4" t="e" vm="1">
        <v>#VALUE!</v>
      </c>
      <c r="B2" s="4" t="s">
        <v>2</v>
      </c>
      <c r="C2" s="4" t="s">
        <v>82</v>
      </c>
      <c r="D2" s="4" t="str" cm="1">
        <f t="array" ref="D2">_FV(Table2[[#This Row],[Data]],"Exchange")</f>
        <v>Nasdaq Stock Market</v>
      </c>
      <c r="E2" t="s">
        <v>236</v>
      </c>
      <c r="F2" s="58" cm="1">
        <f t="array" ref="F2">_FV(Table2[[#This Row],[Data]],"Market cap",TRUE)/1000000</f>
        <v>2461118.4707999998</v>
      </c>
      <c r="G2" s="59" cm="1">
        <f t="array" ref="G2">_FV(Table2[[#This Row],[Data]],"Price")</f>
        <v>152.06</v>
      </c>
      <c r="H2">
        <v>6.14</v>
      </c>
      <c r="I2" s="61" cm="1">
        <f t="array" ref="I2">_FV(Table2[[#This Row],[Data]],"P/E",TRUE)</f>
        <v>25.565200000000001</v>
      </c>
      <c r="J2" s="62"/>
      <c r="K2" s="62"/>
      <c r="L2" s="62" t="e">
        <f>Table2[[#This Row],[EV]]/Table2[[#This Row],[EBITDA]]</f>
        <v>#DIV/0!</v>
      </c>
      <c r="M2" s="63" cm="1">
        <f t="array" ref="M2">_FV(Table2[[#This Row],[Data]],"52 week low",TRUE)</f>
        <v>122.25</v>
      </c>
      <c r="N2" s="63" cm="1">
        <f t="array" ref="N2">_FV(Table2[[#This Row],[Data]],"52 week high",TRUE)</f>
        <v>182.94</v>
      </c>
      <c r="O2" s="64">
        <f>(Table2[[#This Row],[Close]]-Table2[[#This Row],[52Wk Lo]])/Table2[[#This Row],[52Wk Lo]]</f>
        <v>0.24384458077709614</v>
      </c>
      <c r="P2" s="65">
        <v>1976</v>
      </c>
      <c r="Q2" s="65">
        <f>2022-Table2[[#This Row],[Founded]]</f>
        <v>46</v>
      </c>
      <c r="R2" s="66">
        <v>136</v>
      </c>
      <c r="S2" s="66">
        <f>Table2[[#This Row],[Close]]</f>
        <v>152.06</v>
      </c>
      <c r="T2" s="67">
        <f>(S2-R2)/R2</f>
        <v>0.11808823529411766</v>
      </c>
      <c r="U2" s="66">
        <v>40</v>
      </c>
      <c r="V2" s="66">
        <f>Table2[[#This Row],[Close]]</f>
        <v>152.06</v>
      </c>
      <c r="W2" s="67">
        <f>(V2-U2)/U2</f>
        <v>2.8014999999999999</v>
      </c>
      <c r="X2" s="66">
        <v>29</v>
      </c>
      <c r="Y2" s="66">
        <f>Table2[[#This Row],[Close]]</f>
        <v>152.06</v>
      </c>
      <c r="Z2" s="67">
        <f>(Y2-X2)/X2</f>
        <v>4.2434482758620691</v>
      </c>
      <c r="AA2" s="68">
        <f>100*(Table2[[#This Row],[1Y Change]]*0.17 + Table2[[#This Row],[3Y Change]]*0.166 + Table2[[#This Row],[5Y Change]]*0.166 + (Table2[[#This Row],[3Y Change]]-Table2[[#This Row],[1Y Change]])*0.166 + (Table2[[#This Row],[5Y Change]]-Table2[[#This Row],[1Y Change]])*0.166 + (Table2[[#This Row],[5Y Change]]-Table2[[#This Row],[3Y Change]])*0.166 + Table2[[#This Row],[Age (Inc.)]]/100)</f>
        <v>301.91559472616632</v>
      </c>
      <c r="AB2" s="69">
        <f>Table2[[#This Row],[Raw Score]]/SUM(Table2[Raw Score])</f>
        <v>2.3460650884626084E-2</v>
      </c>
      <c r="AC2" s="70">
        <v>10</v>
      </c>
      <c r="AD2" s="68">
        <f>Table2[[#This Row],[Raw Score]]+Table2[[#This Row],[Rating]]/AVERAGE(Table2[Rating])*50 -Table2[[#This Row],[% Up]]*100</f>
        <v>342.0915762088963</v>
      </c>
      <c r="AE2" s="71">
        <f>Table2[[#This Row],[TK Score]]/SUM(Table2[TK Score])</f>
        <v>2.0586268738385656E-2</v>
      </c>
      <c r="AF2" s="72">
        <f>Table2[[#This Row],[Weight (%)]]*$D$101</f>
        <v>30.879403107578483</v>
      </c>
    </row>
    <row r="3" spans="1:32" x14ac:dyDescent="0.25">
      <c r="A3" s="4" t="e" vm="2">
        <v>#VALUE!</v>
      </c>
      <c r="B3" s="4" t="s">
        <v>54</v>
      </c>
      <c r="C3" s="4" t="s">
        <v>83</v>
      </c>
      <c r="D3" s="4" t="str" cm="1">
        <f t="array" ref="D3">_FV(Table2[[#This Row],[Data]],"Exchange")</f>
        <v>New York Stock Exchange</v>
      </c>
      <c r="E3" t="s">
        <v>237</v>
      </c>
      <c r="F3" s="58" cm="1">
        <f t="array" ref="F3">_FV(Table2[[#This Row],[Data]],"Market cap",TRUE)/1000000</f>
        <v>190443.23690700001</v>
      </c>
      <c r="G3" s="59" cm="1">
        <f t="array" ref="G3">_FV(Table2[[#This Row],[Data]],"Price")</f>
        <v>287.49</v>
      </c>
      <c r="H3">
        <v>9.92</v>
      </c>
      <c r="I3" s="61" cm="1">
        <f t="array" ref="I3">_FV(Table2[[#This Row],[Data]],"P/E",TRUE)</f>
        <v>29.8049</v>
      </c>
      <c r="J3" s="62"/>
      <c r="K3" s="62"/>
      <c r="L3" s="62" t="e">
        <f>Table2[[#This Row],[EV]]/Table2[[#This Row],[EBITDA]]</f>
        <v>#DIV/0!</v>
      </c>
      <c r="M3" s="63" cm="1">
        <f t="array" ref="M3">_FV(Table2[[#This Row],[Data]],"52 week low",TRUE)</f>
        <v>276.88</v>
      </c>
      <c r="N3" s="63" cm="1">
        <f t="array" ref="N3">_FV(Table2[[#This Row],[Data]],"52 week high",TRUE)</f>
        <v>417.37</v>
      </c>
      <c r="O3" s="64">
        <f>(Table2[[#This Row],[Close]]-Table2[[#This Row],[52Wk Lo]])/Table2[[#This Row],[52Wk Lo]]</f>
        <v>3.831984975440629E-2</v>
      </c>
      <c r="P3" s="65">
        <v>1989</v>
      </c>
      <c r="Q3" s="65">
        <f>2022-Table2[[#This Row],[Founded]]</f>
        <v>33</v>
      </c>
      <c r="R3" s="66">
        <v>259</v>
      </c>
      <c r="S3" s="66">
        <f>Table2[[#This Row],[Close]]</f>
        <v>287.49</v>
      </c>
      <c r="T3" s="67">
        <f>(S3-R3)/R3</f>
        <v>0.11000000000000003</v>
      </c>
      <c r="U3" s="66">
        <v>141</v>
      </c>
      <c r="V3" s="66">
        <f>Table2[[#This Row],[Close]]</f>
        <v>287.49</v>
      </c>
      <c r="W3" s="67">
        <f>(V3-U3)/U3</f>
        <v>1.038936170212766</v>
      </c>
      <c r="X3" s="66">
        <v>117</v>
      </c>
      <c r="Y3" s="66">
        <f>Table2[[#This Row],[Close]]</f>
        <v>287.49</v>
      </c>
      <c r="Z3" s="67">
        <f>(Y3-X3)/X3</f>
        <v>1.4571794871794872</v>
      </c>
      <c r="AA3" s="68">
        <f>100*(Table2[[#This Row],[1Y Change]]*0.17 + Table2[[#This Row],[3Y Change]]*0.166 + Table2[[#This Row],[5Y Change]]*0.166 + (Table2[[#This Row],[3Y Change]]-Table2[[#This Row],[1Y Change]])*0.166 + (Table2[[#This Row],[5Y Change]]-Table2[[#This Row],[1Y Change]])*0.166 + (Table2[[#This Row],[5Y Change]]-Table2[[#This Row],[3Y Change]])*0.166 + Table2[[#This Row],[Age (Inc.)]]/100)</f>
        <v>121.03187888707039</v>
      </c>
      <c r="AB3" s="69">
        <f>Table2[[#This Row],[Raw Score]]/SUM(Table2[Raw Score])</f>
        <v>9.4049022510920115E-3</v>
      </c>
      <c r="AC3" s="70">
        <v>10</v>
      </c>
      <c r="AD3" s="68">
        <f>Table2[[#This Row],[Raw Score]]+Table2[[#This Row],[Rating]]/AVERAGE(Table2[Rating])*50 -Table2[[#This Row],[% Up]]*100</f>
        <v>181.76033347206933</v>
      </c>
      <c r="AE3" s="71">
        <f>Table2[[#This Row],[TK Score]]/SUM(Table2[TK Score])</f>
        <v>1.0937910580264403E-2</v>
      </c>
      <c r="AF3" s="72">
        <f>Table2[[#This Row],[Weight (%)]]*$D$101</f>
        <v>16.406865870396604</v>
      </c>
    </row>
    <row r="4" spans="1:32" x14ac:dyDescent="0.25">
      <c r="A4" s="4" t="e" vm="3">
        <v>#VALUE!</v>
      </c>
      <c r="B4" s="4" t="s">
        <v>35</v>
      </c>
      <c r="C4" s="4" t="s">
        <v>84</v>
      </c>
      <c r="D4" s="4" t="str" cm="1">
        <f t="array" ref="D4">_FV(Table2[[#This Row],[Data]],"Exchange")</f>
        <v>Nasdaq Stock Market</v>
      </c>
      <c r="E4" t="s">
        <v>236</v>
      </c>
      <c r="F4" s="58" cm="1">
        <f t="array" ref="F4">_FV(Table2[[#This Row],[Data]],"Market cap",TRUE)/1000000</f>
        <v>178089.97500000001</v>
      </c>
      <c r="G4" s="59" cm="1">
        <f t="array" ref="G4">_FV(Table2[[#This Row],[Data]],"Price")</f>
        <v>376.91</v>
      </c>
      <c r="H4">
        <v>10.07</v>
      </c>
      <c r="I4" s="61" cm="1">
        <f t="array" ref="I4">_FV(Table2[[#This Row],[Data]],"P/E",TRUE)</f>
        <v>38.834600000000002</v>
      </c>
      <c r="J4" s="62"/>
      <c r="K4" s="62"/>
      <c r="L4" s="62" t="e">
        <f>Table2[[#This Row],[EV]]/Table2[[#This Row],[EBITDA]]</f>
        <v>#DIV/0!</v>
      </c>
      <c r="M4" s="63" cm="1">
        <f t="array" ref="M4">_FV(Table2[[#This Row],[Data]],"52 week low",TRUE)</f>
        <v>374.86</v>
      </c>
      <c r="N4" s="63" cm="1">
        <f t="array" ref="N4">_FV(Table2[[#This Row],[Data]],"52 week high",TRUE)</f>
        <v>699.54</v>
      </c>
      <c r="O4" s="64">
        <f>(Table2[[#This Row],[Close]]-Table2[[#This Row],[52Wk Lo]])/Table2[[#This Row],[52Wk Lo]]</f>
        <v>5.468708317771998E-3</v>
      </c>
      <c r="P4" s="65">
        <v>1982</v>
      </c>
      <c r="Q4" s="65">
        <f>2022-Table2[[#This Row],[Founded]]</f>
        <v>40</v>
      </c>
      <c r="R4" s="66">
        <v>503</v>
      </c>
      <c r="S4" s="66">
        <f>Table2[[#This Row],[Close]]</f>
        <v>376.91</v>
      </c>
      <c r="T4" s="67">
        <f>(S4-R4)/R4</f>
        <v>-0.25067594433399598</v>
      </c>
      <c r="U4" s="66">
        <v>225</v>
      </c>
      <c r="V4" s="66">
        <f>Table2[[#This Row],[Close]]</f>
        <v>376.91</v>
      </c>
      <c r="W4" s="67">
        <f>(V4-U4)/U4</f>
        <v>0.67515555555555562</v>
      </c>
      <c r="X4" s="66">
        <v>103</v>
      </c>
      <c r="Y4" s="66">
        <f>Table2[[#This Row],[Close]]</f>
        <v>376.91</v>
      </c>
      <c r="Z4" s="67">
        <f>(Y4-X4)/X4</f>
        <v>2.6593203883495149</v>
      </c>
      <c r="AA4" s="68">
        <f>100*(Table2[[#This Row],[1Y Change]]*0.17 + Table2[[#This Row],[3Y Change]]*0.166 + Table2[[#This Row],[5Y Change]]*0.166 + (Table2[[#This Row],[3Y Change]]-Table2[[#This Row],[1Y Change]])*0.166 + (Table2[[#This Row],[5Y Change]]-Table2[[#This Row],[1Y Change]])*0.166 + (Table2[[#This Row],[5Y Change]]-Table2[[#This Row],[3Y Change]])*0.166 + Table2[[#This Row],[Age (Inc.)]]/100)</f>
        <v>187.7026878602388</v>
      </c>
      <c r="AB4" s="69">
        <f>Table2[[#This Row],[Raw Score]]/SUM(Table2[Raw Score])</f>
        <v>1.458562362102905E-2</v>
      </c>
      <c r="AC4" s="70">
        <v>9</v>
      </c>
      <c r="AD4" s="68">
        <f>Table2[[#This Row],[Raw Score]]+Table2[[#This Row],[Rating]]/AVERAGE(Table2[Rating])*50 -Table2[[#This Row],[% Up]]*100</f>
        <v>245.26021263285719</v>
      </c>
      <c r="AE4" s="71">
        <f>Table2[[#This Row],[TK Score]]/SUM(Table2[TK Score])</f>
        <v>1.4759184379946461E-2</v>
      </c>
      <c r="AF4" s="72">
        <f>Table2[[#This Row],[Weight (%)]]*$D$101</f>
        <v>22.138776569919692</v>
      </c>
    </row>
    <row r="5" spans="1:32" x14ac:dyDescent="0.25">
      <c r="A5" s="4" t="e" vm="4">
        <v>#VALUE!</v>
      </c>
      <c r="B5" s="4" t="s">
        <v>71</v>
      </c>
      <c r="C5" s="4" t="s">
        <v>85</v>
      </c>
      <c r="D5" s="4" t="str" cm="1">
        <f t="array" ref="D5">_FV(Table2[[#This Row],[Data]],"Exchange")</f>
        <v>Nasdaq Stock Market</v>
      </c>
      <c r="E5" t="s">
        <v>238</v>
      </c>
      <c r="F5" s="58" cm="1">
        <f t="array" ref="F5">_FV(Table2[[#This Row],[Data]],"Market cap",TRUE)/1000000</f>
        <v>21195.540728</v>
      </c>
      <c r="G5" s="59" cm="1">
        <f t="array" ref="G5">_FV(Table2[[#This Row],[Data]],"Price")</f>
        <v>268.95999999999998</v>
      </c>
      <c r="H5">
        <v>8.8800000000000008</v>
      </c>
      <c r="I5" s="61" cm="1">
        <f t="array" ref="I5">_FV(Table2[[#This Row],[Data]],"P/E",TRUE)</f>
        <v>31.5883</v>
      </c>
      <c r="J5" s="62"/>
      <c r="K5" s="62"/>
      <c r="L5" s="62" t="e">
        <f>Table2[[#This Row],[EV]]/Table2[[#This Row],[EBITDA]]</f>
        <v>#DIV/0!</v>
      </c>
      <c r="M5" s="63" cm="1">
        <f t="array" ref="M5">_FV(Table2[[#This Row],[Data]],"52 week low",TRUE)</f>
        <v>265.3</v>
      </c>
      <c r="N5" s="63" cm="1">
        <f t="array" ref="N5">_FV(Table2[[#This Row],[Data]],"52 week high",TRUE)</f>
        <v>737.452</v>
      </c>
      <c r="O5" s="64">
        <f>(Table2[[#This Row],[Close]]-Table2[[#This Row],[52Wk Lo]])/Table2[[#This Row],[52Wk Lo]]</f>
        <v>1.3795702977760905E-2</v>
      </c>
      <c r="P5" s="65">
        <v>1997</v>
      </c>
      <c r="Q5" s="65">
        <f>2022-Table2[[#This Row],[Founded]]</f>
        <v>25</v>
      </c>
      <c r="R5" s="66">
        <v>521</v>
      </c>
      <c r="S5" s="66">
        <f>Table2[[#This Row],[Close]]</f>
        <v>268.95999999999998</v>
      </c>
      <c r="T5" s="67">
        <f>(S5-R5)/R5</f>
        <v>-0.48376199616122845</v>
      </c>
      <c r="U5" s="66">
        <v>211</v>
      </c>
      <c r="V5" s="66">
        <f>Table2[[#This Row],[Close]]</f>
        <v>268.95999999999998</v>
      </c>
      <c r="W5" s="67">
        <f>(V5-U5)/U5</f>
        <v>0.27469194312796197</v>
      </c>
      <c r="X5" s="66">
        <v>99</v>
      </c>
      <c r="Y5" s="66">
        <f>Table2[[#This Row],[Close]]</f>
        <v>268.95999999999998</v>
      </c>
      <c r="Z5" s="67">
        <f>(Y5-X5)/X5</f>
        <v>1.7167676767676765</v>
      </c>
      <c r="AA5" s="68">
        <f>100*(Table2[[#This Row],[1Y Change]]*0.17 + Table2[[#This Row],[3Y Change]]*0.166 + Table2[[#This Row],[5Y Change]]*0.166 + (Table2[[#This Row],[3Y Change]]-Table2[[#This Row],[1Y Change]])*0.166 + (Table2[[#This Row],[5Y Change]]-Table2[[#This Row],[1Y Change]])*0.166 + (Table2[[#This Row],[5Y Change]]-Table2[[#This Row],[3Y Change]])*0.166 + Table2[[#This Row],[Age (Inc.)]]/100)</f>
        <v>122.89186089676636</v>
      </c>
      <c r="AB5" s="69">
        <f>Table2[[#This Row],[Raw Score]]/SUM(Table2[Raw Score])</f>
        <v>9.5494339988499901E-3</v>
      </c>
      <c r="AC5" s="70">
        <v>8</v>
      </c>
      <c r="AD5" s="68">
        <f>Table2[[#This Row],[Raw Score]]+Table2[[#This Row],[Rating]]/AVERAGE(Table2[Rating])*50 -Table2[[#This Row],[% Up]]*100</f>
        <v>173.16064224734191</v>
      </c>
      <c r="AE5" s="71">
        <f>Table2[[#This Row],[TK Score]]/SUM(Table2[TK Score])</f>
        <v>1.042040133147989E-2</v>
      </c>
      <c r="AF5" s="72">
        <f>Table2[[#This Row],[Weight (%)]]*$D$101</f>
        <v>15.630601997219834</v>
      </c>
    </row>
    <row r="6" spans="1:32" x14ac:dyDescent="0.25">
      <c r="A6" s="4" t="e" vm="5">
        <v>#VALUE!</v>
      </c>
      <c r="B6" s="4" t="s">
        <v>7</v>
      </c>
      <c r="C6" s="4" t="s">
        <v>86</v>
      </c>
      <c r="D6" s="4" t="str" cm="1">
        <f t="array" ref="D6">_FV(Table2[[#This Row],[Data]],"Exchange")</f>
        <v>Nasdaq Stock Market</v>
      </c>
      <c r="E6" t="s">
        <v>235</v>
      </c>
      <c r="F6" s="58" cm="1">
        <f t="array" ref="F6">_FV(Table2[[#This Row],[Data]],"Market cap",TRUE)/1000000</f>
        <v>139947.07088000001</v>
      </c>
      <c r="G6" s="59" cm="1">
        <f t="array" ref="G6">_FV(Table2[[#This Row],[Data]],"Price")</f>
        <v>86.36</v>
      </c>
      <c r="H6">
        <v>2.57</v>
      </c>
      <c r="I6" s="61" cm="1">
        <f t="array" ref="I6">_FV(Table2[[#This Row],[Data]],"P/E",TRUE)</f>
        <v>35.5672</v>
      </c>
      <c r="J6" s="62"/>
      <c r="K6" s="62"/>
      <c r="L6" s="62" t="e">
        <f>Table2[[#This Row],[EV]]/Table2[[#This Row],[EBITDA]]</f>
        <v>#DIV/0!</v>
      </c>
      <c r="M6" s="63" cm="1">
        <f t="array" ref="M6">_FV(Table2[[#This Row],[Data]],"52 week low",TRUE)</f>
        <v>72.5</v>
      </c>
      <c r="N6" s="63" cm="1">
        <f t="array" ref="N6">_FV(Table2[[#This Row],[Data]],"52 week high",TRUE)</f>
        <v>164.4599</v>
      </c>
      <c r="O6" s="64">
        <f>(Table2[[#This Row],[Close]]-Table2[[#This Row],[52Wk Lo]])/Table2[[#This Row],[52Wk Lo]]</f>
        <v>0.19117241379310343</v>
      </c>
      <c r="P6" s="65">
        <v>1969</v>
      </c>
      <c r="Q6" s="65">
        <f>2022-Table2[[#This Row],[Founded]]</f>
        <v>53</v>
      </c>
      <c r="R6" s="66">
        <v>91</v>
      </c>
      <c r="S6" s="66">
        <f>Table2[[#This Row],[Close]]</f>
        <v>86.36</v>
      </c>
      <c r="T6" s="67">
        <f>(S6-R6)/R6</f>
        <v>-5.0989010989010992E-2</v>
      </c>
      <c r="U6" s="66">
        <v>18</v>
      </c>
      <c r="V6" s="66">
        <f>Table2[[#This Row],[Close]]</f>
        <v>86.36</v>
      </c>
      <c r="W6" s="67">
        <f>(V6-U6)/U6</f>
        <v>3.7977777777777777</v>
      </c>
      <c r="X6" s="66">
        <v>12</v>
      </c>
      <c r="Y6" s="66">
        <f>Table2[[#This Row],[Close]]</f>
        <v>86.36</v>
      </c>
      <c r="Z6" s="67">
        <f>(Y6-X6)/X6</f>
        <v>6.1966666666666663</v>
      </c>
      <c r="AA6" s="68">
        <f>100*(Table2[[#This Row],[1Y Change]]*0.17 + Table2[[#This Row],[3Y Change]]*0.166 + Table2[[#This Row],[5Y Change]]*0.166 + (Table2[[#This Row],[3Y Change]]-Table2[[#This Row],[1Y Change]])*0.166 + (Table2[[#This Row],[5Y Change]]-Table2[[#This Row],[1Y Change]])*0.166 + (Table2[[#This Row],[5Y Change]]-Table2[[#This Row],[3Y Change]])*0.166 + Table2[[#This Row],[Age (Inc.)]]/100)</f>
        <v>425.46313308913312</v>
      </c>
      <c r="AB6" s="69">
        <f>Table2[[#This Row],[Raw Score]]/SUM(Table2[Raw Score])</f>
        <v>3.3061034951628057E-2</v>
      </c>
      <c r="AC6" s="70">
        <v>10</v>
      </c>
      <c r="AD6" s="68">
        <f>Table2[[#This Row],[Raw Score]]+Table2[[#This Row],[Rating]]/AVERAGE(Table2[Rating])*50 -Table2[[#This Row],[% Up]]*100</f>
        <v>470.90633127026229</v>
      </c>
      <c r="AE6" s="71">
        <f>Table2[[#This Row],[TK Score]]/SUM(Table2[TK Score])</f>
        <v>2.8338038584782833E-2</v>
      </c>
      <c r="AF6" s="72">
        <f>Table2[[#This Row],[Weight (%)]]*$D$101</f>
        <v>42.507057877174248</v>
      </c>
    </row>
    <row r="7" spans="1:32" x14ac:dyDescent="0.25">
      <c r="A7" s="4" t="e" vm="6">
        <v>#VALUE!</v>
      </c>
      <c r="B7" s="4" t="s">
        <v>8</v>
      </c>
      <c r="C7" s="4" t="s">
        <v>87</v>
      </c>
      <c r="D7" s="4" t="str" cm="1">
        <f t="array" ref="D7">_FV(Table2[[#This Row],[Data]],"Exchange")</f>
        <v>Nasdaq Stock Market</v>
      </c>
      <c r="E7" t="s">
        <v>237</v>
      </c>
      <c r="F7" s="58" cm="1">
        <f t="array" ref="F7">_FV(Table2[[#This Row],[Data]],"Market cap",TRUE)/1000000</f>
        <v>1167742</v>
      </c>
      <c r="G7" s="59" cm="1">
        <f t="array" ref="G7">_FV(Table2[[#This Row],[Data]],"Price")</f>
        <v>2175.7800000000002</v>
      </c>
      <c r="H7">
        <v>41.69</v>
      </c>
      <c r="I7" s="61" cm="1">
        <f t="array" ref="I7">_FV(Table2[[#This Row],[Data]],"P/E",TRUE)</f>
        <v>55.500599999999999</v>
      </c>
      <c r="J7" s="62"/>
      <c r="K7" s="62"/>
      <c r="L7" s="62" t="e">
        <f>Table2[[#This Row],[EV]]/Table2[[#This Row],[EBITDA]]</f>
        <v>#DIV/0!</v>
      </c>
      <c r="M7" s="63" cm="1">
        <f t="array" ref="M7">_FV(Table2[[#This Row],[Data]],"52 week low",TRUE)</f>
        <v>2159.14</v>
      </c>
      <c r="N7" s="63" cm="1">
        <f t="array" ref="N7">_FV(Table2[[#This Row],[Data]],"52 week high",TRUE)</f>
        <v>3773.0781999999999</v>
      </c>
      <c r="O7" s="64">
        <f>(Table2[[#This Row],[Close]]-Table2[[#This Row],[52Wk Lo]])/Table2[[#This Row],[52Wk Lo]]</f>
        <v>7.7067721407598992E-3</v>
      </c>
      <c r="P7" s="65">
        <v>1994</v>
      </c>
      <c r="Q7" s="65">
        <f>2022-Table2[[#This Row],[Founded]]</f>
        <v>28</v>
      </c>
      <c r="R7" s="66">
        <v>3343</v>
      </c>
      <c r="S7" s="66">
        <f>Table2[[#This Row],[Close]]</f>
        <v>2175.7800000000002</v>
      </c>
      <c r="T7" s="67">
        <f>(S7-R7)/R7</f>
        <v>-0.34915345498055633</v>
      </c>
      <c r="U7" s="66">
        <v>1511</v>
      </c>
      <c r="V7" s="66">
        <f>Table2[[#This Row],[Close]]</f>
        <v>2175.7800000000002</v>
      </c>
      <c r="W7" s="67">
        <f>(V7-U7)/U7</f>
        <v>0.43996029119788232</v>
      </c>
      <c r="X7" s="66">
        <v>754</v>
      </c>
      <c r="Y7" s="66">
        <f>Table2[[#This Row],[Close]]</f>
        <v>2175.7800000000002</v>
      </c>
      <c r="Z7" s="67">
        <f>(Y7-X7)/X7</f>
        <v>1.8856498673740056</v>
      </c>
      <c r="AA7" s="68">
        <f>100*(Table2[[#This Row],[1Y Change]]*0.17 + Table2[[#This Row],[3Y Change]]*0.166 + Table2[[#This Row],[5Y Change]]*0.166 + (Table2[[#This Row],[3Y Change]]-Table2[[#This Row],[1Y Change]])*0.166 + (Table2[[#This Row],[5Y Change]]-Table2[[#This Row],[1Y Change]])*0.166 + (Table2[[#This Row],[5Y Change]]-Table2[[#This Row],[3Y Change]])*0.166 + Table2[[#This Row],[Age (Inc.)]]/100)</f>
        <v>134.86499019979536</v>
      </c>
      <c r="AB7" s="69">
        <f>Table2[[#This Row],[Raw Score]]/SUM(Table2[Raw Score])</f>
        <v>1.0479817892499538E-2</v>
      </c>
      <c r="AC7" s="70">
        <v>9</v>
      </c>
      <c r="AD7" s="68">
        <f>Table2[[#This Row],[Raw Score]]+Table2[[#This Row],[Rating]]/AVERAGE(Table2[Rating])*50 -Table2[[#This Row],[% Up]]*100</f>
        <v>192.19870859011496</v>
      </c>
      <c r="AE7" s="71">
        <f>Table2[[#This Row],[TK Score]]/SUM(Table2[TK Score])</f>
        <v>1.1566067513427076E-2</v>
      </c>
      <c r="AF7" s="72">
        <f>Table2[[#This Row],[Weight (%)]]*$D$101</f>
        <v>17.349101270140615</v>
      </c>
    </row>
    <row r="8" spans="1:32" x14ac:dyDescent="0.25">
      <c r="A8" s="4" t="e" vm="7">
        <v>#VALUE!</v>
      </c>
      <c r="B8" s="4" t="s">
        <v>59</v>
      </c>
      <c r="C8" s="4" t="s">
        <v>88</v>
      </c>
      <c r="D8" s="4" t="str" cm="1">
        <f t="array" ref="D8">_FV(Table2[[#This Row],[Data]],"Exchange")</f>
        <v>NYSE Arca</v>
      </c>
      <c r="E8" s="4"/>
      <c r="F8" s="58" cm="1">
        <f t="array" ref="F8">_FV(Table2[[#This Row],[Data]],"Market cap",TRUE)/1000000</f>
        <v>8840.2345081870008</v>
      </c>
      <c r="G8" s="59" cm="1">
        <f t="array" ref="G8">_FV(Table2[[#This Row],[Data]],"Price")</f>
        <v>41.13</v>
      </c>
      <c r="H8" s="60" t="e" vm="8">
        <f>Table2[[#This Row],[Close]]/Table2[[#This Row],[P/E]]</f>
        <v>#VALUE!</v>
      </c>
      <c r="I8" s="74" t="e" cm="1" vm="9">
        <f t="array" ref="I8">_FV(Table2[[#This Row],[Data]],"P/E",TRUE)</f>
        <v>#VALUE!</v>
      </c>
      <c r="J8" s="62"/>
      <c r="K8" s="62"/>
      <c r="L8" s="62" t="e">
        <f>Table2[[#This Row],[EV]]/Table2[[#This Row],[EBITDA]]</f>
        <v>#DIV/0!</v>
      </c>
      <c r="M8" s="63" cm="1">
        <f t="array" ref="M8">_FV(Table2[[#This Row],[Data]],"52 week low",TRUE)</f>
        <v>40.755000000000003</v>
      </c>
      <c r="N8" s="63" cm="1">
        <f t="array" ref="N8">_FV(Table2[[#This Row],[Data]],"52 week high",TRUE)</f>
        <v>132.5</v>
      </c>
      <c r="O8" s="64">
        <f>(Table2[[#This Row],[Close]]-Table2[[#This Row],[52Wk Lo]])/Table2[[#This Row],[52Wk Lo]]</f>
        <v>9.2013249907986743E-3</v>
      </c>
      <c r="P8" s="65">
        <v>2014</v>
      </c>
      <c r="Q8" s="65">
        <f>2022-Table2[[#This Row],[Founded]]</f>
        <v>8</v>
      </c>
      <c r="R8" s="66">
        <v>125</v>
      </c>
      <c r="S8" s="66">
        <f>Table2[[#This Row],[Close]]</f>
        <v>41.13</v>
      </c>
      <c r="T8" s="67">
        <f>(S8-R8)/R8</f>
        <v>-0.67096</v>
      </c>
      <c r="U8" s="66">
        <v>37</v>
      </c>
      <c r="V8" s="66">
        <f>Table2[[#This Row],[Close]]</f>
        <v>41.13</v>
      </c>
      <c r="W8" s="67">
        <f>(V8-U8)/U8</f>
        <v>0.11162162162162169</v>
      </c>
      <c r="X8" s="66">
        <v>20</v>
      </c>
      <c r="Y8" s="66">
        <f>Table2[[#This Row],[Close]]</f>
        <v>41.13</v>
      </c>
      <c r="Z8" s="67">
        <f>(Y8-X8)/X8</f>
        <v>1.0565000000000002</v>
      </c>
      <c r="AA8" s="68">
        <f>100*(Table2[[#This Row],[1Y Change]]*0.17 + Table2[[#This Row],[3Y Change]]*0.166 + Table2[[#This Row],[5Y Change]]*0.166 + (Table2[[#This Row],[3Y Change]]-Table2[[#This Row],[1Y Change]])*0.166 + (Table2[[#This Row],[5Y Change]]-Table2[[#This Row],[1Y Change]])*0.166 + (Table2[[#This Row],[5Y Change]]-Table2[[#This Row],[3Y Change]])*0.166 + Table2[[#This Row],[Age (Inc.)]]/100)</f>
        <v>73.336170918918924</v>
      </c>
      <c r="AB8" s="69">
        <f>Table2[[#This Row],[Raw Score]]/SUM(Table2[Raw Score])</f>
        <v>5.6986599340935334E-3</v>
      </c>
      <c r="AC8" s="70">
        <v>8</v>
      </c>
      <c r="AD8" s="68">
        <f>Table2[[#This Row],[Raw Score]]+Table2[[#This Row],[Rating]]/AVERAGE(Table2[Rating])*50 -Table2[[#This Row],[% Up]]*100</f>
        <v>124.0643900681907</v>
      </c>
      <c r="AE8" s="71">
        <f>Table2[[#This Row],[TK Score]]/SUM(Table2[TK Score])</f>
        <v>7.4659040222846019E-3</v>
      </c>
      <c r="AF8" s="72">
        <f>Table2[[#This Row],[Weight (%)]]*$D$101</f>
        <v>11.198856033426903</v>
      </c>
    </row>
    <row r="9" spans="1:32" x14ac:dyDescent="0.25">
      <c r="A9" s="4" t="e" vm="10">
        <v>#VALUE!</v>
      </c>
      <c r="B9" s="4" t="s">
        <v>51</v>
      </c>
      <c r="C9" s="4" t="s">
        <v>89</v>
      </c>
      <c r="D9" s="4" t="str" cm="1">
        <f t="array" ref="D9">_FV(Table2[[#This Row],[Data]],"Exchange")</f>
        <v>Nasdaq Stock Market</v>
      </c>
      <c r="E9" t="s">
        <v>235</v>
      </c>
      <c r="F9" s="58" cm="1">
        <f t="array" ref="F9">_FV(Table2[[#This Row],[Data]],"Market cap",TRUE)/1000000</f>
        <v>229829.65310299999</v>
      </c>
      <c r="G9" s="59" cm="1">
        <f t="array" ref="G9">_FV(Table2[[#This Row],[Data]],"Price")</f>
        <v>562.91999999999996</v>
      </c>
      <c r="H9">
        <v>17.54</v>
      </c>
      <c r="I9" s="61" cm="1">
        <f t="array" ref="I9">_FV(Table2[[#This Row],[Data]],"P/E",TRUE)</f>
        <v>33.044600000000003</v>
      </c>
      <c r="J9" s="62"/>
      <c r="K9" s="62"/>
      <c r="L9" s="62" t="e">
        <f>Table2[[#This Row],[EV]]/Table2[[#This Row],[EBITDA]]</f>
        <v>#DIV/0!</v>
      </c>
      <c r="M9" s="63" cm="1">
        <f t="array" ref="M9">_FV(Table2[[#This Row],[Data]],"52 week low",TRUE)</f>
        <v>419.14</v>
      </c>
      <c r="N9" s="63" cm="1">
        <f t="array" ref="N9">_FV(Table2[[#This Row],[Data]],"52 week high",TRUE)</f>
        <v>677.76</v>
      </c>
      <c r="O9" s="64">
        <f>(Table2[[#This Row],[Close]]-Table2[[#This Row],[52Wk Lo]])/Table2[[#This Row],[52Wk Lo]]</f>
        <v>0.34303573984826069</v>
      </c>
      <c r="P9" s="65">
        <v>1961</v>
      </c>
      <c r="Q9" s="65">
        <f>2022-Table2[[#This Row],[Founded]]</f>
        <v>61</v>
      </c>
      <c r="R9" s="66">
        <v>431</v>
      </c>
      <c r="S9" s="66">
        <f>Table2[[#This Row],[Close]]</f>
        <v>562.91999999999996</v>
      </c>
      <c r="T9" s="67">
        <f>(S9-R9)/R9</f>
        <v>0.3060788863109048</v>
      </c>
      <c r="U9" s="66">
        <v>258</v>
      </c>
      <c r="V9" s="66">
        <f>Table2[[#This Row],[Close]]</f>
        <v>562.91999999999996</v>
      </c>
      <c r="W9" s="67">
        <f>(V9-U9)/U9</f>
        <v>1.181860465116279</v>
      </c>
      <c r="X9" s="66">
        <v>178</v>
      </c>
      <c r="Y9" s="66">
        <f>Table2[[#This Row],[Close]]</f>
        <v>562.91999999999996</v>
      </c>
      <c r="Z9" s="67">
        <f>(Y9-X9)/X9</f>
        <v>2.1624719101123593</v>
      </c>
      <c r="AA9" s="68">
        <f>100*(Table2[[#This Row],[1Y Change]]*0.17 + Table2[[#This Row],[3Y Change]]*0.166 + Table2[[#This Row],[5Y Change]]*0.166 + (Table2[[#This Row],[3Y Change]]-Table2[[#This Row],[1Y Change]])*0.166 + (Table2[[#This Row],[5Y Change]]-Table2[[#This Row],[1Y Change]])*0.166 + (Table2[[#This Row],[5Y Change]]-Table2[[#This Row],[3Y Change]])*0.166 + Table2[[#This Row],[Age (Inc.)]]/100)</f>
        <v>183.35150688628909</v>
      </c>
      <c r="AB9" s="69">
        <f>Table2[[#This Row],[Raw Score]]/SUM(Table2[Raw Score])</f>
        <v>1.4247510785690922E-2</v>
      </c>
      <c r="AC9" s="70">
        <v>4</v>
      </c>
      <c r="AD9" s="68">
        <f>Table2[[#This Row],[Raw Score]]+Table2[[#This Row],[Rating]]/AVERAGE(Table2[Rating])*50 -Table2[[#This Row],[% Up]]*100</f>
        <v>174.87210872563884</v>
      </c>
      <c r="AE9" s="71">
        <f>Table2[[#This Row],[TK Score]]/SUM(Table2[TK Score])</f>
        <v>1.0523393370188977E-2</v>
      </c>
      <c r="AF9" s="72">
        <f>Table2[[#This Row],[Weight (%)]]*$D$101</f>
        <v>15.785090055283465</v>
      </c>
    </row>
    <row r="10" spans="1:32" x14ac:dyDescent="0.25">
      <c r="A10" s="4" t="e" vm="11">
        <v>#VALUE!</v>
      </c>
      <c r="B10" s="4" t="s">
        <v>151</v>
      </c>
      <c r="C10" s="4" t="s">
        <v>159</v>
      </c>
      <c r="D10" s="4" t="str" cm="1">
        <f t="array" ref="D10">_FV(Table2[[#This Row],[Data]],"Exchange")</f>
        <v>New York Stock Exchange</v>
      </c>
      <c r="E10" t="s">
        <v>237</v>
      </c>
      <c r="F10" s="58" cm="1">
        <f t="array" ref="F10">_FV(Table2[[#This Row],[Data]],"Market cap",TRUE)/1000000</f>
        <v>229068</v>
      </c>
      <c r="G10" s="59" cm="1">
        <f t="array" ref="G10">_FV(Table2[[#This Row],[Data]],"Price")</f>
        <v>84.84</v>
      </c>
      <c r="H10">
        <v>3.5920000000000001</v>
      </c>
      <c r="I10" s="61" cm="1">
        <f t="array" ref="I10">_FV(Table2[[#This Row],[Data]],"P/E",TRUE)</f>
        <v>23.975300000000001</v>
      </c>
      <c r="J10" s="62"/>
      <c r="K10" s="62"/>
      <c r="L10" s="62" t="e">
        <f>Table2[[#This Row],[EV]]/Table2[[#This Row],[EBITDA]]</f>
        <v>#DIV/0!</v>
      </c>
      <c r="M10" s="63" cm="1">
        <f t="array" ref="M10">_FV(Table2[[#This Row],[Data]],"52 week low",TRUE)</f>
        <v>73.28</v>
      </c>
      <c r="N10" s="63" cm="1">
        <f t="array" ref="N10">_FV(Table2[[#This Row],[Data]],"52 week high",TRUE)</f>
        <v>230.89</v>
      </c>
      <c r="O10" s="64">
        <f>(Table2[[#This Row],[Close]]-Table2[[#This Row],[52Wk Lo]])/Table2[[#This Row],[52Wk Lo]]</f>
        <v>0.15775109170305679</v>
      </c>
      <c r="P10" s="65">
        <v>1999</v>
      </c>
      <c r="Q10" s="65">
        <f>2022-Table2[[#This Row],[Founded]]</f>
        <v>23</v>
      </c>
      <c r="R10" s="66">
        <v>227</v>
      </c>
      <c r="S10" s="66">
        <f>Table2[[#This Row],[Close]]</f>
        <v>84.84</v>
      </c>
      <c r="T10" s="67">
        <f>(S10-R10)/R10</f>
        <v>-0.6262555066079295</v>
      </c>
      <c r="U10" s="66">
        <v>141</v>
      </c>
      <c r="V10" s="66">
        <f>Table2[[#This Row],[Close]]</f>
        <v>84.84</v>
      </c>
      <c r="W10" s="67">
        <f>(V10-U10)/U10</f>
        <v>-0.39829787234042552</v>
      </c>
      <c r="X10" s="66">
        <v>89</v>
      </c>
      <c r="Y10" s="66">
        <f>Table2[[#This Row],[Close]]</f>
        <v>84.84</v>
      </c>
      <c r="Z10" s="67">
        <f>(Y10-X10)/X10</f>
        <v>-4.674157303370783E-2</v>
      </c>
      <c r="AA10" s="68">
        <f>100*(Table2[[#This Row],[1Y Change]]*0.17 + Table2[[#This Row],[3Y Change]]*0.166 + Table2[[#This Row],[5Y Change]]*0.166 + (Table2[[#This Row],[3Y Change]]-Table2[[#This Row],[1Y Change]])*0.166 + (Table2[[#This Row],[5Y Change]]-Table2[[#This Row],[1Y Change]])*0.166 + (Table2[[#This Row],[5Y Change]]-Table2[[#This Row],[3Y Change]])*0.166 + Table2[[#This Row],[Age (Inc.)]]/100)</f>
        <v>24.205864189118742</v>
      </c>
      <c r="AB10" s="69">
        <f>Table2[[#This Row],[Raw Score]]/SUM(Table2[Raw Score])</f>
        <v>1.8809406967422548E-3</v>
      </c>
      <c r="AC10" s="70">
        <v>5</v>
      </c>
      <c r="AD10" s="68">
        <f>Table2[[#This Row],[Raw Score]]+Table2[[#This Row],[Rating]]/AVERAGE(Table2[Rating])*50 -Table2[[#This Row],[% Up]]*100</f>
        <v>40.71097479903284</v>
      </c>
      <c r="AE10" s="71">
        <f>Table2[[#This Row],[TK Score]]/SUM(Table2[TK Score])</f>
        <v>2.4498909827079837E-3</v>
      </c>
      <c r="AF10" s="72">
        <f>Table2[[#This Row],[Weight (%)]]*$D$101</f>
        <v>3.6748364740619754</v>
      </c>
    </row>
    <row r="11" spans="1:32" x14ac:dyDescent="0.25">
      <c r="A11" s="4" t="e" vm="12">
        <v>#VALUE!</v>
      </c>
      <c r="B11" s="4" t="s">
        <v>172</v>
      </c>
      <c r="C11" s="4" t="s">
        <v>182</v>
      </c>
      <c r="D11" s="4" t="str" cm="1">
        <f t="array" ref="D11">_FV(Table2[[#This Row],[Data]],"Exchange")</f>
        <v>New York Stock Exchange</v>
      </c>
      <c r="E11" t="s">
        <v>237</v>
      </c>
      <c r="F11" s="58" cm="1">
        <f t="array" ref="F11">_FV(Table2[[#This Row],[Data]],"Market cap",TRUE)/1000000</f>
        <v>20490.058116</v>
      </c>
      <c r="G11" s="59" cm="1">
        <f t="array" ref="G11">_FV(Table2[[#This Row],[Data]],"Price")</f>
        <v>91.08</v>
      </c>
      <c r="H11">
        <v>9.84</v>
      </c>
      <c r="I11" s="61" cm="1">
        <f t="array" ref="I11">_FV(Table2[[#This Row],[Data]],"P/E",TRUE)</f>
        <v>9.2859999999999996</v>
      </c>
      <c r="J11" s="62"/>
      <c r="K11" s="62"/>
      <c r="L11" s="62" t="e">
        <f>Table2[[#This Row],[EV]]/Table2[[#This Row],[EBITDA]]</f>
        <v>#DIV/0!</v>
      </c>
      <c r="M11" s="63" cm="1">
        <f t="array" ref="M11">_FV(Table2[[#This Row],[Data]],"52 week low",TRUE)</f>
        <v>85.58</v>
      </c>
      <c r="N11" s="63" cm="1">
        <f t="array" ref="N11">_FV(Table2[[#This Row],[Data]],"52 week high",TRUE)</f>
        <v>141.97</v>
      </c>
      <c r="O11" s="64">
        <f>(Table2[[#This Row],[Close]]-Table2[[#This Row],[52Wk Lo]])/Table2[[#This Row],[52Wk Lo]]</f>
        <v>6.4267352185089971E-2</v>
      </c>
      <c r="P11" s="65">
        <v>1966</v>
      </c>
      <c r="Q11" s="65">
        <f>2022-Table2[[#This Row],[Founded]]</f>
        <v>56</v>
      </c>
      <c r="R11" s="66">
        <v>100</v>
      </c>
      <c r="S11" s="66">
        <f>Table2[[#This Row],[Close]]</f>
        <v>91.08</v>
      </c>
      <c r="T11" s="67">
        <f>(S11-R11)/R11</f>
        <v>-8.9200000000000015E-2</v>
      </c>
      <c r="U11" s="66">
        <v>53</v>
      </c>
      <c r="V11" s="66">
        <f>Table2[[#This Row],[Close]]</f>
        <v>91.08</v>
      </c>
      <c r="W11" s="67">
        <f>(V11-U11)/U11</f>
        <v>0.71849056603773587</v>
      </c>
      <c r="X11" s="66">
        <v>45</v>
      </c>
      <c r="Y11" s="66">
        <f>Table2[[#This Row],[Close]]</f>
        <v>91.08</v>
      </c>
      <c r="Z11" s="67">
        <f>(Y11-X11)/X11</f>
        <v>1.024</v>
      </c>
      <c r="AA11" s="68">
        <f>100*(Table2[[#This Row],[1Y Change]]*0.17 + Table2[[#This Row],[3Y Change]]*0.166 + Table2[[#This Row],[5Y Change]]*0.166 + (Table2[[#This Row],[3Y Change]]-Table2[[#This Row],[1Y Change]])*0.166 + (Table2[[#This Row],[5Y Change]]-Table2[[#This Row],[1Y Change]])*0.166 + (Table2[[#This Row],[5Y Change]]-Table2[[#This Row],[3Y Change]])*0.166 + Table2[[#This Row],[Age (Inc.)]]/100)</f>
        <v>120.36718339622641</v>
      </c>
      <c r="AB11" s="69">
        <f>Table2[[#This Row],[Raw Score]]/SUM(Table2[Raw Score])</f>
        <v>9.3532514283863489E-3</v>
      </c>
      <c r="AC11" s="70">
        <v>9</v>
      </c>
      <c r="AD11" s="68">
        <f>Table2[[#This Row],[Raw Score]]+Table2[[#This Row],[Rating]]/AVERAGE(Table2[Rating])*50 -Table2[[#This Row],[% Up]]*100</f>
        <v>172.04484378211299</v>
      </c>
      <c r="AE11" s="71">
        <f>Table2[[#This Row],[TK Score]]/SUM(Table2[TK Score])</f>
        <v>1.0353255196758776E-2</v>
      </c>
      <c r="AF11" s="72">
        <f>Table2[[#This Row],[Weight (%)]]*$D$101</f>
        <v>15.529882795138164</v>
      </c>
    </row>
    <row r="12" spans="1:32" x14ac:dyDescent="0.25">
      <c r="A12" s="4" t="e" vm="13">
        <v>#VALUE!</v>
      </c>
      <c r="B12" s="4" t="s">
        <v>152</v>
      </c>
      <c r="C12" s="4" t="s">
        <v>160</v>
      </c>
      <c r="D12" s="4" t="str" cm="1">
        <f t="array" ref="D12">_FV(Table2[[#This Row],[Data]],"Exchange")</f>
        <v>New York Stock Exchange</v>
      </c>
      <c r="E12" t="s">
        <v>239</v>
      </c>
      <c r="F12" s="58" cm="1">
        <f t="array" ref="F12">_FV(Table2[[#This Row],[Data]],"Market cap",TRUE)/1000000</f>
        <v>91878.954335000002</v>
      </c>
      <c r="G12" s="59" cm="1">
        <f t="array" ref="G12">_FV(Table2[[#This Row],[Data]],"Price")</f>
        <v>605.55999999999995</v>
      </c>
      <c r="H12">
        <v>39.799999999999997</v>
      </c>
      <c r="I12" s="61" cm="1">
        <f t="array" ref="I12">_FV(Table2[[#This Row],[Data]],"P/E",TRUE)</f>
        <v>15.793200000000001</v>
      </c>
      <c r="J12" s="62"/>
      <c r="K12" s="62"/>
      <c r="L12" s="62" t="e">
        <f>Table2[[#This Row],[EV]]/Table2[[#This Row],[EBITDA]]</f>
        <v>#DIV/0!</v>
      </c>
      <c r="M12" s="63" cm="1">
        <f t="array" ref="M12">_FV(Table2[[#This Row],[Data]],"52 week low",TRUE)</f>
        <v>603.44000000000005</v>
      </c>
      <c r="N12" s="63" cm="1">
        <f t="array" ref="N12">_FV(Table2[[#This Row],[Data]],"52 week high",TRUE)</f>
        <v>973.16</v>
      </c>
      <c r="O12" s="64">
        <f>(Table2[[#This Row],[Close]]-Table2[[#This Row],[52Wk Lo]])/Table2[[#This Row],[52Wk Lo]]</f>
        <v>3.5131910380483407E-3</v>
      </c>
      <c r="P12" s="65">
        <v>1988</v>
      </c>
      <c r="Q12" s="65">
        <f>2022-Table2[[#This Row],[Founded]]</f>
        <v>34</v>
      </c>
      <c r="R12" s="66">
        <v>730</v>
      </c>
      <c r="S12" s="66">
        <f>Table2[[#This Row],[Close]]</f>
        <v>605.55999999999995</v>
      </c>
      <c r="T12" s="67">
        <f>(S12-R12)/R12</f>
        <v>-0.17046575342465761</v>
      </c>
      <c r="U12" s="66">
        <v>391</v>
      </c>
      <c r="V12" s="66">
        <f>Table2[[#This Row],[Close]]</f>
        <v>605.55999999999995</v>
      </c>
      <c r="W12" s="67">
        <f>(V12-U12)/U12</f>
        <v>0.54874680306905355</v>
      </c>
      <c r="X12" s="66">
        <v>386</v>
      </c>
      <c r="Y12" s="66">
        <f>Table2[[#This Row],[Close]]</f>
        <v>605.55999999999995</v>
      </c>
      <c r="Z12" s="67">
        <f>(Y12-X12)/X12</f>
        <v>0.56880829015544032</v>
      </c>
      <c r="AA12" s="68">
        <f>100*(Table2[[#This Row],[1Y Change]]*0.17 + Table2[[#This Row],[3Y Change]]*0.166 + Table2[[#This Row],[5Y Change]]*0.166 + (Table2[[#This Row],[3Y Change]]-Table2[[#This Row],[1Y Change]])*0.166 + (Table2[[#This Row],[5Y Change]]-Table2[[#This Row],[1Y Change]])*0.166 + (Table2[[#This Row],[5Y Change]]-Table2[[#This Row],[3Y Change]])*0.166 + Table2[[#This Row],[Age (Inc.)]]/100)</f>
        <v>74.197394986166685</v>
      </c>
      <c r="AB12" s="69">
        <f>Table2[[#This Row],[Raw Score]]/SUM(Table2[Raw Score])</f>
        <v>5.7655822048475937E-3</v>
      </c>
      <c r="AC12" s="70">
        <v>8</v>
      </c>
      <c r="AD12" s="68">
        <f>Table2[[#This Row],[Raw Score]]+Table2[[#This Row],[Rating]]/AVERAGE(Table2[Rating])*50 -Table2[[#This Row],[% Up]]*100</f>
        <v>125.49442753071348</v>
      </c>
      <c r="AE12" s="71">
        <f>Table2[[#This Row],[TK Score]]/SUM(Table2[TK Score])</f>
        <v>7.5519603228685018E-3</v>
      </c>
      <c r="AF12" s="72">
        <f>Table2[[#This Row],[Weight (%)]]*$D$101</f>
        <v>11.327940484302752</v>
      </c>
    </row>
    <row r="13" spans="1:32" x14ac:dyDescent="0.25">
      <c r="A13" s="4" t="e" vm="14">
        <v>#VALUE!</v>
      </c>
      <c r="B13" s="4" t="s">
        <v>179</v>
      </c>
      <c r="C13" s="4" t="s">
        <v>193</v>
      </c>
      <c r="D13" s="4" t="str" cm="1">
        <f t="array" ref="D13">_FV(Table2[[#This Row],[Data]],"Exchange")</f>
        <v>New York Stock Exchange</v>
      </c>
      <c r="E13" t="s">
        <v>237</v>
      </c>
      <c r="F13" s="58" cm="1">
        <f t="array" ref="F13">_FV(Table2[[#This Row],[Data]],"Market cap",TRUE)/1000000</f>
        <v>35696.024795999998</v>
      </c>
      <c r="G13" s="59" cm="1">
        <f t="array" ref="G13">_FV(Table2[[#This Row],[Data]],"Price")</f>
        <v>1276.57</v>
      </c>
      <c r="H13">
        <v>24.05</v>
      </c>
      <c r="I13" s="61" cm="1">
        <f t="array" ref="I13">_FV(Table2[[#This Row],[Data]],"P/E",TRUE)</f>
        <v>56.312100000000001</v>
      </c>
      <c r="J13" s="62"/>
      <c r="K13" s="62"/>
      <c r="L13" s="62" t="e">
        <f>Table2[[#This Row],[EV]]/Table2[[#This Row],[EBITDA]]</f>
        <v>#DIV/0!</v>
      </c>
      <c r="M13" s="63" cm="1">
        <f t="array" ref="M13">_FV(Table2[[#This Row],[Data]],"52 week low",TRUE)</f>
        <v>1272</v>
      </c>
      <c r="N13" s="63" cm="1">
        <f t="array" ref="N13">_FV(Table2[[#This Row],[Data]],"52 week high",TRUE)</f>
        <v>1958.5450000000001</v>
      </c>
      <c r="O13" s="64">
        <f>(Table2[[#This Row],[Close]]-Table2[[#This Row],[52Wk Lo]])/Table2[[#This Row],[52Wk Lo]]</f>
        <v>3.5927672955974343E-3</v>
      </c>
      <c r="P13" s="65">
        <v>1993</v>
      </c>
      <c r="Q13" s="65">
        <f>2022-Table2[[#This Row],[Founded]]</f>
        <v>29</v>
      </c>
      <c r="R13" s="66">
        <v>1387</v>
      </c>
      <c r="S13" s="66">
        <f>Table2[[#This Row],[Close]]</f>
        <v>1276.57</v>
      </c>
      <c r="T13" s="67">
        <f>(S13-R13)/R13</f>
        <v>-7.9617880317231479E-2</v>
      </c>
      <c r="U13" s="66">
        <v>454</v>
      </c>
      <c r="V13" s="66">
        <f>Table2[[#This Row],[Close]]</f>
        <v>1276.57</v>
      </c>
      <c r="W13" s="67">
        <f>(V13-U13)/U13</f>
        <v>1.8118281938325991</v>
      </c>
      <c r="X13" s="66">
        <v>421</v>
      </c>
      <c r="Y13" s="66">
        <f>Table2[[#This Row],[Close]]</f>
        <v>1276.57</v>
      </c>
      <c r="Z13" s="67">
        <f>(Y13-X13)/X13</f>
        <v>2.0322327790973871</v>
      </c>
      <c r="AA13" s="68">
        <f>100*(Table2[[#This Row],[1Y Change]]*0.17 + Table2[[#This Row],[3Y Change]]*0.166 + Table2[[#This Row],[5Y Change]]*0.166 + (Table2[[#This Row],[3Y Change]]-Table2[[#This Row],[1Y Change]])*0.166 + (Table2[[#This Row],[5Y Change]]-Table2[[#This Row],[1Y Change]])*0.166 + (Table2[[#This Row],[5Y Change]]-Table2[[#This Row],[3Y Change]])*0.166 + Table2[[#This Row],[Age (Inc.)]]/100)</f>
        <v>161.57135007781019</v>
      </c>
      <c r="AB13" s="69">
        <f>Table2[[#This Row],[Raw Score]]/SUM(Table2[Raw Score])</f>
        <v>1.255506208803559E-2</v>
      </c>
      <c r="AC13" s="70">
        <v>7</v>
      </c>
      <c r="AD13" s="68">
        <f>Table2[[#This Row],[Raw Score]]+Table2[[#This Row],[Rating]]/AVERAGE(Table2[Rating])*50 -Table2[[#This Row],[% Up]]*100</f>
        <v>206.40438104055815</v>
      </c>
      <c r="AE13" s="71">
        <f>Table2[[#This Row],[TK Score]]/SUM(Table2[TK Score])</f>
        <v>1.2420931564495457E-2</v>
      </c>
      <c r="AF13" s="72">
        <f>Table2[[#This Row],[Weight (%)]]*$D$101</f>
        <v>18.631397346743185</v>
      </c>
    </row>
    <row r="14" spans="1:32" x14ac:dyDescent="0.25">
      <c r="A14" s="4" t="e" vm="15">
        <v>#VALUE!</v>
      </c>
      <c r="B14" s="4" t="s">
        <v>11</v>
      </c>
      <c r="C14" s="4" t="s">
        <v>90</v>
      </c>
      <c r="D14" s="4" t="str" cm="1">
        <f t="array" ref="D14">_FV(Table2[[#This Row],[Data]],"Exchange")</f>
        <v>Nasdaq Stock Market</v>
      </c>
      <c r="E14" t="s">
        <v>239</v>
      </c>
      <c r="F14" s="58" cm="1">
        <f t="array" ref="F14">_FV(Table2[[#This Row],[Data]],"Market cap",TRUE)/1000000</f>
        <v>18532.472392</v>
      </c>
      <c r="G14" s="59" cm="1">
        <f t="array" ref="G14">_FV(Table2[[#This Row],[Data]],"Price")</f>
        <v>83.51</v>
      </c>
      <c r="H14">
        <v>14.5</v>
      </c>
      <c r="I14" s="61" cm="1">
        <f t="array" ref="I14">_FV(Table2[[#This Row],[Data]],"P/E",TRUE)</f>
        <v>8.1358999999999995</v>
      </c>
      <c r="J14" s="62"/>
      <c r="K14" s="62"/>
      <c r="L14" s="62" t="e">
        <f>Table2[[#This Row],[EV]]/Table2[[#This Row],[EBITDA]]</f>
        <v>#DIV/0!</v>
      </c>
      <c r="M14" s="63" cm="1">
        <f t="array" ref="M14">_FV(Table2[[#This Row],[Data]],"52 week low",TRUE)</f>
        <v>81.78</v>
      </c>
      <c r="N14" s="63" cm="1">
        <f t="array" ref="N14">_FV(Table2[[#This Row],[Data]],"52 week high",TRUE)</f>
        <v>368.9</v>
      </c>
      <c r="O14" s="64">
        <f>(Table2[[#This Row],[Close]]-Table2[[#This Row],[52Wk Lo]])/Table2[[#This Row],[52Wk Lo]]</f>
        <v>2.1154316458791927E-2</v>
      </c>
      <c r="P14" s="65">
        <v>2012</v>
      </c>
      <c r="Q14" s="65">
        <f>2022-Table2[[#This Row],[Founded]]</f>
        <v>10</v>
      </c>
      <c r="R14" s="66">
        <v>382</v>
      </c>
      <c r="S14" s="66">
        <f>Table2[[#This Row],[Close]]</f>
        <v>83.51</v>
      </c>
      <c r="T14" s="67">
        <f>(S14-R14)/R14</f>
        <v>-0.78138743455497384</v>
      </c>
      <c r="U14" s="66">
        <v>383</v>
      </c>
      <c r="V14" s="66">
        <f>Table2[[#This Row],[Close]]</f>
        <v>83.51</v>
      </c>
      <c r="W14" s="67">
        <f>(V14-U14)/U14</f>
        <v>-0.78195822454308095</v>
      </c>
      <c r="X14" s="66">
        <v>384</v>
      </c>
      <c r="Y14" s="66">
        <f>Table2[[#This Row],[Close]]</f>
        <v>83.51</v>
      </c>
      <c r="Z14" s="67">
        <f>(Y14-X14)/X14</f>
        <v>-0.78252604166666673</v>
      </c>
      <c r="AA14" s="68">
        <f>100*(Table2[[#This Row],[1Y Change]]*0.17 + Table2[[#This Row],[3Y Change]]*0.166 + Table2[[#This Row],[5Y Change]]*0.166 + (Table2[[#This Row],[3Y Change]]-Table2[[#This Row],[1Y Change]])*0.166 + (Table2[[#This Row],[5Y Change]]-Table2[[#This Row],[1Y Change]])*0.166 + (Table2[[#This Row],[5Y Change]]-Table2[[#This Row],[3Y Change]])*0.166 + Table2[[#This Row],[Age (Inc.)]]/100)</f>
        <v>-29.291826962624569</v>
      </c>
      <c r="AB14" s="69">
        <f>Table2[[#This Row],[Raw Score]]/SUM(Table2[Raw Score])</f>
        <v>-2.2761504809524625E-3</v>
      </c>
      <c r="AC14" s="70">
        <v>8</v>
      </c>
      <c r="AD14" s="68">
        <f>Table2[[#This Row],[Raw Score]]+Table2[[#This Row],[Rating]]/AVERAGE(Table2[Rating])*50 -Table2[[#This Row],[% Up]]*100</f>
        <v>20.241093039847883</v>
      </c>
      <c r="AE14" s="71">
        <f>Table2[[#This Row],[TK Score]]/SUM(Table2[TK Score])</f>
        <v>1.2180615070817395E-3</v>
      </c>
      <c r="AF14" s="72">
        <f>Table2[[#This Row],[Weight (%)]]*$D$101</f>
        <v>1.8270922606226092</v>
      </c>
    </row>
    <row r="15" spans="1:32" x14ac:dyDescent="0.25">
      <c r="A15" s="4" t="e" vm="16">
        <v>#VALUE!</v>
      </c>
      <c r="B15" s="4" t="s">
        <v>42</v>
      </c>
      <c r="C15" s="4" t="s">
        <v>91</v>
      </c>
      <c r="D15" s="4" t="str" cm="1">
        <f t="array" ref="D15">_FV(Table2[[#This Row],[Data]],"Exchange")</f>
        <v>New York Stock Exchange</v>
      </c>
      <c r="E15" t="s">
        <v>236</v>
      </c>
      <c r="F15" s="58" cm="1">
        <f t="array" ref="F15">_FV(Table2[[#This Row],[Data]],"Market cap",TRUE)/1000000</f>
        <v>162540.82088000001</v>
      </c>
      <c r="G15" s="59" cm="1">
        <f t="array" ref="G15">_FV(Table2[[#This Row],[Data]],"Price")</f>
        <v>163.6</v>
      </c>
      <c r="H15">
        <v>1.48</v>
      </c>
      <c r="I15" s="61" cm="1">
        <f t="array" ref="I15">_FV(Table2[[#This Row],[Data]],"P/E",TRUE)</f>
        <v>113.0429</v>
      </c>
      <c r="J15" s="62"/>
      <c r="K15" s="62"/>
      <c r="L15" s="62" t="e">
        <f>Table2[[#This Row],[EV]]/Table2[[#This Row],[EBITDA]]</f>
        <v>#DIV/0!</v>
      </c>
      <c r="M15" s="63" cm="1">
        <f t="array" ref="M15">_FV(Table2[[#This Row],[Data]],"52 week low",TRUE)</f>
        <v>162.13</v>
      </c>
      <c r="N15" s="63" cm="1">
        <f t="array" ref="N15">_FV(Table2[[#This Row],[Data]],"52 week high",TRUE)</f>
        <v>311.75</v>
      </c>
      <c r="O15" s="64">
        <f>(Table2[[#This Row],[Close]]-Table2[[#This Row],[52Wk Lo]])/Table2[[#This Row],[52Wk Lo]]</f>
        <v>9.0667982483192428E-3</v>
      </c>
      <c r="P15" s="65">
        <v>1999</v>
      </c>
      <c r="Q15" s="65">
        <f>2022-Table2[[#This Row],[Founded]]</f>
        <v>23</v>
      </c>
      <c r="R15" s="66">
        <v>223</v>
      </c>
      <c r="S15" s="66">
        <f>Table2[[#This Row],[Close]]</f>
        <v>163.6</v>
      </c>
      <c r="T15" s="67">
        <f>(S15-R15)/R15</f>
        <v>-0.26636771300448431</v>
      </c>
      <c r="U15" s="66">
        <v>136</v>
      </c>
      <c r="V15" s="66">
        <f>Table2[[#This Row],[Close]]</f>
        <v>163.6</v>
      </c>
      <c r="W15" s="67">
        <f>(V15-U15)/U15</f>
        <v>0.20294117647058818</v>
      </c>
      <c r="X15" s="66">
        <v>69</v>
      </c>
      <c r="Y15" s="66">
        <f>Table2[[#This Row],[Close]]</f>
        <v>163.6</v>
      </c>
      <c r="Z15" s="67">
        <f>(Y15-X15)/X15</f>
        <v>1.3710144927536232</v>
      </c>
      <c r="AA15" s="68">
        <f>100*(Table2[[#This Row],[1Y Change]]*0.17 + Table2[[#This Row],[3Y Change]]*0.166 + Table2[[#This Row],[5Y Change]]*0.166 + (Table2[[#This Row],[3Y Change]]-Table2[[#This Row],[1Y Change]])*0.166 + (Table2[[#This Row],[5Y Change]]-Table2[[#This Row],[1Y Change]])*0.166 + (Table2[[#This Row],[5Y Change]]-Table2[[#This Row],[3Y Change]])*0.166 + Table2[[#This Row],[Age (Inc.)]]/100)</f>
        <v>98.960502219214845</v>
      </c>
      <c r="AB15" s="69">
        <f>Table2[[#This Row],[Raw Score]]/SUM(Table2[Raw Score])</f>
        <v>7.6898240252809636E-3</v>
      </c>
      <c r="AC15" s="70">
        <v>4</v>
      </c>
      <c r="AD15" s="68">
        <f>Table2[[#This Row],[Raw Score]]+Table2[[#This Row],[Rating]]/AVERAGE(Table2[Rating])*50 -Table2[[#This Row],[% Up]]*100</f>
        <v>123.87799821855874</v>
      </c>
      <c r="AE15" s="71">
        <f>Table2[[#This Row],[TK Score]]/SUM(Table2[TK Score])</f>
        <v>7.4546873979242714E-3</v>
      </c>
      <c r="AF15" s="72">
        <f>Table2[[#This Row],[Weight (%)]]*$D$101</f>
        <v>11.182031096886407</v>
      </c>
    </row>
    <row r="16" spans="1:32" x14ac:dyDescent="0.25">
      <c r="A16" s="4" t="e" vm="17">
        <v>#VALUE!</v>
      </c>
      <c r="B16" s="4" t="s">
        <v>174</v>
      </c>
      <c r="C16" s="4" t="s">
        <v>187</v>
      </c>
      <c r="D16" s="4" t="str" cm="1">
        <f t="array" ref="D16">_FV(Table2[[#This Row],[Data]],"Exchange")</f>
        <v>Nasdaq Stock Market</v>
      </c>
      <c r="E16" t="s">
        <v>236</v>
      </c>
      <c r="F16" s="58" cm="1">
        <f t="array" ref="F16">_FV(Table2[[#This Row],[Data]],"Market cap",TRUE)/1000000</f>
        <v>1489.997423</v>
      </c>
      <c r="G16" s="59" cm="1">
        <f t="array" ref="G16">_FV(Table2[[#This Row],[Data]],"Price")</f>
        <v>15.62</v>
      </c>
      <c r="H16">
        <v>1.01</v>
      </c>
      <c r="I16" s="61" cm="1">
        <f t="array" ref="I16">_FV(Table2[[#This Row],[Data]],"P/E",TRUE)</f>
        <v>31.998899999999999</v>
      </c>
      <c r="J16" s="62"/>
      <c r="K16" s="62"/>
      <c r="L16" s="62" t="e">
        <f>Table2[[#This Row],[EV]]/Table2[[#This Row],[EBITDA]]</f>
        <v>#DIV/0!</v>
      </c>
      <c r="M16" s="63" cm="1">
        <f t="array" ref="M16">_FV(Table2[[#This Row],[Data]],"52 week low",TRUE)</f>
        <v>14.12</v>
      </c>
      <c r="N16" s="63" cm="1">
        <f t="array" ref="N16">_FV(Table2[[#This Row],[Data]],"52 week high",TRUE)</f>
        <v>42.97</v>
      </c>
      <c r="O16" s="64">
        <f>(Table2[[#This Row],[Close]]-Table2[[#This Row],[52Wk Lo]])/Table2[[#This Row],[52Wk Lo]]</f>
        <v>0.10623229461756374</v>
      </c>
      <c r="P16" s="65">
        <v>1994</v>
      </c>
      <c r="Q16" s="65">
        <f>2022-Table2[[#This Row],[Founded]]</f>
        <v>28</v>
      </c>
      <c r="R16" s="66">
        <v>37</v>
      </c>
      <c r="S16" s="66">
        <f>Table2[[#This Row],[Close]]</f>
        <v>15.62</v>
      </c>
      <c r="T16" s="67">
        <f>(S16-R16)/R16</f>
        <v>-0.57783783783783793</v>
      </c>
      <c r="U16" s="66">
        <v>15</v>
      </c>
      <c r="V16" s="66">
        <f>Table2[[#This Row],[Close]]</f>
        <v>15.62</v>
      </c>
      <c r="W16" s="67">
        <f>(V16-U16)/U16</f>
        <v>4.1333333333333284E-2</v>
      </c>
      <c r="X16" s="66">
        <v>15</v>
      </c>
      <c r="Y16" s="66">
        <f>Table2[[#This Row],[Close]]</f>
        <v>15.62</v>
      </c>
      <c r="Z16" s="67">
        <f>(Y16-X16)/X16</f>
        <v>4.1333333333333284E-2</v>
      </c>
      <c r="AA16" s="68">
        <f>100*(Table2[[#This Row],[1Y Change]]*0.17 + Table2[[#This Row],[3Y Change]]*0.166 + Table2[[#This Row],[5Y Change]]*0.166 + (Table2[[#This Row],[3Y Change]]-Table2[[#This Row],[1Y Change]])*0.166 + (Table2[[#This Row],[5Y Change]]-Table2[[#This Row],[1Y Change]])*0.166 + (Table2[[#This Row],[5Y Change]]-Table2[[#This Row],[3Y Change]])*0.166 + Table2[[#This Row],[Age (Inc.)]]/100)</f>
        <v>40.10550630630631</v>
      </c>
      <c r="AB16" s="69">
        <f>Table2[[#This Row],[Raw Score]]/SUM(Table2[Raw Score])</f>
        <v>3.1164381649672912E-3</v>
      </c>
      <c r="AC16" s="70">
        <v>8</v>
      </c>
      <c r="AD16" s="68">
        <f>Table2[[#This Row],[Raw Score]]+Table2[[#This Row],[Rating]]/AVERAGE(Table2[Rating])*50 -Table2[[#This Row],[% Up]]*100</f>
        <v>81.130628492901565</v>
      </c>
      <c r="AE16" s="71">
        <f>Table2[[#This Row],[TK Score]]/SUM(Table2[TK Score])</f>
        <v>4.8822509445515137E-3</v>
      </c>
      <c r="AF16" s="72">
        <f>Table2[[#This Row],[Weight (%)]]*$D$101</f>
        <v>7.3233764168272701</v>
      </c>
    </row>
    <row r="17" spans="1:32" x14ac:dyDescent="0.25">
      <c r="A17" s="4" t="e" vm="18">
        <v>#VALUE!</v>
      </c>
      <c r="B17" s="4" t="s">
        <v>44</v>
      </c>
      <c r="C17" s="4" t="s">
        <v>92</v>
      </c>
      <c r="D17" s="4" t="str" cm="1">
        <f t="array" ref="D17">_FV(Table2[[#This Row],[Data]],"Exchange")</f>
        <v>Nasdaq Stock Market</v>
      </c>
      <c r="E17" t="s">
        <v>236</v>
      </c>
      <c r="F17" s="58" cm="1">
        <f t="array" ref="F17">_FV(Table2[[#This Row],[Data]],"Market cap",TRUE)/1000000</f>
        <v>33159.039551000002</v>
      </c>
      <c r="G17" s="59" cm="1">
        <f t="array" ref="G17">_FV(Table2[[#This Row],[Data]],"Price")</f>
        <v>143.69</v>
      </c>
      <c r="H17">
        <v>-1.034</v>
      </c>
      <c r="I17" s="74" t="e" cm="1" vm="9">
        <f t="array" ref="I17">_FV(Table2[[#This Row],[Data]],"P/E",TRUE)</f>
        <v>#VALUE!</v>
      </c>
      <c r="J17" s="62"/>
      <c r="K17" s="62"/>
      <c r="L17" s="62" t="e">
        <f>Table2[[#This Row],[EV]]/Table2[[#This Row],[EBITDA]]</f>
        <v>#DIV/0!</v>
      </c>
      <c r="M17" s="63" cm="1">
        <f t="array" ref="M17">_FV(Table2[[#This Row],[Data]],"52 week low",TRUE)</f>
        <v>142.06</v>
      </c>
      <c r="N17" s="63" cm="1">
        <f t="array" ref="N17">_FV(Table2[[#This Row],[Data]],"52 week high",TRUE)</f>
        <v>298.48</v>
      </c>
      <c r="O17" s="64">
        <f>(Table2[[#This Row],[Close]]-Table2[[#This Row],[52Wk Lo]])/Table2[[#This Row],[52Wk Lo]]</f>
        <v>1.1474025059833842E-2</v>
      </c>
      <c r="P17" s="65">
        <v>2011</v>
      </c>
      <c r="Q17" s="65">
        <f>2022-Table2[[#This Row],[Founded]]</f>
        <v>11</v>
      </c>
      <c r="R17" s="66">
        <v>207</v>
      </c>
      <c r="S17" s="66">
        <f>Table2[[#This Row],[Close]]</f>
        <v>143.69</v>
      </c>
      <c r="T17" s="67">
        <f>(S17-R17)/R17</f>
        <v>-0.30584541062801934</v>
      </c>
      <c r="U17" s="66">
        <v>63</v>
      </c>
      <c r="V17" s="66">
        <f>Table2[[#This Row],[Close]]</f>
        <v>143.69</v>
      </c>
      <c r="W17" s="67">
        <f>(V17-U17)/U17</f>
        <v>1.2807936507936508</v>
      </c>
      <c r="X17" s="66">
        <v>64</v>
      </c>
      <c r="Y17" s="66">
        <f>Table2[[#This Row],[Close]]</f>
        <v>143.69</v>
      </c>
      <c r="Z17" s="67">
        <f>(Y17-X17)/X17</f>
        <v>1.24515625</v>
      </c>
      <c r="AA17" s="68">
        <f>100*(Table2[[#This Row],[1Y Change]]*0.17 + Table2[[#This Row],[3Y Change]]*0.166 + Table2[[#This Row],[5Y Change]]*0.166 + (Table2[[#This Row],[3Y Change]]-Table2[[#This Row],[1Y Change]])*0.166 + (Table2[[#This Row],[5Y Change]]-Table2[[#This Row],[1Y Change]])*0.166 + (Table2[[#This Row],[5Y Change]]-Table2[[#This Row],[3Y Change]])*0.166 + Table2[[#This Row],[Age (Inc.)]]/100)</f>
        <v>99.224651505348518</v>
      </c>
      <c r="AB17" s="69">
        <f>Table2[[#This Row],[Raw Score]]/SUM(Table2[Raw Score])</f>
        <v>7.7103500076802032E-3</v>
      </c>
      <c r="AC17" s="70">
        <v>3</v>
      </c>
      <c r="AD17" s="68">
        <f>Table2[[#This Row],[Raw Score]]+Table2[[#This Row],[Rating]]/AVERAGE(Table2[Rating])*50 -Table2[[#This Row],[% Up]]*100</f>
        <v>117.44538086749701</v>
      </c>
      <c r="AE17" s="71">
        <f>Table2[[#This Row],[TK Score]]/SUM(Table2[TK Score])</f>
        <v>7.0675875723521398E-3</v>
      </c>
      <c r="AF17" s="72">
        <f>Table2[[#This Row],[Weight (%)]]*$D$101</f>
        <v>10.60138135852821</v>
      </c>
    </row>
    <row r="18" spans="1:32" x14ac:dyDescent="0.25">
      <c r="A18" s="4" t="e" vm="19">
        <v>#VALUE!</v>
      </c>
      <c r="B18" s="4" t="s">
        <v>154</v>
      </c>
      <c r="C18" s="4" t="s">
        <v>161</v>
      </c>
      <c r="D18" s="4" t="str" cm="1">
        <f t="array" ref="D18">_FV(Table2[[#This Row],[Data]],"Exchange")</f>
        <v>New York Stock Exchange</v>
      </c>
      <c r="E18" t="s">
        <v>237</v>
      </c>
      <c r="F18" s="58" cm="1">
        <f t="array" ref="F18">_FV(Table2[[#This Row],[Data]],"Market cap",TRUE)/1000000</f>
        <v>129636.00774</v>
      </c>
      <c r="G18" s="59" cm="1">
        <f t="array" ref="G18">_FV(Table2[[#This Row],[Data]],"Price")</f>
        <v>98.86</v>
      </c>
      <c r="H18">
        <v>5.95</v>
      </c>
      <c r="I18" s="61" cm="1">
        <f t="array" ref="I18">_FV(Table2[[#This Row],[Data]],"P/E",TRUE)</f>
        <v>16.735199999999999</v>
      </c>
      <c r="J18" s="62"/>
      <c r="K18" s="62"/>
      <c r="L18" s="62" t="e">
        <f>Table2[[#This Row],[EV]]/Table2[[#This Row],[EBITDA]]</f>
        <v>#DIV/0!</v>
      </c>
      <c r="M18" s="63" cm="1">
        <f t="array" ref="M18">_FV(Table2[[#This Row],[Data]],"52 week low",TRUE)</f>
        <v>79.334999999999994</v>
      </c>
      <c r="N18" s="63" cm="1">
        <f t="array" ref="N18">_FV(Table2[[#This Row],[Data]],"52 week high",TRUE)</f>
        <v>111.25</v>
      </c>
      <c r="O18" s="64">
        <f>(Table2[[#This Row],[Close]]-Table2[[#This Row],[52Wk Lo]])/Table2[[#This Row],[52Wk Lo]]</f>
        <v>0.24610827503623883</v>
      </c>
      <c r="P18" s="65">
        <v>1963</v>
      </c>
      <c r="Q18" s="65">
        <f>2022-Table2[[#This Row],[Founded]]</f>
        <v>59</v>
      </c>
      <c r="R18" s="66">
        <v>69</v>
      </c>
      <c r="S18" s="66">
        <f>Table2[[#This Row],[Close]]</f>
        <v>98.86</v>
      </c>
      <c r="T18" s="67">
        <f>(S18-R18)/R18</f>
        <v>0.43275362318840577</v>
      </c>
      <c r="U18" s="66">
        <v>67</v>
      </c>
      <c r="V18" s="66">
        <f>Table2[[#This Row],[Close]]</f>
        <v>98.86</v>
      </c>
      <c r="W18" s="67">
        <f>(V18-U18)/U18</f>
        <v>0.47552238805970148</v>
      </c>
      <c r="X18" s="66">
        <v>80</v>
      </c>
      <c r="Y18" s="66">
        <f>Table2[[#This Row],[Close]]</f>
        <v>98.86</v>
      </c>
      <c r="Z18" s="67">
        <f>(Y18-X18)/X18</f>
        <v>0.23574999999999999</v>
      </c>
      <c r="AA18" s="68">
        <f>100*(Table2[[#This Row],[1Y Change]]*0.17 + Table2[[#This Row],[3Y Change]]*0.166 + Table2[[#This Row],[5Y Change]]*0.166 + (Table2[[#This Row],[3Y Change]]-Table2[[#This Row],[1Y Change]])*0.166 + (Table2[[#This Row],[5Y Change]]-Table2[[#This Row],[1Y Change]])*0.166 + (Table2[[#This Row],[5Y Change]]-Table2[[#This Row],[3Y Change]])*0.166 + Table2[[#This Row],[Age (Inc.)]]/100)</f>
        <v>71.62341294613887</v>
      </c>
      <c r="AB18" s="69">
        <f>Table2[[#This Row],[Raw Score]]/SUM(Table2[Raw Score])</f>
        <v>5.5655683762172413E-3</v>
      </c>
      <c r="AC18" s="70">
        <v>7</v>
      </c>
      <c r="AD18" s="68">
        <f>Table2[[#This Row],[Raw Score]]+Table2[[#This Row],[Rating]]/AVERAGE(Table2[Rating])*50 -Table2[[#This Row],[% Up]]*100</f>
        <v>92.204893134822683</v>
      </c>
      <c r="AE18" s="71">
        <f>Table2[[#This Row],[TK Score]]/SUM(Table2[TK Score])</f>
        <v>5.5486742178898112E-3</v>
      </c>
      <c r="AF18" s="72">
        <f>Table2[[#This Row],[Weight (%)]]*$D$101</f>
        <v>8.3230113268347168</v>
      </c>
    </row>
    <row r="19" spans="1:32" x14ac:dyDescent="0.25">
      <c r="A19" s="4" t="e" vm="20">
        <v>#VALUE!</v>
      </c>
      <c r="B19" s="4" t="s">
        <v>21</v>
      </c>
      <c r="C19" s="4" t="s">
        <v>93</v>
      </c>
      <c r="D19" s="4" t="str" cm="1">
        <f t="array" ref="D19">_FV(Table2[[#This Row],[Data]],"Exchange")</f>
        <v>New York Stock Exchange</v>
      </c>
      <c r="E19" t="s">
        <v>237</v>
      </c>
      <c r="F19" s="58" cm="1">
        <f t="array" ref="F19">_FV(Table2[[#This Row],[Data]],"Market cap",TRUE)/1000000</f>
        <v>22542.55111</v>
      </c>
      <c r="G19" s="59" cm="1">
        <f t="array" ref="G19">_FV(Table2[[#This Row],[Data]],"Price")</f>
        <v>64.180000000000007</v>
      </c>
      <c r="H19">
        <v>-1.389</v>
      </c>
      <c r="I19" s="61" cm="1">
        <f t="array" ref="I19">_FV(Table2[[#This Row],[Data]],"P/E",TRUE)</f>
        <v>0</v>
      </c>
      <c r="J19" s="62"/>
      <c r="K19" s="62"/>
      <c r="L19" s="62" t="e">
        <f>Table2[[#This Row],[EV]]/Table2[[#This Row],[EBITDA]]</f>
        <v>#DIV/0!</v>
      </c>
      <c r="M19" s="63" cm="1">
        <f t="array" ref="M19">_FV(Table2[[#This Row],[Data]],"52 week low",TRUE)</f>
        <v>63.11</v>
      </c>
      <c r="N19" s="63" cm="1">
        <f t="array" ref="N19">_FV(Table2[[#This Row],[Data]],"52 week high",TRUE)</f>
        <v>257.24990000000003</v>
      </c>
      <c r="O19" s="64">
        <f>(Table2[[#This Row],[Close]]-Table2[[#This Row],[52Wk Lo]])/Table2[[#This Row],[52Wk Lo]]</f>
        <v>1.6954523847250949E-2</v>
      </c>
      <c r="P19" s="65">
        <v>2013</v>
      </c>
      <c r="Q19" s="65">
        <f>2022-Table2[[#This Row],[Founded]]</f>
        <v>9</v>
      </c>
      <c r="R19" s="66">
        <v>145</v>
      </c>
      <c r="S19" s="66">
        <f>Table2[[#This Row],[Close]]</f>
        <v>64.180000000000007</v>
      </c>
      <c r="T19" s="67">
        <f>(S19-R19)/R19</f>
        <v>-0.55737931034482757</v>
      </c>
      <c r="U19" s="66">
        <v>182</v>
      </c>
      <c r="V19" s="66">
        <f>Table2[[#This Row],[Close]]</f>
        <v>64.180000000000007</v>
      </c>
      <c r="W19" s="67">
        <f>(V19-U19)/U19</f>
        <v>-0.64736263736263733</v>
      </c>
      <c r="X19" s="66">
        <v>183</v>
      </c>
      <c r="Y19" s="66">
        <f>Table2[[#This Row],[Close]]</f>
        <v>64.180000000000007</v>
      </c>
      <c r="Z19" s="67">
        <f>(Y19-X19)/X19</f>
        <v>-0.64928961748633873</v>
      </c>
      <c r="AA19" s="68">
        <f>100*(Table2[[#This Row],[1Y Change]]*0.17 + Table2[[#This Row],[3Y Change]]*0.166 + Table2[[#This Row],[5Y Change]]*0.166 + (Table2[[#This Row],[3Y Change]]-Table2[[#This Row],[1Y Change]])*0.166 + (Table2[[#This Row],[5Y Change]]-Table2[[#This Row],[1Y Change]])*0.166 + (Table2[[#This Row],[5Y Change]]-Table2[[#This Row],[3Y Change]])*0.166 + Table2[[#This Row],[Age (Inc.)]]/100)</f>
        <v>-25.05129790345325</v>
      </c>
      <c r="AB19" s="69">
        <f>Table2[[#This Row],[Raw Score]]/SUM(Table2[Raw Score])</f>
        <v>-1.9466359624541309E-3</v>
      </c>
      <c r="AC19" s="70">
        <v>8</v>
      </c>
      <c r="AD19" s="68">
        <f>Table2[[#This Row],[Raw Score]]+Table2[[#This Row],[Rating]]/AVERAGE(Table2[Rating])*50 -Table2[[#This Row],[% Up]]*100</f>
        <v>24.901601360173299</v>
      </c>
      <c r="AE19" s="71">
        <f>Table2[[#This Row],[TK Score]]/SUM(Table2[TK Score])</f>
        <v>1.4985199673658203E-3</v>
      </c>
      <c r="AF19" s="72">
        <f>Table2[[#This Row],[Weight (%)]]*$D$101</f>
        <v>2.2477799510487304</v>
      </c>
    </row>
    <row r="20" spans="1:32" x14ac:dyDescent="0.25">
      <c r="A20" s="4" t="e" vm="21">
        <v>#VALUE!</v>
      </c>
      <c r="B20" s="4" t="s">
        <v>223</v>
      </c>
      <c r="C20" s="4" t="s">
        <v>221</v>
      </c>
      <c r="D20" s="4" t="str" cm="1">
        <f t="array" ref="D20">_FV(Table2[[#This Row],[Data]],"Exchange")</f>
        <v>Nasdaq Stock Market</v>
      </c>
      <c r="E20" t="s">
        <v>236</v>
      </c>
      <c r="F20" s="58" cm="1">
        <f t="array" ref="F20">_FV(Table2[[#This Row],[Data]],"Market cap",TRUE)/1000000</f>
        <v>30715.425243000002</v>
      </c>
      <c r="G20" s="59" cm="1">
        <f t="array" ref="G20">_FV(Table2[[#This Row],[Data]],"Price")</f>
        <v>97.53</v>
      </c>
      <c r="H20">
        <v>-7.0000000000000007E-2</v>
      </c>
      <c r="I20" s="61" cm="1">
        <f t="array" ref="I20">_FV(Table2[[#This Row],[Data]],"P/E",TRUE)</f>
        <v>22357.72</v>
      </c>
      <c r="J20" s="62"/>
      <c r="K20" s="62"/>
      <c r="L20" s="62" t="e">
        <f>Table2[[#This Row],[EV]]/Table2[[#This Row],[EBITDA]]</f>
        <v>#DIV/0!</v>
      </c>
      <c r="M20" s="63" cm="1">
        <f t="array" ref="M20">_FV(Table2[[#This Row],[Data]],"52 week low",TRUE)</f>
        <v>73.040000000000006</v>
      </c>
      <c r="N20" s="63" cm="1">
        <f t="array" ref="N20">_FV(Table2[[#This Row],[Data]],"52 week high",TRUE)</f>
        <v>199.67500000000001</v>
      </c>
      <c r="O20" s="64">
        <f>(Table2[[#This Row],[Close]]-Table2[[#This Row],[52Wk Lo]])/Table2[[#This Row],[52Wk Lo]]</f>
        <v>0.33529572836801741</v>
      </c>
      <c r="P20" s="65">
        <v>2010</v>
      </c>
      <c r="Q20" s="65">
        <f>2022-Table2[[#This Row],[Founded]]</f>
        <v>12</v>
      </c>
      <c r="R20" s="66">
        <v>77</v>
      </c>
      <c r="S20" s="66">
        <f>Table2[[#This Row],[Close]]</f>
        <v>97.53</v>
      </c>
      <c r="T20" s="67">
        <f>(S20-R20)/R20</f>
        <v>0.26662337662337665</v>
      </c>
      <c r="U20" s="66">
        <v>90</v>
      </c>
      <c r="V20" s="66">
        <f>Table2[[#This Row],[Close]]</f>
        <v>97.53</v>
      </c>
      <c r="W20" s="67">
        <f>(V20-U20)/U20</f>
        <v>8.3666666666666681E-2</v>
      </c>
      <c r="X20" s="66">
        <v>36</v>
      </c>
      <c r="Y20" s="66">
        <f>Table2[[#This Row],[Close]]</f>
        <v>97.53</v>
      </c>
      <c r="Z20" s="67">
        <f>(Y20-X20)/X20</f>
        <v>1.7091666666666667</v>
      </c>
      <c r="AA20" s="68">
        <f>100*(Table2[[#This Row],[1Y Change]]*0.17 + Table2[[#This Row],[3Y Change]]*0.166 + Table2[[#This Row],[5Y Change]]*0.166 + (Table2[[#This Row],[3Y Change]]-Table2[[#This Row],[1Y Change]])*0.166 + (Table2[[#This Row],[5Y Change]]-Table2[[#This Row],[1Y Change]])*0.166 + (Table2[[#This Row],[5Y Change]]-Table2[[#This Row],[3Y Change]])*0.166 + Table2[[#This Row],[Age (Inc.)]]/100)</f>
        <v>94.186067965367968</v>
      </c>
      <c r="AB20" s="69">
        <f>Table2[[#This Row],[Raw Score]]/SUM(Table2[Raw Score])</f>
        <v>7.3188218738263668E-3</v>
      </c>
      <c r="AC20" s="70">
        <v>5</v>
      </c>
      <c r="AD20" s="68">
        <f>Table2[[#This Row],[Raw Score]]+Table2[[#This Row],[Rating]]/AVERAGE(Table2[Rating])*50 -Table2[[#This Row],[% Up]]*100</f>
        <v>92.936714908786001</v>
      </c>
      <c r="AE20" s="71">
        <f>Table2[[#This Row],[TK Score]]/SUM(Table2[TK Score])</f>
        <v>5.592713535882872E-3</v>
      </c>
      <c r="AF20" s="72">
        <f>Table2[[#This Row],[Weight (%)]]*$D$101</f>
        <v>8.3890703038243082</v>
      </c>
    </row>
    <row r="21" spans="1:32" x14ac:dyDescent="0.25">
      <c r="A21" s="4" t="e" vm="22">
        <v>#VALUE!</v>
      </c>
      <c r="B21" s="4" t="s">
        <v>155</v>
      </c>
      <c r="C21" s="4" t="s">
        <v>162</v>
      </c>
      <c r="D21" s="4" t="str" cm="1">
        <f t="array" ref="D21">_FV(Table2[[#This Row],[Data]],"Exchange")</f>
        <v>New York Stock Exchange</v>
      </c>
      <c r="E21" t="s">
        <v>236</v>
      </c>
      <c r="F21" s="58" cm="1">
        <f t="array" ref="F21">_FV(Table2[[#This Row],[Data]],"Market cap",TRUE)/1000000</f>
        <v>34362.403696000001</v>
      </c>
      <c r="G21" s="59" cm="1">
        <f t="array" ref="G21">_FV(Table2[[#This Row],[Data]],"Price")</f>
        <v>45.19</v>
      </c>
      <c r="H21">
        <v>7.02</v>
      </c>
      <c r="I21" s="61" cm="1">
        <f t="array" ref="I21">_FV(Table2[[#This Row],[Data]],"P/E",TRUE)</f>
        <v>7.2765000000000004</v>
      </c>
      <c r="J21" s="62"/>
      <c r="K21" s="62"/>
      <c r="L21" s="62" t="e">
        <f>Table2[[#This Row],[EV]]/Table2[[#This Row],[EBITDA]]</f>
        <v>#DIV/0!</v>
      </c>
      <c r="M21" s="63" cm="1">
        <f t="array" ref="M21">_FV(Table2[[#This Row],[Data]],"52 week low",TRUE)</f>
        <v>44.68</v>
      </c>
      <c r="N21" s="63" cm="1">
        <f t="array" ref="N21">_FV(Table2[[#This Row],[Data]],"52 week high",TRUE)</f>
        <v>61.54</v>
      </c>
      <c r="O21" s="64">
        <f>(Table2[[#This Row],[Close]]-Table2[[#This Row],[52Wk Lo]])/Table2[[#This Row],[52Wk Lo]]</f>
        <v>1.1414503133392973E-2</v>
      </c>
      <c r="P21" s="65">
        <v>1984</v>
      </c>
      <c r="Q21" s="65">
        <f>2022-Table2[[#This Row],[Founded]]</f>
        <v>38</v>
      </c>
      <c r="R21" s="66">
        <v>37</v>
      </c>
      <c r="S21" s="66">
        <f>Table2[[#This Row],[Close]]</f>
        <v>45.19</v>
      </c>
      <c r="T21" s="67">
        <f>(S21-R21)/R21</f>
        <v>0.22135135135135128</v>
      </c>
      <c r="U21" s="66">
        <v>23</v>
      </c>
      <c r="V21" s="66">
        <f>Table2[[#This Row],[Close]]</f>
        <v>45.19</v>
      </c>
      <c r="W21" s="67">
        <f>(V21-U21)/U21</f>
        <v>0.96478260869565202</v>
      </c>
      <c r="X21" s="66">
        <v>23</v>
      </c>
      <c r="Y21" s="66">
        <f>Table2[[#This Row],[Close]]</f>
        <v>45.19</v>
      </c>
      <c r="Z21" s="67">
        <f>(Y21-X21)/X21</f>
        <v>0.96478260869565202</v>
      </c>
      <c r="AA21" s="68">
        <f>100*(Table2[[#This Row],[1Y Change]]*0.17 + Table2[[#This Row],[3Y Change]]*0.166 + Table2[[#This Row],[5Y Change]]*0.166 + (Table2[[#This Row],[3Y Change]]-Table2[[#This Row],[1Y Change]])*0.166 + (Table2[[#This Row],[5Y Change]]-Table2[[#This Row],[1Y Change]])*0.166 + (Table2[[#This Row],[5Y Change]]-Table2[[#This Row],[3Y Change]])*0.166 + Table2[[#This Row],[Age (Inc.)]]/100)</f>
        <v>98.475673325499415</v>
      </c>
      <c r="AB21" s="69">
        <f>Table2[[#This Row],[Raw Score]]/SUM(Table2[Raw Score])</f>
        <v>7.6521499149901267E-3</v>
      </c>
      <c r="AC21" s="70">
        <v>8</v>
      </c>
      <c r="AD21" s="68">
        <f>Table2[[#This Row],[Raw Score]]+Table2[[#This Row],[Rating]]/AVERAGE(Table2[Rating])*50 -Table2[[#This Row],[% Up]]*100</f>
        <v>148.98257466051174</v>
      </c>
      <c r="AE21" s="71">
        <f>Table2[[#This Row],[TK Score]]/SUM(Table2[TK Score])</f>
        <v>8.9654219296679098E-3</v>
      </c>
      <c r="AF21" s="72">
        <f>Table2[[#This Row],[Weight (%)]]*$D$101</f>
        <v>13.448132894501864</v>
      </c>
    </row>
    <row r="22" spans="1:32" x14ac:dyDescent="0.25">
      <c r="A22" s="4" t="e" vm="23">
        <v>#VALUE!</v>
      </c>
      <c r="B22" s="4" t="s">
        <v>60</v>
      </c>
      <c r="C22" s="4" t="s">
        <v>94</v>
      </c>
      <c r="D22" s="4" t="str" cm="1">
        <f t="array" ref="D22">_FV(Table2[[#This Row],[Data]],"Exchange")</f>
        <v>New York Stock Exchange</v>
      </c>
      <c r="E22" t="s">
        <v>237</v>
      </c>
      <c r="F22" s="58" cm="1">
        <f t="array" ref="F22">_FV(Table2[[#This Row],[Data]],"Market cap",TRUE)/1000000</f>
        <v>200797.7</v>
      </c>
      <c r="G22" s="59" cm="1">
        <f t="array" ref="G22">_FV(Table2[[#This Row],[Data]],"Price")</f>
        <v>106.98</v>
      </c>
      <c r="H22">
        <v>1.6830000000000001</v>
      </c>
      <c r="I22" s="61" cm="1">
        <f t="array" ref="I22">_FV(Table2[[#This Row],[Data]],"P/E",TRUE)</f>
        <v>64.100499999999997</v>
      </c>
      <c r="J22" s="62"/>
      <c r="K22" s="62"/>
      <c r="L22" s="62" t="e">
        <f>Table2[[#This Row],[EV]]/Table2[[#This Row],[EBITDA]]</f>
        <v>#DIV/0!</v>
      </c>
      <c r="M22" s="63" cm="1">
        <f t="array" ref="M22">_FV(Table2[[#This Row],[Data]],"52 week low",TRUE)</f>
        <v>106.48</v>
      </c>
      <c r="N22" s="63" cm="1">
        <f t="array" ref="N22">_FV(Table2[[#This Row],[Data]],"52 week high",TRUE)</f>
        <v>187.57990000000001</v>
      </c>
      <c r="O22" s="64">
        <f>(Table2[[#This Row],[Close]]-Table2[[#This Row],[52Wk Lo]])/Table2[[#This Row],[52Wk Lo]]</f>
        <v>4.6957175056348607E-3</v>
      </c>
      <c r="P22" s="65">
        <v>1923</v>
      </c>
      <c r="Q22" s="65">
        <f>2022-Table2[[#This Row],[Founded]]</f>
        <v>99</v>
      </c>
      <c r="R22" s="66">
        <v>178</v>
      </c>
      <c r="S22" s="66">
        <f>Table2[[#This Row],[Close]]</f>
        <v>106.98</v>
      </c>
      <c r="T22" s="67">
        <f>(S22-R22)/R22</f>
        <v>-0.39898876404494382</v>
      </c>
      <c r="U22" s="66">
        <v>109</v>
      </c>
      <c r="V22" s="66">
        <f>Table2[[#This Row],[Close]]</f>
        <v>106.98</v>
      </c>
      <c r="W22" s="67">
        <f>(V22-U22)/U22</f>
        <v>-1.8532110091743083E-2</v>
      </c>
      <c r="X22" s="66">
        <v>105</v>
      </c>
      <c r="Y22" s="66">
        <f>Table2[[#This Row],[Close]]</f>
        <v>106.98</v>
      </c>
      <c r="Z22" s="67">
        <f>(Y22-X22)/X22</f>
        <v>1.8857142857142895E-2</v>
      </c>
      <c r="AA22" s="68">
        <f>100*(Table2[[#This Row],[1Y Change]]*0.17 + Table2[[#This Row],[3Y Change]]*0.166 + Table2[[#This Row],[5Y Change]]*0.166 + (Table2[[#This Row],[3Y Change]]-Table2[[#This Row],[1Y Change]])*0.166 + (Table2[[#This Row],[5Y Change]]-Table2[[#This Row],[1Y Change]])*0.166 + (Table2[[#This Row],[5Y Change]]-Table2[[#This Row],[3Y Change]])*0.166 + Table2[[#This Row],[Age (Inc.)]]/100)</f>
        <v>106.09507066429087</v>
      </c>
      <c r="AB22" s="69">
        <f>Table2[[#This Row],[Raw Score]]/SUM(Table2[Raw Score])</f>
        <v>8.2442227460698368E-3</v>
      </c>
      <c r="AC22" s="70">
        <v>9</v>
      </c>
      <c r="AD22" s="68">
        <f>Table2[[#This Row],[Raw Score]]+Table2[[#This Row],[Rating]]/AVERAGE(Table2[Rating])*50 -Table2[[#This Row],[% Up]]*100</f>
        <v>163.72989451812299</v>
      </c>
      <c r="AE22" s="71">
        <f>Table2[[#This Row],[TK Score]]/SUM(Table2[TK Score])</f>
        <v>9.8528810513573879E-3</v>
      </c>
      <c r="AF22" s="72">
        <f>Table2[[#This Row],[Weight (%)]]*$D$101</f>
        <v>14.779321577036082</v>
      </c>
    </row>
    <row r="23" spans="1:32" x14ac:dyDescent="0.25">
      <c r="A23" s="4" t="e" vm="24">
        <v>#VALUE!</v>
      </c>
      <c r="B23" s="4" t="s">
        <v>14</v>
      </c>
      <c r="C23" s="4" t="s">
        <v>95</v>
      </c>
      <c r="D23" s="4" t="str" cm="1">
        <f t="array" ref="D23">_FV(Table2[[#This Row],[Data]],"Exchange")</f>
        <v>Nasdaq Stock Market</v>
      </c>
      <c r="E23" t="s">
        <v>236</v>
      </c>
      <c r="F23" s="58" cm="1">
        <f t="array" ref="F23">_FV(Table2[[#This Row],[Data]],"Market cap",TRUE)/1000000</f>
        <v>13719.363479</v>
      </c>
      <c r="G23" s="59" cm="1">
        <f t="array" ref="G23">_FV(Table2[[#This Row],[Data]],"Price")</f>
        <v>68.63</v>
      </c>
      <c r="H23">
        <v>-0.35599999999999998</v>
      </c>
      <c r="I23" s="74" t="e" cm="1" vm="9">
        <f t="array" ref="I23">_FV(Table2[[#This Row],[Data]],"P/E",TRUE)</f>
        <v>#VALUE!</v>
      </c>
      <c r="J23" s="62"/>
      <c r="K23" s="62"/>
      <c r="L23" s="62" t="e">
        <f>Table2[[#This Row],[EV]]/Table2[[#This Row],[EBITDA]]</f>
        <v>#DIV/0!</v>
      </c>
      <c r="M23" s="63" cm="1">
        <f t="array" ref="M23">_FV(Table2[[#This Row],[Data]],"52 week low",TRUE)</f>
        <v>67.923199999999994</v>
      </c>
      <c r="N23" s="63" cm="1">
        <f t="array" ref="N23">_FV(Table2[[#This Row],[Data]],"52 week high",TRUE)</f>
        <v>314.76</v>
      </c>
      <c r="O23" s="64">
        <f>(Table2[[#This Row],[Close]]-Table2[[#This Row],[52Wk Lo]])/Table2[[#This Row],[52Wk Lo]]</f>
        <v>1.0405870159238688E-2</v>
      </c>
      <c r="P23" s="65">
        <v>2003</v>
      </c>
      <c r="Q23" s="65">
        <f>2022-Table2[[#This Row],[Founded]]</f>
        <v>19</v>
      </c>
      <c r="R23" s="66">
        <v>229</v>
      </c>
      <c r="S23" s="66">
        <f>Table2[[#This Row],[Close]]</f>
        <v>68.63</v>
      </c>
      <c r="T23" s="67">
        <f>(S23-R23)/R23</f>
        <v>-0.70030567685589518</v>
      </c>
      <c r="U23" s="66">
        <v>40</v>
      </c>
      <c r="V23" s="66">
        <f>Table2[[#This Row],[Close]]</f>
        <v>68.63</v>
      </c>
      <c r="W23" s="67">
        <f>(V23-U23)/U23</f>
        <v>0.71574999999999989</v>
      </c>
      <c r="X23" s="66">
        <v>38</v>
      </c>
      <c r="Y23" s="66">
        <f>Table2[[#This Row],[Close]]</f>
        <v>68.63</v>
      </c>
      <c r="Z23" s="67">
        <f>(Y23-X23)/X23</f>
        <v>0.80605263157894724</v>
      </c>
      <c r="AA23" s="68">
        <f>100*(Table2[[#This Row],[1Y Change]]*0.17 + Table2[[#This Row],[3Y Change]]*0.166 + Table2[[#This Row],[5Y Change]]*0.166 + (Table2[[#This Row],[3Y Change]]-Table2[[#This Row],[1Y Change]])*0.166 + (Table2[[#This Row],[5Y Change]]-Table2[[#This Row],[1Y Change]])*0.166 + (Table2[[#This Row],[5Y Change]]-Table2[[#This Row],[3Y Change]])*0.166 + Table2[[#This Row],[Age (Inc.)]]/100)</f>
        <v>82.367823017697077</v>
      </c>
      <c r="AB23" s="69">
        <f>Table2[[#This Row],[Raw Score]]/SUM(Table2[Raw Score])</f>
        <v>6.4004734227045305E-3</v>
      </c>
      <c r="AC23" s="70">
        <v>5</v>
      </c>
      <c r="AD23" s="68">
        <f>Table2[[#This Row],[Raw Score]]+Table2[[#This Row],[Rating]]/AVERAGE(Table2[Rating])*50 -Table2[[#This Row],[% Up]]*100</f>
        <v>113.607455781993</v>
      </c>
      <c r="AE23" s="71">
        <f>Table2[[#This Row],[TK Score]]/SUM(Table2[TK Score])</f>
        <v>6.8366302419099216E-3</v>
      </c>
      <c r="AF23" s="72">
        <f>Table2[[#This Row],[Weight (%)]]*$D$101</f>
        <v>10.254945362864882</v>
      </c>
    </row>
    <row r="24" spans="1:32" x14ac:dyDescent="0.25">
      <c r="A24" s="4" t="e" vm="25">
        <v>#VALUE!</v>
      </c>
      <c r="B24" s="4" t="s">
        <v>178</v>
      </c>
      <c r="C24" s="4" t="s">
        <v>190</v>
      </c>
      <c r="D24" s="4" t="str" cm="1">
        <f t="array" ref="D24">_FV(Table2[[#This Row],[Data]],"Exchange")</f>
        <v>New York Stock Exchange</v>
      </c>
      <c r="E24" t="s">
        <v>237</v>
      </c>
      <c r="F24" s="58" cm="1">
        <f t="array" ref="F24">_FV(Table2[[#This Row],[Data]],"Market cap",TRUE)/1000000</f>
        <v>12319.84</v>
      </c>
      <c r="G24" s="59" cm="1">
        <f t="array" ref="G24">_FV(Table2[[#This Row],[Data]],"Price")</f>
        <v>333.6</v>
      </c>
      <c r="H24">
        <v>13.08</v>
      </c>
      <c r="I24" s="61" cm="1">
        <f t="array" ref="I24">_FV(Table2[[#This Row],[Data]],"P/E",TRUE)</f>
        <v>26.224699999999999</v>
      </c>
      <c r="J24" s="62"/>
      <c r="K24" s="62"/>
      <c r="L24" s="62" t="e">
        <f>Table2[[#This Row],[EV]]/Table2[[#This Row],[EBITDA]]</f>
        <v>#DIV/0!</v>
      </c>
      <c r="M24" s="63" cm="1">
        <f t="array" ref="M24">_FV(Table2[[#This Row],[Data]],"52 week low",TRUE)</f>
        <v>331.47</v>
      </c>
      <c r="N24" s="63" cm="1">
        <f t="array" ref="N24">_FV(Table2[[#This Row],[Data]],"52 week high",TRUE)</f>
        <v>567.57000000000005</v>
      </c>
      <c r="O24" s="64">
        <f>(Table2[[#This Row],[Close]]-Table2[[#This Row],[52Wk Lo]])/Table2[[#This Row],[52Wk Lo]]</f>
        <v>6.4259208978187932E-3</v>
      </c>
      <c r="P24" s="65">
        <v>1960</v>
      </c>
      <c r="Q24" s="65">
        <f>2022-Table2[[#This Row],[Founded]]</f>
        <v>62</v>
      </c>
      <c r="R24" s="66">
        <v>383</v>
      </c>
      <c r="S24" s="66">
        <f>Table2[[#This Row],[Close]]</f>
        <v>333.6</v>
      </c>
      <c r="T24" s="67">
        <f>(S24-R24)/R24</f>
        <v>-0.12898172323759785</v>
      </c>
      <c r="U24" s="66">
        <v>244</v>
      </c>
      <c r="V24" s="66">
        <f>Table2[[#This Row],[Close]]</f>
        <v>333.6</v>
      </c>
      <c r="W24" s="67">
        <f>(V24-U24)/U24</f>
        <v>0.36721311475409846</v>
      </c>
      <c r="X24" s="66">
        <v>175</v>
      </c>
      <c r="Y24" s="66">
        <f>Table2[[#This Row],[Close]]</f>
        <v>333.6</v>
      </c>
      <c r="Z24" s="67">
        <f>(Y24-X24)/X24</f>
        <v>0.90628571428571436</v>
      </c>
      <c r="AA24" s="68">
        <f>100*(Table2[[#This Row],[1Y Change]]*0.17 + Table2[[#This Row],[3Y Change]]*0.166 + Table2[[#This Row],[5Y Change]]*0.166 + (Table2[[#This Row],[3Y Change]]-Table2[[#This Row],[1Y Change]])*0.166 + (Table2[[#This Row],[5Y Change]]-Table2[[#This Row],[1Y Change]])*0.166 + (Table2[[#This Row],[5Y Change]]-Table2[[#This Row],[3Y Change]])*0.166 + Table2[[#This Row],[Age (Inc.)]]/100)</f>
        <v>115.31827019279568</v>
      </c>
      <c r="AB24" s="69">
        <f>Table2[[#This Row],[Raw Score]]/SUM(Table2[Raw Score])</f>
        <v>8.9609206177838005E-3</v>
      </c>
      <c r="AC24" s="70">
        <v>7</v>
      </c>
      <c r="AD24" s="68">
        <f>Table2[[#This Row],[Raw Score]]+Table2[[#This Row],[Rating]]/AVERAGE(Table2[Rating])*50 -Table2[[#This Row],[% Up]]*100</f>
        <v>159.86798579532149</v>
      </c>
      <c r="AE24" s="71">
        <f>Table2[[#This Row],[TK Score]]/SUM(Table2[TK Score])</f>
        <v>9.620480441872168E-3</v>
      </c>
      <c r="AF24" s="72">
        <f>Table2[[#This Row],[Weight (%)]]*$D$101</f>
        <v>14.430720662808252</v>
      </c>
    </row>
    <row r="25" spans="1:32" x14ac:dyDescent="0.25">
      <c r="A25" s="4" t="e" vm="26">
        <v>#VALUE!</v>
      </c>
      <c r="B25" s="4" t="s">
        <v>150</v>
      </c>
      <c r="C25" s="4" t="s">
        <v>163</v>
      </c>
      <c r="D25" s="4" t="str" cm="1">
        <f t="array" ref="D25">_FV(Table2[[#This Row],[Data]],"Exchange")</f>
        <v>Nasdaq Stock Market</v>
      </c>
      <c r="E25" t="s">
        <v>237</v>
      </c>
      <c r="F25" s="58" cm="1">
        <f t="array" ref="F25">_FV(Table2[[#This Row],[Data]],"Market cap",TRUE)/1000000</f>
        <v>27944.503433999998</v>
      </c>
      <c r="G25" s="59" cm="1">
        <f t="array" ref="G25">_FV(Table2[[#This Row],[Data]],"Price")</f>
        <v>49.26</v>
      </c>
      <c r="H25">
        <v>20.52</v>
      </c>
      <c r="I25" s="61" cm="1">
        <f t="array" ref="I25">_FV(Table2[[#This Row],[Data]],"P/E",TRUE)</f>
        <v>253.23410000000001</v>
      </c>
      <c r="J25" s="62"/>
      <c r="K25" s="62"/>
      <c r="L25" s="62" t="e">
        <f>Table2[[#This Row],[EV]]/Table2[[#This Row],[EBITDA]]</f>
        <v>#DIV/0!</v>
      </c>
      <c r="M25" s="63" cm="1">
        <f t="array" ref="M25">_FV(Table2[[#This Row],[Data]],"52 week low",TRUE)</f>
        <v>47.03</v>
      </c>
      <c r="N25" s="63" cm="1">
        <f t="array" ref="N25">_FV(Table2[[#This Row],[Data]],"52 week high",TRUE)</f>
        <v>81.19</v>
      </c>
      <c r="O25" s="64">
        <f>(Table2[[#This Row],[Close]]-Table2[[#This Row],[52Wk Lo]])/Table2[[#This Row],[52Wk Lo]]</f>
        <v>4.7416542632362252E-2</v>
      </c>
      <c r="P25" s="65">
        <v>1995</v>
      </c>
      <c r="Q25" s="65">
        <f>2022-Table2[[#This Row],[Founded]]</f>
        <v>27</v>
      </c>
      <c r="R25" s="66">
        <v>50</v>
      </c>
      <c r="S25" s="66">
        <f>Table2[[#This Row],[Close]]</f>
        <v>49.26</v>
      </c>
      <c r="T25" s="67">
        <f>(S25-R25)/R25</f>
        <v>-1.4800000000000041E-2</v>
      </c>
      <c r="U25" s="66">
        <v>29</v>
      </c>
      <c r="V25" s="66">
        <f>Table2[[#This Row],[Close]]</f>
        <v>49.26</v>
      </c>
      <c r="W25" s="67">
        <f>(V25-U25)/U25</f>
        <v>0.69862068965517232</v>
      </c>
      <c r="X25" s="66">
        <v>30</v>
      </c>
      <c r="Y25" s="66">
        <f>Table2[[#This Row],[Close]]</f>
        <v>49.26</v>
      </c>
      <c r="Z25" s="67">
        <f>(Y25-X25)/X25</f>
        <v>0.6419999999999999</v>
      </c>
      <c r="AA25" s="68">
        <f>100*(Table2[[#This Row],[1Y Change]]*0.17 + Table2[[#This Row],[3Y Change]]*0.166 + Table2[[#This Row],[5Y Change]]*0.166 + (Table2[[#This Row],[3Y Change]]-Table2[[#This Row],[1Y Change]])*0.166 + (Table2[[#This Row],[5Y Change]]-Table2[[#This Row],[1Y Change]])*0.166 + (Table2[[#This Row],[5Y Change]]-Table2[[#This Row],[3Y Change]])*0.166 + Table2[[#This Row],[Age (Inc.)]]/100)</f>
        <v>70.808463448275859</v>
      </c>
      <c r="AB25" s="69">
        <f>Table2[[#This Row],[Raw Score]]/SUM(Table2[Raw Score])</f>
        <v>5.5022419167963348E-3</v>
      </c>
      <c r="AC25" s="70">
        <v>7</v>
      </c>
      <c r="AD25" s="68">
        <f>Table2[[#This Row],[Raw Score]]+Table2[[#This Row],[Rating]]/AVERAGE(Table2[Rating])*50 -Table2[[#This Row],[% Up]]*100</f>
        <v>111.25911687734732</v>
      </c>
      <c r="AE25" s="71">
        <f>Table2[[#This Row],[TK Score]]/SUM(Table2[TK Score])</f>
        <v>6.695312714259603E-3</v>
      </c>
      <c r="AF25" s="72">
        <f>Table2[[#This Row],[Weight (%)]]*$D$101</f>
        <v>10.042969071389404</v>
      </c>
    </row>
    <row r="26" spans="1:32" x14ac:dyDescent="0.25">
      <c r="A26" s="4" t="e" vm="27">
        <v>#VALUE!</v>
      </c>
      <c r="B26" s="4" t="s">
        <v>19</v>
      </c>
      <c r="C26" s="4" t="s">
        <v>96</v>
      </c>
      <c r="D26" s="4" t="str" cm="1">
        <f t="array" ref="D26">_FV(Table2[[#This Row],[Data]],"Exchange")</f>
        <v>New York Stock Exchange</v>
      </c>
      <c r="E26" t="s">
        <v>237</v>
      </c>
      <c r="F26" s="58" cm="1">
        <f t="array" ref="F26">_FV(Table2[[#This Row],[Data]],"Market cap",TRUE)/1000000</f>
        <v>24421.756012999998</v>
      </c>
      <c r="G26" s="59" cm="1">
        <f t="array" ref="G26">_FV(Table2[[#This Row],[Data]],"Price")</f>
        <v>199.63</v>
      </c>
      <c r="H26">
        <v>6.18</v>
      </c>
      <c r="I26" s="61" cm="1">
        <f t="array" ref="I26">_FV(Table2[[#This Row],[Data]],"P/E",TRUE)</f>
        <v>33.168399999999998</v>
      </c>
      <c r="J26" s="62"/>
      <c r="K26" s="62"/>
      <c r="L26" s="62" t="e">
        <f>Table2[[#This Row],[EV]]/Table2[[#This Row],[EBITDA]]</f>
        <v>#DIV/0!</v>
      </c>
      <c r="M26" s="63" cm="1">
        <f t="array" ref="M26">_FV(Table2[[#This Row],[Data]],"52 week low",TRUE)</f>
        <v>198.97</v>
      </c>
      <c r="N26" s="63" cm="1">
        <f t="array" ref="N26">_FV(Table2[[#This Row],[Data]],"52 week high",TRUE)</f>
        <v>300.11</v>
      </c>
      <c r="O26" s="64">
        <f>(Table2[[#This Row],[Close]]-Table2[[#This Row],[52Wk Lo]])/Table2[[#This Row],[52Wk Lo]]</f>
        <v>3.3170829773332493E-3</v>
      </c>
      <c r="P26" s="65">
        <v>1899</v>
      </c>
      <c r="Q26" s="65">
        <f>2022-Table2[[#This Row],[Founded]]</f>
        <v>123</v>
      </c>
      <c r="R26" s="66">
        <v>191</v>
      </c>
      <c r="S26" s="66">
        <f>Table2[[#This Row],[Close]]</f>
        <v>199.63</v>
      </c>
      <c r="T26" s="67">
        <f>(S26-R26)/R26</f>
        <v>4.5183246073298405E-2</v>
      </c>
      <c r="U26" s="66">
        <v>93</v>
      </c>
      <c r="V26" s="66">
        <f>Table2[[#This Row],[Close]]</f>
        <v>199.63</v>
      </c>
      <c r="W26" s="67">
        <f>(V26-U26)/U26</f>
        <v>1.1465591397849462</v>
      </c>
      <c r="X26" s="66">
        <v>118</v>
      </c>
      <c r="Y26" s="66">
        <f>Table2[[#This Row],[Close]]</f>
        <v>199.63</v>
      </c>
      <c r="Z26" s="67">
        <f>(Y26-X26)/X26</f>
        <v>0.6917796610169491</v>
      </c>
      <c r="AA26" s="68">
        <f>100*(Table2[[#This Row],[1Y Change]]*0.17 + Table2[[#This Row],[3Y Change]]*0.166 + Table2[[#This Row],[5Y Change]]*0.166 + (Table2[[#This Row],[3Y Change]]-Table2[[#This Row],[1Y Change]])*0.166 + (Table2[[#This Row],[5Y Change]]-Table2[[#This Row],[1Y Change]])*0.166 + (Table2[[#This Row],[5Y Change]]-Table2[[#This Row],[3Y Change]])*0.166 + Table2[[#This Row],[Age (Inc.)]]/100)</f>
        <v>175.75154025268677</v>
      </c>
      <c r="AB26" s="69">
        <f>Table2[[#This Row],[Raw Score]]/SUM(Table2[Raw Score])</f>
        <v>1.3656947836839382E-2</v>
      </c>
      <c r="AC26" s="70">
        <v>8</v>
      </c>
      <c r="AD26" s="68">
        <f>Table2[[#This Row],[Raw Score]]+Table2[[#This Row],[Rating]]/AVERAGE(Table2[Rating])*50 -Table2[[#This Row],[% Up]]*100</f>
        <v>227.0681836033051</v>
      </c>
      <c r="AE26" s="71">
        <f>Table2[[#This Row],[TK Score]]/SUM(Table2[TK Score])</f>
        <v>1.3664430739271654E-2</v>
      </c>
      <c r="AF26" s="72">
        <f>Table2[[#This Row],[Weight (%)]]*$D$101</f>
        <v>20.496646108907481</v>
      </c>
    </row>
    <row r="27" spans="1:32" x14ac:dyDescent="0.25">
      <c r="A27" s="4" t="e" vm="28">
        <v>#VALUE!</v>
      </c>
      <c r="B27" s="4" t="s">
        <v>15</v>
      </c>
      <c r="C27" s="4" t="s">
        <v>97</v>
      </c>
      <c r="D27" s="4" t="str" cm="1">
        <f t="array" ref="D27">_FV(Table2[[#This Row],[Data]],"Exchange")</f>
        <v>Nasdaq Stock Market</v>
      </c>
      <c r="E27" t="s">
        <v>237</v>
      </c>
      <c r="F27" s="58" cm="1">
        <f t="array" ref="F27">_FV(Table2[[#This Row],[Data]],"Market cap",TRUE)/1000000</f>
        <v>10983.0816</v>
      </c>
      <c r="G27" s="59" cm="1">
        <f t="array" ref="G27">_FV(Table2[[#This Row],[Data]],"Price")</f>
        <v>86.4</v>
      </c>
      <c r="H27">
        <v>3.3980000000000001</v>
      </c>
      <c r="I27" s="61" cm="1">
        <f t="array" ref="I27">_FV(Table2[[#This Row],[Data]],"P/E",TRUE)</f>
        <v>29.154399999999999</v>
      </c>
      <c r="J27" s="62"/>
      <c r="K27" s="62"/>
      <c r="L27" s="62" t="e">
        <f>Table2[[#This Row],[EV]]/Table2[[#This Row],[EBITDA]]</f>
        <v>#DIV/0!</v>
      </c>
      <c r="M27" s="63" cm="1">
        <f t="array" ref="M27">_FV(Table2[[#This Row],[Data]],"52 week low",TRUE)</f>
        <v>81.114999999999995</v>
      </c>
      <c r="N27" s="63" cm="1">
        <f t="array" ref="N27">_FV(Table2[[#This Row],[Data]],"52 week high",TRUE)</f>
        <v>307.75</v>
      </c>
      <c r="O27" s="64">
        <f>(Table2[[#This Row],[Close]]-Table2[[#This Row],[52Wk Lo]])/Table2[[#This Row],[52Wk Lo]]</f>
        <v>6.5154410404980725E-2</v>
      </c>
      <c r="P27" s="65">
        <v>2005</v>
      </c>
      <c r="Q27" s="65">
        <f>2022-Table2[[#This Row],[Founded]]</f>
        <v>17</v>
      </c>
      <c r="R27" s="66">
        <v>177</v>
      </c>
      <c r="S27" s="66">
        <f>Table2[[#This Row],[Close]]</f>
        <v>86.4</v>
      </c>
      <c r="T27" s="67">
        <f>(S27-R27)/R27</f>
        <v>-0.51186440677966094</v>
      </c>
      <c r="U27" s="66">
        <v>48</v>
      </c>
      <c r="V27" s="66">
        <f>Table2[[#This Row],[Close]]</f>
        <v>86.4</v>
      </c>
      <c r="W27" s="67">
        <f>(V27-U27)/U27</f>
        <v>0.80000000000000016</v>
      </c>
      <c r="X27" s="66">
        <v>12</v>
      </c>
      <c r="Y27" s="66">
        <f>Table2[[#This Row],[Close]]</f>
        <v>86.4</v>
      </c>
      <c r="Z27" s="67">
        <f>(Y27-X27)/X27</f>
        <v>6.2</v>
      </c>
      <c r="AA27" s="68">
        <f>100*(Table2[[#This Row],[1Y Change]]*0.17 + Table2[[#This Row],[3Y Change]]*0.166 + Table2[[#This Row],[5Y Change]]*0.166 + (Table2[[#This Row],[3Y Change]]-Table2[[#This Row],[1Y Change]])*0.166 + (Table2[[#This Row],[5Y Change]]-Table2[[#This Row],[1Y Change]])*0.166 + (Table2[[#This Row],[5Y Change]]-Table2[[#This Row],[3Y Change]])*0.166 + Table2[[#This Row],[Age (Inc.)]]/100)</f>
        <v>347.33220338983051</v>
      </c>
      <c r="AB27" s="69">
        <f>Table2[[#This Row],[Raw Score]]/SUM(Table2[Raw Score])</f>
        <v>2.6989793528576982E-2</v>
      </c>
      <c r="AC27" s="70">
        <v>7</v>
      </c>
      <c r="AD27" s="68">
        <f>Table2[[#This Row],[Raw Score]]+Table2[[#This Row],[Rating]]/AVERAGE(Table2[Rating])*50 -Table2[[#This Row],[% Up]]*100</f>
        <v>386.00907004164014</v>
      </c>
      <c r="AE27" s="71">
        <f>Table2[[#This Row],[TK Score]]/SUM(Table2[TK Score])</f>
        <v>2.3229120516194933E-2</v>
      </c>
      <c r="AF27" s="72">
        <f>Table2[[#This Row],[Weight (%)]]*$D$101</f>
        <v>34.843680774292402</v>
      </c>
    </row>
    <row r="28" spans="1:32" x14ac:dyDescent="0.25">
      <c r="A28" s="4" t="e" vm="29">
        <v>#VALUE!</v>
      </c>
      <c r="B28" s="4" t="s">
        <v>31</v>
      </c>
      <c r="C28" s="4" t="s">
        <v>98</v>
      </c>
      <c r="D28" s="4" t="str" cm="1">
        <f t="array" ref="D28">_FV(Table2[[#This Row],[Data]],"Exchange")</f>
        <v>Nasdaq Stock Market</v>
      </c>
      <c r="E28" t="s">
        <v>236</v>
      </c>
      <c r="F28" s="58" cm="1">
        <f t="array" ref="F28">_FV(Table2[[#This Row],[Data]],"Market cap",TRUE)/1000000</f>
        <v>531007.63583000004</v>
      </c>
      <c r="G28" s="59" cm="1">
        <f t="array" ref="G28">_FV(Table2[[#This Row],[Data]],"Price")</f>
        <v>196.21</v>
      </c>
      <c r="H28">
        <v>13.21</v>
      </c>
      <c r="I28" s="61" cm="1">
        <f t="array" ref="I28">_FV(Table2[[#This Row],[Data]],"P/E",TRUE)</f>
        <v>15.4222</v>
      </c>
      <c r="J28" s="62"/>
      <c r="K28" s="62"/>
      <c r="L28" s="62" t="e">
        <f>Table2[[#This Row],[EV]]/Table2[[#This Row],[EBITDA]]</f>
        <v>#DIV/0!</v>
      </c>
      <c r="M28" s="63" cm="1">
        <f t="array" ref="M28">_FV(Table2[[#This Row],[Data]],"52 week low",TRUE)</f>
        <v>169</v>
      </c>
      <c r="N28" s="63" cm="1">
        <f t="array" ref="N28">_FV(Table2[[#This Row],[Data]],"52 week high",TRUE)</f>
        <v>384.33</v>
      </c>
      <c r="O28" s="64">
        <f>(Table2[[#This Row],[Close]]-Table2[[#This Row],[52Wk Lo]])/Table2[[#This Row],[52Wk Lo]]</f>
        <v>0.16100591715976337</v>
      </c>
      <c r="P28" s="65">
        <v>2004</v>
      </c>
      <c r="Q28" s="65">
        <f>2022-Table2[[#This Row],[Founded]]</f>
        <v>18</v>
      </c>
      <c r="R28" s="66">
        <v>278</v>
      </c>
      <c r="S28" s="66">
        <f>Table2[[#This Row],[Close]]</f>
        <v>196.21</v>
      </c>
      <c r="T28" s="67">
        <f>(S28-R28)/R28</f>
        <v>-0.29420863309352513</v>
      </c>
      <c r="U28" s="66">
        <v>134</v>
      </c>
      <c r="V28" s="66">
        <f>Table2[[#This Row],[Close]]</f>
        <v>196.21</v>
      </c>
      <c r="W28" s="67">
        <f>(V28-U28)/U28</f>
        <v>0.46425373134328363</v>
      </c>
      <c r="X28" s="66">
        <v>116</v>
      </c>
      <c r="Y28" s="66">
        <f>Table2[[#This Row],[Close]]</f>
        <v>196.21</v>
      </c>
      <c r="Z28" s="67">
        <f>(Y28-X28)/X28</f>
        <v>0.69146551724137939</v>
      </c>
      <c r="AA28" s="68">
        <f>100*(Table2[[#This Row],[1Y Change]]*0.17 + Table2[[#This Row],[3Y Change]]*0.166 + Table2[[#This Row],[5Y Change]]*0.166 + (Table2[[#This Row],[3Y Change]]-Table2[[#This Row],[1Y Change]])*0.166 + (Table2[[#This Row],[5Y Change]]-Table2[[#This Row],[1Y Change]])*0.166 + (Table2[[#This Row],[5Y Change]]-Table2[[#This Row],[3Y Change]])*0.166 + Table2[[#This Row],[Age (Inc.)]]/100)</f>
        <v>64.907774555034308</v>
      </c>
      <c r="AB28" s="69">
        <f>Table2[[#This Row],[Raw Score]]/SUM(Table2[Raw Score])</f>
        <v>5.0437230309842637E-3</v>
      </c>
      <c r="AC28" s="70">
        <v>10</v>
      </c>
      <c r="AD28" s="68">
        <f>Table2[[#This Row],[Raw Score]]+Table2[[#This Row],[Rating]]/AVERAGE(Table2[Rating])*50 -Table2[[#This Row],[% Up]]*100</f>
        <v>113.36762239949753</v>
      </c>
      <c r="AE28" s="71">
        <f>Table2[[#This Row],[TK Score]]/SUM(Table2[TK Score])</f>
        <v>6.8221976314399328E-3</v>
      </c>
      <c r="AF28" s="72">
        <f>Table2[[#This Row],[Weight (%)]]*$D$101</f>
        <v>10.2332964471599</v>
      </c>
    </row>
    <row r="29" spans="1:32" x14ac:dyDescent="0.25">
      <c r="A29" s="4" t="e" vm="30">
        <v>#VALUE!</v>
      </c>
      <c r="B29" s="4" t="s">
        <v>169</v>
      </c>
      <c r="C29" s="4" t="s">
        <v>184</v>
      </c>
      <c r="D29" s="4" t="str" cm="1">
        <f t="array" ref="D29">_FV(Table2[[#This Row],[Data]],"Exchange")</f>
        <v>New York Stock Exchange</v>
      </c>
      <c r="E29" t="s">
        <v>241</v>
      </c>
      <c r="F29" s="58" cm="1">
        <f t="array" ref="F29">_FV(Table2[[#This Row],[Data]],"Market cap",TRUE)/1000000</f>
        <v>53979.043713999999</v>
      </c>
      <c r="G29" s="59" cm="1">
        <f t="array" ref="G29">_FV(Table2[[#This Row],[Data]],"Price")</f>
        <v>208.27</v>
      </c>
      <c r="H29">
        <v>19.09</v>
      </c>
      <c r="I29" s="61" cm="1">
        <f t="array" ref="I29">_FV(Table2[[#This Row],[Data]],"P/E",TRUE)</f>
        <v>11.584300000000001</v>
      </c>
      <c r="J29" s="62"/>
      <c r="K29" s="62"/>
      <c r="L29" s="62" t="e">
        <f>Table2[[#This Row],[EV]]/Table2[[#This Row],[EBITDA]]</f>
        <v>#DIV/0!</v>
      </c>
      <c r="M29" s="63" cm="1">
        <f t="array" ref="M29">_FV(Table2[[#This Row],[Data]],"52 week low",TRUE)</f>
        <v>192.82</v>
      </c>
      <c r="N29" s="63" cm="1">
        <f t="array" ref="N29">_FV(Table2[[#This Row],[Data]],"52 week high",TRUE)</f>
        <v>319.89999999999998</v>
      </c>
      <c r="O29" s="64">
        <f>(Table2[[#This Row],[Close]]-Table2[[#This Row],[52Wk Lo]])/Table2[[#This Row],[52Wk Lo]]</f>
        <v>8.0126542889741817E-2</v>
      </c>
      <c r="P29" s="65">
        <v>1971</v>
      </c>
      <c r="Q29" s="65">
        <f>2022-Table2[[#This Row],[Founded]]</f>
        <v>51</v>
      </c>
      <c r="R29" s="66">
        <v>260</v>
      </c>
      <c r="S29" s="66">
        <f>Table2[[#This Row],[Close]]</f>
        <v>208.27</v>
      </c>
      <c r="T29" s="67">
        <f>(S29-R29)/R29</f>
        <v>-0.19896153846153841</v>
      </c>
      <c r="U29" s="66">
        <v>164</v>
      </c>
      <c r="V29" s="66">
        <f>Table2[[#This Row],[Close]]</f>
        <v>208.27</v>
      </c>
      <c r="W29" s="67">
        <f>(V29-U29)/U29</f>
        <v>0.26993902439024398</v>
      </c>
      <c r="X29" s="66">
        <v>189</v>
      </c>
      <c r="Y29" s="66">
        <f>Table2[[#This Row],[Close]]</f>
        <v>208.27</v>
      </c>
      <c r="Z29" s="67">
        <f>(Y29-X29)/X29</f>
        <v>0.10195767195767201</v>
      </c>
      <c r="AA29" s="68">
        <f>100*(Table2[[#This Row],[1Y Change]]*0.17 + Table2[[#This Row],[3Y Change]]*0.166 + Table2[[#This Row],[5Y Change]]*0.166 + (Table2[[#This Row],[3Y Change]]-Table2[[#This Row],[1Y Change]])*0.166 + (Table2[[#This Row],[5Y Change]]-Table2[[#This Row],[1Y Change]])*0.166 + (Table2[[#This Row],[5Y Change]]-Table2[[#This Row],[3Y Change]])*0.166 + Table2[[#This Row],[Age (Inc.)]]/100)</f>
        <v>63.781656791447041</v>
      </c>
      <c r="AB29" s="69">
        <f>Table2[[#This Row],[Raw Score]]/SUM(Table2[Raw Score])</f>
        <v>4.9562169326972279E-3</v>
      </c>
      <c r="AC29" s="70">
        <v>8</v>
      </c>
      <c r="AD29" s="68">
        <f>Table2[[#This Row],[Raw Score]]+Table2[[#This Row],[Rating]]/AVERAGE(Table2[Rating])*50 -Table2[[#This Row],[% Up]]*100</f>
        <v>107.41735415082451</v>
      </c>
      <c r="AE29" s="71">
        <f>Table2[[#This Row],[TK Score]]/SUM(Table2[TK Score])</f>
        <v>6.4641244435814102E-3</v>
      </c>
      <c r="AF29" s="72">
        <f>Table2[[#This Row],[Weight (%)]]*$D$101</f>
        <v>9.6961866653721156</v>
      </c>
    </row>
    <row r="30" spans="1:32" x14ac:dyDescent="0.25">
      <c r="A30" s="4" t="e" vm="31">
        <v>#VALUE!</v>
      </c>
      <c r="B30" s="4" t="s">
        <v>168</v>
      </c>
      <c r="C30" s="4" t="s">
        <v>185</v>
      </c>
      <c r="D30" s="4" t="str" cm="1">
        <f t="array" ref="D30">_FV(Table2[[#This Row],[Data]],"Exchange")</f>
        <v>NYSE Arca</v>
      </c>
      <c r="E30" s="4"/>
      <c r="F30" s="58" cm="1">
        <f t="array" ref="F30">_FV(Table2[[#This Row],[Data]],"Market cap",TRUE)/1000000</f>
        <v>67238.867995139997</v>
      </c>
      <c r="G30" s="59" cm="1">
        <f t="array" ref="G30">_FV(Table2[[#This Row],[Data]],"Price")</f>
        <v>172.88</v>
      </c>
      <c r="H30" s="60" t="e" vm="8">
        <f>Table2[[#This Row],[Close]]/Table2[[#This Row],[P/E]]</f>
        <v>#VALUE!</v>
      </c>
      <c r="I30" s="74" t="e" cm="1" vm="9">
        <f t="array" ref="I30">_FV(Table2[[#This Row],[Data]],"P/E",TRUE)</f>
        <v>#VALUE!</v>
      </c>
      <c r="J30" s="62"/>
      <c r="K30" s="62"/>
      <c r="L30" s="62" t="e">
        <f>Table2[[#This Row],[EV]]/Table2[[#This Row],[EBITDA]]</f>
        <v>#DIV/0!</v>
      </c>
      <c r="M30" s="63" cm="1">
        <f t="array" ref="M30">_FV(Table2[[#This Row],[Data]],"52 week low",TRUE)</f>
        <v>160.68</v>
      </c>
      <c r="N30" s="63" cm="1">
        <f t="array" ref="N30">_FV(Table2[[#This Row],[Data]],"52 week high",TRUE)</f>
        <v>193.3</v>
      </c>
      <c r="O30" s="64">
        <f>(Table2[[#This Row],[Close]]-Table2[[#This Row],[52Wk Lo]])/Table2[[#This Row],[52Wk Lo]]</f>
        <v>7.5927308937017601E-2</v>
      </c>
      <c r="P30" s="65">
        <v>2004</v>
      </c>
      <c r="Q30" s="65">
        <f>2022-Table2[[#This Row],[Founded]]</f>
        <v>18</v>
      </c>
      <c r="R30" s="66">
        <v>182</v>
      </c>
      <c r="S30" s="66">
        <f>Table2[[#This Row],[Close]]</f>
        <v>172.88</v>
      </c>
      <c r="T30" s="67">
        <f>(S30-R30)/R30</f>
        <v>-5.0109890109890136E-2</v>
      </c>
      <c r="U30" s="66">
        <v>122</v>
      </c>
      <c r="V30" s="66">
        <f>Table2[[#This Row],[Close]]</f>
        <v>172.88</v>
      </c>
      <c r="W30" s="67">
        <f>(V30-U30)/U30</f>
        <v>0.41704918032786881</v>
      </c>
      <c r="X30" s="66">
        <v>115</v>
      </c>
      <c r="Y30" s="66">
        <f>Table2[[#This Row],[Close]]</f>
        <v>172.88</v>
      </c>
      <c r="Z30" s="67">
        <f>(Y30-X30)/X30</f>
        <v>0.50330434782608691</v>
      </c>
      <c r="AA30" s="68">
        <f>100*(Table2[[#This Row],[1Y Change]]*0.17 + Table2[[#This Row],[3Y Change]]*0.166 + Table2[[#This Row],[5Y Change]]*0.166 + (Table2[[#This Row],[3Y Change]]-Table2[[#This Row],[1Y Change]])*0.166 + (Table2[[#This Row],[5Y Change]]-Table2[[#This Row],[1Y Change]])*0.166 + (Table2[[#This Row],[5Y Change]]-Table2[[#This Row],[3Y Change]])*0.166 + Table2[[#This Row],[Age (Inc.)]]/100)</f>
        <v>50.799353134961969</v>
      </c>
      <c r="AB30" s="69">
        <f>Table2[[#This Row],[Raw Score]]/SUM(Table2[Raw Score])</f>
        <v>3.947414144489997E-3</v>
      </c>
      <c r="AC30" s="70">
        <v>8</v>
      </c>
      <c r="AD30" s="68">
        <f>Table2[[#This Row],[Raw Score]]+Table2[[#This Row],[Rating]]/AVERAGE(Table2[Rating])*50 -Table2[[#This Row],[% Up]]*100</f>
        <v>94.854973889611855</v>
      </c>
      <c r="AE30" s="71">
        <f>Table2[[#This Row],[TK Score]]/SUM(Table2[TK Score])</f>
        <v>5.7081498623973506E-3</v>
      </c>
      <c r="AF30" s="72">
        <f>Table2[[#This Row],[Weight (%)]]*$D$101</f>
        <v>8.5622247935960267</v>
      </c>
    </row>
    <row r="31" spans="1:32" x14ac:dyDescent="0.25">
      <c r="A31" s="4" t="e" vm="32">
        <v>#VALUE!</v>
      </c>
      <c r="B31" s="4" t="s">
        <v>3</v>
      </c>
      <c r="C31" s="4" t="s">
        <v>99</v>
      </c>
      <c r="D31" s="4" t="str" cm="1">
        <f t="array" ref="D31">_FV(Table2[[#This Row],[Data]],"Exchange")</f>
        <v>Nasdaq Stock Market</v>
      </c>
      <c r="E31" t="s">
        <v>236</v>
      </c>
      <c r="F31" s="58" cm="1">
        <f t="array" ref="F31">_FV(Table2[[#This Row],[Data]],"Market cap",TRUE)/1000000</f>
        <v>1523839</v>
      </c>
      <c r="G31" s="59" cm="1">
        <f t="array" ref="G31">_FV(Table2[[#This Row],[Data]],"Price")</f>
        <v>2250.2199999999998</v>
      </c>
      <c r="H31">
        <v>110.58</v>
      </c>
      <c r="I31" s="61" cm="1">
        <f t="array" ref="I31">_FV(Table2[[#This Row],[Data]],"P/E",TRUE)</f>
        <v>20.940200000000001</v>
      </c>
      <c r="J31" s="62"/>
      <c r="K31" s="62"/>
      <c r="L31" s="62" t="e">
        <f>Table2[[#This Row],[EV]]/Table2[[#This Row],[EBITDA]]</f>
        <v>#DIV/0!</v>
      </c>
      <c r="M31" s="63" cm="1">
        <f t="array" ref="M31">_FV(Table2[[#This Row],[Data]],"52 week low",TRUE)</f>
        <v>2193.62</v>
      </c>
      <c r="N31" s="63" cm="1">
        <f t="array" ref="N31">_FV(Table2[[#This Row],[Data]],"52 week high",TRUE)</f>
        <v>3030.9315000000001</v>
      </c>
      <c r="O31" s="64">
        <f>(Table2[[#This Row],[Close]]-Table2[[#This Row],[52Wk Lo]])/Table2[[#This Row],[52Wk Lo]]</f>
        <v>2.5802098813832802E-2</v>
      </c>
      <c r="P31" s="65">
        <v>1998</v>
      </c>
      <c r="Q31" s="65">
        <f>2022-Table2[[#This Row],[Founded]]</f>
        <v>24</v>
      </c>
      <c r="R31" s="66">
        <v>1766</v>
      </c>
      <c r="S31" s="66">
        <f>Table2[[#This Row],[Close]]</f>
        <v>2250.2199999999998</v>
      </c>
      <c r="T31" s="67">
        <f>(S31-R31)/R31</f>
        <v>0.27419026047565109</v>
      </c>
      <c r="U31" s="66">
        <v>1059</v>
      </c>
      <c r="V31" s="66">
        <f>Table2[[#This Row],[Close]]</f>
        <v>2250.2199999999998</v>
      </c>
      <c r="W31" s="67">
        <f>(V31-U31)/U31</f>
        <v>1.1248536355051935</v>
      </c>
      <c r="X31" s="66">
        <v>797</v>
      </c>
      <c r="Y31" s="66">
        <f>Table2[[#This Row],[Close]]</f>
        <v>2250.2199999999998</v>
      </c>
      <c r="Z31" s="67">
        <f>(Y31-X31)/X31</f>
        <v>1.8233626097867</v>
      </c>
      <c r="AA31" s="68">
        <f>100*(Table2[[#This Row],[1Y Change]]*0.17 + Table2[[#This Row],[3Y Change]]*0.166 + Table2[[#This Row],[5Y Change]]*0.166 + (Table2[[#This Row],[3Y Change]]-Table2[[#This Row],[1Y Change]])*0.166 + (Table2[[#This Row],[5Y Change]]-Table2[[#This Row],[1Y Change]])*0.166 + (Table2[[#This Row],[5Y Change]]-Table2[[#This Row],[3Y Change]])*0.166 + Table2[[#This Row],[Age (Inc.)]]/100)</f>
        <v>129.03414609705831</v>
      </c>
      <c r="AB31" s="69">
        <f>Table2[[#This Row],[Raw Score]]/SUM(Table2[Raw Score])</f>
        <v>1.0026726365441897E-2</v>
      </c>
      <c r="AC31" s="70">
        <v>10</v>
      </c>
      <c r="AD31" s="68">
        <f>Table2[[#This Row],[Raw Score]]+Table2[[#This Row],[Rating]]/AVERAGE(Table2[Rating])*50 -Table2[[#This Row],[% Up]]*100</f>
        <v>191.0143757761146</v>
      </c>
      <c r="AE31" s="71">
        <f>Table2[[#This Row],[TK Score]]/SUM(Table2[TK Score])</f>
        <v>1.1494797142332607E-2</v>
      </c>
      <c r="AF31" s="72">
        <f>Table2[[#This Row],[Weight (%)]]*$D$101</f>
        <v>17.242195713498909</v>
      </c>
    </row>
    <row r="32" spans="1:32" x14ac:dyDescent="0.25">
      <c r="A32" s="4" t="e" vm="33">
        <v>#VALUE!</v>
      </c>
      <c r="B32" s="4" t="s">
        <v>37</v>
      </c>
      <c r="C32" s="4" t="s">
        <v>100</v>
      </c>
      <c r="D32" s="4" t="str" cm="1">
        <f t="array" ref="D32">_FV(Table2[[#This Row],[Data]],"Exchange")</f>
        <v>New York Stock Exchange</v>
      </c>
      <c r="E32" t="s">
        <v>237</v>
      </c>
      <c r="F32" s="58" cm="1">
        <f t="array" ref="F32">_FV(Table2[[#This Row],[Data]],"Market cap",TRUE)/1000000</f>
        <v>304129.8</v>
      </c>
      <c r="G32" s="59" cm="1">
        <f t="array" ref="G32">_FV(Table2[[#This Row],[Data]],"Price")</f>
        <v>297.02999999999997</v>
      </c>
      <c r="H32">
        <v>15.53</v>
      </c>
      <c r="I32" s="61" cm="1">
        <f t="array" ref="I32">_FV(Table2[[#This Row],[Data]],"P/E",TRUE)</f>
        <v>18.966699999999999</v>
      </c>
      <c r="J32" s="62"/>
      <c r="K32" s="62"/>
      <c r="L32" s="62" t="e">
        <f>Table2[[#This Row],[EV]]/Table2[[#This Row],[EBITDA]]</f>
        <v>#DIV/0!</v>
      </c>
      <c r="M32" s="63" cm="1">
        <f t="array" ref="M32">_FV(Table2[[#This Row],[Data]],"52 week low",TRUE)</f>
        <v>288.5</v>
      </c>
      <c r="N32" s="63" cm="1">
        <f t="array" ref="N32">_FV(Table2[[#This Row],[Data]],"52 week high",TRUE)</f>
        <v>420.61</v>
      </c>
      <c r="O32" s="64">
        <f>(Table2[[#This Row],[Close]]-Table2[[#This Row],[52Wk Lo]])/Table2[[#This Row],[52Wk Lo]]</f>
        <v>2.9566724436741673E-2</v>
      </c>
      <c r="P32" s="65">
        <v>1978</v>
      </c>
      <c r="Q32" s="65">
        <f>2022-Table2[[#This Row],[Founded]]</f>
        <v>44</v>
      </c>
      <c r="R32" s="66">
        <v>266</v>
      </c>
      <c r="S32" s="66">
        <f>Table2[[#This Row],[Close]]</f>
        <v>297.02999999999997</v>
      </c>
      <c r="T32" s="67">
        <f>(S32-R32)/R32</f>
        <v>0.11665413533834576</v>
      </c>
      <c r="U32" s="66">
        <v>171</v>
      </c>
      <c r="V32" s="66">
        <f>Table2[[#This Row],[Close]]</f>
        <v>297.02999999999997</v>
      </c>
      <c r="W32" s="67">
        <f>(V32-U32)/U32</f>
        <v>0.73701754385964902</v>
      </c>
      <c r="X32" s="66">
        <v>134</v>
      </c>
      <c r="Y32" s="66">
        <f>Table2[[#This Row],[Close]]</f>
        <v>297.02999999999997</v>
      </c>
      <c r="Z32" s="67">
        <f>(Y32-X32)/X32</f>
        <v>1.216641791044776</v>
      </c>
      <c r="AA32" s="68">
        <f>100*(Table2[[#This Row],[1Y Change]]*0.17 + Table2[[#This Row],[3Y Change]]*0.166 + Table2[[#This Row],[5Y Change]]*0.166 + (Table2[[#This Row],[3Y Change]]-Table2[[#This Row],[1Y Change]])*0.166 + (Table2[[#This Row],[5Y Change]]-Table2[[#This Row],[1Y Change]])*0.166 + (Table2[[#This Row],[5Y Change]]-Table2[[#This Row],[3Y Change]])*0.166 + Table2[[#This Row],[Age (Inc.)]]/100)</f>
        <v>114.93345542961882</v>
      </c>
      <c r="AB32" s="69">
        <f>Table2[[#This Row],[Raw Score]]/SUM(Table2[Raw Score])</f>
        <v>8.9310182047523355E-3</v>
      </c>
      <c r="AC32" s="70">
        <v>8</v>
      </c>
      <c r="AD32" s="68">
        <f>Table2[[#This Row],[Raw Score]]+Table2[[#This Row],[Rating]]/AVERAGE(Table2[Rating])*50 -Table2[[#This Row],[% Up]]*100</f>
        <v>163.6251346342963</v>
      </c>
      <c r="AE32" s="71">
        <f>Table2[[#This Row],[TK Score]]/SUM(Table2[TK Score])</f>
        <v>9.8465768472452662E-3</v>
      </c>
      <c r="AF32" s="72">
        <f>Table2[[#This Row],[Weight (%)]]*$D$101</f>
        <v>14.7698652708679</v>
      </c>
    </row>
    <row r="33" spans="1:32" x14ac:dyDescent="0.25">
      <c r="A33" s="4" t="e" vm="34">
        <v>#VALUE!</v>
      </c>
      <c r="B33" s="4" t="s">
        <v>158</v>
      </c>
      <c r="C33" s="4" t="s">
        <v>167</v>
      </c>
      <c r="D33" s="4" t="str" cm="1">
        <f t="array" ref="D33">_FV(Table2[[#This Row],[Data]],"Exchange")</f>
        <v>New York Stock Exchange</v>
      </c>
      <c r="E33" t="s">
        <v>236</v>
      </c>
      <c r="F33" s="58" cm="1">
        <f t="array" ref="F33">_FV(Table2[[#This Row],[Data]],"Market cap",TRUE)/1000000</f>
        <v>123825.3</v>
      </c>
      <c r="G33" s="59" cm="1">
        <f t="array" ref="G33">_FV(Table2[[#This Row],[Data]],"Price")</f>
        <v>134.44</v>
      </c>
      <c r="H33">
        <v>6.09</v>
      </c>
      <c r="I33" s="61" cm="1">
        <f t="array" ref="I33">_FV(Table2[[#This Row],[Data]],"P/E",TRUE)</f>
        <v>21.7028</v>
      </c>
      <c r="J33" s="62"/>
      <c r="K33" s="62"/>
      <c r="L33" s="62" t="e">
        <f>Table2[[#This Row],[EV]]/Table2[[#This Row],[EBITDA]]</f>
        <v>#DIV/0!</v>
      </c>
      <c r="M33" s="63" cm="1">
        <f t="array" ref="M33">_FV(Table2[[#This Row],[Data]],"52 week low",TRUE)</f>
        <v>114.56</v>
      </c>
      <c r="N33" s="63" cm="1">
        <f t="array" ref="N33">_FV(Table2[[#This Row],[Data]],"52 week high",TRUE)</f>
        <v>145.9873</v>
      </c>
      <c r="O33" s="64">
        <f>(Table2[[#This Row],[Close]]-Table2[[#This Row],[52Wk Lo]])/Table2[[#This Row],[52Wk Lo]]</f>
        <v>0.17353351955307258</v>
      </c>
      <c r="P33" s="65">
        <v>1911</v>
      </c>
      <c r="Q33" s="65">
        <f>2022-Table2[[#This Row],[Founded]]</f>
        <v>111</v>
      </c>
      <c r="R33" s="66">
        <v>120</v>
      </c>
      <c r="S33" s="66">
        <f>Table2[[#This Row],[Close]]</f>
        <v>134.44</v>
      </c>
      <c r="T33" s="67">
        <f>(S33-R33)/R33</f>
        <v>0.12033333333333332</v>
      </c>
      <c r="U33" s="66">
        <v>112</v>
      </c>
      <c r="V33" s="66">
        <f>Table2[[#This Row],[Close]]</f>
        <v>134.44</v>
      </c>
      <c r="W33" s="67">
        <f>(V33-U33)/U33</f>
        <v>0.20035714285714284</v>
      </c>
      <c r="X33" s="66">
        <v>159</v>
      </c>
      <c r="Y33" s="66">
        <f>Table2[[#This Row],[Close]]</f>
        <v>134.44</v>
      </c>
      <c r="Z33" s="67">
        <f>(Y33-X33)/X33</f>
        <v>-0.15446540880503146</v>
      </c>
      <c r="AA33" s="68">
        <f>100*(Table2[[#This Row],[1Y Change]]*0.17 + Table2[[#This Row],[3Y Change]]*0.166 + Table2[[#This Row],[5Y Change]]*0.166 + (Table2[[#This Row],[3Y Change]]-Table2[[#This Row],[1Y Change]])*0.166 + (Table2[[#This Row],[5Y Change]]-Table2[[#This Row],[1Y Change]])*0.166 + (Table2[[#This Row],[5Y Change]]-Table2[[#This Row],[3Y Change]])*0.166 + Table2[[#This Row],[Age (Inc.)]]/100)</f>
        <v>104.68415121293802</v>
      </c>
      <c r="AB33" s="69">
        <f>Table2[[#This Row],[Raw Score]]/SUM(Table2[Raw Score])</f>
        <v>8.1345858500209926E-3</v>
      </c>
      <c r="AC33" s="70">
        <v>7</v>
      </c>
      <c r="AD33" s="68">
        <f>Table2[[#This Row],[Raw Score]]+Table2[[#This Row],[Rating]]/AVERAGE(Table2[Rating])*50 -Table2[[#This Row],[% Up]]*100</f>
        <v>132.52310694993847</v>
      </c>
      <c r="AE33" s="71">
        <f>Table2[[#This Row],[TK Score]]/SUM(Table2[TK Score])</f>
        <v>7.9749297657400482E-3</v>
      </c>
      <c r="AF33" s="72">
        <f>Table2[[#This Row],[Weight (%)]]*$D$101</f>
        <v>11.962394648610072</v>
      </c>
    </row>
    <row r="34" spans="1:32" x14ac:dyDescent="0.25">
      <c r="A34" s="4" t="e" vm="35">
        <v>#VALUE!</v>
      </c>
      <c r="B34" s="4" t="s">
        <v>43</v>
      </c>
      <c r="C34" s="4" t="s">
        <v>101</v>
      </c>
      <c r="D34" s="4" t="str" cm="1">
        <f t="array" ref="D34">_FV(Table2[[#This Row],[Data]],"Exchange")</f>
        <v>Nasdaq Stock Market</v>
      </c>
      <c r="E34" t="s">
        <v>236</v>
      </c>
      <c r="F34" s="58" cm="1">
        <f t="array" ref="F34">_FV(Table2[[#This Row],[Data]],"Market cap",TRUE)/1000000</f>
        <v>103795.015625</v>
      </c>
      <c r="G34" s="59" cm="1">
        <f t="array" ref="G34">_FV(Table2[[#This Row],[Data]],"Price")</f>
        <v>367.01</v>
      </c>
      <c r="H34">
        <v>7.78</v>
      </c>
      <c r="I34" s="61" cm="1">
        <f t="array" ref="I34">_FV(Table2[[#This Row],[Data]],"P/E",TRUE)</f>
        <v>50.486800000000002</v>
      </c>
      <c r="J34" s="62"/>
      <c r="K34" s="62"/>
      <c r="L34" s="62" t="e">
        <f>Table2[[#This Row],[EV]]/Table2[[#This Row],[EBITDA]]</f>
        <v>#DIV/0!</v>
      </c>
      <c r="M34" s="63" cm="1">
        <f t="array" ref="M34">_FV(Table2[[#This Row],[Data]],"52 week low",TRUE)</f>
        <v>363.76499999999999</v>
      </c>
      <c r="N34" s="63" cm="1">
        <f t="array" ref="N34">_FV(Table2[[#This Row],[Data]],"52 week high",TRUE)</f>
        <v>716.86</v>
      </c>
      <c r="O34" s="64">
        <f>(Table2[[#This Row],[Close]]-Table2[[#This Row],[52Wk Lo]])/Table2[[#This Row],[52Wk Lo]]</f>
        <v>8.9205943397523257E-3</v>
      </c>
      <c r="P34" s="65">
        <v>1983</v>
      </c>
      <c r="Q34" s="65">
        <f>2022-Table2[[#This Row],[Founded]]</f>
        <v>39</v>
      </c>
      <c r="R34" s="66">
        <v>381</v>
      </c>
      <c r="S34" s="66">
        <f>Table2[[#This Row],[Close]]</f>
        <v>367.01</v>
      </c>
      <c r="T34" s="67">
        <f>(S34-R34)/R34</f>
        <v>-3.6719160104986902E-2</v>
      </c>
      <c r="U34" s="66">
        <v>198</v>
      </c>
      <c r="V34" s="66">
        <f>Table2[[#This Row],[Close]]</f>
        <v>367.01</v>
      </c>
      <c r="W34" s="67">
        <f>(V34-U34)/U34</f>
        <v>0.85358585858585856</v>
      </c>
      <c r="X34" s="66">
        <v>114</v>
      </c>
      <c r="Y34" s="66">
        <f>Table2[[#This Row],[Close]]</f>
        <v>367.01</v>
      </c>
      <c r="Z34" s="67">
        <f>(Y34-X34)/X34</f>
        <v>2.2193859649122807</v>
      </c>
      <c r="AA34" s="68">
        <f>100*(Table2[[#This Row],[1Y Change]]*0.17 + Table2[[#This Row],[3Y Change]]*0.166 + Table2[[#This Row],[5Y Change]]*0.166 + (Table2[[#This Row],[3Y Change]]-Table2[[#This Row],[1Y Change]])*0.166 + (Table2[[#This Row],[5Y Change]]-Table2[[#This Row],[1Y Change]])*0.166 + (Table2[[#This Row],[5Y Change]]-Table2[[#This Row],[3Y Change]])*0.166 + Table2[[#This Row],[Age (Inc.)]]/100)</f>
        <v>164.28979669885763</v>
      </c>
      <c r="AB34" s="69">
        <f>Table2[[#This Row],[Raw Score]]/SUM(Table2[Raw Score])</f>
        <v>1.2766301680288947E-2</v>
      </c>
      <c r="AC34" s="70">
        <v>8</v>
      </c>
      <c r="AD34" s="68">
        <f>Table2[[#This Row],[Raw Score]]+Table2[[#This Row],[Rating]]/AVERAGE(Table2[Rating])*50 -Table2[[#This Row],[% Up]]*100</f>
        <v>215.04608891323406</v>
      </c>
      <c r="AE34" s="71">
        <f>Table2[[#This Row],[TK Score]]/SUM(Table2[TK Score])</f>
        <v>1.2940969276610577E-2</v>
      </c>
      <c r="AF34" s="72">
        <f>Table2[[#This Row],[Weight (%)]]*$D$101</f>
        <v>19.411453914915864</v>
      </c>
    </row>
    <row r="35" spans="1:32" x14ac:dyDescent="0.25">
      <c r="A35" s="4" t="e" vm="36">
        <v>#VALUE!</v>
      </c>
      <c r="B35" s="4" t="s">
        <v>45</v>
      </c>
      <c r="C35" s="4" t="s">
        <v>102</v>
      </c>
      <c r="D35" s="4" t="str" cm="1">
        <f t="array" ref="D35">_FV(Table2[[#This Row],[Data]],"Exchange")</f>
        <v>NYSE Arca</v>
      </c>
      <c r="E35" s="4"/>
      <c r="F35" s="58" cm="1">
        <f t="array" ref="F35">_FV(Table2[[#This Row],[Data]],"Market cap",TRUE)/1000000</f>
        <v>12006.21261848</v>
      </c>
      <c r="G35" s="59" cm="1">
        <f t="array" ref="G35">_FV(Table2[[#This Row],[Data]],"Price")</f>
        <v>81.209999999999994</v>
      </c>
      <c r="H35" s="60" t="e" vm="8">
        <f>Table2[[#This Row],[Close]]/Table2[[#This Row],[P/E]]</f>
        <v>#VALUE!</v>
      </c>
      <c r="I35" s="74" t="e" cm="1" vm="9">
        <f t="array" ref="I35">_FV(Table2[[#This Row],[Data]],"P/E",TRUE)</f>
        <v>#VALUE!</v>
      </c>
      <c r="J35" s="62"/>
      <c r="K35" s="62"/>
      <c r="L35" s="62" t="e">
        <f>Table2[[#This Row],[EV]]/Table2[[#This Row],[EBITDA]]</f>
        <v>#DIV/0!</v>
      </c>
      <c r="M35" s="63" cm="1">
        <f t="array" ref="M35">_FV(Table2[[#This Row],[Data]],"52 week low",TRUE)</f>
        <v>80.819999999999993</v>
      </c>
      <c r="N35" s="63" cm="1">
        <f t="array" ref="N35">_FV(Table2[[#This Row],[Data]],"52 week high",TRUE)</f>
        <v>123.45</v>
      </c>
      <c r="O35" s="64">
        <f>(Table2[[#This Row],[Close]]-Table2[[#This Row],[52Wk Lo]])/Table2[[#This Row],[52Wk Lo]]</f>
        <v>4.8255382331106236E-3</v>
      </c>
      <c r="P35" s="65">
        <v>2000</v>
      </c>
      <c r="Q35" s="65">
        <f>2022-Table2[[#This Row],[Founded]]</f>
        <v>22</v>
      </c>
      <c r="R35" s="66">
        <v>103</v>
      </c>
      <c r="S35" s="66">
        <f>Table2[[#This Row],[Close]]</f>
        <v>81.209999999999994</v>
      </c>
      <c r="T35" s="67">
        <f>(S35-R35)/R35</f>
        <v>-0.21155339805825249</v>
      </c>
      <c r="U35" s="66">
        <v>57</v>
      </c>
      <c r="V35" s="66">
        <f>Table2[[#This Row],[Close]]</f>
        <v>81.209999999999994</v>
      </c>
      <c r="W35" s="67">
        <f>(V35-U35)/U35</f>
        <v>0.42473684210526302</v>
      </c>
      <c r="X35" s="66">
        <v>49</v>
      </c>
      <c r="Y35" s="66">
        <f>Table2[[#This Row],[Close]]</f>
        <v>81.209999999999994</v>
      </c>
      <c r="Z35" s="67">
        <f>(Y35-X35)/X35</f>
        <v>0.65734693877551009</v>
      </c>
      <c r="AA35" s="68">
        <f>100*(Table2[[#This Row],[1Y Change]]*0.17 + Table2[[#This Row],[3Y Change]]*0.166 + Table2[[#This Row],[5Y Change]]*0.166 + (Table2[[#This Row],[3Y Change]]-Table2[[#This Row],[1Y Change]])*0.166 + (Table2[[#This Row],[5Y Change]]-Table2[[#This Row],[1Y Change]])*0.166 + (Table2[[#This Row],[5Y Change]]-Table2[[#This Row],[3Y Change]])*0.166 + Table2[[#This Row],[Age (Inc.)]]/100)</f>
        <v>65.213674178511454</v>
      </c>
      <c r="AB35" s="69">
        <f>Table2[[#This Row],[Raw Score]]/SUM(Table2[Raw Score])</f>
        <v>5.0674932647764102E-3</v>
      </c>
      <c r="AC35" s="70">
        <v>9</v>
      </c>
      <c r="AD35" s="68">
        <f>Table2[[#This Row],[Raw Score]]+Table2[[#This Row],[Rating]]/AVERAGE(Table2[Rating])*50 -Table2[[#This Row],[% Up]]*100</f>
        <v>122.83551595959599</v>
      </c>
      <c r="AE35" s="71">
        <f>Table2[[#This Row],[TK Score]]/SUM(Table2[TK Score])</f>
        <v>7.3919532605455085E-3</v>
      </c>
      <c r="AF35" s="72">
        <f>Table2[[#This Row],[Weight (%)]]*$D$101</f>
        <v>11.087929890818263</v>
      </c>
    </row>
    <row r="36" spans="1:32" x14ac:dyDescent="0.25">
      <c r="A36" s="4" t="e" vm="37">
        <v>#VALUE!</v>
      </c>
      <c r="B36" s="4" t="s">
        <v>49</v>
      </c>
      <c r="C36" s="4" t="s">
        <v>103</v>
      </c>
      <c r="D36" s="4" t="str" cm="1">
        <f t="array" ref="D36">_FV(Table2[[#This Row],[Data]],"Exchange")</f>
        <v>New York Stock Exchange</v>
      </c>
      <c r="E36" t="s">
        <v>238</v>
      </c>
      <c r="F36" s="58" cm="1">
        <f t="array" ref="F36">_FV(Table2[[#This Row],[Data]],"Market cap",TRUE)/1000000</f>
        <v>466626.51666000002</v>
      </c>
      <c r="G36" s="59" cm="1">
        <f t="array" ref="G36">_FV(Table2[[#This Row],[Data]],"Price")</f>
        <v>177.33</v>
      </c>
      <c r="H36">
        <v>7.42</v>
      </c>
      <c r="I36" s="61" cm="1">
        <f t="array" ref="I36">_FV(Table2[[#This Row],[Data]],"P/E",TRUE)</f>
        <v>23.756399999999999</v>
      </c>
      <c r="J36" s="62"/>
      <c r="K36" s="62"/>
      <c r="L36" s="62" t="e">
        <f>Table2[[#This Row],[EV]]/Table2[[#This Row],[EBITDA]]</f>
        <v>#DIV/0!</v>
      </c>
      <c r="M36" s="63" cm="1">
        <f t="array" ref="M36">_FV(Table2[[#This Row],[Data]],"52 week low",TRUE)</f>
        <v>155.72</v>
      </c>
      <c r="N36" s="63" cm="1">
        <f t="array" ref="N36">_FV(Table2[[#This Row],[Data]],"52 week high",TRUE)</f>
        <v>186.69</v>
      </c>
      <c r="O36" s="64">
        <f>(Table2[[#This Row],[Close]]-Table2[[#This Row],[52Wk Lo]])/Table2[[#This Row],[52Wk Lo]]</f>
        <v>0.13877472386334455</v>
      </c>
      <c r="P36" s="65">
        <v>1886</v>
      </c>
      <c r="Q36" s="65">
        <f>2022-Table2[[#This Row],[Founded]]</f>
        <v>136</v>
      </c>
      <c r="R36" s="66">
        <v>155</v>
      </c>
      <c r="S36" s="66">
        <f>Table2[[#This Row],[Close]]</f>
        <v>177.33</v>
      </c>
      <c r="T36" s="67">
        <f>(S36-R36)/R36</f>
        <v>0.14406451612903234</v>
      </c>
      <c r="U36" s="66">
        <v>128</v>
      </c>
      <c r="V36" s="66">
        <f>Table2[[#This Row],[Close]]</f>
        <v>177.33</v>
      </c>
      <c r="W36" s="67">
        <f>(V36-U36)/U36</f>
        <v>0.3853906250000001</v>
      </c>
      <c r="X36" s="66">
        <v>116</v>
      </c>
      <c r="Y36" s="66">
        <f>Table2[[#This Row],[Close]]</f>
        <v>177.33</v>
      </c>
      <c r="Z36" s="67">
        <f>(Y36-X36)/X36</f>
        <v>0.5287068965517242</v>
      </c>
      <c r="AA36" s="68">
        <f>100*(Table2[[#This Row],[1Y Change]]*0.17 + Table2[[#This Row],[3Y Change]]*0.166 + Table2[[#This Row],[5Y Change]]*0.166 + (Table2[[#This Row],[3Y Change]]-Table2[[#This Row],[1Y Change]])*0.166 + (Table2[[#This Row],[5Y Change]]-Table2[[#This Row],[1Y Change]])*0.166 + (Table2[[#This Row],[5Y Change]]-Table2[[#This Row],[3Y Change]])*0.166 + Table2[[#This Row],[Age (Inc.)]]/100)</f>
        <v>166.39324266198554</v>
      </c>
      <c r="AB36" s="69">
        <f>Table2[[#This Row],[Raw Score]]/SUM(Table2[Raw Score])</f>
        <v>1.2929752036142139E-2</v>
      </c>
      <c r="AC36" s="70">
        <v>4</v>
      </c>
      <c r="AD36" s="68">
        <f>Table2[[#This Row],[Raw Score]]+Table2[[#This Row],[Rating]]/AVERAGE(Table2[Rating])*50 -Table2[[#This Row],[% Up]]*100</f>
        <v>178.3399460998269</v>
      </c>
      <c r="AE36" s="71">
        <f>Table2[[#This Row],[TK Score]]/SUM(Table2[TK Score])</f>
        <v>1.0732079690142261E-2</v>
      </c>
      <c r="AF36" s="72">
        <f>Table2[[#This Row],[Weight (%)]]*$D$101</f>
        <v>16.098119535213392</v>
      </c>
    </row>
    <row r="37" spans="1:32" x14ac:dyDescent="0.25">
      <c r="A37" s="4" t="e" vm="38">
        <v>#VALUE!</v>
      </c>
      <c r="B37" s="4" t="s">
        <v>157</v>
      </c>
      <c r="C37" s="4" t="s">
        <v>164</v>
      </c>
      <c r="D37" s="4" t="str" cm="1">
        <f t="array" ref="D37">_FV(Table2[[#This Row],[Data]],"Exchange")</f>
        <v>New York Stock Exchange</v>
      </c>
      <c r="E37" t="s">
        <v>235</v>
      </c>
      <c r="F37" s="58" cm="1">
        <f t="array" ref="F37">_FV(Table2[[#This Row],[Data]],"Market cap",TRUE)/1000000</f>
        <v>280086.22369000001</v>
      </c>
      <c r="G37" s="59" cm="1">
        <f t="array" ref="G37">_FV(Table2[[#This Row],[Data]],"Price")</f>
        <v>64.61</v>
      </c>
      <c r="H37">
        <v>2.37</v>
      </c>
      <c r="I37" s="61" cm="1">
        <f t="array" ref="I37">_FV(Table2[[#This Row],[Data]],"P/E",TRUE)</f>
        <v>27.305</v>
      </c>
      <c r="J37" s="62"/>
      <c r="K37" s="62"/>
      <c r="L37" s="62" t="e">
        <f>Table2[[#This Row],[EV]]/Table2[[#This Row],[EBITDA]]</f>
        <v>#DIV/0!</v>
      </c>
      <c r="M37" s="63" cm="1">
        <f t="array" ref="M37">_FV(Table2[[#This Row],[Data]],"52 week low",TRUE)</f>
        <v>52.28</v>
      </c>
      <c r="N37" s="63" cm="1">
        <f t="array" ref="N37">_FV(Table2[[#This Row],[Data]],"52 week high",TRUE)</f>
        <v>67.2</v>
      </c>
      <c r="O37" s="64">
        <f>(Table2[[#This Row],[Close]]-Table2[[#This Row],[52Wk Lo]])/Table2[[#This Row],[52Wk Lo]]</f>
        <v>0.2358454475899005</v>
      </c>
      <c r="P37" s="65">
        <v>1892</v>
      </c>
      <c r="Q37" s="65">
        <f>2022-Table2[[#This Row],[Founded]]</f>
        <v>130</v>
      </c>
      <c r="R37" s="66">
        <v>54</v>
      </c>
      <c r="S37" s="66">
        <f>Table2[[#This Row],[Close]]</f>
        <v>64.61</v>
      </c>
      <c r="T37" s="67">
        <f>(S37-R37)/R37</f>
        <v>0.19648148148148148</v>
      </c>
      <c r="U37" s="66">
        <v>48</v>
      </c>
      <c r="V37" s="66">
        <f>Table2[[#This Row],[Close]]</f>
        <v>64.61</v>
      </c>
      <c r="W37" s="67">
        <f>(V37-U37)/U37</f>
        <v>0.34604166666666664</v>
      </c>
      <c r="X37" s="66">
        <v>41</v>
      </c>
      <c r="Y37" s="66">
        <f>Table2[[#This Row],[Close]]</f>
        <v>64.61</v>
      </c>
      <c r="Z37" s="67">
        <f>(Y37-X37)/X37</f>
        <v>0.57585365853658532</v>
      </c>
      <c r="AA37" s="68">
        <f>100*(Table2[[#This Row],[1Y Change]]*0.17 + Table2[[#This Row],[3Y Change]]*0.166 + Table2[[#This Row],[5Y Change]]*0.166 + (Table2[[#This Row],[3Y Change]]-Table2[[#This Row],[1Y Change]])*0.166 + (Table2[[#This Row],[5Y Change]]-Table2[[#This Row],[1Y Change]])*0.166 + (Table2[[#This Row],[5Y Change]]-Table2[[#This Row],[3Y Change]])*0.166 + Table2[[#This Row],[Age (Inc.)]]/100)</f>
        <v>161.23880386178863</v>
      </c>
      <c r="AB37" s="69">
        <f>Table2[[#This Row],[Raw Score]]/SUM(Table2[Raw Score])</f>
        <v>1.2529221254327871E-2</v>
      </c>
      <c r="AC37" s="70">
        <v>10</v>
      </c>
      <c r="AD37" s="68">
        <f>Table2[[#This Row],[Raw Score]]+Table2[[#This Row],[Rating]]/AVERAGE(Table2[Rating])*50 -Table2[[#This Row],[% Up]]*100</f>
        <v>202.21469866323815</v>
      </c>
      <c r="AE37" s="71">
        <f>Table2[[#This Row],[TK Score]]/SUM(Table2[TK Score])</f>
        <v>1.2168806305218919E-2</v>
      </c>
      <c r="AF37" s="72">
        <f>Table2[[#This Row],[Weight (%)]]*$D$101</f>
        <v>18.25320945782838</v>
      </c>
    </row>
    <row r="38" spans="1:32" x14ac:dyDescent="0.25">
      <c r="A38" s="4" t="e" vm="39">
        <v>#VALUE!</v>
      </c>
      <c r="B38" s="4" t="s">
        <v>23</v>
      </c>
      <c r="C38" s="4" t="s">
        <v>104</v>
      </c>
      <c r="D38" s="4" t="str" cm="1">
        <f t="array" ref="D38">_FV(Table2[[#This Row],[Data]],"Exchange")</f>
        <v>Nasdaq Stock Market</v>
      </c>
      <c r="E38" t="s">
        <v>237</v>
      </c>
      <c r="F38" s="58" cm="1">
        <f t="array" ref="F38">_FV(Table2[[#This Row],[Data]],"Market cap",TRUE)/1000000</f>
        <v>6486.7350980000001</v>
      </c>
      <c r="G38" s="59" cm="1">
        <f t="array" ref="G38">_FV(Table2[[#This Row],[Data]],"Price")</f>
        <v>18.61</v>
      </c>
      <c r="H38">
        <v>-3.0150000000000001</v>
      </c>
      <c r="I38" s="74" t="e" cm="1" vm="9">
        <f t="array" ref="I38">_FV(Table2[[#This Row],[Data]],"P/E",TRUE)</f>
        <v>#VALUE!</v>
      </c>
      <c r="J38" s="62"/>
      <c r="K38" s="62"/>
      <c r="L38" s="62" t="e">
        <f>Table2[[#This Row],[EV]]/Table2[[#This Row],[EBITDA]]</f>
        <v>#DIV/0!</v>
      </c>
      <c r="M38" s="63" cm="1">
        <f t="array" ref="M38">_FV(Table2[[#This Row],[Data]],"52 week low",TRUE)</f>
        <v>18.399999999999999</v>
      </c>
      <c r="N38" s="63" cm="1">
        <f t="array" ref="N38">_FV(Table2[[#This Row],[Data]],"52 week high",TRUE)</f>
        <v>63.07</v>
      </c>
      <c r="O38" s="64">
        <f>(Table2[[#This Row],[Close]]-Table2[[#This Row],[52Wk Lo]])/Table2[[#This Row],[52Wk Lo]]</f>
        <v>1.1413043478260916E-2</v>
      </c>
      <c r="P38" s="65">
        <v>2012</v>
      </c>
      <c r="Q38" s="65">
        <f>2022-Table2[[#This Row],[Founded]]</f>
        <v>10</v>
      </c>
      <c r="R38" s="66">
        <v>49</v>
      </c>
      <c r="S38" s="66">
        <f>Table2[[#This Row],[Close]]</f>
        <v>18.61</v>
      </c>
      <c r="T38" s="67">
        <f>(S38-R38)/R38</f>
        <v>-0.62020408163265306</v>
      </c>
      <c r="U38" s="66">
        <v>87</v>
      </c>
      <c r="V38" s="66">
        <f>Table2[[#This Row],[Close]]</f>
        <v>18.61</v>
      </c>
      <c r="W38" s="67">
        <f>(V38-U38)/U38</f>
        <v>-0.78609195402298848</v>
      </c>
      <c r="X38" s="66">
        <v>87</v>
      </c>
      <c r="Y38" s="66">
        <f>Table2[[#This Row],[Close]]</f>
        <v>18.61</v>
      </c>
      <c r="Z38" s="67">
        <f>(Y38-X38)/X38</f>
        <v>-0.78609195402298848</v>
      </c>
      <c r="AA38" s="68">
        <f>100*(Table2[[#This Row],[1Y Change]]*0.17 + Table2[[#This Row],[3Y Change]]*0.166 + Table2[[#This Row],[5Y Change]]*0.166 + (Table2[[#This Row],[3Y Change]]-Table2[[#This Row],[1Y Change]])*0.166 + (Table2[[#This Row],[5Y Change]]-Table2[[#This Row],[1Y Change]])*0.166 + (Table2[[#This Row],[5Y Change]]-Table2[[#This Row],[3Y Change]])*0.166 + Table2[[#This Row],[Age (Inc.)]]/100)</f>
        <v>-32.149199624677458</v>
      </c>
      <c r="AB38" s="69">
        <f>Table2[[#This Row],[Raw Score]]/SUM(Table2[Raw Score])</f>
        <v>-2.4981854590810293E-3</v>
      </c>
      <c r="AC38" s="70">
        <v>8</v>
      </c>
      <c r="AD38" s="68">
        <f>Table2[[#This Row],[Raw Score]]+Table2[[#This Row],[Rating]]/AVERAGE(Table2[Rating])*50 -Table2[[#This Row],[% Up]]*100</f>
        <v>18.357847675848092</v>
      </c>
      <c r="AE38" s="71">
        <f>Table2[[#This Row],[TK Score]]/SUM(Table2[TK Score])</f>
        <v>1.104732217909344E-3</v>
      </c>
      <c r="AF38" s="72">
        <f>Table2[[#This Row],[Weight (%)]]*$D$101</f>
        <v>1.657098326864016</v>
      </c>
    </row>
    <row r="39" spans="1:32" x14ac:dyDescent="0.25">
      <c r="A39" s="4" t="e" vm="40">
        <v>#VALUE!</v>
      </c>
      <c r="B39" s="4" t="s">
        <v>36</v>
      </c>
      <c r="C39" s="4" t="s">
        <v>105</v>
      </c>
      <c r="D39" s="4" t="str" cm="1">
        <f t="array" ref="D39">_FV(Table2[[#This Row],[Data]],"Exchange")</f>
        <v>New York Stock Exchange</v>
      </c>
      <c r="E39" t="s">
        <v>237</v>
      </c>
      <c r="F39" s="58" cm="1">
        <f t="array" ref="F39">_FV(Table2[[#This Row],[Data]],"Market cap",TRUE)/1000000</f>
        <v>319017.73515299999</v>
      </c>
      <c r="G39" s="59" cm="1">
        <f t="array" ref="G39">_FV(Table2[[#This Row],[Data]],"Price")</f>
        <v>327.99</v>
      </c>
      <c r="H39">
        <v>9.61</v>
      </c>
      <c r="I39" s="61" cm="1">
        <f t="array" ref="I39">_FV(Table2[[#This Row],[Data]],"P/E",TRUE)</f>
        <v>36.122100000000003</v>
      </c>
      <c r="J39" s="62"/>
      <c r="K39" s="62"/>
      <c r="L39" s="62" t="e">
        <f>Table2[[#This Row],[EV]]/Table2[[#This Row],[EBITDA]]</f>
        <v>#DIV/0!</v>
      </c>
      <c r="M39" s="63" cm="1">
        <f t="array" ref="M39">_FV(Table2[[#This Row],[Data]],"52 week low",TRUE)</f>
        <v>305.60500000000002</v>
      </c>
      <c r="N39" s="63" cm="1">
        <f t="array" ref="N39">_FV(Table2[[#This Row],[Data]],"52 week high",TRUE)</f>
        <v>399.92</v>
      </c>
      <c r="O39" s="64">
        <f>(Table2[[#This Row],[Close]]-Table2[[#This Row],[52Wk Lo]])/Table2[[#This Row],[52Wk Lo]]</f>
        <v>7.324814711801178E-2</v>
      </c>
      <c r="P39" s="65">
        <v>1966</v>
      </c>
      <c r="Q39" s="65">
        <f>2022-Table2[[#This Row],[Founded]]</f>
        <v>56</v>
      </c>
      <c r="R39" s="66">
        <v>348</v>
      </c>
      <c r="S39" s="66">
        <f>Table2[[#This Row],[Close]]</f>
        <v>327.99</v>
      </c>
      <c r="T39" s="67">
        <f>(S39-R39)/R39</f>
        <v>-5.7499999999999975E-2</v>
      </c>
      <c r="U39" s="66">
        <v>186</v>
      </c>
      <c r="V39" s="66">
        <f>Table2[[#This Row],[Close]]</f>
        <v>327.99</v>
      </c>
      <c r="W39" s="67">
        <f>(V39-U39)/U39</f>
        <v>0.76338709677419359</v>
      </c>
      <c r="X39" s="66">
        <v>104</v>
      </c>
      <c r="Y39" s="66">
        <f>Table2[[#This Row],[Close]]</f>
        <v>327.99</v>
      </c>
      <c r="Z39" s="67">
        <f>(Y39-X39)/X39</f>
        <v>2.1537500000000001</v>
      </c>
      <c r="AA39" s="68">
        <f>100*(Table2[[#This Row],[1Y Change]]*0.17 + Table2[[#This Row],[3Y Change]]*0.166 + Table2[[#This Row],[5Y Change]]*0.166 + (Table2[[#This Row],[3Y Change]]-Table2[[#This Row],[1Y Change]])*0.166 + (Table2[[#This Row],[5Y Change]]-Table2[[#This Row],[1Y Change]])*0.166 + (Table2[[#This Row],[5Y Change]]-Table2[[#This Row],[3Y Change]])*0.166 + Table2[[#This Row],[Age (Inc.)]]/100)</f>
        <v>176.86047580645163</v>
      </c>
      <c r="AB39" s="69">
        <f>Table2[[#This Row],[Raw Score]]/SUM(Table2[Raw Score])</f>
        <v>1.3743118774461943E-2</v>
      </c>
      <c r="AC39" s="70">
        <v>10</v>
      </c>
      <c r="AD39" s="68">
        <f>Table2[[#This Row],[Raw Score]]+Table2[[#This Row],[Rating]]/AVERAGE(Table2[Rating])*50 -Table2[[#This Row],[% Up]]*100</f>
        <v>234.09610065509003</v>
      </c>
      <c r="AE39" s="71">
        <f>Table2[[#This Row],[TK Score]]/SUM(Table2[TK Score])</f>
        <v>1.4087354304658661E-2</v>
      </c>
      <c r="AF39" s="72">
        <f>Table2[[#This Row],[Weight (%)]]*$D$101</f>
        <v>21.131031456987991</v>
      </c>
    </row>
    <row r="40" spans="1:32" x14ac:dyDescent="0.25">
      <c r="A40" s="4" t="e" vm="41">
        <v>#VALUE!</v>
      </c>
      <c r="B40" s="4" t="s">
        <v>56</v>
      </c>
      <c r="C40" s="4" t="s">
        <v>106</v>
      </c>
      <c r="D40" s="4" t="str" cm="1">
        <f t="array" ref="D40">_FV(Table2[[#This Row],[Data]],"Exchange")</f>
        <v>New York Stock Exchange</v>
      </c>
      <c r="E40" t="s">
        <v>237</v>
      </c>
      <c r="F40" s="58" cm="1">
        <f t="array" ref="F40">_FV(Table2[[#This Row],[Data]],"Market cap",TRUE)/1000000</f>
        <v>183030.46228099999</v>
      </c>
      <c r="G40" s="59" cm="1">
        <f t="array" ref="G40">_FV(Table2[[#This Row],[Data]],"Price")</f>
        <v>247.49</v>
      </c>
      <c r="H40">
        <v>9.4700000000000006</v>
      </c>
      <c r="I40" s="61" cm="1">
        <f t="array" ref="I40">_FV(Table2[[#This Row],[Data]],"P/E",TRUE)</f>
        <v>26.494399999999999</v>
      </c>
      <c r="J40" s="62"/>
      <c r="K40" s="62"/>
      <c r="L40" s="62" t="e">
        <f>Table2[[#This Row],[EV]]/Table2[[#This Row],[EBITDA]]</f>
        <v>#DIV/0!</v>
      </c>
      <c r="M40" s="63" cm="1">
        <f t="array" ref="M40">_FV(Table2[[#This Row],[Data]],"52 week low",TRUE)</f>
        <v>217.67500000000001</v>
      </c>
      <c r="N40" s="63" cm="1">
        <f t="array" ref="N40">_FV(Table2[[#This Row],[Data]],"52 week high",TRUE)</f>
        <v>271.14999999999998</v>
      </c>
      <c r="O40" s="64">
        <f>(Table2[[#This Row],[Close]]-Table2[[#This Row],[52Wk Lo]])/Table2[[#This Row],[52Wk Lo]]</f>
        <v>0.13697025381876649</v>
      </c>
      <c r="P40" s="65">
        <v>1955</v>
      </c>
      <c r="Q40" s="65">
        <f>2022-Table2[[#This Row],[Founded]]</f>
        <v>67</v>
      </c>
      <c r="R40" s="66">
        <v>213</v>
      </c>
      <c r="S40" s="66">
        <f>Table2[[#This Row],[Close]]</f>
        <v>247.49</v>
      </c>
      <c r="T40" s="67">
        <f>(S40-R40)/R40</f>
        <v>0.16192488262910804</v>
      </c>
      <c r="U40" s="66">
        <v>176</v>
      </c>
      <c r="V40" s="66">
        <f>Table2[[#This Row],[Close]]</f>
        <v>247.49</v>
      </c>
      <c r="W40" s="67">
        <f>(V40-U40)/U40</f>
        <v>0.40619318181818187</v>
      </c>
      <c r="X40" s="66">
        <v>122</v>
      </c>
      <c r="Y40" s="66">
        <f>Table2[[#This Row],[Close]]</f>
        <v>247.49</v>
      </c>
      <c r="Z40" s="67">
        <f>(Y40-X40)/X40</f>
        <v>1.0286065573770493</v>
      </c>
      <c r="AA40" s="68">
        <f>100*(Table2[[#This Row],[1Y Change]]*0.17 + Table2[[#This Row],[3Y Change]]*0.166 + Table2[[#This Row],[5Y Change]]*0.166 + (Table2[[#This Row],[3Y Change]]-Table2[[#This Row],[1Y Change]])*0.166 + (Table2[[#This Row],[5Y Change]]-Table2[[#This Row],[1Y Change]])*0.166 + (Table2[[#This Row],[5Y Change]]-Table2[[#This Row],[3Y Change]])*0.166 + Table2[[#This Row],[Age (Inc.)]]/100)</f>
        <v>122.34423027696732</v>
      </c>
      <c r="AB40" s="69">
        <f>Table2[[#This Row],[Raw Score]]/SUM(Table2[Raw Score])</f>
        <v>9.506879818114513E-3</v>
      </c>
      <c r="AC40" s="70">
        <v>9</v>
      </c>
      <c r="AD40" s="68">
        <f>Table2[[#This Row],[Raw Score]]+Table2[[#This Row],[Rating]]/AVERAGE(Table2[Rating])*50 -Table2[[#This Row],[% Up]]*100</f>
        <v>166.7516004994863</v>
      </c>
      <c r="AE40" s="71">
        <f>Table2[[#This Row],[TK Score]]/SUM(Table2[TK Score])</f>
        <v>1.0034720230416117E-2</v>
      </c>
      <c r="AF40" s="72">
        <f>Table2[[#This Row],[Weight (%)]]*$D$101</f>
        <v>15.052080345624177</v>
      </c>
    </row>
    <row r="41" spans="1:32" x14ac:dyDescent="0.25">
      <c r="A41" s="4" t="e" vm="42">
        <v>#VALUE!</v>
      </c>
      <c r="B41" s="4" t="s">
        <v>17</v>
      </c>
      <c r="C41" s="4" t="s">
        <v>107</v>
      </c>
      <c r="D41" s="4" t="str" cm="1">
        <f t="array" ref="D41">_FV(Table2[[#This Row],[Data]],"Exchange")</f>
        <v>Nasdaq Stock Market</v>
      </c>
      <c r="E41" t="s">
        <v>236</v>
      </c>
      <c r="F41" s="58" cm="1">
        <f t="array" ref="F41">_FV(Table2[[#This Row],[Data]],"Market cap",TRUE)/1000000</f>
        <v>17075.365443999999</v>
      </c>
      <c r="G41" s="59" cm="1">
        <f t="array" ref="G41">_FV(Table2[[#This Row],[Data]],"Price")</f>
        <v>252.72</v>
      </c>
      <c r="H41">
        <v>-4.7530000000000001</v>
      </c>
      <c r="I41" s="73" t="e" cm="1" vm="9">
        <f t="array" ref="I41">_FV(Table2[[#This Row],[Data]],"P/E",TRUE)</f>
        <v>#VALUE!</v>
      </c>
      <c r="J41" s="62"/>
      <c r="K41" s="62"/>
      <c r="L41" s="62" t="e">
        <f>Table2[[#This Row],[EV]]/Table2[[#This Row],[EBITDA]]</f>
        <v>#DIV/0!</v>
      </c>
      <c r="M41" s="63" cm="1">
        <f t="array" ref="M41">_FV(Table2[[#This Row],[Data]],"52 week low",TRUE)</f>
        <v>238.01</v>
      </c>
      <c r="N41" s="63" cm="1">
        <f t="array" ref="N41">_FV(Table2[[#This Row],[Data]],"52 week high",TRUE)</f>
        <v>590</v>
      </c>
      <c r="O41" s="64">
        <f>(Table2[[#This Row],[Close]]-Table2[[#This Row],[52Wk Lo]])/Table2[[#This Row],[52Wk Lo]]</f>
        <v>6.1804125877064027E-2</v>
      </c>
      <c r="P41" s="65">
        <v>2007</v>
      </c>
      <c r="Q41" s="65">
        <f>2022-Table2[[#This Row],[Founded]]</f>
        <v>15</v>
      </c>
      <c r="R41" s="66">
        <v>366</v>
      </c>
      <c r="S41" s="66">
        <f>Table2[[#This Row],[Close]]</f>
        <v>252.72</v>
      </c>
      <c r="T41" s="67">
        <f>(S41-R41)/R41</f>
        <v>-0.30950819672131147</v>
      </c>
      <c r="U41" s="66">
        <v>83</v>
      </c>
      <c r="V41" s="66">
        <f>Table2[[#This Row],[Close]]</f>
        <v>252.72</v>
      </c>
      <c r="W41" s="67">
        <f>(V41-U41)/U41</f>
        <v>2.0448192771084339</v>
      </c>
      <c r="X41" s="66">
        <v>34</v>
      </c>
      <c r="Y41" s="66">
        <f>Table2[[#This Row],[Close]]</f>
        <v>252.72</v>
      </c>
      <c r="Z41" s="67">
        <f>(Y41-X41)/X41</f>
        <v>6.4329411764705879</v>
      </c>
      <c r="AA41" s="68">
        <f>100*(Table2[[#This Row],[1Y Change]]*0.17 + Table2[[#This Row],[3Y Change]]*0.166 + Table2[[#This Row],[5Y Change]]*0.166 + (Table2[[#This Row],[3Y Change]]-Table2[[#This Row],[1Y Change]])*0.166 + (Table2[[#This Row],[5Y Change]]-Table2[[#This Row],[1Y Change]])*0.166 + (Table2[[#This Row],[5Y Change]]-Table2[[#This Row],[3Y Change]])*0.166 + Table2[[#This Row],[Age (Inc.)]]/100)</f>
        <v>374.31850337512054</v>
      </c>
      <c r="AB41" s="69">
        <f>Table2[[#This Row],[Raw Score]]/SUM(Table2[Raw Score])</f>
        <v>2.9086790747938598E-2</v>
      </c>
      <c r="AC41" s="70">
        <v>7</v>
      </c>
      <c r="AD41" s="68">
        <f>Table2[[#This Row],[Raw Score]]+Table2[[#This Row],[Rating]]/AVERAGE(Table2[Rating])*50 -Table2[[#This Row],[% Up]]*100</f>
        <v>413.33039847972179</v>
      </c>
      <c r="AE41" s="71">
        <f>Table2[[#This Row],[TK Score]]/SUM(Table2[TK Score])</f>
        <v>2.4873253984049149E-2</v>
      </c>
      <c r="AF41" s="72">
        <f>Table2[[#This Row],[Weight (%)]]*$D$101</f>
        <v>37.309880976073721</v>
      </c>
    </row>
    <row r="42" spans="1:32" x14ac:dyDescent="0.25">
      <c r="A42" s="4" t="e" vm="43">
        <v>#VALUE!</v>
      </c>
      <c r="B42" s="4" t="s">
        <v>4</v>
      </c>
      <c r="C42" s="4" t="s">
        <v>108</v>
      </c>
      <c r="D42" s="4" t="str" cm="1">
        <f t="array" ref="D42">_FV(Table2[[#This Row],[Data]],"Exchange")</f>
        <v>Nasdaq Stock Market</v>
      </c>
      <c r="E42" t="s">
        <v>236</v>
      </c>
      <c r="F42" s="58" cm="1">
        <f t="array" ref="F42">_FV(Table2[[#This Row],[Data]],"Market cap",TRUE)/1000000</f>
        <v>1978802.5511400001</v>
      </c>
      <c r="G42" s="59" cm="1">
        <f t="array" ref="G42">_FV(Table2[[#This Row],[Data]],"Price")</f>
        <v>264.58</v>
      </c>
      <c r="H42">
        <v>9.58</v>
      </c>
      <c r="I42" s="61" cm="1">
        <f t="array" ref="I42">_FV(Table2[[#This Row],[Data]],"P/E",TRUE)</f>
        <v>28.6629</v>
      </c>
      <c r="J42" s="62"/>
      <c r="K42" s="62"/>
      <c r="L42" s="62" t="e">
        <f>Table2[[#This Row],[EV]]/Table2[[#This Row],[EBITDA]]</f>
        <v>#DIV/0!</v>
      </c>
      <c r="M42" s="63" cm="1">
        <f t="array" ref="M42">_FV(Table2[[#This Row],[Data]],"52 week low",TRUE)</f>
        <v>238.07</v>
      </c>
      <c r="N42" s="63" cm="1">
        <f t="array" ref="N42">_FV(Table2[[#This Row],[Data]],"52 week high",TRUE)</f>
        <v>349.67</v>
      </c>
      <c r="O42" s="64">
        <f>(Table2[[#This Row],[Close]]-Table2[[#This Row],[52Wk Lo]])/Table2[[#This Row],[52Wk Lo]]</f>
        <v>0.1113538035031713</v>
      </c>
      <c r="P42" s="65">
        <v>1975</v>
      </c>
      <c r="Q42" s="65">
        <f>2022-Table2[[#This Row],[Founded]]</f>
        <v>47</v>
      </c>
      <c r="R42" s="66">
        <v>225</v>
      </c>
      <c r="S42" s="66">
        <f>Table2[[#This Row],[Close]]</f>
        <v>264.58</v>
      </c>
      <c r="T42" s="67">
        <f>(S42-R42)/R42</f>
        <v>0.17591111111111105</v>
      </c>
      <c r="U42" s="66">
        <v>101</v>
      </c>
      <c r="V42" s="66">
        <f>Table2[[#This Row],[Close]]</f>
        <v>264.58</v>
      </c>
      <c r="W42" s="67">
        <f>(V42-U42)/U42</f>
        <v>1.6196039603960395</v>
      </c>
      <c r="X42" s="66">
        <v>62</v>
      </c>
      <c r="Y42" s="66">
        <f>Table2[[#This Row],[Close]]</f>
        <v>264.58</v>
      </c>
      <c r="Z42" s="67">
        <f>(Y42-X42)/X42</f>
        <v>3.2674193548387094</v>
      </c>
      <c r="AA42" s="68">
        <f>100*(Table2[[#This Row],[1Y Change]]*0.17 + Table2[[#This Row],[3Y Change]]*0.166 + Table2[[#This Row],[5Y Change]]*0.166 + (Table2[[#This Row],[3Y Change]]-Table2[[#This Row],[1Y Change]])*0.166 + (Table2[[#This Row],[5Y Change]]-Table2[[#This Row],[1Y Change]])*0.166 + (Table2[[#This Row],[5Y Change]]-Table2[[#This Row],[3Y Change]])*0.166 + Table2[[#This Row],[Age (Inc.)]]/100)</f>
        <v>233.75314961354201</v>
      </c>
      <c r="AB42" s="69">
        <f>Table2[[#This Row],[Raw Score]]/SUM(Table2[Raw Score])</f>
        <v>1.8164020448294491E-2</v>
      </c>
      <c r="AC42" s="70">
        <v>10</v>
      </c>
      <c r="AD42" s="68">
        <f>Table2[[#This Row],[Raw Score]]+Table2[[#This Row],[Rating]]/AVERAGE(Table2[Rating])*50 -Table2[[#This Row],[% Up]]*100</f>
        <v>287.17820882366442</v>
      </c>
      <c r="AE42" s="71">
        <f>Table2[[#This Row],[TK Score]]/SUM(Table2[TK Score])</f>
        <v>1.7281711079147138E-2</v>
      </c>
      <c r="AF42" s="72">
        <f>Table2[[#This Row],[Weight (%)]]*$D$101</f>
        <v>25.922566618720708</v>
      </c>
    </row>
    <row r="43" spans="1:32" x14ac:dyDescent="0.25">
      <c r="A43" s="4" t="e" vm="44">
        <v>#VALUE!</v>
      </c>
      <c r="B43" s="4" t="s">
        <v>57</v>
      </c>
      <c r="C43" s="4" t="s">
        <v>109</v>
      </c>
      <c r="D43" s="4" t="str" cm="1">
        <f t="array" ref="D43">_FV(Table2[[#This Row],[Data]],"Exchange")</f>
        <v>New York Stock Exchange</v>
      </c>
      <c r="E43" t="s">
        <v>240</v>
      </c>
      <c r="F43" s="58" cm="1">
        <f t="array" ref="F43">_FV(Table2[[#This Row],[Data]],"Market cap",TRUE)/1000000</f>
        <v>3054.8629120000001</v>
      </c>
      <c r="G43" s="59" cm="1">
        <f t="array" ref="G43">_FV(Table2[[#This Row],[Data]],"Price")</f>
        <v>83.25</v>
      </c>
      <c r="H43">
        <v>21.64</v>
      </c>
      <c r="I43" s="61" cm="1">
        <f t="array" ref="I43">_FV(Table2[[#This Row],[Data]],"P/E",TRUE)</f>
        <v>3.8361999999999998</v>
      </c>
      <c r="J43" s="62"/>
      <c r="K43" s="62"/>
      <c r="L43" s="62" t="e">
        <f>Table2[[#This Row],[EV]]/Table2[[#This Row],[EBITDA]]</f>
        <v>#DIV/0!</v>
      </c>
      <c r="M43" s="63" cm="1">
        <f t="array" ref="M43">_FV(Table2[[#This Row],[Data]],"52 week low",TRUE)</f>
        <v>75.56</v>
      </c>
      <c r="N43" s="63" cm="1">
        <f t="array" ref="N43">_FV(Table2[[#This Row],[Data]],"52 week high",TRUE)</f>
        <v>125.01</v>
      </c>
      <c r="O43" s="64">
        <f>(Table2[[#This Row],[Close]]-Table2[[#This Row],[52Wk Lo]])/Table2[[#This Row],[52Wk Lo]]</f>
        <v>0.10177342509264158</v>
      </c>
      <c r="P43" s="65">
        <v>1985</v>
      </c>
      <c r="Q43" s="65">
        <f>2022-Table2[[#This Row],[Founded]]</f>
        <v>37</v>
      </c>
      <c r="R43" s="66">
        <v>86</v>
      </c>
      <c r="S43" s="66">
        <f>Table2[[#This Row],[Close]]</f>
        <v>83.25</v>
      </c>
      <c r="T43" s="67">
        <f>(S43-R43)/R43</f>
        <v>-3.1976744186046513E-2</v>
      </c>
      <c r="U43" s="66">
        <v>37</v>
      </c>
      <c r="V43" s="66">
        <f>Table2[[#This Row],[Close]]</f>
        <v>83.25</v>
      </c>
      <c r="W43" s="67">
        <f>(V43-U43)/U43</f>
        <v>1.25</v>
      </c>
      <c r="X43" s="66">
        <v>35</v>
      </c>
      <c r="Y43" s="66">
        <f>Table2[[#This Row],[Close]]</f>
        <v>83.25</v>
      </c>
      <c r="Z43" s="67">
        <f>(Y43-X43)/X43</f>
        <v>1.3785714285714286</v>
      </c>
      <c r="AA43" s="68">
        <f>100*(Table2[[#This Row],[1Y Change]]*0.17 + Table2[[#This Row],[3Y Change]]*0.166 + Table2[[#This Row],[5Y Change]]*0.166 + (Table2[[#This Row],[3Y Change]]-Table2[[#This Row],[1Y Change]])*0.166 + (Table2[[#This Row],[5Y Change]]-Table2[[#This Row],[1Y Change]])*0.166 + (Table2[[#This Row],[5Y Change]]-Table2[[#This Row],[3Y Change]])*0.166 + Table2[[#This Row],[Age (Inc.)]]/100)</f>
        <v>126.92088039867109</v>
      </c>
      <c r="AB43" s="69">
        <f>Table2[[#This Row],[Raw Score]]/SUM(Table2[Raw Score])</f>
        <v>9.8625129573160757E-3</v>
      </c>
      <c r="AC43" s="70">
        <v>5</v>
      </c>
      <c r="AD43" s="68">
        <f>Table2[[#This Row],[Raw Score]]+Table2[[#This Row],[Rating]]/AVERAGE(Table2[Rating])*50 -Table2[[#This Row],[% Up]]*100</f>
        <v>149.02375766962672</v>
      </c>
      <c r="AE43" s="71">
        <f>Table2[[#This Row],[TK Score]]/SUM(Table2[TK Score])</f>
        <v>8.9679002265686744E-3</v>
      </c>
      <c r="AF43" s="72">
        <f>Table2[[#This Row],[Weight (%)]]*$D$101</f>
        <v>13.451850339853012</v>
      </c>
    </row>
    <row r="44" spans="1:32" x14ac:dyDescent="0.25">
      <c r="A44" s="4" t="e" vm="45">
        <v>#VALUE!</v>
      </c>
      <c r="B44" s="4" t="s">
        <v>173</v>
      </c>
      <c r="C44" s="4" t="s">
        <v>186</v>
      </c>
      <c r="D44" s="4" t="str" cm="1">
        <f t="array" ref="D44">_FV(Table2[[#This Row],[Data]],"Exchange")</f>
        <v>Nasdaq Stock Market</v>
      </c>
      <c r="E44" t="s">
        <v>235</v>
      </c>
      <c r="F44" s="58" cm="1">
        <f t="array" ref="F44">_FV(Table2[[#This Row],[Data]],"Market cap",TRUE)/1000000</f>
        <v>75855.189310000002</v>
      </c>
      <c r="G44" s="59" cm="1">
        <f t="array" ref="G44">_FV(Table2[[#This Row],[Data]],"Price")</f>
        <v>67.930000000000007</v>
      </c>
      <c r="H44">
        <v>7.95</v>
      </c>
      <c r="I44" s="61" cm="1">
        <f t="array" ref="I44">_FV(Table2[[#This Row],[Data]],"P/E",TRUE)</f>
        <v>8.8574000000000002</v>
      </c>
      <c r="J44" s="62"/>
      <c r="K44" s="62"/>
      <c r="L44" s="62" t="e">
        <f>Table2[[#This Row],[EV]]/Table2[[#This Row],[EBITDA]]</f>
        <v>#DIV/0!</v>
      </c>
      <c r="M44" s="63" cm="1">
        <f t="array" ref="M44">_FV(Table2[[#This Row],[Data]],"52 week low",TRUE)</f>
        <v>65.67</v>
      </c>
      <c r="N44" s="63" cm="1">
        <f t="array" ref="N44">_FV(Table2[[#This Row],[Data]],"52 week high",TRUE)</f>
        <v>98.45</v>
      </c>
      <c r="O44" s="64">
        <f>(Table2[[#This Row],[Close]]-Table2[[#This Row],[52Wk Lo]])/Table2[[#This Row],[52Wk Lo]]</f>
        <v>3.4414496726054594E-2</v>
      </c>
      <c r="P44" s="65">
        <v>1978</v>
      </c>
      <c r="Q44" s="65">
        <f>2022-Table2[[#This Row],[Founded]]</f>
        <v>44</v>
      </c>
      <c r="R44" s="66">
        <v>76</v>
      </c>
      <c r="S44" s="66">
        <f>Table2[[#This Row],[Close]]</f>
        <v>67.930000000000007</v>
      </c>
      <c r="T44" s="67">
        <f>(S44-R44)/R44</f>
        <v>-0.1061842105263157</v>
      </c>
      <c r="U44" s="66">
        <v>34</v>
      </c>
      <c r="V44" s="66">
        <f>Table2[[#This Row],[Close]]</f>
        <v>67.930000000000007</v>
      </c>
      <c r="W44" s="67">
        <f>(V44-U44)/U44</f>
        <v>0.99794117647058844</v>
      </c>
      <c r="X44" s="66">
        <v>24</v>
      </c>
      <c r="Y44" s="66">
        <f>Table2[[#This Row],[Close]]</f>
        <v>67.930000000000007</v>
      </c>
      <c r="Z44" s="67">
        <f>(Y44-X44)/X44</f>
        <v>1.830416666666667</v>
      </c>
      <c r="AA44" s="68">
        <f>100*(Table2[[#This Row],[1Y Change]]*0.17 + Table2[[#This Row],[3Y Change]]*0.166 + Table2[[#This Row],[5Y Change]]*0.166 + (Table2[[#This Row],[3Y Change]]-Table2[[#This Row],[1Y Change]])*0.166 + (Table2[[#This Row],[5Y Change]]-Table2[[#This Row],[1Y Change]])*0.166 + (Table2[[#This Row],[5Y Change]]-Table2[[#This Row],[3Y Change]])*0.166 + Table2[[#This Row],[Age (Inc.)]]/100)</f>
        <v>153.44075773993811</v>
      </c>
      <c r="AB44" s="69">
        <f>Table2[[#This Row],[Raw Score]]/SUM(Table2[Raw Score])</f>
        <v>1.1923266342284066E-2</v>
      </c>
      <c r="AC44" s="70">
        <v>7</v>
      </c>
      <c r="AD44" s="68">
        <f>Table2[[#This Row],[Raw Score]]+Table2[[#This Row],[Rating]]/AVERAGE(Table2[Rating])*50 -Table2[[#This Row],[% Up]]*100</f>
        <v>195.19161575964034</v>
      </c>
      <c r="AE44" s="71">
        <f>Table2[[#This Row],[TK Score]]/SUM(Table2[TK Score])</f>
        <v>1.1746173647532136E-2</v>
      </c>
      <c r="AF44" s="72">
        <f>Table2[[#This Row],[Weight (%)]]*$D$101</f>
        <v>17.619260471298205</v>
      </c>
    </row>
    <row r="45" spans="1:32" x14ac:dyDescent="0.25">
      <c r="A45" s="4" t="e" vm="46">
        <v>#VALUE!</v>
      </c>
      <c r="B45" s="4" t="s">
        <v>222</v>
      </c>
      <c r="C45" s="74" t="s">
        <v>220</v>
      </c>
      <c r="D45" s="74" t="str" cm="1">
        <f t="array" ref="D45">_FV(Table2[[#This Row],[Data]],"Exchange")</f>
        <v>New York Stock Exchange</v>
      </c>
      <c r="E45" t="s">
        <v>236</v>
      </c>
      <c r="F45" s="58" cm="1">
        <f t="array" ref="F45">_FV(Table2[[#This Row],[Data]],"Market cap",TRUE)/1000000</f>
        <v>18441.014704000001</v>
      </c>
      <c r="G45" s="59" cm="1">
        <f t="array" ref="G45">_FV(Table2[[#This Row],[Data]],"Price")</f>
        <v>56.56</v>
      </c>
      <c r="H45">
        <v>-0.83299999999999996</v>
      </c>
      <c r="I45" s="61" cm="1">
        <f t="array" ref="I45">_FV(Table2[[#This Row],[Data]],"P/E",TRUE)</f>
        <v>0</v>
      </c>
      <c r="J45" s="62"/>
      <c r="K45" s="62"/>
      <c r="L45" s="62" t="e">
        <f>Table2[[#This Row],[EV]]/Table2[[#This Row],[EBITDA]]</f>
        <v>#DIV/0!</v>
      </c>
      <c r="M45" s="63" cm="1">
        <f t="array" ref="M45">_FV(Table2[[#This Row],[Data]],"52 week low",TRUE)</f>
        <v>56</v>
      </c>
      <c r="N45" s="63" cm="1">
        <f t="array" ref="N45">_FV(Table2[[#This Row],[Data]],"52 week high",TRUE)</f>
        <v>221.64</v>
      </c>
      <c r="O45" s="64">
        <f>(Table2[[#This Row],[Close]]-Table2[[#This Row],[52Wk Lo]])/Table2[[#This Row],[52Wk Lo]]</f>
        <v>1.000000000000004E-2</v>
      </c>
      <c r="P45" s="65">
        <v>2009</v>
      </c>
      <c r="Q45" s="65">
        <f>2022-Table2[[#This Row],[Founded]]</f>
        <v>13</v>
      </c>
      <c r="R45" s="66">
        <v>71</v>
      </c>
      <c r="S45" s="66">
        <f>Table2[[#This Row],[Close]]</f>
        <v>56.56</v>
      </c>
      <c r="T45" s="67">
        <f>(S45-R45)/R45</f>
        <v>-0.2033802816901408</v>
      </c>
      <c r="U45" s="66">
        <v>36.47</v>
      </c>
      <c r="V45" s="66">
        <f>Table2[[#This Row],[Close]]</f>
        <v>56.56</v>
      </c>
      <c r="W45" s="67">
        <f>(V45-U45)/U45</f>
        <v>0.55086372360844538</v>
      </c>
      <c r="X45" s="66">
        <v>18</v>
      </c>
      <c r="Y45" s="66">
        <f>Table2[[#This Row],[Close]]</f>
        <v>56.56</v>
      </c>
      <c r="Z45" s="67">
        <f>(Y45-X45)/X45</f>
        <v>2.1422222222222222</v>
      </c>
      <c r="AA45" s="68">
        <f>100*(Table2[[#This Row],[1Y Change]]*0.17 + Table2[[#This Row],[3Y Change]]*0.166 + Table2[[#This Row],[5Y Change]]*0.166 + (Table2[[#This Row],[3Y Change]]-Table2[[#This Row],[1Y Change]])*0.166 + (Table2[[#This Row],[5Y Change]]-Table2[[#This Row],[1Y Change]])*0.166 + (Table2[[#This Row],[5Y Change]]-Table2[[#This Row],[3Y Change]])*0.166 + Table2[[#This Row],[Age (Inc.)]]/100)</f>
        <v>132.12176504194716</v>
      </c>
      <c r="AB45" s="69">
        <f>Table2[[#This Row],[Raw Score]]/SUM(Table2[Raw Score])</f>
        <v>1.0266652859455877E-2</v>
      </c>
      <c r="AC45" s="70">
        <v>5</v>
      </c>
      <c r="AD45" s="68">
        <f>Table2[[#This Row],[Raw Score]]+Table2[[#This Row],[Rating]]/AVERAGE(Table2[Rating])*50 -Table2[[#This Row],[% Up]]*100</f>
        <v>163.40198482216692</v>
      </c>
      <c r="AE45" s="71">
        <f>Table2[[#This Row],[TK Score]]/SUM(Table2[TK Score])</f>
        <v>9.8331482149114201E-3</v>
      </c>
      <c r="AF45" s="72">
        <f>Table2[[#This Row],[Weight (%)]]*$D$101</f>
        <v>14.749722322367131</v>
      </c>
    </row>
    <row r="46" spans="1:32" x14ac:dyDescent="0.25">
      <c r="A46" s="4" t="e" vm="47">
        <v>#VALUE!</v>
      </c>
      <c r="B46" s="4" t="s">
        <v>10</v>
      </c>
      <c r="C46" s="4" t="s">
        <v>110</v>
      </c>
      <c r="D46" s="4" t="str" cm="1">
        <f t="array" ref="D46">_FV(Table2[[#This Row],[Data]],"Exchange")</f>
        <v>Nasdaq Stock Market</v>
      </c>
      <c r="E46" t="s">
        <v>237</v>
      </c>
      <c r="F46" s="58" cm="1">
        <f t="array" ref="F46">_FV(Table2[[#This Row],[Data]],"Market cap",TRUE)/1000000</f>
        <v>76903.812090000007</v>
      </c>
      <c r="G46" s="59" cm="1">
        <f t="array" ref="G46">_FV(Table2[[#This Row],[Data]],"Price")</f>
        <v>173.1</v>
      </c>
      <c r="H46">
        <v>11.02</v>
      </c>
      <c r="I46" s="61" cm="1">
        <f t="array" ref="I46">_FV(Table2[[#This Row],[Data]],"P/E",TRUE)</f>
        <v>17.303899999999999</v>
      </c>
      <c r="J46" s="62"/>
      <c r="K46" s="62"/>
      <c r="L46" s="62" t="e">
        <f>Table2[[#This Row],[EV]]/Table2[[#This Row],[EBITDA]]</f>
        <v>#DIV/0!</v>
      </c>
      <c r="M46" s="63" cm="1">
        <f t="array" ref="M46">_FV(Table2[[#This Row],[Data]],"52 week low",TRUE)</f>
        <v>172.3</v>
      </c>
      <c r="N46" s="63" cm="1">
        <f t="array" ref="N46">_FV(Table2[[#This Row],[Data]],"52 week high",TRUE)</f>
        <v>700.98940000000005</v>
      </c>
      <c r="O46" s="64">
        <f>(Table2[[#This Row],[Close]]-Table2[[#This Row],[52Wk Lo]])/Table2[[#This Row],[52Wk Lo]]</f>
        <v>4.6430644225187636E-3</v>
      </c>
      <c r="P46" s="65">
        <v>1997</v>
      </c>
      <c r="Q46" s="65">
        <f>2022-Table2[[#This Row],[Founded]]</f>
        <v>25</v>
      </c>
      <c r="R46" s="66">
        <v>530</v>
      </c>
      <c r="S46" s="66">
        <f>Table2[[#This Row],[Close]]</f>
        <v>173.1</v>
      </c>
      <c r="T46" s="67">
        <f>(S46-R46)/R46</f>
        <v>-0.67339622641509433</v>
      </c>
      <c r="U46" s="66">
        <v>259</v>
      </c>
      <c r="V46" s="66">
        <f>Table2[[#This Row],[Close]]</f>
        <v>173.1</v>
      </c>
      <c r="W46" s="67">
        <f>(V46-U46)/U46</f>
        <v>-0.33166023166023167</v>
      </c>
      <c r="X46" s="66">
        <v>125</v>
      </c>
      <c r="Y46" s="66">
        <f>Table2[[#This Row],[Close]]</f>
        <v>173.1</v>
      </c>
      <c r="Z46" s="67">
        <f>(Y46-X46)/X46</f>
        <v>0.38479999999999998</v>
      </c>
      <c r="AA46" s="68">
        <f>100*(Table2[[#This Row],[1Y Change]]*0.17 + Table2[[#This Row],[3Y Change]]*0.166 + Table2[[#This Row],[5Y Change]]*0.166 + (Table2[[#This Row],[3Y Change]]-Table2[[#This Row],[1Y Change]])*0.166 + (Table2[[#This Row],[5Y Change]]-Table2[[#This Row],[1Y Change]])*0.166 + (Table2[[#This Row],[5Y Change]]-Table2[[#This Row],[3Y Change]])*0.166 + Table2[[#This Row],[Age (Inc.)]]/100)</f>
        <v>49.566499022364688</v>
      </c>
      <c r="AB46" s="69">
        <f>Table2[[#This Row],[Raw Score]]/SUM(Table2[Raw Score])</f>
        <v>3.8516139922866845E-3</v>
      </c>
      <c r="AC46" s="70">
        <v>10</v>
      </c>
      <c r="AD46" s="68">
        <f>Table2[[#This Row],[Raw Score]]+Table2[[#This Row],[Rating]]/AVERAGE(Table2[Rating])*50 -Table2[[#This Row],[% Up]]*100</f>
        <v>113.66263214055238</v>
      </c>
      <c r="AE46" s="71">
        <f>Table2[[#This Row],[TK Score]]/SUM(Table2[TK Score])</f>
        <v>6.8399506257612189E-3</v>
      </c>
      <c r="AF46" s="72">
        <f>Table2[[#This Row],[Weight (%)]]*$D$101</f>
        <v>10.259925938641828</v>
      </c>
    </row>
    <row r="47" spans="1:32" x14ac:dyDescent="0.25">
      <c r="A47" s="4" t="e" vm="48">
        <v>#VALUE!</v>
      </c>
      <c r="B47" s="4" t="s">
        <v>79</v>
      </c>
      <c r="C47" s="4" t="s">
        <v>111</v>
      </c>
      <c r="D47" s="4" t="str" cm="1">
        <f t="array" ref="D47">_FV(Table2[[#This Row],[Data]],"Exchange")</f>
        <v>New York Stock Exchange</v>
      </c>
      <c r="E47" t="s">
        <v>235</v>
      </c>
      <c r="F47" s="58" cm="1">
        <f t="array" ref="F47">_FV(Table2[[#This Row],[Data]],"Market cap",TRUE)/1000000</f>
        <v>20918.286749999999</v>
      </c>
      <c r="G47" s="59" cm="1">
        <f t="array" ref="G47">_FV(Table2[[#This Row],[Data]],"Price")</f>
        <v>13.55</v>
      </c>
      <c r="H47">
        <v>-1.01</v>
      </c>
      <c r="I47" s="61" cm="1">
        <f t="array" ref="I47">_FV(Table2[[#This Row],[Data]],"P/E",TRUE)</f>
        <v>0</v>
      </c>
      <c r="J47" s="62"/>
      <c r="K47" s="62"/>
      <c r="L47" s="62" t="e">
        <f>Table2[[#This Row],[EV]]/Table2[[#This Row],[EBITDA]]</f>
        <v>#DIV/0!</v>
      </c>
      <c r="M47" s="63" cm="1">
        <f t="array" ref="M47">_FV(Table2[[#This Row],[Data]],"52 week low",TRUE)</f>
        <v>13.01</v>
      </c>
      <c r="N47" s="63" cm="1">
        <f t="array" ref="N47">_FV(Table2[[#This Row],[Data]],"52 week high",TRUE)</f>
        <v>55.13</v>
      </c>
      <c r="O47" s="64">
        <f>(Table2[[#This Row],[Close]]-Table2[[#This Row],[52Wk Lo]])/Table2[[#This Row],[52Wk Lo]]</f>
        <v>4.1506533435818671E-2</v>
      </c>
      <c r="P47" s="65">
        <v>2014</v>
      </c>
      <c r="Q47" s="65">
        <f>2022-Table2[[#This Row],[Founded]]</f>
        <v>8</v>
      </c>
      <c r="R47" s="66">
        <v>6</v>
      </c>
      <c r="S47" s="66">
        <f>Table2[[#This Row],[Close]]</f>
        <v>13.55</v>
      </c>
      <c r="T47" s="67">
        <f>(S47-R47)/R47</f>
        <v>1.2583333333333335</v>
      </c>
      <c r="U47" s="66">
        <v>7</v>
      </c>
      <c r="V47" s="66">
        <f>Table2[[#This Row],[Close]]</f>
        <v>13.55</v>
      </c>
      <c r="W47" s="67">
        <f>(V47-U47)/U47</f>
        <v>0.93571428571428583</v>
      </c>
      <c r="X47" s="66">
        <v>6</v>
      </c>
      <c r="Y47" s="66">
        <f>Table2[[#This Row],[Close]]</f>
        <v>13.55</v>
      </c>
      <c r="Z47" s="67">
        <f>(Y47-X47)/X47</f>
        <v>1.2583333333333335</v>
      </c>
      <c r="AA47" s="68">
        <f>100*(Table2[[#This Row],[1Y Change]]*0.17 + Table2[[#This Row],[3Y Change]]*0.166 + Table2[[#This Row],[5Y Change]]*0.166 + (Table2[[#This Row],[3Y Change]]-Table2[[#This Row],[1Y Change]])*0.166 + (Table2[[#This Row],[5Y Change]]-Table2[[#This Row],[1Y Change]])*0.166 + (Table2[[#This Row],[5Y Change]]-Table2[[#This Row],[3Y Change]])*0.166 + Table2[[#This Row],[Age (Inc.)]]/100)</f>
        <v>65.812857142857155</v>
      </c>
      <c r="AB47" s="69">
        <f>Table2[[#This Row],[Raw Score]]/SUM(Table2[Raw Score])</f>
        <v>5.114053371601231E-3</v>
      </c>
      <c r="AC47" s="70">
        <v>6</v>
      </c>
      <c r="AD47" s="68">
        <f>Table2[[#This Row],[Raw Score]]+Table2[[#This Row],[Rating]]/AVERAGE(Table2[Rating])*50 -Table2[[#This Row],[% Up]]*100</f>
        <v>100.39846753553903</v>
      </c>
      <c r="AE47" s="71">
        <f>Table2[[#This Row],[TK Score]]/SUM(Table2[TK Score])</f>
        <v>6.0417443086835795E-3</v>
      </c>
      <c r="AF47" s="72">
        <f>Table2[[#This Row],[Weight (%)]]*$D$101</f>
        <v>9.0626164630253694</v>
      </c>
    </row>
    <row r="48" spans="1:32" x14ac:dyDescent="0.25">
      <c r="A48" s="4" t="e" vm="49">
        <v>#VALUE!</v>
      </c>
      <c r="B48" s="4" t="s">
        <v>33</v>
      </c>
      <c r="C48" s="4" t="s">
        <v>112</v>
      </c>
      <c r="D48" s="4" t="str" cm="1">
        <f t="array" ref="D48">_FV(Table2[[#This Row],[Data]],"Exchange")</f>
        <v>New York Stock Exchange</v>
      </c>
      <c r="E48" t="s">
        <v>235</v>
      </c>
      <c r="F48" s="58" cm="1">
        <f t="array" ref="F48">_FV(Table2[[#This Row],[Data]],"Market cap",TRUE)/1000000</f>
        <v>175018.62807000001</v>
      </c>
      <c r="G48" s="59" cm="1">
        <f t="array" ref="G48">_FV(Table2[[#This Row],[Data]],"Price")</f>
        <v>111.21</v>
      </c>
      <c r="H48">
        <v>3.79</v>
      </c>
      <c r="I48" s="61" cm="1">
        <f t="array" ref="I48">_FV(Table2[[#This Row],[Data]],"P/E",TRUE)</f>
        <v>30.23</v>
      </c>
      <c r="J48" s="62"/>
      <c r="K48" s="62"/>
      <c r="L48" s="62" t="e">
        <f>Table2[[#This Row],[EV]]/Table2[[#This Row],[EBITDA]]</f>
        <v>#DIV/0!</v>
      </c>
      <c r="M48" s="63" cm="1">
        <f t="array" ref="M48">_FV(Table2[[#This Row],[Data]],"52 week low",TRUE)</f>
        <v>110.59</v>
      </c>
      <c r="N48" s="63" cm="1">
        <f t="array" ref="N48">_FV(Table2[[#This Row],[Data]],"52 week high",TRUE)</f>
        <v>179.1</v>
      </c>
      <c r="O48" s="64">
        <f>(Table2[[#This Row],[Close]]-Table2[[#This Row],[52Wk Lo]])/Table2[[#This Row],[52Wk Lo]]</f>
        <v>5.606293516592733E-3</v>
      </c>
      <c r="P48" s="65">
        <v>1964</v>
      </c>
      <c r="Q48" s="65">
        <f>2022-Table2[[#This Row],[Founded]]</f>
        <v>58</v>
      </c>
      <c r="R48" s="66">
        <v>142</v>
      </c>
      <c r="S48" s="66">
        <f>Table2[[#This Row],[Close]]</f>
        <v>111.21</v>
      </c>
      <c r="T48" s="67">
        <f>(S48-R48)/R48</f>
        <v>-0.21683098591549299</v>
      </c>
      <c r="U48" s="66">
        <v>74</v>
      </c>
      <c r="V48" s="66">
        <f>Table2[[#This Row],[Close]]</f>
        <v>111.21</v>
      </c>
      <c r="W48" s="67">
        <f>(V48-U48)/U48</f>
        <v>0.50283783783783775</v>
      </c>
      <c r="X48" s="66">
        <v>52</v>
      </c>
      <c r="Y48" s="66">
        <f>Table2[[#This Row],[Close]]</f>
        <v>111.21</v>
      </c>
      <c r="Z48" s="67">
        <f>(Y48-X48)/X48</f>
        <v>1.138653846153846</v>
      </c>
      <c r="AA48" s="68">
        <f>100*(Table2[[#This Row],[1Y Change]]*0.17 + Table2[[#This Row],[3Y Change]]*0.166 + Table2[[#This Row],[5Y Change]]*0.166 + (Table2[[#This Row],[3Y Change]]-Table2[[#This Row],[1Y Change]])*0.166 + (Table2[[#This Row],[5Y Change]]-Table2[[#This Row],[1Y Change]])*0.166 + (Table2[[#This Row],[5Y Change]]-Table2[[#This Row],[3Y Change]])*0.166 + Table2[[#This Row],[Age (Inc.)]]/100)</f>
        <v>126.56473161840063</v>
      </c>
      <c r="AB48" s="69">
        <f>Table2[[#This Row],[Raw Score]]/SUM(Table2[Raw Score])</f>
        <v>9.8348380629321372E-3</v>
      </c>
      <c r="AC48" s="70">
        <v>10</v>
      </c>
      <c r="AD48" s="68">
        <f>Table2[[#This Row],[Raw Score]]+Table2[[#This Row],[Rating]]/AVERAGE(Table2[Rating])*50 -Table2[[#This Row],[% Up]]*100</f>
        <v>190.5645418271809</v>
      </c>
      <c r="AE48" s="71">
        <f>Table2[[#This Row],[TK Score]]/SUM(Table2[TK Score])</f>
        <v>1.1467727190295134E-2</v>
      </c>
      <c r="AF48" s="72">
        <f>Table2[[#This Row],[Weight (%)]]*$D$101</f>
        <v>17.201590785442701</v>
      </c>
    </row>
    <row r="49" spans="1:32" x14ac:dyDescent="0.25">
      <c r="A49" s="4" t="e" vm="50">
        <v>#VALUE!</v>
      </c>
      <c r="B49" s="4" t="s">
        <v>175</v>
      </c>
      <c r="C49" s="4" t="s">
        <v>194</v>
      </c>
      <c r="D49" s="4" t="str" cm="1">
        <f t="array" ref="D49">_FV(Table2[[#This Row],[Data]],"Exchange")</f>
        <v>New York Stock Exchange</v>
      </c>
      <c r="E49" t="s">
        <v>235</v>
      </c>
      <c r="F49" s="58" cm="1">
        <f t="array" ref="F49">_FV(Table2[[#This Row],[Data]],"Market cap",TRUE)/1000000</f>
        <v>28623.3</v>
      </c>
      <c r="G49" s="59" cm="1">
        <f t="array" ref="G49">_FV(Table2[[#This Row],[Data]],"Price")</f>
        <v>4.78</v>
      </c>
      <c r="H49">
        <v>0.29199999999999998</v>
      </c>
      <c r="I49" s="61" cm="1">
        <f t="array" ref="I49">_FV(Table2[[#This Row],[Data]],"P/E",TRUE)</f>
        <v>16.7913</v>
      </c>
      <c r="J49" s="62"/>
      <c r="K49" s="62"/>
      <c r="L49" s="62" t="e">
        <f>Table2[[#This Row],[EV]]/Table2[[#This Row],[EBITDA]]</f>
        <v>#DIV/0!</v>
      </c>
      <c r="M49" s="63" cm="1">
        <f t="array" ref="M49">_FV(Table2[[#This Row],[Data]],"52 week low",TRUE)</f>
        <v>4.51</v>
      </c>
      <c r="N49" s="63" cm="1">
        <f t="array" ref="N49">_FV(Table2[[#This Row],[Data]],"52 week high",TRUE)</f>
        <v>6.3958000000000004</v>
      </c>
      <c r="O49" s="64">
        <f>(Table2[[#This Row],[Close]]-Table2[[#This Row],[52Wk Lo]])/Table2[[#This Row],[52Wk Lo]]</f>
        <v>5.9866962305986801E-2</v>
      </c>
      <c r="P49" s="65">
        <v>1865</v>
      </c>
      <c r="Q49" s="65">
        <f>2022-Table2[[#This Row],[Founded]]</f>
        <v>157</v>
      </c>
      <c r="R49" s="66">
        <v>4</v>
      </c>
      <c r="S49" s="66">
        <f>Table2[[#This Row],[Close]]</f>
        <v>4.78</v>
      </c>
      <c r="T49" s="67">
        <f>(S49-R49)/R49</f>
        <v>0.19500000000000006</v>
      </c>
      <c r="U49" s="66">
        <v>6</v>
      </c>
      <c r="V49" s="66">
        <f>Table2[[#This Row],[Close]]</f>
        <v>4.78</v>
      </c>
      <c r="W49" s="67">
        <f>(V49-U49)/U49</f>
        <v>-0.20333333333333328</v>
      </c>
      <c r="X49" s="66">
        <v>4.5</v>
      </c>
      <c r="Y49" s="66">
        <f>Table2[[#This Row],[Close]]</f>
        <v>4.78</v>
      </c>
      <c r="Z49" s="67">
        <f>(Y49-X49)/X49</f>
        <v>6.2222222222222276E-2</v>
      </c>
      <c r="AA49" s="68">
        <f>100*(Table2[[#This Row],[1Y Change]]*0.17 + Table2[[#This Row],[3Y Change]]*0.166 + Table2[[#This Row],[5Y Change]]*0.166 + (Table2[[#This Row],[3Y Change]]-Table2[[#This Row],[1Y Change]])*0.166 + (Table2[[#This Row],[5Y Change]]-Table2[[#This Row],[1Y Change]])*0.166 + (Table2[[#This Row],[5Y Change]]-Table2[[#This Row],[3Y Change]])*0.166 + Table2[[#This Row],[Age (Inc.)]]/100)</f>
        <v>153.56433333333334</v>
      </c>
      <c r="AB49" s="69">
        <f>Table2[[#This Row],[Raw Score]]/SUM(Table2[Raw Score])</f>
        <v>1.1932868906395191E-2</v>
      </c>
      <c r="AC49" s="70">
        <v>6</v>
      </c>
      <c r="AD49" s="68">
        <f>Table2[[#This Row],[Raw Score]]+Table2[[#This Row],[Rating]]/AVERAGE(Table2[Rating])*50 -Table2[[#This Row],[% Up]]*100</f>
        <v>186.31390083899839</v>
      </c>
      <c r="AE49" s="71">
        <f>Table2[[#This Row],[TK Score]]/SUM(Table2[TK Score])</f>
        <v>1.1211933584784988E-2</v>
      </c>
      <c r="AF49" s="72">
        <f>Table2[[#This Row],[Weight (%)]]*$D$101</f>
        <v>16.817900377177484</v>
      </c>
    </row>
    <row r="50" spans="1:32" x14ac:dyDescent="0.25">
      <c r="A50" s="4" t="e" vm="51">
        <v>#VALUE!</v>
      </c>
      <c r="B50" s="4" t="s">
        <v>6</v>
      </c>
      <c r="C50" s="4" t="s">
        <v>113</v>
      </c>
      <c r="D50" s="4" t="str" cm="1">
        <f t="array" ref="D50">_FV(Table2[[#This Row],[Data]],"Exchange")</f>
        <v>Nasdaq Stock Market</v>
      </c>
      <c r="E50" t="s">
        <v>235</v>
      </c>
      <c r="F50" s="58" cm="1">
        <f t="array" ref="F50">_FV(Table2[[#This Row],[Data]],"Market cap",TRUE)/1000000</f>
        <v>424430.37300000002</v>
      </c>
      <c r="G50" s="59" cm="1">
        <f t="array" ref="G50">_FV(Table2[[#This Row],[Data]],"Price")</f>
        <v>169.5</v>
      </c>
      <c r="H50">
        <v>3.85</v>
      </c>
      <c r="I50" s="61" cm="1">
        <f t="array" ref="I50">_FV(Table2[[#This Row],[Data]],"P/E",TRUE)</f>
        <v>48.552399999999999</v>
      </c>
      <c r="J50" s="62"/>
      <c r="K50" s="62"/>
      <c r="L50" s="62" t="e">
        <f>Table2[[#This Row],[EV]]/Table2[[#This Row],[EBITDA]]</f>
        <v>#DIV/0!</v>
      </c>
      <c r="M50" s="63" cm="1">
        <f t="array" ref="M50">_FV(Table2[[#This Row],[Data]],"52 week low",TRUE)</f>
        <v>134.59</v>
      </c>
      <c r="N50" s="63" cm="1">
        <f t="array" ref="N50">_FV(Table2[[#This Row],[Data]],"52 week high",TRUE)</f>
        <v>346.47</v>
      </c>
      <c r="O50" s="64">
        <f>(Table2[[#This Row],[Close]]-Table2[[#This Row],[52Wk Lo]])/Table2[[#This Row],[52Wk Lo]]</f>
        <v>0.25938034029274087</v>
      </c>
      <c r="P50" s="65">
        <v>1993</v>
      </c>
      <c r="Q50" s="65">
        <f>2022-Table2[[#This Row],[Founded]]</f>
        <v>29</v>
      </c>
      <c r="R50" s="66">
        <v>130</v>
      </c>
      <c r="S50" s="66">
        <f>Table2[[#This Row],[Close]]</f>
        <v>169.5</v>
      </c>
      <c r="T50" s="67">
        <f>(S50-R50)/R50</f>
        <v>0.30384615384615382</v>
      </c>
      <c r="U50" s="66">
        <v>34</v>
      </c>
      <c r="V50" s="66">
        <f>Table2[[#This Row],[Close]]</f>
        <v>169.5</v>
      </c>
      <c r="W50" s="67">
        <f>(V50-U50)/U50</f>
        <v>3.9852941176470589</v>
      </c>
      <c r="X50" s="66">
        <v>26</v>
      </c>
      <c r="Y50" s="66">
        <f>Table2[[#This Row],[Close]]</f>
        <v>169.5</v>
      </c>
      <c r="Z50" s="67">
        <f>(Y50-X50)/X50</f>
        <v>5.5192307692307692</v>
      </c>
      <c r="AA50" s="68">
        <f>100*(Table2[[#This Row],[1Y Change]]*0.17 + Table2[[#This Row],[3Y Change]]*0.166 + Table2[[#This Row],[5Y Change]]*0.166 + (Table2[[#This Row],[3Y Change]]-Table2[[#This Row],[1Y Change]])*0.166 + (Table2[[#This Row],[5Y Change]]-Table2[[#This Row],[1Y Change]])*0.166 + (Table2[[#This Row],[5Y Change]]-Table2[[#This Row],[3Y Change]])*0.166 + Table2[[#This Row],[Age (Inc.)]]/100)</f>
        <v>365.09126696832584</v>
      </c>
      <c r="AB50" s="69">
        <f>Table2[[#This Row],[Raw Score]]/SUM(Table2[Raw Score])</f>
        <v>2.8369779186591247E-2</v>
      </c>
      <c r="AC50" s="70">
        <v>10</v>
      </c>
      <c r="AD50" s="68">
        <f>Table2[[#This Row],[Raw Score]]+Table2[[#This Row],[Rating]]/AVERAGE(Table2[Rating])*50 -Table2[[#This Row],[% Up]]*100</f>
        <v>403.71367249949134</v>
      </c>
      <c r="AE50" s="71">
        <f>Table2[[#This Row],[TK Score]]/SUM(Table2[TK Score])</f>
        <v>2.4294541968961268E-2</v>
      </c>
      <c r="AF50" s="72">
        <f>Table2[[#This Row],[Weight (%)]]*$D$101</f>
        <v>36.441812953441904</v>
      </c>
    </row>
    <row r="51" spans="1:32" x14ac:dyDescent="0.25">
      <c r="A51" s="4" t="e" vm="52">
        <v>#VALUE!</v>
      </c>
      <c r="B51" s="4" t="s">
        <v>26</v>
      </c>
      <c r="C51" s="4" t="s">
        <v>114</v>
      </c>
      <c r="D51" s="4" t="str" cm="1">
        <f t="array" ref="D51">_FV(Table2[[#This Row],[Data]],"Exchange")</f>
        <v>Nasdaq Stock Market</v>
      </c>
      <c r="E51" t="s">
        <v>235</v>
      </c>
      <c r="F51" s="58" cm="1">
        <f t="array" ref="F51">_FV(Table2[[#This Row],[Data]],"Market cap",TRUE)/1000000</f>
        <v>22081.574592000001</v>
      </c>
      <c r="G51" s="59" cm="1">
        <f t="array" ref="G51">_FV(Table2[[#This Row],[Data]],"Price")</f>
        <v>50.82</v>
      </c>
      <c r="H51">
        <v>2.27</v>
      </c>
      <c r="I51" s="61" cm="1">
        <f t="array" ref="I51">_FV(Table2[[#This Row],[Data]],"P/E",TRUE)</f>
        <v>16.936299999999999</v>
      </c>
      <c r="J51" s="62"/>
      <c r="K51" s="62"/>
      <c r="L51" s="62" t="e">
        <f>Table2[[#This Row],[EV]]/Table2[[#This Row],[EBITDA]]</f>
        <v>#DIV/0!</v>
      </c>
      <c r="M51" s="63" cm="1">
        <f t="array" ref="M51">_FV(Table2[[#This Row],[Data]],"52 week low",TRUE)</f>
        <v>34.01</v>
      </c>
      <c r="N51" s="63" cm="1">
        <f t="array" ref="N51">_FV(Table2[[#This Row],[Data]],"52 week high",TRUE)</f>
        <v>71.254999999999995</v>
      </c>
      <c r="O51" s="64">
        <f>(Table2[[#This Row],[Close]]-Table2[[#This Row],[52Wk Lo]])/Table2[[#This Row],[52Wk Lo]]</f>
        <v>0.49426639223757729</v>
      </c>
      <c r="P51" s="65">
        <v>1999</v>
      </c>
      <c r="Q51" s="65">
        <f>2022-Table2[[#This Row],[Founded]]</f>
        <v>23</v>
      </c>
      <c r="R51" s="66">
        <v>32</v>
      </c>
      <c r="S51" s="66">
        <f>Table2[[#This Row],[Close]]</f>
        <v>50.82</v>
      </c>
      <c r="T51" s="67">
        <f>(S51-R51)/R51</f>
        <v>0.58812500000000001</v>
      </c>
      <c r="U51" s="66">
        <v>16</v>
      </c>
      <c r="V51" s="66">
        <f>Table2[[#This Row],[Close]]</f>
        <v>50.82</v>
      </c>
      <c r="W51" s="67">
        <f>(V51-U51)/U51</f>
        <v>2.17625</v>
      </c>
      <c r="X51" s="66">
        <v>13</v>
      </c>
      <c r="Y51" s="66">
        <f>Table2[[#This Row],[Close]]</f>
        <v>50.82</v>
      </c>
      <c r="Z51" s="67">
        <f>(Y51-X51)/X51</f>
        <v>2.9092307692307693</v>
      </c>
      <c r="AA51" s="68">
        <f>100*(Table2[[#This Row],[1Y Change]]*0.17 + Table2[[#This Row],[3Y Change]]*0.166 + Table2[[#This Row],[5Y Change]]*0.166 + (Table2[[#This Row],[3Y Change]]-Table2[[#This Row],[1Y Change]])*0.166 + (Table2[[#This Row],[5Y Change]]-Table2[[#This Row],[1Y Change]])*0.166 + (Table2[[#This Row],[5Y Change]]-Table2[[#This Row],[3Y Change]])*0.166 + Table2[[#This Row],[Age (Inc.)]]/100)</f>
        <v>194.47781730769231</v>
      </c>
      <c r="AB51" s="69">
        <f>Table2[[#This Row],[Raw Score]]/SUM(Table2[Raw Score])</f>
        <v>1.5112091777829699E-2</v>
      </c>
      <c r="AC51" s="70">
        <v>6</v>
      </c>
      <c r="AD51" s="68">
        <f>Table2[[#This Row],[Raw Score]]+Table2[[#This Row],[Rating]]/AVERAGE(Table2[Rating])*50 -Table2[[#This Row],[% Up]]*100</f>
        <v>183.7874418201983</v>
      </c>
      <c r="AE51" s="71">
        <f>Table2[[#This Row],[TK Score]]/SUM(Table2[TK Score])</f>
        <v>1.1059897206415422E-2</v>
      </c>
      <c r="AF51" s="72">
        <f>Table2[[#This Row],[Weight (%)]]*$D$101</f>
        <v>16.589845809623132</v>
      </c>
    </row>
    <row r="52" spans="1:32" x14ac:dyDescent="0.25">
      <c r="A52" s="4" t="e" vm="53">
        <v>#VALUE!</v>
      </c>
      <c r="B52" s="4" t="s">
        <v>153</v>
      </c>
      <c r="C52" s="4" t="s">
        <v>165</v>
      </c>
      <c r="D52" s="4" t="str" cm="1">
        <f t="array" ref="D52">_FV(Table2[[#This Row],[Data]],"Exchange")</f>
        <v>New York Stock Exchange</v>
      </c>
      <c r="E52" t="s">
        <v>238</v>
      </c>
      <c r="F52" s="58" cm="1">
        <f t="array" ref="F52">_FV(Table2[[#This Row],[Data]],"Market cap",TRUE)/1000000</f>
        <v>274707.72736000002</v>
      </c>
      <c r="G52" s="59" cm="1">
        <f t="array" ref="G52">_FV(Table2[[#This Row],[Data]],"Price")</f>
        <v>48.64</v>
      </c>
      <c r="H52">
        <v>3.8540000000000001</v>
      </c>
      <c r="I52" s="61" cm="1">
        <f t="array" ref="I52">_FV(Table2[[#This Row],[Data]],"P/E",TRUE)</f>
        <v>11.057600000000001</v>
      </c>
      <c r="J52" s="62"/>
      <c r="K52" s="62"/>
      <c r="L52" s="62" t="e">
        <f>Table2[[#This Row],[EV]]/Table2[[#This Row],[EBITDA]]</f>
        <v>#DIV/0!</v>
      </c>
      <c r="M52" s="63" cm="1">
        <f t="array" ref="M52">_FV(Table2[[#This Row],[Data]],"52 week low",TRUE)</f>
        <v>38.475000000000001</v>
      </c>
      <c r="N52" s="63" cm="1">
        <f t="array" ref="N52">_FV(Table2[[#This Row],[Data]],"52 week high",TRUE)</f>
        <v>61.71</v>
      </c>
      <c r="O52" s="64">
        <f>(Table2[[#This Row],[Close]]-Table2[[#This Row],[52Wk Lo]])/Table2[[#This Row],[52Wk Lo]]</f>
        <v>0.26419753086419751</v>
      </c>
      <c r="P52" s="65">
        <v>1849</v>
      </c>
      <c r="Q52" s="65">
        <f>2022-Table2[[#This Row],[Founded]]</f>
        <v>173</v>
      </c>
      <c r="R52" s="66">
        <v>37</v>
      </c>
      <c r="S52" s="66">
        <f>Table2[[#This Row],[Close]]</f>
        <v>48.64</v>
      </c>
      <c r="T52" s="67">
        <f>(S52-R52)/R52</f>
        <v>0.3145945945945946</v>
      </c>
      <c r="U52" s="66">
        <v>41</v>
      </c>
      <c r="V52" s="66">
        <f>Table2[[#This Row],[Close]]</f>
        <v>48.64</v>
      </c>
      <c r="W52" s="67">
        <f>(V52-U52)/U52</f>
        <v>0.18634146341463417</v>
      </c>
      <c r="X52" s="66">
        <v>31</v>
      </c>
      <c r="Y52" s="66">
        <f>Table2[[#This Row],[Close]]</f>
        <v>48.64</v>
      </c>
      <c r="Z52" s="67">
        <f>(Y52-X52)/X52</f>
        <v>0.56903225806451618</v>
      </c>
      <c r="AA52" s="68">
        <f>100*(Table2[[#This Row],[1Y Change]]*0.17 + Table2[[#This Row],[3Y Change]]*0.166 + Table2[[#This Row],[5Y Change]]*0.166 + (Table2[[#This Row],[3Y Change]]-Table2[[#This Row],[1Y Change]])*0.166 + (Table2[[#This Row],[5Y Change]]-Table2[[#This Row],[1Y Change]])*0.166 + (Table2[[#This Row],[5Y Change]]-Table2[[#This Row],[3Y Change]])*0.166 + Table2[[#This Row],[Age (Inc.)]]/100)</f>
        <v>199.3346423118634</v>
      </c>
      <c r="AB52" s="69">
        <f>Table2[[#This Row],[Raw Score]]/SUM(Table2[Raw Score])</f>
        <v>1.5489496184296105E-2</v>
      </c>
      <c r="AC52" s="70">
        <v>6</v>
      </c>
      <c r="AD52" s="68">
        <f>Table2[[#This Row],[Raw Score]]+Table2[[#This Row],[Rating]]/AVERAGE(Table2[Rating])*50 -Table2[[#This Row],[% Up]]*100</f>
        <v>211.6511529617074</v>
      </c>
      <c r="AE52" s="71">
        <f>Table2[[#This Row],[TK Score]]/SUM(Table2[TK Score])</f>
        <v>1.2736669993295112E-2</v>
      </c>
      <c r="AF52" s="72">
        <f>Table2[[#This Row],[Weight (%)]]*$D$101</f>
        <v>19.105004989942667</v>
      </c>
    </row>
    <row r="53" spans="1:32" x14ac:dyDescent="0.25">
      <c r="A53" s="4" t="e" vm="54">
        <v>#VALUE!</v>
      </c>
      <c r="B53" s="4" t="s">
        <v>52</v>
      </c>
      <c r="C53" s="4" t="s">
        <v>115</v>
      </c>
      <c r="D53" s="4" t="str" cm="1">
        <f t="array" ref="D53">_FV(Table2[[#This Row],[Data]],"Exchange")</f>
        <v>New York Stock Exchange</v>
      </c>
      <c r="E53" t="s">
        <v>238</v>
      </c>
      <c r="F53" s="58" cm="1">
        <f t="array" ref="F53">_FV(Table2[[#This Row],[Data]],"Market cap",TRUE)/1000000</f>
        <v>373354.60616999998</v>
      </c>
      <c r="G53" s="59" cm="1">
        <f t="array" ref="G53">_FV(Table2[[#This Row],[Data]],"Price")</f>
        <v>155.61000000000001</v>
      </c>
      <c r="H53">
        <v>5.72</v>
      </c>
      <c r="I53" s="61" cm="1">
        <f t="array" ref="I53">_FV(Table2[[#This Row],[Data]],"P/E",TRUE)</f>
        <v>27.261900000000001</v>
      </c>
      <c r="J53" s="62"/>
      <c r="K53" s="62"/>
      <c r="L53" s="62" t="e">
        <f>Table2[[#This Row],[EV]]/Table2[[#This Row],[EBITDA]]</f>
        <v>#DIV/0!</v>
      </c>
      <c r="M53" s="63" cm="1">
        <f t="array" ref="M53">_FV(Table2[[#This Row],[Data]],"52 week low",TRUE)</f>
        <v>131.94</v>
      </c>
      <c r="N53" s="63" cm="1">
        <f t="array" ref="N53">_FV(Table2[[#This Row],[Data]],"52 week high",TRUE)</f>
        <v>165.35</v>
      </c>
      <c r="O53" s="64">
        <f>(Table2[[#This Row],[Close]]-Table2[[#This Row],[52Wk Lo]])/Table2[[#This Row],[52Wk Lo]]</f>
        <v>0.17939972714870409</v>
      </c>
      <c r="P53" s="65">
        <v>1837</v>
      </c>
      <c r="Q53" s="65">
        <f>2022-Table2[[#This Row],[Founded]]</f>
        <v>185</v>
      </c>
      <c r="R53" s="66">
        <v>139</v>
      </c>
      <c r="S53" s="66">
        <f>Table2[[#This Row],[Close]]</f>
        <v>155.61000000000001</v>
      </c>
      <c r="T53" s="67">
        <f>(S53-R53)/R53</f>
        <v>0.11949640287769794</v>
      </c>
      <c r="U53" s="66">
        <v>91</v>
      </c>
      <c r="V53" s="66">
        <f>Table2[[#This Row],[Close]]</f>
        <v>155.61000000000001</v>
      </c>
      <c r="W53" s="67">
        <f>(V53-U53)/U53</f>
        <v>0.71000000000000019</v>
      </c>
      <c r="X53" s="66">
        <v>84</v>
      </c>
      <c r="Y53" s="66">
        <f>Table2[[#This Row],[Close]]</f>
        <v>155.61000000000001</v>
      </c>
      <c r="Z53" s="67">
        <f>(Y53-X53)/X53</f>
        <v>0.85250000000000015</v>
      </c>
      <c r="AA53" s="68">
        <f>100*(Table2[[#This Row],[1Y Change]]*0.17 + Table2[[#This Row],[3Y Change]]*0.166 + Table2[[#This Row],[5Y Change]]*0.166 + (Table2[[#This Row],[3Y Change]]-Table2[[#This Row],[1Y Change]])*0.166 + (Table2[[#This Row],[5Y Change]]-Table2[[#This Row],[1Y Change]])*0.166 + (Table2[[#This Row],[5Y Change]]-Table2[[#This Row],[3Y Change]])*0.166 + Table2[[#This Row],[Age (Inc.)]]/100)</f>
        <v>237.30465827338131</v>
      </c>
      <c r="AB53" s="69">
        <f>Table2[[#This Row],[Raw Score]]/SUM(Table2[Raw Score])</f>
        <v>1.8439993952935042E-2</v>
      </c>
      <c r="AC53" s="70">
        <v>8</v>
      </c>
      <c r="AD53" s="68">
        <f>Table2[[#This Row],[Raw Score]]+Table2[[#This Row],[Rating]]/AVERAGE(Table2[Rating])*50 -Table2[[#This Row],[% Up]]*100</f>
        <v>271.01303720686252</v>
      </c>
      <c r="AE53" s="71">
        <f>Table2[[#This Row],[TK Score]]/SUM(Table2[TK Score])</f>
        <v>1.6308928963920784E-2</v>
      </c>
      <c r="AF53" s="72">
        <f>Table2[[#This Row],[Weight (%)]]*$D$101</f>
        <v>24.463393445881177</v>
      </c>
    </row>
    <row r="54" spans="1:32" x14ac:dyDescent="0.25">
      <c r="A54" s="4" t="e" vm="55">
        <v>#VALUE!</v>
      </c>
      <c r="B54" s="4" t="s">
        <v>16</v>
      </c>
      <c r="C54" s="4" t="s">
        <v>116</v>
      </c>
      <c r="D54" s="4" t="str" cm="1">
        <f t="array" ref="D54">_FV(Table2[[#This Row],[Data]],"Exchange")</f>
        <v>Nasdaq Stock Market</v>
      </c>
      <c r="E54" t="s">
        <v>235</v>
      </c>
      <c r="F54" s="58" cm="1">
        <f t="array" ref="F54">_FV(Table2[[#This Row],[Data]],"Market cap",TRUE)/1000000</f>
        <v>4685.5108259999997</v>
      </c>
      <c r="G54" s="59" cm="1">
        <f t="array" ref="G54">_FV(Table2[[#This Row],[Data]],"Price")</f>
        <v>14.13</v>
      </c>
      <c r="H54">
        <v>-3.7559999999999998</v>
      </c>
      <c r="I54" s="61" cm="1">
        <f t="array" ref="I54">_FV(Table2[[#This Row],[Data]],"P/E",TRUE)</f>
        <v>170.41579999999999</v>
      </c>
      <c r="J54" s="62"/>
      <c r="K54" s="62"/>
      <c r="L54" s="62" t="e">
        <f>Table2[[#This Row],[EV]]/Table2[[#This Row],[EBITDA]]</f>
        <v>#DIV/0!</v>
      </c>
      <c r="M54" s="63" cm="1">
        <f t="array" ref="M54">_FV(Table2[[#This Row],[Data]],"52 week low",TRUE)</f>
        <v>14.06</v>
      </c>
      <c r="N54" s="63" cm="1">
        <f t="array" ref="N54">_FV(Table2[[#This Row],[Data]],"52 week high",TRUE)</f>
        <v>129.69999999999999</v>
      </c>
      <c r="O54" s="64">
        <f>(Table2[[#This Row],[Close]]-Table2[[#This Row],[52Wk Lo]])/Table2[[#This Row],[52Wk Lo]]</f>
        <v>4.9786628733997354E-3</v>
      </c>
      <c r="P54" s="65">
        <v>2012</v>
      </c>
      <c r="Q54" s="65">
        <f>2022-Table2[[#This Row],[Founded]]</f>
        <v>10</v>
      </c>
      <c r="R54" s="66">
        <v>151</v>
      </c>
      <c r="S54" s="66">
        <f>Table2[[#This Row],[Close]]</f>
        <v>14.13</v>
      </c>
      <c r="T54" s="67">
        <f>(S54-R54)/R54</f>
        <v>-0.90642384105960272</v>
      </c>
      <c r="U54" s="66">
        <v>27</v>
      </c>
      <c r="V54" s="66">
        <f>Table2[[#This Row],[Close]]</f>
        <v>14.13</v>
      </c>
      <c r="W54" s="67">
        <f>(V54-U54)/U54</f>
        <v>-0.47666666666666663</v>
      </c>
      <c r="X54" s="66">
        <v>27</v>
      </c>
      <c r="Y54" s="66">
        <f>Table2[[#This Row],[Close]]</f>
        <v>14.13</v>
      </c>
      <c r="Z54" s="67">
        <f>(Y54-X54)/X54</f>
        <v>-0.47666666666666663</v>
      </c>
      <c r="AA54" s="68">
        <f>100*(Table2[[#This Row],[1Y Change]]*0.17 + Table2[[#This Row],[3Y Change]]*0.166 + Table2[[#This Row],[5Y Change]]*0.166 + (Table2[[#This Row],[3Y Change]]-Table2[[#This Row],[1Y Change]])*0.166 + (Table2[[#This Row],[5Y Change]]-Table2[[#This Row],[1Y Change]])*0.166 + (Table2[[#This Row],[5Y Change]]-Table2[[#This Row],[3Y Change]])*0.166 + Table2[[#This Row],[Age (Inc.)]]/100)</f>
        <v>-6.9666004415011056</v>
      </c>
      <c r="AB54" s="69">
        <f>Table2[[#This Row],[Raw Score]]/SUM(Table2[Raw Score])</f>
        <v>-5.4134660039332626E-4</v>
      </c>
      <c r="AC54" s="70">
        <v>8</v>
      </c>
      <c r="AD54" s="68">
        <f>Table2[[#This Row],[Raw Score]]+Table2[[#This Row],[Rating]]/AVERAGE(Table2[Rating])*50 -Table2[[#This Row],[% Up]]*100</f>
        <v>44.183884919510561</v>
      </c>
      <c r="AE54" s="71">
        <f>Table2[[#This Row],[TK Score]]/SUM(Table2[TK Score])</f>
        <v>2.6588825686357123E-3</v>
      </c>
      <c r="AF54" s="72">
        <f>Table2[[#This Row],[Weight (%)]]*$D$101</f>
        <v>3.9883238529535685</v>
      </c>
    </row>
    <row r="55" spans="1:32" x14ac:dyDescent="0.25">
      <c r="A55" s="4" t="e" vm="56">
        <v>#VALUE!</v>
      </c>
      <c r="B55" s="4" t="s">
        <v>34</v>
      </c>
      <c r="C55" s="4" t="s">
        <v>117</v>
      </c>
      <c r="D55" s="4" t="str" cm="1">
        <f t="array" ref="D55">_FV(Table2[[#This Row],[Data]],"Exchange")</f>
        <v>Nasdaq Stock Market</v>
      </c>
      <c r="E55" t="s">
        <v>237</v>
      </c>
      <c r="F55" s="58" cm="1">
        <f t="array" ref="F55">_FV(Table2[[#This Row],[Data]],"Market cap",TRUE)/1000000</f>
        <v>92098.921199999997</v>
      </c>
      <c r="G55" s="59" cm="1">
        <f t="array" ref="G55">_FV(Table2[[#This Row],[Data]],"Price")</f>
        <v>79.53</v>
      </c>
      <c r="H55">
        <v>3.0329999999999999</v>
      </c>
      <c r="I55" s="61" cm="1">
        <f t="array" ref="I55">_FV(Table2[[#This Row],[Data]],"P/E",TRUE)</f>
        <v>26.997599999999998</v>
      </c>
      <c r="J55" s="62"/>
      <c r="K55" s="62"/>
      <c r="L55" s="62" t="e">
        <f>Table2[[#This Row],[EV]]/Table2[[#This Row],[EBITDA]]</f>
        <v>#DIV/0!</v>
      </c>
      <c r="M55" s="63" cm="1">
        <f t="array" ref="M55">_FV(Table2[[#This Row],[Data]],"52 week low",TRUE)</f>
        <v>78.849999999999994</v>
      </c>
      <c r="N55" s="63" cm="1">
        <f t="array" ref="N55">_FV(Table2[[#This Row],[Data]],"52 week high",TRUE)</f>
        <v>310.16000000000003</v>
      </c>
      <c r="O55" s="64">
        <f>(Table2[[#This Row],[Close]]-Table2[[#This Row],[52Wk Lo]])/Table2[[#This Row],[52Wk Lo]]</f>
        <v>8.6239695624604554E-3</v>
      </c>
      <c r="P55" s="65">
        <v>1998</v>
      </c>
      <c r="Q55" s="65">
        <f>2022-Table2[[#This Row],[Founded]]</f>
        <v>24</v>
      </c>
      <c r="R55" s="66">
        <v>232</v>
      </c>
      <c r="S55" s="66">
        <f>Table2[[#This Row],[Close]]</f>
        <v>79.53</v>
      </c>
      <c r="T55" s="67">
        <f>(S55-R55)/R55</f>
        <v>-0.65719827586206891</v>
      </c>
      <c r="U55" s="66">
        <v>84</v>
      </c>
      <c r="V55" s="66">
        <f>Table2[[#This Row],[Close]]</f>
        <v>79.53</v>
      </c>
      <c r="W55" s="67">
        <f>(V55-U55)/U55</f>
        <v>-5.32142857142857E-2</v>
      </c>
      <c r="X55" s="66">
        <v>40</v>
      </c>
      <c r="Y55" s="66">
        <f>Table2[[#This Row],[Close]]</f>
        <v>79.53</v>
      </c>
      <c r="Z55" s="67">
        <f>(Y55-X55)/X55</f>
        <v>0.98825000000000007</v>
      </c>
      <c r="AA55" s="68">
        <f>100*(Table2[[#This Row],[1Y Change]]*0.17 + Table2[[#This Row],[3Y Change]]*0.166 + Table2[[#This Row],[5Y Change]]*0.166 + (Table2[[#This Row],[3Y Change]]-Table2[[#This Row],[1Y Change]])*0.166 + (Table2[[#This Row],[5Y Change]]-Table2[[#This Row],[1Y Change]])*0.166 + (Table2[[#This Row],[5Y Change]]-Table2[[#This Row],[3Y Change]])*0.166 + Table2[[#This Row],[Age (Inc.)]]/100)</f>
        <v>82.978104926108372</v>
      </c>
      <c r="AB55" s="69">
        <f>Table2[[#This Row],[Raw Score]]/SUM(Table2[Raw Score])</f>
        <v>6.4478959839916567E-3</v>
      </c>
      <c r="AC55" s="70">
        <v>10</v>
      </c>
      <c r="AD55" s="68">
        <f>Table2[[#This Row],[Raw Score]]+Table2[[#This Row],[Rating]]/AVERAGE(Table2[Rating])*50 -Table2[[#This Row],[% Up]]*100</f>
        <v>146.6761475303019</v>
      </c>
      <c r="AE55" s="71">
        <f>Table2[[#This Row],[TK Score]]/SUM(Table2[TK Score])</f>
        <v>8.8266265543061693E-3</v>
      </c>
      <c r="AF55" s="72">
        <f>Table2[[#This Row],[Weight (%)]]*$D$101</f>
        <v>13.239939831459253</v>
      </c>
    </row>
    <row r="56" spans="1:32" x14ac:dyDescent="0.25">
      <c r="A56" s="4" t="e" vm="57">
        <v>#VALUE!</v>
      </c>
      <c r="B56" s="4" t="s">
        <v>50</v>
      </c>
      <c r="C56" s="4" t="s">
        <v>118</v>
      </c>
      <c r="D56" s="4" t="str" cm="1">
        <f t="array" ref="D56">_FV(Table2[[#This Row],[Data]],"Exchange")</f>
        <v>Nasdaq Stock Market</v>
      </c>
      <c r="E56" t="s">
        <v>235</v>
      </c>
      <c r="F56" s="58" cm="1">
        <f t="array" ref="F56">_FV(Table2[[#This Row],[Data]],"Market cap",TRUE)/1000000</f>
        <v>151110.39999999999</v>
      </c>
      <c r="G56" s="59" cm="1">
        <f t="array" ref="G56">_FV(Table2[[#This Row],[Data]],"Price")</f>
        <v>134.91999999999999</v>
      </c>
      <c r="H56">
        <v>9.76</v>
      </c>
      <c r="I56" s="61" cm="1">
        <f t="array" ref="I56">_FV(Table2[[#This Row],[Data]],"P/E",TRUE)</f>
        <v>14.391500000000001</v>
      </c>
      <c r="J56" s="62"/>
      <c r="K56" s="62"/>
      <c r="L56" s="62" t="e">
        <f>Table2[[#This Row],[EV]]/Table2[[#This Row],[EBITDA]]</f>
        <v>#DIV/0!</v>
      </c>
      <c r="M56" s="63" cm="1">
        <f t="array" ref="M56">_FV(Table2[[#This Row],[Data]],"52 week low",TRUE)</f>
        <v>122.16500000000001</v>
      </c>
      <c r="N56" s="63" cm="1">
        <f t="array" ref="N56">_FV(Table2[[#This Row],[Data]],"52 week high",TRUE)</f>
        <v>193.58</v>
      </c>
      <c r="O56" s="64">
        <f>(Table2[[#This Row],[Close]]-Table2[[#This Row],[52Wk Lo]])/Table2[[#This Row],[52Wk Lo]]</f>
        <v>0.10440797282364001</v>
      </c>
      <c r="P56" s="65">
        <v>1985</v>
      </c>
      <c r="Q56" s="65">
        <f>2022-Table2[[#This Row],[Founded]]</f>
        <v>37</v>
      </c>
      <c r="R56" s="66">
        <v>149</v>
      </c>
      <c r="S56" s="66">
        <f>Table2[[#This Row],[Close]]</f>
        <v>134.91999999999999</v>
      </c>
      <c r="T56" s="67">
        <f>(S56-R56)/R56</f>
        <v>-9.4496644295302093E-2</v>
      </c>
      <c r="U56" s="66">
        <v>57</v>
      </c>
      <c r="V56" s="66">
        <f>Table2[[#This Row],[Close]]</f>
        <v>134.91999999999999</v>
      </c>
      <c r="W56" s="67">
        <f>(V56-U56)/U56</f>
        <v>1.3670175438596488</v>
      </c>
      <c r="X56" s="66">
        <v>66</v>
      </c>
      <c r="Y56" s="66">
        <f>Table2[[#This Row],[Close]]</f>
        <v>134.91999999999999</v>
      </c>
      <c r="Z56" s="67">
        <f>(Y56-X56)/X56</f>
        <v>1.044242424242424</v>
      </c>
      <c r="AA56" s="68">
        <f>100*(Table2[[#This Row],[1Y Change]]*0.17 + Table2[[#This Row],[3Y Change]]*0.166 + Table2[[#This Row],[5Y Change]]*0.166 + (Table2[[#This Row],[3Y Change]]-Table2[[#This Row],[1Y Change]])*0.166 + (Table2[[#This Row],[5Y Change]]-Table2[[#This Row],[1Y Change]])*0.166 + (Table2[[#This Row],[5Y Change]]-Table2[[#This Row],[3Y Change]])*0.166 + Table2[[#This Row],[Age (Inc.)]]/100)</f>
        <v>113.22660959292679</v>
      </c>
      <c r="AB56" s="69">
        <f>Table2[[#This Row],[Raw Score]]/SUM(Table2[Raw Score])</f>
        <v>8.798386055277484E-3</v>
      </c>
      <c r="AC56" s="70">
        <v>4</v>
      </c>
      <c r="AD56" s="68">
        <f>Table2[[#This Row],[Raw Score]]+Table2[[#This Row],[Rating]]/AVERAGE(Table2[Rating])*50 -Table2[[#This Row],[% Up]]*100</f>
        <v>128.60998813473861</v>
      </c>
      <c r="AE56" s="71">
        <f>Table2[[#This Row],[TK Score]]/SUM(Table2[TK Score])</f>
        <v>7.7394474529988945E-3</v>
      </c>
      <c r="AF56" s="72">
        <f>Table2[[#This Row],[Weight (%)]]*$D$101</f>
        <v>11.609171179498341</v>
      </c>
    </row>
    <row r="57" spans="1:32" x14ac:dyDescent="0.25">
      <c r="A57" s="4" t="e" vm="58">
        <v>#VALUE!</v>
      </c>
      <c r="B57" s="4" t="s">
        <v>38</v>
      </c>
      <c r="C57" s="4" t="s">
        <v>119</v>
      </c>
      <c r="D57" s="4" t="s">
        <v>233</v>
      </c>
      <c r="E57" s="4"/>
      <c r="F57" s="58" cm="1">
        <f t="array" ref="F57">_FV(Table2[[#This Row],[Data]],"Market cap",TRUE)/1000000</f>
        <v>170052.36735173498</v>
      </c>
      <c r="G57" s="59" cm="1">
        <f t="array" ref="G57">_FV(Table2[[#This Row],[Data]],"Price")</f>
        <v>297.14999999999998</v>
      </c>
      <c r="H57" s="60" t="e" vm="8">
        <f>Table2[[#This Row],[Close]]/Table2[[#This Row],[P/E]]</f>
        <v>#VALUE!</v>
      </c>
      <c r="I57" s="74" t="e" cm="1" vm="9">
        <f t="array" ref="I57">_FV(Table2[[#This Row],[Data]],"P/E",TRUE)</f>
        <v>#VALUE!</v>
      </c>
      <c r="J57" s="62"/>
      <c r="K57" s="62"/>
      <c r="L57" s="62" t="e">
        <f>Table2[[#This Row],[EV]]/Table2[[#This Row],[EBITDA]]</f>
        <v>#DIV/0!</v>
      </c>
      <c r="M57" s="63" cm="1">
        <f t="array" ref="M57">_FV(Table2[[#This Row],[Data]],"52 week low",TRUE)</f>
        <v>295.72000000000003</v>
      </c>
      <c r="N57" s="63" cm="1">
        <f t="array" ref="N57">_FV(Table2[[#This Row],[Data]],"52 week high",TRUE)</f>
        <v>408.71</v>
      </c>
      <c r="O57" s="64">
        <f>(Table2[[#This Row],[Close]]-Table2[[#This Row],[52Wk Lo]])/Table2[[#This Row],[52Wk Lo]]</f>
        <v>4.8356553496549095E-3</v>
      </c>
      <c r="P57" s="65">
        <v>1935</v>
      </c>
      <c r="Q57" s="65">
        <f>2022-Table2[[#This Row],[Founded]]</f>
        <v>87</v>
      </c>
      <c r="R57" s="66">
        <v>314</v>
      </c>
      <c r="S57" s="66">
        <f>Table2[[#This Row],[Close]]</f>
        <v>297.14999999999998</v>
      </c>
      <c r="T57" s="67">
        <f>(S57-R57)/R57</f>
        <v>-5.3662420382165676E-2</v>
      </c>
      <c r="U57" s="66">
        <v>154</v>
      </c>
      <c r="V57" s="66">
        <f>Table2[[#This Row],[Close]]</f>
        <v>297.14999999999998</v>
      </c>
      <c r="W57" s="67">
        <f>(V57-U57)/U57</f>
        <v>0.92954545454545445</v>
      </c>
      <c r="X57" s="66">
        <v>119</v>
      </c>
      <c r="Y57" s="66">
        <f>Table2[[#This Row],[Close]]</f>
        <v>297.14999999999998</v>
      </c>
      <c r="Z57" s="67">
        <f>(Y57-X57)/X57</f>
        <v>1.4970588235294116</v>
      </c>
      <c r="AA57" s="68">
        <f>100*(Table2[[#This Row],[1Y Change]]*0.17 + Table2[[#This Row],[3Y Change]]*0.166 + Table2[[#This Row],[5Y Change]]*0.166 + (Table2[[#This Row],[3Y Change]]-Table2[[#This Row],[1Y Change]])*0.166 + (Table2[[#This Row],[5Y Change]]-Table2[[#This Row],[1Y Change]])*0.166 + (Table2[[#This Row],[5Y Change]]-Table2[[#This Row],[3Y Change]])*0.166 + Table2[[#This Row],[Age (Inc.)]]/100)</f>
        <v>177.85331516741033</v>
      </c>
      <c r="AB57" s="69">
        <f>Table2[[#This Row],[Raw Score]]/SUM(Table2[Raw Score])</f>
        <v>1.3820268342218103E-2</v>
      </c>
      <c r="AC57" s="70">
        <v>10</v>
      </c>
      <c r="AD57" s="68">
        <f>Table2[[#This Row],[Raw Score]]+Table2[[#This Row],[Rating]]/AVERAGE(Table2[Rating])*50 -Table2[[#This Row],[% Up]]*100</f>
        <v>241.9301891928844</v>
      </c>
      <c r="AE57" s="71">
        <f>Table2[[#This Row],[TK Score]]/SUM(Table2[TK Score])</f>
        <v>1.4558791379335006E-2</v>
      </c>
      <c r="AF57" s="72">
        <f>Table2[[#This Row],[Weight (%)]]*$D$101</f>
        <v>21.838187069002508</v>
      </c>
    </row>
    <row r="58" spans="1:32" x14ac:dyDescent="0.25">
      <c r="A58" s="4" t="e" vm="59">
        <v>#VALUE!</v>
      </c>
      <c r="B58" s="4" t="s">
        <v>41</v>
      </c>
      <c r="C58" s="4" t="s">
        <v>120</v>
      </c>
      <c r="D58" s="4" t="str" cm="1">
        <f t="array" ref="D58">_FV(Table2[[#This Row],[Data]],"Exchange")</f>
        <v>Nasdaq Stock Market</v>
      </c>
      <c r="E58" t="s">
        <v>238</v>
      </c>
      <c r="F58" s="58" cm="1">
        <f t="array" ref="F58">_FV(Table2[[#This Row],[Data]],"Market cap",TRUE)/1000000</f>
        <v>65882.455373999997</v>
      </c>
      <c r="G58" s="59" cm="1">
        <f t="array" ref="G58">_FV(Table2[[#This Row],[Data]],"Price")</f>
        <v>599.77</v>
      </c>
      <c r="H58">
        <v>71.97</v>
      </c>
      <c r="I58" s="61" cm="1">
        <f t="array" ref="I58">_FV(Table2[[#This Row],[Data]],"P/E",TRUE)</f>
        <v>8.8294999999999995</v>
      </c>
      <c r="J58" s="62"/>
      <c r="K58" s="62"/>
      <c r="L58" s="62" t="e">
        <f>Table2[[#This Row],[EV]]/Table2[[#This Row],[EBITDA]]</f>
        <v>#DIV/0!</v>
      </c>
      <c r="M58" s="63" cm="1">
        <f t="array" ref="M58">_FV(Table2[[#This Row],[Data]],"52 week low",TRUE)</f>
        <v>492.13</v>
      </c>
      <c r="N58" s="63" cm="1">
        <f t="array" ref="N58">_FV(Table2[[#This Row],[Data]],"52 week high",TRUE)</f>
        <v>747.42139999999995</v>
      </c>
      <c r="O58" s="64">
        <f>(Table2[[#This Row],[Close]]-Table2[[#This Row],[52Wk Lo]])/Table2[[#This Row],[52Wk Lo]]</f>
        <v>0.21872269522280696</v>
      </c>
      <c r="P58" s="65">
        <v>1988</v>
      </c>
      <c r="Q58" s="65">
        <f>2022-Table2[[#This Row],[Founded]]</f>
        <v>34</v>
      </c>
      <c r="R58" s="66">
        <v>487</v>
      </c>
      <c r="S58" s="66">
        <f>Table2[[#This Row],[Close]]</f>
        <v>599.77</v>
      </c>
      <c r="T58" s="67">
        <f>(S58-R58)/R58</f>
        <v>0.23156057494866525</v>
      </c>
      <c r="U58" s="66">
        <v>364</v>
      </c>
      <c r="V58" s="66">
        <f>Table2[[#This Row],[Close]]</f>
        <v>599.77</v>
      </c>
      <c r="W58" s="67">
        <f>(V58-U58)/U58</f>
        <v>0.64771978021978016</v>
      </c>
      <c r="X58" s="66">
        <v>370</v>
      </c>
      <c r="Y58" s="66">
        <f>Table2[[#This Row],[Close]]</f>
        <v>599.77</v>
      </c>
      <c r="Z58" s="67">
        <f>(Y58-X58)/X58</f>
        <v>0.621</v>
      </c>
      <c r="AA58" s="68">
        <f>100*(Table2[[#This Row],[1Y Change]]*0.17 + Table2[[#This Row],[3Y Change]]*0.166 + Table2[[#This Row],[5Y Change]]*0.166 + (Table2[[#This Row],[3Y Change]]-Table2[[#This Row],[1Y Change]])*0.166 + (Table2[[#This Row],[5Y Change]]-Table2[[#This Row],[1Y Change]])*0.166 + (Table2[[#This Row],[5Y Change]]-Table2[[#This Row],[3Y Change]])*0.166 + Table2[[#This Row],[Age (Inc.)]]/100)</f>
        <v>71.926667037479987</v>
      </c>
      <c r="AB58" s="69">
        <f>Table2[[#This Row],[Raw Score]]/SUM(Table2[Raw Score])</f>
        <v>5.589133036309547E-3</v>
      </c>
      <c r="AC58" s="70">
        <v>6</v>
      </c>
      <c r="AD58" s="68">
        <f>Table2[[#This Row],[Raw Score]]+Table2[[#This Row],[Rating]]/AVERAGE(Table2[Rating])*50 -Table2[[#This Row],[% Up]]*100</f>
        <v>88.790661251463035</v>
      </c>
      <c r="AE58" s="71">
        <f>Table2[[#This Row],[TK Score]]/SUM(Table2[TK Score])</f>
        <v>5.3432137506519792E-3</v>
      </c>
      <c r="AF58" s="72">
        <f>Table2[[#This Row],[Weight (%)]]*$D$101</f>
        <v>8.0148206259779684</v>
      </c>
    </row>
    <row r="59" spans="1:32" x14ac:dyDescent="0.25">
      <c r="A59" s="4" t="e" vm="60">
        <v>#VALUE!</v>
      </c>
      <c r="B59" s="4" t="s">
        <v>55</v>
      </c>
      <c r="C59" s="4" t="s">
        <v>121</v>
      </c>
      <c r="D59" s="4" t="str" cm="1">
        <f t="array" ref="D59">_FV(Table2[[#This Row],[Data]],"Exchange")</f>
        <v>New York Stock Exchange</v>
      </c>
      <c r="E59" t="s">
        <v>237</v>
      </c>
      <c r="F59" s="58" cm="1">
        <f t="array" ref="F59">_FV(Table2[[#This Row],[Data]],"Market cap",TRUE)/1000000</f>
        <v>2052.5677529999998</v>
      </c>
      <c r="G59" s="59" cm="1">
        <f t="array" ref="G59">_FV(Table2[[#This Row],[Data]],"Price")</f>
        <v>48.72</v>
      </c>
      <c r="H59">
        <v>-0.221</v>
      </c>
      <c r="I59" s="61" cm="1">
        <f t="array" ref="I59">_FV(Table2[[#This Row],[Data]],"P/E",TRUE)</f>
        <v>0</v>
      </c>
      <c r="J59" s="62"/>
      <c r="K59" s="62"/>
      <c r="L59" s="62" t="e">
        <f>Table2[[#This Row],[EV]]/Table2[[#This Row],[EBITDA]]</f>
        <v>#DIV/0!</v>
      </c>
      <c r="M59" s="63" cm="1">
        <f t="array" ref="M59">_FV(Table2[[#This Row],[Data]],"52 week low",TRUE)</f>
        <v>48.51</v>
      </c>
      <c r="N59" s="63" cm="1">
        <f t="array" ref="N59">_FV(Table2[[#This Row],[Data]],"52 week high",TRUE)</f>
        <v>111.49</v>
      </c>
      <c r="O59" s="64">
        <f>(Table2[[#This Row],[Close]]-Table2[[#This Row],[52Wk Lo]])/Table2[[#This Row],[52Wk Lo]]</f>
        <v>4.3290043290043463E-3</v>
      </c>
      <c r="P59" s="65">
        <v>2004</v>
      </c>
      <c r="Q59" s="65">
        <f>2022-Table2[[#This Row],[Founded]]</f>
        <v>18</v>
      </c>
      <c r="R59" s="66">
        <v>86</v>
      </c>
      <c r="S59" s="66">
        <f>Table2[[#This Row],[Close]]</f>
        <v>48.72</v>
      </c>
      <c r="T59" s="67">
        <f>(S59-R59)/R59</f>
        <v>-0.43348837209302327</v>
      </c>
      <c r="U59" s="66">
        <v>44</v>
      </c>
      <c r="V59" s="66">
        <f>Table2[[#This Row],[Close]]</f>
        <v>48.72</v>
      </c>
      <c r="W59" s="67">
        <f>(V59-U59)/U59</f>
        <v>0.10727272727272724</v>
      </c>
      <c r="X59" s="66">
        <v>36</v>
      </c>
      <c r="Y59" s="66">
        <f>Table2[[#This Row],[Close]]</f>
        <v>48.72</v>
      </c>
      <c r="Z59" s="67">
        <f>(Y59-X59)/X59</f>
        <v>0.35333333333333328</v>
      </c>
      <c r="AA59" s="68">
        <f>100*(Table2[[#This Row],[1Y Change]]*0.17 + Table2[[#This Row],[3Y Change]]*0.166 + Table2[[#This Row],[5Y Change]]*0.166 + (Table2[[#This Row],[3Y Change]]-Table2[[#This Row],[1Y Change]])*0.166 + (Table2[[#This Row],[5Y Change]]-Table2[[#This Row],[1Y Change]])*0.166 + (Table2[[#This Row],[5Y Change]]-Table2[[#This Row],[3Y Change]])*0.166 + Table2[[#This Row],[Age (Inc.)]]/100)</f>
        <v>44.399238900634245</v>
      </c>
      <c r="AB59" s="69">
        <f>Table2[[#This Row],[Raw Score]]/SUM(Table2[Raw Score])</f>
        <v>3.4500869169598199E-3</v>
      </c>
      <c r="AC59" s="70">
        <v>6</v>
      </c>
      <c r="AD59" s="68">
        <f>Table2[[#This Row],[Raw Score]]+Table2[[#This Row],[Rating]]/AVERAGE(Table2[Rating])*50 -Table2[[#This Row],[% Up]]*100</f>
        <v>82.702602203997543</v>
      </c>
      <c r="AE59" s="71">
        <f>Table2[[#This Row],[TK Score]]/SUM(Table2[TK Score])</f>
        <v>4.9768486356871122E-3</v>
      </c>
      <c r="AF59" s="72">
        <f>Table2[[#This Row],[Weight (%)]]*$D$101</f>
        <v>7.4652729535306683</v>
      </c>
    </row>
    <row r="60" spans="1:32" x14ac:dyDescent="0.25">
      <c r="A60" s="4" t="e" vm="61">
        <v>#VALUE!</v>
      </c>
      <c r="B60" s="4" t="s">
        <v>24</v>
      </c>
      <c r="C60" s="4" t="s">
        <v>122</v>
      </c>
      <c r="D60" s="4" t="str" cm="1">
        <f t="array" ref="D60">_FV(Table2[[#This Row],[Data]],"Exchange")</f>
        <v>New York Stock Exchange</v>
      </c>
      <c r="E60" t="s">
        <v>236</v>
      </c>
      <c r="F60" s="58" cm="1">
        <f t="array" ref="F60">_FV(Table2[[#This Row],[Data]],"Market cap",TRUE)/1000000</f>
        <v>42810.083888000001</v>
      </c>
      <c r="G60" s="59" cm="1">
        <f t="array" ref="G60">_FV(Table2[[#This Row],[Data]],"Price")</f>
        <v>340.04</v>
      </c>
      <c r="H60">
        <v>22.91</v>
      </c>
      <c r="I60" s="61" cm="1">
        <f t="array" ref="I60">_FV(Table2[[#This Row],[Data]],"P/E",TRUE)</f>
        <v>303.88830000000002</v>
      </c>
      <c r="J60" s="62"/>
      <c r="K60" s="62"/>
      <c r="L60" s="62" t="e">
        <f>Table2[[#This Row],[EV]]/Table2[[#This Row],[EBITDA]]</f>
        <v>#DIV/0!</v>
      </c>
      <c r="M60" s="63" cm="1">
        <f t="array" ref="M60">_FV(Table2[[#This Row],[Data]],"52 week low",TRUE)</f>
        <v>337.29</v>
      </c>
      <c r="N60" s="63" cm="1">
        <f t="array" ref="N60">_FV(Table2[[#This Row],[Data]],"52 week high",TRUE)</f>
        <v>1762.9184</v>
      </c>
      <c r="O60" s="64">
        <f>(Table2[[#This Row],[Close]]-Table2[[#This Row],[52Wk Lo]])/Table2[[#This Row],[52Wk Lo]]</f>
        <v>8.1532212636010546E-3</v>
      </c>
      <c r="P60" s="65">
        <v>2006</v>
      </c>
      <c r="Q60" s="65">
        <f>2022-Table2[[#This Row],[Founded]]</f>
        <v>16</v>
      </c>
      <c r="R60" s="66">
        <v>1180</v>
      </c>
      <c r="S60" s="66">
        <f>Table2[[#This Row],[Close]]</f>
        <v>340.04</v>
      </c>
      <c r="T60" s="67">
        <f>(S60-R60)/R60</f>
        <v>-0.7118305084745763</v>
      </c>
      <c r="U60" s="66">
        <v>135</v>
      </c>
      <c r="V60" s="66">
        <f>Table2[[#This Row],[Close]]</f>
        <v>340.04</v>
      </c>
      <c r="W60" s="67">
        <f>(V60-U60)/U60</f>
        <v>1.5188148148148151</v>
      </c>
      <c r="X60" s="66">
        <v>42</v>
      </c>
      <c r="Y60" s="66">
        <f>Table2[[#This Row],[Close]]</f>
        <v>340.04</v>
      </c>
      <c r="Z60" s="67">
        <f>(Y60-X60)/X60</f>
        <v>7.0961904761904764</v>
      </c>
      <c r="AA60" s="68">
        <f>100*(Table2[[#This Row],[1Y Change]]*0.17 + Table2[[#This Row],[3Y Change]]*0.166 + Table2[[#This Row],[5Y Change]]*0.166 + (Table2[[#This Row],[3Y Change]]-Table2[[#This Row],[1Y Change]])*0.166 + (Table2[[#This Row],[5Y Change]]-Table2[[#This Row],[1Y Change]])*0.166 + (Table2[[#This Row],[5Y Change]]-Table2[[#This Row],[3Y Change]])*0.166 + Table2[[#This Row],[Age (Inc.)]]/100)</f>
        <v>406.13426587749979</v>
      </c>
      <c r="AB60" s="69">
        <f>Table2[[#This Row],[Raw Score]]/SUM(Table2[Raw Score])</f>
        <v>3.1559066144555621E-2</v>
      </c>
      <c r="AC60" s="70">
        <v>8</v>
      </c>
      <c r="AD60" s="68">
        <f>Table2[[#This Row],[Raw Score]]+Table2[[#This Row],[Rating]]/AVERAGE(Table2[Rating])*50 -Table2[[#This Row],[% Up]]*100</f>
        <v>456.96729539949132</v>
      </c>
      <c r="AE60" s="71">
        <f>Table2[[#This Row],[TK Score]]/SUM(Table2[TK Score])</f>
        <v>2.7499220097728178E-2</v>
      </c>
      <c r="AF60" s="72">
        <f>Table2[[#This Row],[Weight (%)]]*$D$101</f>
        <v>41.248830146592269</v>
      </c>
    </row>
    <row r="61" spans="1:32" x14ac:dyDescent="0.25">
      <c r="A61" s="4" t="e" vm="62">
        <v>#VALUE!</v>
      </c>
      <c r="B61" s="4" t="s">
        <v>58</v>
      </c>
      <c r="C61" s="4" t="s">
        <v>123</v>
      </c>
      <c r="D61" s="4" t="str" cm="1">
        <f t="array" ref="D61">_FV(Table2[[#This Row],[Data]],"Exchange")</f>
        <v>NYSE Arca</v>
      </c>
      <c r="E61" s="4"/>
      <c r="F61" s="58" cm="1">
        <f t="array" ref="F61">_FV(Table2[[#This Row],[Data]],"Market cap",TRUE)/1000000</f>
        <v>2018.90029516</v>
      </c>
      <c r="G61" s="59" cm="1">
        <f t="array" ref="G61">_FV(Table2[[#This Row],[Data]],"Price")</f>
        <v>72.88</v>
      </c>
      <c r="H61" s="60" t="e" vm="8">
        <f>Table2[[#This Row],[Close]]/Table2[[#This Row],[P/E]]</f>
        <v>#VALUE!</v>
      </c>
      <c r="I61" s="74" t="e" cm="1" vm="9">
        <f t="array" ref="I61">_FV(Table2[[#This Row],[Data]],"P/E",TRUE)</f>
        <v>#VALUE!</v>
      </c>
      <c r="J61" s="62"/>
      <c r="K61" s="62"/>
      <c r="L61" s="62" t="e">
        <f>Table2[[#This Row],[EV]]/Table2[[#This Row],[EBITDA]]</f>
        <v>#DIV/0!</v>
      </c>
      <c r="M61" s="63" cm="1">
        <f t="array" ref="M61">_FV(Table2[[#This Row],[Data]],"52 week low",TRUE)</f>
        <v>72.540000000000006</v>
      </c>
      <c r="N61" s="63" cm="1">
        <f t="array" ref="N61">_FV(Table2[[#This Row],[Data]],"52 week high",TRUE)</f>
        <v>96.85</v>
      </c>
      <c r="O61" s="64">
        <f>(Table2[[#This Row],[Close]]-Table2[[#This Row],[52Wk Lo]])/Table2[[#This Row],[52Wk Lo]]</f>
        <v>4.6870692031980863E-3</v>
      </c>
      <c r="P61" s="65">
        <v>1860</v>
      </c>
      <c r="Q61" s="65">
        <f>2022-Table2[[#This Row],[Founded]]</f>
        <v>162</v>
      </c>
      <c r="R61" s="66">
        <v>76</v>
      </c>
      <c r="S61" s="66">
        <f>Table2[[#This Row],[Close]]</f>
        <v>72.88</v>
      </c>
      <c r="T61" s="67">
        <f>(S61-R61)/R61</f>
        <v>-4.1052631578947431E-2</v>
      </c>
      <c r="U61" s="66">
        <v>54</v>
      </c>
      <c r="V61" s="66">
        <f>Table2[[#This Row],[Close]]</f>
        <v>72.88</v>
      </c>
      <c r="W61" s="67">
        <f>(V61-U61)/U61</f>
        <v>0.34962962962962957</v>
      </c>
      <c r="X61" s="66">
        <v>53</v>
      </c>
      <c r="Y61" s="66">
        <f>Table2[[#This Row],[Close]]</f>
        <v>72.88</v>
      </c>
      <c r="Z61" s="67">
        <f>(Y61-X61)/X61</f>
        <v>0.37509433962264144</v>
      </c>
      <c r="AA61" s="68">
        <f>100*(Table2[[#This Row],[1Y Change]]*0.17 + Table2[[#This Row],[3Y Change]]*0.166 + Table2[[#This Row],[5Y Change]]*0.166 + (Table2[[#This Row],[3Y Change]]-Table2[[#This Row],[1Y Change]])*0.166 + (Table2[[#This Row],[5Y Change]]-Table2[[#This Row],[1Y Change]])*0.166 + (Table2[[#This Row],[5Y Change]]-Table2[[#This Row],[3Y Change]])*0.166 + Table2[[#This Row],[Age (Inc.)]]/100)</f>
        <v>187.14860259663837</v>
      </c>
      <c r="AB61" s="69">
        <f>Table2[[#This Row],[Raw Score]]/SUM(Table2[Raw Score])</f>
        <v>1.4542567875791923E-2</v>
      </c>
      <c r="AC61" s="70">
        <v>7</v>
      </c>
      <c r="AD61" s="68">
        <f>Table2[[#This Row],[Raw Score]]+Table2[[#This Row],[Rating]]/AVERAGE(Table2[Rating])*50 -Table2[[#This Row],[% Up]]*100</f>
        <v>231.87220336862626</v>
      </c>
      <c r="AE61" s="71">
        <f>Table2[[#This Row],[TK Score]]/SUM(Table2[TK Score])</f>
        <v>1.3953525381733785E-2</v>
      </c>
      <c r="AF61" s="72">
        <f>Table2[[#This Row],[Weight (%)]]*$D$101</f>
        <v>20.930288072600678</v>
      </c>
    </row>
    <row r="62" spans="1:32" x14ac:dyDescent="0.25">
      <c r="A62" s="4" t="e" vm="63">
        <v>#VALUE!</v>
      </c>
      <c r="B62" s="4" t="s">
        <v>32</v>
      </c>
      <c r="C62" s="4" t="s">
        <v>124</v>
      </c>
      <c r="D62" s="4" t="str" cm="1">
        <f t="array" ref="D62">_FV(Table2[[#This Row],[Data]],"Exchange")</f>
        <v>New York Stock Exchange</v>
      </c>
      <c r="E62" t="s">
        <v>236</v>
      </c>
      <c r="F62" s="58" cm="1">
        <f t="array" ref="F62">_FV(Table2[[#This Row],[Data]],"Market cap",TRUE)/1000000</f>
        <v>38273.61836</v>
      </c>
      <c r="G62" s="59" cm="1">
        <f t="array" ref="G62">_FV(Table2[[#This Row],[Data]],"Price")</f>
        <v>23.39</v>
      </c>
      <c r="H62">
        <v>-0.35299999999999998</v>
      </c>
      <c r="I62" s="61" cm="1">
        <f t="array" ref="I62">_FV(Table2[[#This Row],[Data]],"P/E",TRUE)</f>
        <v>0</v>
      </c>
      <c r="J62" s="62"/>
      <c r="K62" s="62"/>
      <c r="L62" s="62" t="e">
        <f>Table2[[#This Row],[EV]]/Table2[[#This Row],[EBITDA]]</f>
        <v>#DIV/0!</v>
      </c>
      <c r="M62" s="63" cm="1">
        <f t="array" ref="M62">_FV(Table2[[#This Row],[Data]],"52 week low",TRUE)</f>
        <v>23.18</v>
      </c>
      <c r="N62" s="63" cm="1">
        <f t="array" ref="N62">_FV(Table2[[#This Row],[Data]],"52 week high",TRUE)</f>
        <v>83.34</v>
      </c>
      <c r="O62" s="64">
        <f>(Table2[[#This Row],[Close]]-Table2[[#This Row],[52Wk Lo]])/Table2[[#This Row],[52Wk Lo]]</f>
        <v>9.0595340811044367E-3</v>
      </c>
      <c r="P62" s="65">
        <v>2011</v>
      </c>
      <c r="Q62" s="65">
        <f>2022-Table2[[#This Row],[Founded]]</f>
        <v>11</v>
      </c>
      <c r="R62" s="66">
        <v>51</v>
      </c>
      <c r="S62" s="66">
        <f>Table2[[#This Row],[Close]]</f>
        <v>23.39</v>
      </c>
      <c r="T62" s="67">
        <f>(S62-R62)/R62</f>
        <v>-0.54137254901960785</v>
      </c>
      <c r="U62" s="66">
        <v>6</v>
      </c>
      <c r="V62" s="66">
        <f>Table2[[#This Row],[Close]]</f>
        <v>23.39</v>
      </c>
      <c r="W62" s="67">
        <f>(V62-U62)/U62</f>
        <v>2.8983333333333334</v>
      </c>
      <c r="X62" s="66">
        <v>24</v>
      </c>
      <c r="Y62" s="66">
        <f>Table2[[#This Row],[Close]]</f>
        <v>23.39</v>
      </c>
      <c r="Z62" s="67">
        <f>(Y62-X62)/X62</f>
        <v>-2.5416666666666643E-2</v>
      </c>
      <c r="AA62" s="68">
        <f>100*(Table2[[#This Row],[1Y Change]]*0.17 + Table2[[#This Row],[3Y Change]]*0.166 + Table2[[#This Row],[5Y Change]]*0.166 + (Table2[[#This Row],[3Y Change]]-Table2[[#This Row],[1Y Change]])*0.166 + (Table2[[#This Row],[5Y Change]]-Table2[[#This Row],[1Y Change]])*0.166 + (Table2[[#This Row],[5Y Change]]-Table2[[#This Row],[3Y Change]])*0.166 + Table2[[#This Row],[Age (Inc.)]]/100)</f>
        <v>66.616818627450982</v>
      </c>
      <c r="AB62" s="69">
        <f>Table2[[#This Row],[Raw Score]]/SUM(Table2[Raw Score])</f>
        <v>5.1765259965474474E-3</v>
      </c>
      <c r="AC62" s="70">
        <v>5</v>
      </c>
      <c r="AD62" s="68">
        <f>Table2[[#This Row],[Raw Score]]+Table2[[#This Row],[Rating]]/AVERAGE(Table2[Rating])*50 -Table2[[#This Row],[% Up]]*100</f>
        <v>97.991084999560314</v>
      </c>
      <c r="AE62" s="71">
        <f>Table2[[#This Row],[TK Score]]/SUM(Table2[TK Score])</f>
        <v>5.8968736737764777E-3</v>
      </c>
      <c r="AF62" s="72">
        <f>Table2[[#This Row],[Weight (%)]]*$D$101</f>
        <v>8.8453105106647172</v>
      </c>
    </row>
    <row r="63" spans="1:32" x14ac:dyDescent="0.25">
      <c r="A63" s="4" t="e" vm="64">
        <v>#VALUE!</v>
      </c>
      <c r="B63" s="4" t="s">
        <v>5</v>
      </c>
      <c r="C63" s="4" t="s">
        <v>125</v>
      </c>
      <c r="D63" s="4" t="str" cm="1">
        <f t="array" ref="D63">_FV(Table2[[#This Row],[Data]],"Exchange")</f>
        <v>New York Stock Exchange</v>
      </c>
      <c r="E63" t="s">
        <v>235</v>
      </c>
      <c r="F63" s="58" cm="1">
        <f t="array" ref="F63">_FV(Table2[[#This Row],[Data]],"Market cap",TRUE)/1000000</f>
        <v>107666.3</v>
      </c>
      <c r="G63" s="59" cm="1">
        <f t="array" ref="G63">_FV(Table2[[#This Row],[Data]],"Price")</f>
        <v>80.84</v>
      </c>
      <c r="H63">
        <v>5.99</v>
      </c>
      <c r="I63" s="61" cm="1">
        <f t="array" ref="I63">_FV(Table2[[#This Row],[Data]],"P/E",TRUE)</f>
        <v>13.6396</v>
      </c>
      <c r="J63" s="62"/>
      <c r="K63" s="62"/>
      <c r="L63" s="62" t="e">
        <f>Table2[[#This Row],[EV]]/Table2[[#This Row],[EBITDA]]</f>
        <v>#DIV/0!</v>
      </c>
      <c r="M63" s="63" cm="1">
        <f t="array" ref="M63">_FV(Table2[[#This Row],[Data]],"52 week low",TRUE)</f>
        <v>80.53</v>
      </c>
      <c r="N63" s="63" cm="1">
        <f t="array" ref="N63">_FV(Table2[[#This Row],[Data]],"52 week high",TRUE)</f>
        <v>133.75</v>
      </c>
      <c r="O63" s="64">
        <f>(Table2[[#This Row],[Close]]-Table2[[#This Row],[52Wk Lo]])/Table2[[#This Row],[52Wk Lo]]</f>
        <v>3.8494970818328854E-3</v>
      </c>
      <c r="P63" s="65">
        <v>1946</v>
      </c>
      <c r="Q63" s="65">
        <f>2022-Table2[[#This Row],[Founded]]</f>
        <v>76</v>
      </c>
      <c r="R63" s="66">
        <v>100</v>
      </c>
      <c r="S63" s="66">
        <f>Table2[[#This Row],[Close]]</f>
        <v>80.84</v>
      </c>
      <c r="T63" s="67">
        <f>(S63-R63)/R63</f>
        <v>-0.19159999999999996</v>
      </c>
      <c r="U63" s="66">
        <v>49</v>
      </c>
      <c r="V63" s="66">
        <f>Table2[[#This Row],[Close]]</f>
        <v>80.84</v>
      </c>
      <c r="W63" s="67">
        <f>(V63-U63)/U63</f>
        <v>0.64979591836734696</v>
      </c>
      <c r="X63" s="66">
        <v>28</v>
      </c>
      <c r="Y63" s="66">
        <f>Table2[[#This Row],[Close]]</f>
        <v>80.84</v>
      </c>
      <c r="Z63" s="67">
        <f>(Y63-X63)/X63</f>
        <v>1.8871428571428572</v>
      </c>
      <c r="AA63" s="68">
        <f>100*(Table2[[#This Row],[1Y Change]]*0.17 + Table2[[#This Row],[3Y Change]]*0.166 + Table2[[#This Row],[5Y Change]]*0.166 + (Table2[[#This Row],[3Y Change]]-Table2[[#This Row],[1Y Change]])*0.166 + (Table2[[#This Row],[5Y Change]]-Table2[[#This Row],[1Y Change]])*0.166 + (Table2[[#This Row],[5Y Change]]-Table2[[#This Row],[3Y Change]])*0.166 + Table2[[#This Row],[Age (Inc.)]]/100)</f>
        <v>183.87024653061223</v>
      </c>
      <c r="AB63" s="69">
        <f>Table2[[#This Row],[Raw Score]]/SUM(Table2[Raw Score])</f>
        <v>1.4287819964507996E-2</v>
      </c>
      <c r="AC63" s="70">
        <v>8</v>
      </c>
      <c r="AD63" s="68">
        <f>Table2[[#This Row],[Raw Score]]+Table2[[#This Row],[Rating]]/AVERAGE(Table2[Rating])*50 -Table2[[#This Row],[% Up]]*100</f>
        <v>235.1336484707806</v>
      </c>
      <c r="AE63" s="71">
        <f>Table2[[#This Row],[TK Score]]/SUM(Table2[TK Score])</f>
        <v>1.4149791498814205E-2</v>
      </c>
      <c r="AF63" s="72">
        <f>Table2[[#This Row],[Weight (%)]]*$D$101</f>
        <v>21.224687248221308</v>
      </c>
    </row>
    <row r="64" spans="1:32" x14ac:dyDescent="0.25">
      <c r="A64" s="4" t="e" vm="65">
        <v>#VALUE!</v>
      </c>
      <c r="B64" s="4" t="s">
        <v>65</v>
      </c>
      <c r="C64" s="4" t="s">
        <v>126</v>
      </c>
      <c r="D64" s="4" t="str" cm="1">
        <f t="array" ref="D64">_FV(Table2[[#This Row],[Data]],"Exchange")</f>
        <v>New York Stock Exchange</v>
      </c>
      <c r="E64" t="s">
        <v>241</v>
      </c>
      <c r="F64" s="58" cm="1">
        <f t="array" ref="F64">_FV(Table2[[#This Row],[Data]],"Market cap",TRUE)/1000000</f>
        <v>1569.6413</v>
      </c>
      <c r="G64" s="59" cm="1">
        <f t="array" ref="G64">_FV(Table2[[#This Row],[Data]],"Price")</f>
        <v>6.07</v>
      </c>
      <c r="H64">
        <v>-1.43</v>
      </c>
      <c r="I64" s="61" cm="1">
        <f t="array" ref="I64">_FV(Table2[[#This Row],[Data]],"P/E",TRUE)</f>
        <v>0</v>
      </c>
      <c r="J64" s="62"/>
      <c r="K64" s="62"/>
      <c r="L64" s="62" t="e">
        <f>Table2[[#This Row],[EV]]/Table2[[#This Row],[EBITDA]]</f>
        <v>#DIV/0!</v>
      </c>
      <c r="M64" s="63" cm="1">
        <f t="array" ref="M64">_FV(Table2[[#This Row],[Data]],"52 week low",TRUE)</f>
        <v>6.06</v>
      </c>
      <c r="N64" s="63" cm="1">
        <f t="array" ref="N64">_FV(Table2[[#This Row],[Data]],"52 week high",TRUE)</f>
        <v>57.509500000000003</v>
      </c>
      <c r="O64" s="64">
        <f>(Table2[[#This Row],[Close]]-Table2[[#This Row],[52Wk Lo]])/Table2[[#This Row],[52Wk Lo]]</f>
        <v>1.6501650165017616E-3</v>
      </c>
      <c r="P64" s="65">
        <v>2004</v>
      </c>
      <c r="Q64" s="65">
        <f>2022-Table2[[#This Row],[Founded]]</f>
        <v>18</v>
      </c>
      <c r="R64" s="66">
        <v>24</v>
      </c>
      <c r="S64" s="66">
        <f>Table2[[#This Row],[Close]]</f>
        <v>6.07</v>
      </c>
      <c r="T64" s="67">
        <f>(S64-R64)/R64</f>
        <v>-0.74708333333333332</v>
      </c>
      <c r="U64" s="66">
        <v>10</v>
      </c>
      <c r="V64" s="66">
        <f>Table2[[#This Row],[Close]]</f>
        <v>6.07</v>
      </c>
      <c r="W64" s="67">
        <f>(V64-U64)/U64</f>
        <v>-0.39299999999999996</v>
      </c>
      <c r="X64" s="66">
        <v>11</v>
      </c>
      <c r="Y64" s="66">
        <f>Table2[[#This Row],[Close]]</f>
        <v>6.07</v>
      </c>
      <c r="Z64" s="67">
        <f>(Y64-X64)/X64</f>
        <v>-0.44818181818181818</v>
      </c>
      <c r="AA64" s="68">
        <f>100*(Table2[[#This Row],[1Y Change]]*0.17 + Table2[[#This Row],[3Y Change]]*0.166 + Table2[[#This Row],[5Y Change]]*0.166 + (Table2[[#This Row],[3Y Change]]-Table2[[#This Row],[1Y Change]])*0.166 + (Table2[[#This Row],[5Y Change]]-Table2[[#This Row],[1Y Change]])*0.166 + (Table2[[#This Row],[5Y Change]]-Table2[[#This Row],[3Y Change]])*0.166 + Table2[[#This Row],[Age (Inc.)]]/100)</f>
        <v>1.2594954545454562</v>
      </c>
      <c r="AB64" s="69">
        <f>Table2[[#This Row],[Raw Score]]/SUM(Table2[Raw Score])</f>
        <v>9.7870344116091738E-5</v>
      </c>
      <c r="AC64" s="70">
        <v>7</v>
      </c>
      <c r="AD64" s="68">
        <f>Table2[[#This Row],[Raw Score]]+Table2[[#This Row],[Rating]]/AVERAGE(Table2[Rating])*50 -Table2[[#This Row],[% Up]]*100</f>
        <v>46.286786645202973</v>
      </c>
      <c r="AE64" s="71">
        <f>Table2[[#This Row],[TK Score]]/SUM(Table2[TK Score])</f>
        <v>2.7854302624879678E-3</v>
      </c>
      <c r="AF64" s="72">
        <f>Table2[[#This Row],[Weight (%)]]*$D$101</f>
        <v>4.1781453937319517</v>
      </c>
    </row>
    <row r="65" spans="1:32" x14ac:dyDescent="0.25">
      <c r="A65" s="4" t="e" vm="66">
        <v>#VALUE!</v>
      </c>
      <c r="B65" s="4" t="s">
        <v>13</v>
      </c>
      <c r="C65" s="4" t="s">
        <v>127</v>
      </c>
      <c r="D65" s="4" t="str" cm="1">
        <f t="array" ref="D65">_FV(Table2[[#This Row],[Data]],"Exchange")</f>
        <v>New York Stock Exchange</v>
      </c>
      <c r="E65" t="s">
        <v>236</v>
      </c>
      <c r="F65" s="58" cm="1">
        <f t="array" ref="F65">_FV(Table2[[#This Row],[Data]],"Market cap",TRUE)/1000000</f>
        <v>18146.815992</v>
      </c>
      <c r="G65" s="59" cm="1">
        <f t="array" ref="G65">_FV(Table2[[#This Row],[Data]],"Price")</f>
        <v>94.44</v>
      </c>
      <c r="H65">
        <v>-0.59299999999999997</v>
      </c>
      <c r="I65" s="61" cm="1">
        <f t="array" ref="I65">_FV(Table2[[#This Row],[Data]],"P/E",TRUE)</f>
        <v>257.63780000000003</v>
      </c>
      <c r="J65" s="62"/>
      <c r="K65" s="62"/>
      <c r="L65" s="62" t="e">
        <f>Table2[[#This Row],[EV]]/Table2[[#This Row],[EBITDA]]</f>
        <v>#DIV/0!</v>
      </c>
      <c r="M65" s="63" cm="1">
        <f t="array" ref="M65">_FV(Table2[[#This Row],[Data]],"52 week low",TRUE)</f>
        <v>93.52</v>
      </c>
      <c r="N65" s="63" cm="1">
        <f t="array" ref="N65">_FV(Table2[[#This Row],[Data]],"52 week high",TRUE)</f>
        <v>305.60000000000002</v>
      </c>
      <c r="O65" s="64">
        <f>(Table2[[#This Row],[Close]]-Table2[[#This Row],[52Wk Lo]])/Table2[[#This Row],[52Wk Lo]]</f>
        <v>9.8374679213002747E-3</v>
      </c>
      <c r="P65" s="65">
        <v>2006</v>
      </c>
      <c r="Q65" s="65">
        <f>2022-Table2[[#This Row],[Founded]]</f>
        <v>16</v>
      </c>
      <c r="R65" s="66">
        <v>324</v>
      </c>
      <c r="S65" s="66">
        <f>Table2[[#This Row],[Close]]</f>
        <v>94.44</v>
      </c>
      <c r="T65" s="67">
        <f>(S65-R65)/R65</f>
        <v>-0.70851851851851855</v>
      </c>
      <c r="U65" s="66">
        <v>114</v>
      </c>
      <c r="V65" s="66">
        <f>Table2[[#This Row],[Close]]</f>
        <v>94.44</v>
      </c>
      <c r="W65" s="67">
        <f>(V65-U65)/U65</f>
        <v>-0.17157894736842108</v>
      </c>
      <c r="X65" s="66">
        <v>166</v>
      </c>
      <c r="Y65" s="66">
        <f>Table2[[#This Row],[Close]]</f>
        <v>94.44</v>
      </c>
      <c r="Z65" s="67">
        <f>(Y65-X65)/X65</f>
        <v>-0.43108433734939761</v>
      </c>
      <c r="AA65" s="68">
        <f>100*(Table2[[#This Row],[1Y Change]]*0.17 + Table2[[#This Row],[3Y Change]]*0.166 + Table2[[#This Row],[5Y Change]]*0.166 + (Table2[[#This Row],[3Y Change]]-Table2[[#This Row],[1Y Change]])*0.166 + (Table2[[#This Row],[5Y Change]]-Table2[[#This Row],[1Y Change]])*0.166 + (Table2[[#This Row],[5Y Change]]-Table2[[#This Row],[3Y Change]])*0.166 + Table2[[#This Row],[Age (Inc.)]]/100)</f>
        <v>3.1617894736842094</v>
      </c>
      <c r="AB65" s="69">
        <f>Table2[[#This Row],[Raw Score]]/SUM(Table2[Raw Score])</f>
        <v>2.4568998855481141E-4</v>
      </c>
      <c r="AC65" s="70">
        <v>8</v>
      </c>
      <c r="AD65" s="68">
        <f>Table2[[#This Row],[Raw Score]]+Table2[[#This Row],[Rating]]/AVERAGE(Table2[Rating])*50 -Table2[[#This Row],[% Up]]*100</f>
        <v>53.826394329905824</v>
      </c>
      <c r="AE65" s="71">
        <f>Table2[[#This Row],[TK Score]]/SUM(Table2[TK Score])</f>
        <v>3.2391461700802407E-3</v>
      </c>
      <c r="AF65" s="72">
        <f>Table2[[#This Row],[Weight (%)]]*$D$101</f>
        <v>4.8587192551203611</v>
      </c>
    </row>
    <row r="66" spans="1:32" x14ac:dyDescent="0.25">
      <c r="A66" s="4" t="e" vm="67">
        <v>#VALUE!</v>
      </c>
      <c r="B66" s="4" t="s">
        <v>0</v>
      </c>
      <c r="C66" s="4" t="s">
        <v>128</v>
      </c>
      <c r="D66" s="4" t="str" cm="1">
        <f t="array" ref="D66">_FV(Table2[[#This Row],[Data]],"Exchange")</f>
        <v>NYSE Arca</v>
      </c>
      <c r="E66" s="4"/>
      <c r="F66" s="58" cm="1">
        <f t="array" ref="F66">_FV(Table2[[#This Row],[Data]],"Market cap",TRUE)/1000000</f>
        <v>371019.01574565005</v>
      </c>
      <c r="G66" s="59" cm="1">
        <f t="array" ref="G66">_FV(Table2[[#This Row],[Data]],"Price")</f>
        <v>398.17</v>
      </c>
      <c r="H66" s="60" t="e" vm="8">
        <f>Table2[[#This Row],[Close]]/Table2[[#This Row],[P/E]]</f>
        <v>#VALUE!</v>
      </c>
      <c r="I66" s="74" t="e" cm="1" vm="9">
        <f t="array" ref="I66">_FV(Table2[[#This Row],[Data]],"P/E",TRUE)</f>
        <v>#VALUE!</v>
      </c>
      <c r="J66" s="62"/>
      <c r="K66" s="62"/>
      <c r="L66" s="62" t="e">
        <f>Table2[[#This Row],[EV]]/Table2[[#This Row],[EBITDA]]</f>
        <v>#DIV/0!</v>
      </c>
      <c r="M66" s="63" cm="1">
        <f t="array" ref="M66">_FV(Table2[[#This Row],[Data]],"52 week low",TRUE)</f>
        <v>396.5</v>
      </c>
      <c r="N66" s="63" cm="1">
        <f t="array" ref="N66">_FV(Table2[[#This Row],[Data]],"52 week high",TRUE)</f>
        <v>479.98</v>
      </c>
      <c r="O66" s="64">
        <f>(Table2[[#This Row],[Close]]-Table2[[#This Row],[52Wk Lo]])/Table2[[#This Row],[52Wk Lo]]</f>
        <v>4.2118537200504817E-3</v>
      </c>
      <c r="P66" s="65">
        <v>1860</v>
      </c>
      <c r="Q66" s="65">
        <f>2022-Table2[[#This Row],[Founded]]</f>
        <v>162</v>
      </c>
      <c r="R66" s="66">
        <v>372</v>
      </c>
      <c r="S66" s="66">
        <f>Table2[[#This Row],[Close]]</f>
        <v>398.17</v>
      </c>
      <c r="T66" s="67">
        <f>(S66-R66)/R66</f>
        <v>7.0349462365591447E-2</v>
      </c>
      <c r="U66" s="66">
        <v>249</v>
      </c>
      <c r="V66" s="66">
        <f>Table2[[#This Row],[Close]]</f>
        <v>398.17</v>
      </c>
      <c r="W66" s="67">
        <f>(V66-U66)/U66</f>
        <v>0.59907630522088362</v>
      </c>
      <c r="X66" s="66">
        <v>225</v>
      </c>
      <c r="Y66" s="66">
        <f>Table2[[#This Row],[Close]]</f>
        <v>398.17</v>
      </c>
      <c r="Z66" s="67">
        <f>(Y66-X66)/X66</f>
        <v>0.76964444444444446</v>
      </c>
      <c r="AA66" s="68">
        <f>100*(Table2[[#This Row],[1Y Change]]*0.17 + Table2[[#This Row],[3Y Change]]*0.166 + Table2[[#This Row],[5Y Change]]*0.166 + (Table2[[#This Row],[3Y Change]]-Table2[[#This Row],[1Y Change]])*0.166 + (Table2[[#This Row],[5Y Change]]-Table2[[#This Row],[1Y Change]])*0.166 + (Table2[[#This Row],[5Y Change]]-Table2[[#This Row],[3Y Change]])*0.166 + Table2[[#This Row],[Age (Inc.)]]/100)</f>
        <v>209.13329870967746</v>
      </c>
      <c r="AB66" s="69">
        <f>Table2[[#This Row],[Raw Score]]/SUM(Table2[Raw Score])</f>
        <v>1.6250910503076241E-2</v>
      </c>
      <c r="AC66" s="70">
        <v>10</v>
      </c>
      <c r="AD66" s="68">
        <f>Table2[[#This Row],[Raw Score]]+Table2[[#This Row],[Rating]]/AVERAGE(Table2[Rating])*50 -Table2[[#This Row],[% Up]]*100</f>
        <v>273.272552898112</v>
      </c>
      <c r="AE66" s="71">
        <f>Table2[[#This Row],[TK Score]]/SUM(Table2[TK Score])</f>
        <v>1.6444901318908727E-2</v>
      </c>
      <c r="AF66" s="72">
        <f>Table2[[#This Row],[Weight (%)]]*$D$101</f>
        <v>24.66735197836309</v>
      </c>
    </row>
    <row r="67" spans="1:32" x14ac:dyDescent="0.25">
      <c r="A67" s="4" t="e" vm="68">
        <v>#VALUE!</v>
      </c>
      <c r="B67" s="4" t="s">
        <v>46</v>
      </c>
      <c r="C67" s="4" t="s">
        <v>129</v>
      </c>
      <c r="D67" s="4" t="str" cm="1">
        <f t="array" ref="D67">_FV(Table2[[#This Row],[Data]],"Exchange")</f>
        <v>NYSE Arca</v>
      </c>
      <c r="E67" s="4"/>
      <c r="F67" s="58" cm="1">
        <f t="array" ref="F67">_FV(Table2[[#This Row],[Data]],"Market cap",TRUE)/1000000</f>
        <v>12538.25541498</v>
      </c>
      <c r="G67" s="59" cm="1">
        <f t="array" ref="G67">_FV(Table2[[#This Row],[Data]],"Price")</f>
        <v>55.09</v>
      </c>
      <c r="H67" s="60" t="e" vm="8">
        <f>Table2[[#This Row],[Close]]/Table2[[#This Row],[P/E]]</f>
        <v>#VALUE!</v>
      </c>
      <c r="I67" s="74" t="e" cm="1" vm="9">
        <f t="array" ref="I67">_FV(Table2[[#This Row],[Data]],"P/E",TRUE)</f>
        <v>#VALUE!</v>
      </c>
      <c r="J67" s="62"/>
      <c r="K67" s="62"/>
      <c r="L67" s="62" t="e">
        <f>Table2[[#This Row],[EV]]/Table2[[#This Row],[EBITDA]]</f>
        <v>#DIV/0!</v>
      </c>
      <c r="M67" s="63" cm="1">
        <f t="array" ref="M67">_FV(Table2[[#This Row],[Data]],"52 week low",TRUE)</f>
        <v>54.832999999999998</v>
      </c>
      <c r="N67" s="63" cm="1">
        <f t="array" ref="N67">_FV(Table2[[#This Row],[Data]],"52 week high",TRUE)</f>
        <v>73.64</v>
      </c>
      <c r="O67" s="64">
        <f>(Table2[[#This Row],[Close]]-Table2[[#This Row],[52Wk Lo]])/Table2[[#This Row],[52Wk Lo]]</f>
        <v>4.6869585833349443E-3</v>
      </c>
      <c r="P67" s="65">
        <v>1860</v>
      </c>
      <c r="Q67" s="65">
        <f>2022-Table2[[#This Row],[Founded]]</f>
        <v>162</v>
      </c>
      <c r="R67" s="66">
        <v>55</v>
      </c>
      <c r="S67" s="66">
        <f>Table2[[#This Row],[Close]]</f>
        <v>55.09</v>
      </c>
      <c r="T67" s="67">
        <f>(S67-R67)/R67</f>
        <v>1.6363636363636983E-3</v>
      </c>
      <c r="U67" s="66">
        <v>32</v>
      </c>
      <c r="V67" s="66">
        <f>Table2[[#This Row],[Close]]</f>
        <v>55.09</v>
      </c>
      <c r="W67" s="67">
        <f>(V67-U67)/U67</f>
        <v>0.72156250000000011</v>
      </c>
      <c r="X67" s="66">
        <v>27</v>
      </c>
      <c r="Y67" s="66">
        <f>Table2[[#This Row],[Close]]</f>
        <v>55.09</v>
      </c>
      <c r="Z67" s="67">
        <f>(Y67-X67)/X67</f>
        <v>1.0403703703703704</v>
      </c>
      <c r="AA67" s="68">
        <f>100*(Table2[[#This Row],[1Y Change]]*0.17 + Table2[[#This Row],[3Y Change]]*0.166 + Table2[[#This Row],[5Y Change]]*0.166 + (Table2[[#This Row],[3Y Change]]-Table2[[#This Row],[1Y Change]])*0.166 + (Table2[[#This Row],[5Y Change]]-Table2[[#This Row],[1Y Change]])*0.166 + (Table2[[#This Row],[5Y Change]]-Table2[[#This Row],[3Y Change]])*0.166 + Table2[[#This Row],[Age (Inc.)]]/100)</f>
        <v>225.76187285353538</v>
      </c>
      <c r="AB67" s="69">
        <f>Table2[[#This Row],[Raw Score]]/SUM(Table2[Raw Score])</f>
        <v>1.7543050357766429E-2</v>
      </c>
      <c r="AC67" s="70">
        <v>10</v>
      </c>
      <c r="AD67" s="68">
        <f>Table2[[#This Row],[Raw Score]]+Table2[[#This Row],[Rating]]/AVERAGE(Table2[Rating])*50 -Table2[[#This Row],[% Up]]*100</f>
        <v>289.85361655564145</v>
      </c>
      <c r="AE67" s="71">
        <f>Table2[[#This Row],[TK Score]]/SUM(Table2[TK Score])</f>
        <v>1.7442710841741708E-2</v>
      </c>
      <c r="AF67" s="72">
        <f>Table2[[#This Row],[Weight (%)]]*$D$101</f>
        <v>26.164066262612561</v>
      </c>
    </row>
    <row r="68" spans="1:32" x14ac:dyDescent="0.25">
      <c r="A68" s="4" t="e" vm="69">
        <v>#VALUE!</v>
      </c>
      <c r="B68" s="4" t="s">
        <v>25</v>
      </c>
      <c r="C68" s="4" t="s">
        <v>130</v>
      </c>
      <c r="D68" s="4" t="str" cm="1">
        <f t="array" ref="D68">_FV(Table2[[#This Row],[Data]],"Exchange")</f>
        <v>New York Stock Exchange</v>
      </c>
      <c r="E68" t="s">
        <v>236</v>
      </c>
      <c r="F68" s="58" cm="1">
        <f t="array" ref="F68">_FV(Table2[[#This Row],[Data]],"Market cap",TRUE)/1000000</f>
        <v>48671.673119999999</v>
      </c>
      <c r="G68" s="59" cm="1">
        <f t="array" ref="G68">_FV(Table2[[#This Row],[Data]],"Price")</f>
        <v>83.86</v>
      </c>
      <c r="H68">
        <v>0.33</v>
      </c>
      <c r="I68" s="61" cm="1">
        <f t="array" ref="I68">_FV(Table2[[#This Row],[Data]],"P/E",TRUE)</f>
        <v>313.78280000000001</v>
      </c>
      <c r="J68" s="62"/>
      <c r="K68" s="62"/>
      <c r="L68" s="62" t="e">
        <f>Table2[[#This Row],[EV]]/Table2[[#This Row],[EBITDA]]</f>
        <v>#DIV/0!</v>
      </c>
      <c r="M68" s="63" cm="1">
        <f t="array" ref="M68">_FV(Table2[[#This Row],[Data]],"52 week low",TRUE)</f>
        <v>80.819999999999993</v>
      </c>
      <c r="N68" s="63" cm="1">
        <f t="array" ref="N68">_FV(Table2[[#This Row],[Data]],"52 week high",TRUE)</f>
        <v>289.23</v>
      </c>
      <c r="O68" s="64">
        <f>(Table2[[#This Row],[Close]]-Table2[[#This Row],[52Wk Lo]])/Table2[[#This Row],[52Wk Lo]]</f>
        <v>3.7614451868349497E-2</v>
      </c>
      <c r="P68" s="65">
        <v>2009</v>
      </c>
      <c r="Q68" s="65">
        <f>2022-Table2[[#This Row],[Founded]]</f>
        <v>13</v>
      </c>
      <c r="R68" s="66">
        <v>216</v>
      </c>
      <c r="S68" s="66">
        <f>Table2[[#This Row],[Close]]</f>
        <v>83.86</v>
      </c>
      <c r="T68" s="67">
        <f>(S68-R68)/R68</f>
        <v>-0.61175925925925922</v>
      </c>
      <c r="U68" s="66">
        <v>57</v>
      </c>
      <c r="V68" s="66">
        <f>Table2[[#This Row],[Close]]</f>
        <v>83.86</v>
      </c>
      <c r="W68" s="67">
        <f>(V68-U68)/U68</f>
        <v>0.47122807017543861</v>
      </c>
      <c r="X68" s="66">
        <v>14</v>
      </c>
      <c r="Y68" s="66">
        <f>Table2[[#This Row],[Close]]</f>
        <v>83.86</v>
      </c>
      <c r="Z68" s="67">
        <f>(Y68-X68)/X68</f>
        <v>4.99</v>
      </c>
      <c r="AA68" s="68">
        <f>100*(Table2[[#This Row],[1Y Change]]*0.17 + Table2[[#This Row],[3Y Change]]*0.166 + Table2[[#This Row],[5Y Change]]*0.166 + (Table2[[#This Row],[3Y Change]]-Table2[[#This Row],[1Y Change]])*0.166 + (Table2[[#This Row],[5Y Change]]-Table2[[#This Row],[1Y Change]])*0.166 + (Table2[[#This Row],[5Y Change]]-Table2[[#This Row],[3Y Change]])*0.166 + Table2[[#This Row],[Age (Inc.)]]/100)</f>
        <v>279.23488596491228</v>
      </c>
      <c r="AB68" s="69">
        <f>Table2[[#This Row],[Raw Score]]/SUM(Table2[Raw Score])</f>
        <v>2.1698223903846001E-2</v>
      </c>
      <c r="AC68" s="70">
        <v>10</v>
      </c>
      <c r="AD68" s="68">
        <f>Table2[[#This Row],[Raw Score]]+Table2[[#This Row],[Rating]]/AVERAGE(Table2[Rating])*50 -Table2[[#This Row],[% Up]]*100</f>
        <v>340.03388033851684</v>
      </c>
      <c r="AE68" s="71">
        <f>Table2[[#This Row],[TK Score]]/SUM(Table2[TK Score])</f>
        <v>2.0462441426883454E-2</v>
      </c>
      <c r="AF68" s="72">
        <f>Table2[[#This Row],[Weight (%)]]*$D$101</f>
        <v>30.693662140325181</v>
      </c>
    </row>
    <row r="69" spans="1:32" x14ac:dyDescent="0.25">
      <c r="A69" s="4" t="e" vm="70">
        <v>#VALUE!</v>
      </c>
      <c r="B69" s="4" t="s">
        <v>61</v>
      </c>
      <c r="C69" s="4" t="s">
        <v>131</v>
      </c>
      <c r="D69" s="4" t="str" cm="1">
        <f t="array" ref="D69">_FV(Table2[[#This Row],[Data]],"Exchange")</f>
        <v>New York Stock Exchange</v>
      </c>
      <c r="E69" t="s">
        <v>236</v>
      </c>
      <c r="F69" s="58" cm="1">
        <f t="array" ref="F69">_FV(Table2[[#This Row],[Data]],"Market cap",TRUE)/1000000</f>
        <v>139958.45000000001</v>
      </c>
      <c r="G69" s="59" cm="1">
        <f t="array" ref="G69">_FV(Table2[[#This Row],[Data]],"Price")</f>
        <v>19.55</v>
      </c>
      <c r="H69">
        <v>2.38</v>
      </c>
      <c r="I69" s="61" cm="1">
        <f t="array" ref="I69">_FV(Table2[[#This Row],[Data]],"P/E",TRUE)</f>
        <v>8.4510000000000005</v>
      </c>
      <c r="J69" s="62"/>
      <c r="K69" s="62"/>
      <c r="L69" s="62" t="e">
        <f>Table2[[#This Row],[EV]]/Table2[[#This Row],[EBITDA]]</f>
        <v>#DIV/0!</v>
      </c>
      <c r="M69" s="63" cm="1">
        <f t="array" ref="M69">_FV(Table2[[#This Row],[Data]],"52 week low",TRUE)</f>
        <v>16.620200000000001</v>
      </c>
      <c r="N69" s="63" cm="1">
        <f t="array" ref="N69">_FV(Table2[[#This Row],[Data]],"52 week high",TRUE)</f>
        <v>25.5718</v>
      </c>
      <c r="O69" s="64">
        <f>(Table2[[#This Row],[Close]]-Table2[[#This Row],[52Wk Lo]])/Table2[[#This Row],[52Wk Lo]]</f>
        <v>0.17627946715442655</v>
      </c>
      <c r="P69" s="65">
        <v>1983</v>
      </c>
      <c r="Q69" s="65">
        <f>2022-Table2[[#This Row],[Founded]]</f>
        <v>39</v>
      </c>
      <c r="R69" s="66">
        <v>29</v>
      </c>
      <c r="S69" s="66">
        <f>Table2[[#This Row],[Close]]</f>
        <v>19.55</v>
      </c>
      <c r="T69" s="67">
        <f>(S69-R69)/R69</f>
        <v>-0.32586206896551723</v>
      </c>
      <c r="U69" s="66">
        <v>29</v>
      </c>
      <c r="V69" s="66">
        <f>Table2[[#This Row],[Close]]</f>
        <v>19.55</v>
      </c>
      <c r="W69" s="67">
        <f>(V69-U69)/U69</f>
        <v>-0.32586206896551723</v>
      </c>
      <c r="X69" s="66">
        <v>43</v>
      </c>
      <c r="Y69" s="66">
        <f>Table2[[#This Row],[Close]]</f>
        <v>19.55</v>
      </c>
      <c r="Z69" s="67">
        <f>(Y69-X69)/X69</f>
        <v>-0.54534883720930227</v>
      </c>
      <c r="AA69" s="68">
        <f>100*(Table2[[#This Row],[1Y Change]]*0.17 + Table2[[#This Row],[3Y Change]]*0.166 + Table2[[#This Row],[5Y Change]]*0.166 + (Table2[[#This Row],[3Y Change]]-Table2[[#This Row],[1Y Change]])*0.166 + (Table2[[#This Row],[5Y Change]]-Table2[[#This Row],[1Y Change]])*0.166 + (Table2[[#This Row],[5Y Change]]-Table2[[#This Row],[3Y Change]])*0.166 + Table2[[#This Row],[Age (Inc.)]]/100)</f>
        <v>11.711283079390538</v>
      </c>
      <c r="AB69" s="69">
        <f>Table2[[#This Row],[Raw Score]]/SUM(Table2[Raw Score])</f>
        <v>9.1003687300687092E-4</v>
      </c>
      <c r="AC69" s="70">
        <v>9</v>
      </c>
      <c r="AD69" s="68">
        <f>Table2[[#This Row],[Raw Score]]+Table2[[#This Row],[Rating]]/AVERAGE(Table2[Rating])*50 -Table2[[#This Row],[% Up]]*100</f>
        <v>52.187731968343492</v>
      </c>
      <c r="AE69" s="71">
        <f>Table2[[#This Row],[TK Score]]/SUM(Table2[TK Score])</f>
        <v>3.1405353123665145E-3</v>
      </c>
      <c r="AF69" s="72">
        <f>Table2[[#This Row],[Weight (%)]]*$D$101</f>
        <v>4.7108029685497721</v>
      </c>
    </row>
    <row r="70" spans="1:32" x14ac:dyDescent="0.25">
      <c r="A70" s="4" t="e" vm="71">
        <v>#VALUE!</v>
      </c>
      <c r="B70" s="4" t="s">
        <v>28</v>
      </c>
      <c r="C70" s="4" t="s">
        <v>132</v>
      </c>
      <c r="D70" s="4" t="str" cm="1">
        <f t="array" ref="D70">_FV(Table2[[#This Row],[Data]],"Exchange")</f>
        <v>New York Stock Exchange</v>
      </c>
      <c r="E70" t="s">
        <v>237</v>
      </c>
      <c r="F70" s="58" cm="1">
        <f t="array" ref="F70">_FV(Table2[[#This Row],[Data]],"Market cap",TRUE)/1000000</f>
        <v>103955.75564</v>
      </c>
      <c r="G70" s="59" cm="1">
        <f t="array" ref="G70">_FV(Table2[[#This Row],[Data]],"Price")</f>
        <v>224.2</v>
      </c>
      <c r="H70">
        <v>14.1</v>
      </c>
      <c r="I70" s="61" cm="1">
        <f t="array" ref="I70">_FV(Table2[[#This Row],[Data]],"P/E",TRUE)</f>
        <v>16.003699999999998</v>
      </c>
      <c r="J70" s="62"/>
      <c r="K70" s="62"/>
      <c r="L70" s="62" t="e">
        <f>Table2[[#This Row],[EV]]/Table2[[#This Row],[EBITDA]]</f>
        <v>#DIV/0!</v>
      </c>
      <c r="M70" s="63" cm="1">
        <f t="array" ref="M70">_FV(Table2[[#This Row],[Data]],"52 week low",TRUE)</f>
        <v>184</v>
      </c>
      <c r="N70" s="63" cm="1">
        <f t="array" ref="N70">_FV(Table2[[#This Row],[Data]],"52 week high",TRUE)</f>
        <v>268.98</v>
      </c>
      <c r="O70" s="64">
        <f>(Table2[[#This Row],[Close]]-Table2[[#This Row],[52Wk Lo]])/Table2[[#This Row],[52Wk Lo]]</f>
        <v>0.21847826086956515</v>
      </c>
      <c r="P70" s="65">
        <v>1902</v>
      </c>
      <c r="Q70" s="65">
        <f>2022-Table2[[#This Row],[Founded]]</f>
        <v>120</v>
      </c>
      <c r="R70" s="66">
        <v>176</v>
      </c>
      <c r="S70" s="66">
        <f>Table2[[#This Row],[Close]]</f>
        <v>224.2</v>
      </c>
      <c r="T70" s="67">
        <f>(S70-R70)/R70</f>
        <v>0.27386363636363631</v>
      </c>
      <c r="U70" s="66">
        <v>65</v>
      </c>
      <c r="V70" s="66">
        <f>Table2[[#This Row],[Close]]</f>
        <v>224.2</v>
      </c>
      <c r="W70" s="67">
        <f>(V70-U70)/U70</f>
        <v>2.4492307692307689</v>
      </c>
      <c r="X70" s="66">
        <v>73</v>
      </c>
      <c r="Y70" s="66">
        <f>Table2[[#This Row],[Close]]</f>
        <v>224.2</v>
      </c>
      <c r="Z70" s="67">
        <f>(Y70-X70)/X70</f>
        <v>2.0712328767123287</v>
      </c>
      <c r="AA70" s="68">
        <f>100*(Table2[[#This Row],[1Y Change]]*0.17 + Table2[[#This Row],[3Y Change]]*0.166 + Table2[[#This Row],[5Y Change]]*0.166 + (Table2[[#This Row],[3Y Change]]-Table2[[#This Row],[1Y Change]])*0.166 + (Table2[[#This Row],[5Y Change]]-Table2[[#This Row],[1Y Change]])*0.166 + (Table2[[#This Row],[5Y Change]]-Table2[[#This Row],[3Y Change]])*0.166 + Table2[[#This Row],[Age (Inc.)]]/100)</f>
        <v>259.36803712041382</v>
      </c>
      <c r="AB70" s="69">
        <f>Table2[[#This Row],[Raw Score]]/SUM(Table2[Raw Score])</f>
        <v>2.015445070014265E-2</v>
      </c>
      <c r="AC70" s="70">
        <v>8</v>
      </c>
      <c r="AD70" s="68">
        <f>Table2[[#This Row],[Raw Score]]+Table2[[#This Row],[Rating]]/AVERAGE(Table2[Rating])*50 -Table2[[#This Row],[% Up]]*100</f>
        <v>289.16856268180896</v>
      </c>
      <c r="AE70" s="71">
        <f>Table2[[#This Row],[TK Score]]/SUM(Table2[TK Score])</f>
        <v>1.7401485906292327E-2</v>
      </c>
      <c r="AF70" s="72">
        <f>Table2[[#This Row],[Weight (%)]]*$D$101</f>
        <v>26.10222885943849</v>
      </c>
    </row>
    <row r="71" spans="1:32" x14ac:dyDescent="0.25">
      <c r="A71" s="4" t="e" vm="72">
        <v>#VALUE!</v>
      </c>
      <c r="B71" s="4" t="s">
        <v>171</v>
      </c>
      <c r="C71" s="4" t="s">
        <v>195</v>
      </c>
      <c r="D71" s="4" t="s">
        <v>233</v>
      </c>
      <c r="E71" s="4"/>
      <c r="F71" s="58" cm="1">
        <f t="array" ref="F71">_FV(Table2[[#This Row],[Data]],"Market cap",TRUE)/1000000</f>
        <v>18845.510626840001</v>
      </c>
      <c r="G71" s="59" cm="1">
        <f t="array" ref="G71">_FV(Table2[[#This Row],[Data]],"Price")</f>
        <v>114.67</v>
      </c>
      <c r="H71" s="60" t="e" vm="8">
        <f>Table2[[#This Row],[Close]]/Table2[[#This Row],[P/E]]</f>
        <v>#VALUE!</v>
      </c>
      <c r="I71" s="74" t="e" cm="1" vm="9">
        <f t="array" ref="I71">_FV(Table2[[#This Row],[Data]],"P/E",TRUE)</f>
        <v>#VALUE!</v>
      </c>
      <c r="J71" s="62"/>
      <c r="K71" s="62"/>
      <c r="L71" s="62" t="e">
        <f>Table2[[#This Row],[EV]]/Table2[[#This Row],[EBITDA]]</f>
        <v>#DIV/0!</v>
      </c>
      <c r="M71" s="63" cm="1">
        <f t="array" ref="M71">_FV(Table2[[#This Row],[Data]],"52 week low",TRUE)</f>
        <v>112.62</v>
      </c>
      <c r="N71" s="63" cm="1">
        <f t="array" ref="N71">_FV(Table2[[#This Row],[Data]],"52 week high",TRUE)</f>
        <v>155.12</v>
      </c>
      <c r="O71" s="75">
        <f>(Table2[[#This Row],[Close]]-Table2[[#This Row],[52Wk Lo]])/Table2[[#This Row],[52Wk Lo]]</f>
        <v>1.8202805895933202E-2</v>
      </c>
      <c r="P71" s="65">
        <v>2000</v>
      </c>
      <c r="Q71" s="65">
        <f>2022-Table2[[#This Row],[Founded]]</f>
        <v>22</v>
      </c>
      <c r="R71" s="66">
        <v>157</v>
      </c>
      <c r="S71" s="66">
        <f>Table2[[#This Row],[Close]]</f>
        <v>114.67</v>
      </c>
      <c r="T71" s="67">
        <f>(S71-R71)/R71</f>
        <v>-0.26961783439490444</v>
      </c>
      <c r="U71" s="66">
        <v>123</v>
      </c>
      <c r="V71" s="66">
        <f>Table2[[#This Row],[Close]]</f>
        <v>114.67</v>
      </c>
      <c r="W71" s="67">
        <f>(V71-U71)/U71</f>
        <v>-6.7723577235772339E-2</v>
      </c>
      <c r="X71" s="66">
        <v>118</v>
      </c>
      <c r="Y71" s="66">
        <f>Table2[[#This Row],[Close]]</f>
        <v>114.67</v>
      </c>
      <c r="Z71" s="67">
        <f>(Y71-X71)/X71</f>
        <v>-2.8220338983050833E-2</v>
      </c>
      <c r="AA71" s="76">
        <f>100*(Table2[[#This Row],[1Y Change]]*0.17 + Table2[[#This Row],[3Y Change]]*0.166 + Table2[[#This Row],[5Y Change]]*0.166 + (Table2[[#This Row],[3Y Change]]-Table2[[#This Row],[1Y Change]])*0.166 + (Table2[[#This Row],[5Y Change]]-Table2[[#This Row],[1Y Change]])*0.166 + (Table2[[#This Row],[5Y Change]]-Table2[[#This Row],[3Y Change]])*0.166 + Table2[[#This Row],[Age (Inc.)]]/100)</f>
        <v>23.8382246537277</v>
      </c>
      <c r="AB71" s="69">
        <f>Table2[[#This Row],[Raw Score]]/SUM(Table2[Raw Score])</f>
        <v>1.8523729018291824E-3</v>
      </c>
      <c r="AC71" s="77">
        <v>8</v>
      </c>
      <c r="AD71" s="68">
        <f>Table2[[#This Row],[Raw Score]]+Table2[[#This Row],[Rating]]/AVERAGE(Table2[Rating])*50 -Table2[[#This Row],[% Up]]*100</f>
        <v>73.666295712486018</v>
      </c>
      <c r="AE71" s="71">
        <f>Table2[[#This Row],[TK Score]]/SUM(Table2[TK Score])</f>
        <v>4.433064904154709E-3</v>
      </c>
      <c r="AF71" s="72">
        <f>Table2[[#This Row],[Weight (%)]]*$D$101</f>
        <v>6.6495973562320634</v>
      </c>
    </row>
    <row r="72" spans="1:32" x14ac:dyDescent="0.25">
      <c r="A72" s="4" t="e" vm="73">
        <v>#VALUE!</v>
      </c>
      <c r="B72" s="4" t="s">
        <v>181</v>
      </c>
      <c r="C72" s="4" t="s">
        <v>192</v>
      </c>
      <c r="D72" s="4" t="str" cm="1">
        <f t="array" ref="D72">_FV(Table2[[#This Row],[Data]],"Exchange")</f>
        <v>New York Stock Exchange</v>
      </c>
      <c r="E72" t="s">
        <v>235</v>
      </c>
      <c r="F72" s="58" cm="1">
        <f t="array" ref="F72">_FV(Table2[[#This Row],[Data]],"Market cap",TRUE)/1000000</f>
        <v>285352.40000000002</v>
      </c>
      <c r="G72" s="59" cm="1">
        <f t="array" ref="G72">_FV(Table2[[#This Row],[Data]],"Price")</f>
        <v>168.47</v>
      </c>
      <c r="H72">
        <v>16.95</v>
      </c>
      <c r="I72" s="61" cm="1">
        <f t="array" ref="I72">_FV(Table2[[#This Row],[Data]],"P/E",TRUE)</f>
        <v>9.0098000000000003</v>
      </c>
      <c r="J72" s="62"/>
      <c r="K72" s="62"/>
      <c r="L72" s="62" t="e">
        <f>Table2[[#This Row],[EV]]/Table2[[#This Row],[EBITDA]]</f>
        <v>#DIV/0!</v>
      </c>
      <c r="M72" s="63" cm="1">
        <f t="array" ref="M72">_FV(Table2[[#This Row],[Data]],"52 week low",TRUE)</f>
        <v>151.155</v>
      </c>
      <c r="N72" s="63" cm="1">
        <f t="array" ref="N72">_FV(Table2[[#This Row],[Data]],"52 week high",TRUE)</f>
        <v>213.74</v>
      </c>
      <c r="O72" s="64">
        <f>(Table2[[#This Row],[Close]]-Table2[[#This Row],[52Wk Lo]])/Table2[[#This Row],[52Wk Lo]]</f>
        <v>0.11455128841255663</v>
      </c>
      <c r="P72" s="65">
        <v>1937</v>
      </c>
      <c r="Q72" s="65">
        <f>2022-Table2[[#This Row],[Founded]]</f>
        <v>85</v>
      </c>
      <c r="R72" s="66">
        <v>156</v>
      </c>
      <c r="S72" s="66">
        <f>Table2[[#This Row],[Close]]</f>
        <v>168.47</v>
      </c>
      <c r="T72" s="67">
        <f>(S72-R72)/R72</f>
        <v>7.9935897435897435E-2</v>
      </c>
      <c r="U72" s="66">
        <v>121</v>
      </c>
      <c r="V72" s="66">
        <f>Table2[[#This Row],[Close]]</f>
        <v>168.47</v>
      </c>
      <c r="W72" s="67">
        <f>(V72-U72)/U72</f>
        <v>0.39231404958677685</v>
      </c>
      <c r="X72" s="66">
        <v>116</v>
      </c>
      <c r="Y72" s="66">
        <f>Table2[[#This Row],[Close]]</f>
        <v>168.47</v>
      </c>
      <c r="Z72" s="67">
        <f>(Y72-X72)/X72</f>
        <v>0.45232758620689656</v>
      </c>
      <c r="AA72" s="68">
        <f>100*(Table2[[#This Row],[1Y Change]]*0.17 + Table2[[#This Row],[3Y Change]]*0.166 + Table2[[#This Row],[5Y Change]]*0.166 + (Table2[[#This Row],[3Y Change]]-Table2[[#This Row],[1Y Change]])*0.166 + (Table2[[#This Row],[5Y Change]]-Table2[[#This Row],[1Y Change]])*0.166 + (Table2[[#This Row],[5Y Change]]-Table2[[#This Row],[3Y Change]])*0.166 + Table2[[#This Row],[Age (Inc.)]]/100)</f>
        <v>112.7433654777824</v>
      </c>
      <c r="AB72" s="69">
        <f>Table2[[#This Row],[Raw Score]]/SUM(Table2[Raw Score])</f>
        <v>8.7608350917781162E-3</v>
      </c>
      <c r="AC72" s="70">
        <v>8</v>
      </c>
      <c r="AD72" s="68">
        <f>Table2[[#This Row],[Raw Score]]+Table2[[#This Row],[Rating]]/AVERAGE(Table2[Rating])*50 -Table2[[#This Row],[% Up]]*100</f>
        <v>152.93658828487838</v>
      </c>
      <c r="AE72" s="71">
        <f>Table2[[#This Row],[TK Score]]/SUM(Table2[TK Score])</f>
        <v>9.2033651961128705E-3</v>
      </c>
      <c r="AF72" s="72">
        <f>Table2[[#This Row],[Weight (%)]]*$D$101</f>
        <v>13.805047794169306</v>
      </c>
    </row>
    <row r="73" spans="1:32" x14ac:dyDescent="0.25">
      <c r="A73" s="4" t="e" vm="74">
        <v>#VALUE!</v>
      </c>
      <c r="B73" s="4" t="s">
        <v>53</v>
      </c>
      <c r="C73" s="4" t="s">
        <v>133</v>
      </c>
      <c r="D73" s="4" t="str" cm="1">
        <f t="array" ref="D73">_FV(Table2[[#This Row],[Data]],"Exchange")</f>
        <v>New York Stock Exchange</v>
      </c>
      <c r="E73" t="s">
        <v>238</v>
      </c>
      <c r="F73" s="58" cm="1">
        <f t="array" ref="F73">_FV(Table2[[#This Row],[Data]],"Market cap",TRUE)/1000000</f>
        <v>202526.88290500001</v>
      </c>
      <c r="G73" s="59" cm="1">
        <f t="array" ref="G73">_FV(Table2[[#This Row],[Data]],"Price")</f>
        <v>517.39</v>
      </c>
      <c r="H73">
        <v>19.190000000000001</v>
      </c>
      <c r="I73" s="61" cm="1">
        <f t="array" ref="I73">_FV(Table2[[#This Row],[Data]],"P/E",TRUE)</f>
        <v>28.467500000000001</v>
      </c>
      <c r="J73" s="62"/>
      <c r="K73" s="62"/>
      <c r="L73" s="62" t="e">
        <f>Table2[[#This Row],[EV]]/Table2[[#This Row],[EBITDA]]</f>
        <v>#DIV/0!</v>
      </c>
      <c r="M73" s="63" cm="1">
        <f t="array" ref="M73">_FV(Table2[[#This Row],[Data]],"52 week low",TRUE)</f>
        <v>438.72</v>
      </c>
      <c r="N73" s="63" cm="1">
        <f t="array" ref="N73">_FV(Table2[[#This Row],[Data]],"52 week high",TRUE)</f>
        <v>672.34</v>
      </c>
      <c r="O73" s="64">
        <f>(Table2[[#This Row],[Close]]-Table2[[#This Row],[52Wk Lo]])/Table2[[#This Row],[52Wk Lo]]</f>
        <v>0.17931710430342804</v>
      </c>
      <c r="P73" s="65">
        <v>1956</v>
      </c>
      <c r="Q73" s="65">
        <f>2022-Table2[[#This Row],[Founded]]</f>
        <v>66</v>
      </c>
      <c r="R73" s="66">
        <v>465</v>
      </c>
      <c r="S73" s="66">
        <f>Table2[[#This Row],[Close]]</f>
        <v>517.39</v>
      </c>
      <c r="T73" s="67">
        <f>(S73-R73)/R73</f>
        <v>0.11266666666666664</v>
      </c>
      <c r="U73" s="66">
        <v>224</v>
      </c>
      <c r="V73" s="66">
        <f>Table2[[#This Row],[Close]]</f>
        <v>517.39</v>
      </c>
      <c r="W73" s="67">
        <f>(V73-U73)/U73</f>
        <v>1.3097767857142857</v>
      </c>
      <c r="X73" s="66">
        <v>142</v>
      </c>
      <c r="Y73" s="66">
        <f>Table2[[#This Row],[Close]]</f>
        <v>517.39</v>
      </c>
      <c r="Z73" s="67">
        <f>(Y73-X73)/X73</f>
        <v>2.6435915492957744</v>
      </c>
      <c r="AA73" s="68">
        <f>100*(Table2[[#This Row],[1Y Change]]*0.17 + Table2[[#This Row],[3Y Change]]*0.166 + Table2[[#This Row],[5Y Change]]*0.166 + (Table2[[#This Row],[3Y Change]]-Table2[[#This Row],[1Y Change]])*0.166 + (Table2[[#This Row],[5Y Change]]-Table2[[#This Row],[1Y Change]])*0.166 + (Table2[[#This Row],[5Y Change]]-Table2[[#This Row],[3Y Change]])*0.166 + Table2[[#This Row],[Age (Inc.)]]/100)</f>
        <v>217.56795379778674</v>
      </c>
      <c r="AB73" s="69">
        <f>Table2[[#This Row],[Raw Score]]/SUM(Table2[Raw Score])</f>
        <v>1.6906333746562037E-2</v>
      </c>
      <c r="AC73" s="70">
        <v>4</v>
      </c>
      <c r="AD73" s="68">
        <f>Table2[[#This Row],[Raw Score]]+Table2[[#This Row],[Rating]]/AVERAGE(Table2[Rating])*50 -Table2[[#This Row],[% Up]]*100</f>
        <v>225.46041919161976</v>
      </c>
      <c r="AE73" s="71">
        <f>Table2[[#This Row],[TK Score]]/SUM(Table2[TK Score])</f>
        <v>1.3567679247715616E-2</v>
      </c>
      <c r="AF73" s="72">
        <f>Table2[[#This Row],[Weight (%)]]*$D$101</f>
        <v>20.351518871573425</v>
      </c>
    </row>
    <row r="74" spans="1:32" x14ac:dyDescent="0.25">
      <c r="A74" s="4" t="e" vm="75">
        <v>#VALUE!</v>
      </c>
      <c r="B74" s="4" t="s">
        <v>18</v>
      </c>
      <c r="C74" s="4" t="s">
        <v>134</v>
      </c>
      <c r="D74" s="4" t="str" cm="1">
        <f t="array" ref="D74">_FV(Table2[[#This Row],[Data]],"Exchange")</f>
        <v>New York Stock Exchange</v>
      </c>
      <c r="E74" t="s">
        <v>237</v>
      </c>
      <c r="F74" s="58" cm="1">
        <f t="array" ref="F74">_FV(Table2[[#This Row],[Data]],"Market cap",TRUE)/1000000</f>
        <v>15874.924000000001</v>
      </c>
      <c r="G74" s="59" cm="1">
        <f t="array" ref="G74">_FV(Table2[[#This Row],[Data]],"Price")</f>
        <v>82.51</v>
      </c>
      <c r="H74">
        <v>6.76</v>
      </c>
      <c r="I74" s="61" cm="1">
        <f t="array" ref="I74">_FV(Table2[[#This Row],[Data]],"P/E",TRUE)</f>
        <v>59.497100000000003</v>
      </c>
      <c r="J74" s="62"/>
      <c r="K74" s="62"/>
      <c r="L74" s="62" t="e">
        <f>Table2[[#This Row],[EV]]/Table2[[#This Row],[EBITDA]]</f>
        <v>#DIV/0!</v>
      </c>
      <c r="M74" s="63" cm="1">
        <f t="array" ref="M74">_FV(Table2[[#This Row],[Data]],"52 week low",TRUE)</f>
        <v>82.13</v>
      </c>
      <c r="N74" s="63" cm="1">
        <f t="array" ref="N74">_FV(Table2[[#This Row],[Data]],"52 week high",TRUE)</f>
        <v>125.35</v>
      </c>
      <c r="O74" s="64">
        <f>(Table2[[#This Row],[Close]]-Table2[[#This Row],[52Wk Lo]])/Table2[[#This Row],[52Wk Lo]]</f>
        <v>4.6268111530501609E-3</v>
      </c>
      <c r="P74" s="65">
        <v>1968</v>
      </c>
      <c r="Q74" s="65">
        <f>2022-Table2[[#This Row],[Founded]]</f>
        <v>54</v>
      </c>
      <c r="R74" s="66">
        <v>99</v>
      </c>
      <c r="S74" s="66">
        <f>Table2[[#This Row],[Close]]</f>
        <v>82.51</v>
      </c>
      <c r="T74" s="67">
        <f>(S74-R74)/R74</f>
        <v>-0.1665656565656565</v>
      </c>
      <c r="U74" s="66">
        <v>56</v>
      </c>
      <c r="V74" s="66">
        <f>Table2[[#This Row],[Close]]</f>
        <v>82.51</v>
      </c>
      <c r="W74" s="67">
        <f>(V74-U74)/U74</f>
        <v>0.47339285714285723</v>
      </c>
      <c r="X74" s="66">
        <v>31</v>
      </c>
      <c r="Y74" s="66">
        <f>Table2[[#This Row],[Close]]</f>
        <v>82.51</v>
      </c>
      <c r="Z74" s="67">
        <f>(Y74-X74)/X74</f>
        <v>1.6616129032258067</v>
      </c>
      <c r="AA74" s="68">
        <f>100*(Table2[[#This Row],[1Y Change]]*0.17 + Table2[[#This Row],[3Y Change]]*0.166 + Table2[[#This Row],[5Y Change]]*0.166 + (Table2[[#This Row],[3Y Change]]-Table2[[#This Row],[1Y Change]])*0.166 + (Table2[[#This Row],[5Y Change]]-Table2[[#This Row],[1Y Change]])*0.166 + (Table2[[#This Row],[5Y Change]]-Table2[[#This Row],[3Y Change]])*0.166 + Table2[[#This Row],[Age (Inc.)]]/100)</f>
        <v>147.30500764558025</v>
      </c>
      <c r="AB74" s="69">
        <f>Table2[[#This Row],[Raw Score]]/SUM(Table2[Raw Score])</f>
        <v>1.1446481792583674E-2</v>
      </c>
      <c r="AC74" s="70">
        <v>8</v>
      </c>
      <c r="AD74" s="68">
        <f>Table2[[#This Row],[Raw Score]]+Table2[[#This Row],[Rating]]/AVERAGE(Table2[Rating])*50 -Table2[[#This Row],[% Up]]*100</f>
        <v>198.49067817862689</v>
      </c>
      <c r="AE74" s="71">
        <f>Table2[[#This Row],[TK Score]]/SUM(Table2[TK Score])</f>
        <v>1.1944703486514472E-2</v>
      </c>
      <c r="AF74" s="72">
        <f>Table2[[#This Row],[Weight (%)]]*$D$101</f>
        <v>17.917055229771709</v>
      </c>
    </row>
    <row r="75" spans="1:32" x14ac:dyDescent="0.25">
      <c r="A75" s="4" t="e" vm="76">
        <v>#VALUE!</v>
      </c>
      <c r="B75" s="4" t="s">
        <v>9</v>
      </c>
      <c r="C75" s="4" t="s">
        <v>135</v>
      </c>
      <c r="D75" s="4" t="str" cm="1">
        <f t="array" ref="D75">_FV(Table2[[#This Row],[Data]],"Exchange")</f>
        <v>Nasdaq Stock Market</v>
      </c>
      <c r="E75" t="s">
        <v>235</v>
      </c>
      <c r="F75" s="58" cm="1">
        <f t="array" ref="F75">_FV(Table2[[#This Row],[Data]],"Market cap",TRUE)/1000000</f>
        <v>815453.83109999995</v>
      </c>
      <c r="G75" s="59" cm="1">
        <f t="array" ref="G75">_FV(Table2[[#This Row],[Data]],"Price")</f>
        <v>787.11</v>
      </c>
      <c r="H75">
        <v>7.4</v>
      </c>
      <c r="I75" s="61" cm="1">
        <f t="array" ref="I75">_FV(Table2[[#This Row],[Data]],"P/E",TRUE)</f>
        <v>117.0038</v>
      </c>
      <c r="J75" s="62"/>
      <c r="K75" s="62"/>
      <c r="L75" s="62" t="e">
        <f>Table2[[#This Row],[EV]]/Table2[[#This Row],[EBITDA]]</f>
        <v>#DIV/0!</v>
      </c>
      <c r="M75" s="63" cm="1">
        <f t="array" ref="M75">_FV(Table2[[#This Row],[Data]],"52 week low",TRUE)</f>
        <v>546.98</v>
      </c>
      <c r="N75" s="63" cm="1">
        <f t="array" ref="N75">_FV(Table2[[#This Row],[Data]],"52 week high",TRUE)</f>
        <v>1243.49</v>
      </c>
      <c r="O75" s="64">
        <f>(Table2[[#This Row],[Close]]-Table2[[#This Row],[52Wk Lo]])/Table2[[#This Row],[52Wk Lo]]</f>
        <v>0.43901056711397124</v>
      </c>
      <c r="P75" s="65">
        <v>2003</v>
      </c>
      <c r="Q75" s="65">
        <f>2022-Table2[[#This Row],[Founded]]</f>
        <v>19</v>
      </c>
      <c r="R75" s="66">
        <v>671</v>
      </c>
      <c r="S75" s="66">
        <f>Table2[[#This Row],[Close]]</f>
        <v>787.11</v>
      </c>
      <c r="T75" s="67">
        <f>(S75-R75)/R75</f>
        <v>0.17304023845007455</v>
      </c>
      <c r="U75" s="66">
        <v>68</v>
      </c>
      <c r="V75" s="66">
        <f>Table2[[#This Row],[Close]]</f>
        <v>787.11</v>
      </c>
      <c r="W75" s="67">
        <f>(V75-U75)/U75</f>
        <v>10.57514705882353</v>
      </c>
      <c r="X75" s="66">
        <v>43</v>
      </c>
      <c r="Y75" s="66">
        <f>Table2[[#This Row],[Close]]</f>
        <v>787.11</v>
      </c>
      <c r="Z75" s="67">
        <f>(Y75-X75)/X75</f>
        <v>17.304883720930231</v>
      </c>
      <c r="AA75" s="68">
        <f>100*(Table2[[#This Row],[1Y Change]]*0.17 + Table2[[#This Row],[3Y Change]]*0.166 + Table2[[#This Row],[5Y Change]]*0.166 + (Table2[[#This Row],[3Y Change]]-Table2[[#This Row],[1Y Change]])*0.166 + (Table2[[#This Row],[5Y Change]]-Table2[[#This Row],[1Y Change]])*0.166 + (Table2[[#This Row],[5Y Change]]-Table2[[#This Row],[3Y Change]])*0.166 + Table2[[#This Row],[Age (Inc.)]]/100)</f>
        <v>1053.527398615905</v>
      </c>
      <c r="AB75" s="69">
        <f>Table2[[#This Row],[Raw Score]]/SUM(Table2[Raw Score])</f>
        <v>8.1865391944174165E-2</v>
      </c>
      <c r="AC75" s="70">
        <v>9</v>
      </c>
      <c r="AD75" s="68">
        <f>Table2[[#This Row],[Raw Score]]+Table2[[#This Row],[Rating]]/AVERAGE(Table2[Rating])*50 -Table2[[#This Row],[% Up]]*100</f>
        <v>1067.7307375089035</v>
      </c>
      <c r="AE75" s="71">
        <f>Table2[[#This Row],[TK Score]]/SUM(Table2[TK Score])</f>
        <v>6.4253531601639546E-2</v>
      </c>
      <c r="AF75" s="72">
        <f>Table2[[#This Row],[Weight (%)]]*$D$101</f>
        <v>96.38029740245932</v>
      </c>
    </row>
    <row r="76" spans="1:32" x14ac:dyDescent="0.25">
      <c r="A76" s="4" t="e" vm="77">
        <v>#VALUE!</v>
      </c>
      <c r="B76" s="4" t="s">
        <v>177</v>
      </c>
      <c r="C76" s="4" t="s">
        <v>189</v>
      </c>
      <c r="D76" s="4" t="str" cm="1">
        <f t="array" ref="D76">_FV(Table2[[#This Row],[Data]],"Exchange")</f>
        <v>New York Stock Exchange</v>
      </c>
      <c r="E76" t="s">
        <v>235</v>
      </c>
      <c r="F76" s="58" cm="1">
        <f t="array" ref="F76">_FV(Table2[[#This Row],[Data]],"Market cap",TRUE)/1000000</f>
        <v>461677.6</v>
      </c>
      <c r="G76" s="59" cm="1">
        <f t="array" ref="G76">_FV(Table2[[#This Row],[Data]],"Price")</f>
        <v>87.3</v>
      </c>
      <c r="H76">
        <v>4.29</v>
      </c>
      <c r="I76" s="61" cm="1">
        <f t="array" ref="I76">_FV(Table2[[#This Row],[Data]],"P/E",TRUE)</f>
        <v>20.625800000000002</v>
      </c>
      <c r="J76" s="62"/>
      <c r="K76" s="62"/>
      <c r="L76" s="62" t="e">
        <f>Table2[[#This Row],[EV]]/Table2[[#This Row],[EBITDA]]</f>
        <v>#DIV/0!</v>
      </c>
      <c r="M76" s="63" cm="1">
        <f t="array" ref="M76">_FV(Table2[[#This Row],[Data]],"52 week low",TRUE)</f>
        <v>87.01</v>
      </c>
      <c r="N76" s="63" cm="1">
        <f t="array" ref="N76">_FV(Table2[[#This Row],[Data]],"52 week high",TRUE)</f>
        <v>145</v>
      </c>
      <c r="O76" s="64">
        <f>(Table2[[#This Row],[Close]]-Table2[[#This Row],[52Wk Lo]])/Table2[[#This Row],[52Wk Lo]]</f>
        <v>3.3329502356050111E-3</v>
      </c>
      <c r="P76" s="65">
        <v>1987</v>
      </c>
      <c r="Q76" s="65">
        <f>2022-Table2[[#This Row],[Founded]]</f>
        <v>35</v>
      </c>
      <c r="R76" s="66">
        <v>111</v>
      </c>
      <c r="S76" s="66">
        <f>Table2[[#This Row],[Close]]</f>
        <v>87.3</v>
      </c>
      <c r="T76" s="67">
        <f>(S76-R76)/R76</f>
        <v>-0.21351351351351353</v>
      </c>
      <c r="U76" s="66">
        <v>35</v>
      </c>
      <c r="V76" s="66">
        <f>Table2[[#This Row],[Close]]</f>
        <v>87.3</v>
      </c>
      <c r="W76" s="67">
        <f>(V76-U76)/U76</f>
        <v>1.4942857142857142</v>
      </c>
      <c r="X76" s="66">
        <v>31</v>
      </c>
      <c r="Y76" s="66">
        <f>Table2[[#This Row],[Close]]</f>
        <v>87.3</v>
      </c>
      <c r="Z76" s="67">
        <f>(Y76-X76)/X76</f>
        <v>1.8161290322580643</v>
      </c>
      <c r="AA76" s="68">
        <f>100*(Table2[[#This Row],[1Y Change]]*0.17 + Table2[[#This Row],[3Y Change]]*0.166 + Table2[[#This Row],[5Y Change]]*0.166 + (Table2[[#This Row],[3Y Change]]-Table2[[#This Row],[1Y Change]])*0.166 + (Table2[[#This Row],[5Y Change]]-Table2[[#This Row],[1Y Change]])*0.166 + (Table2[[#This Row],[5Y Change]]-Table2[[#This Row],[3Y Change]])*0.166 + Table2[[#This Row],[Age (Inc.)]]/100)</f>
        <v>153.70728758251335</v>
      </c>
      <c r="AB76" s="69">
        <f>Table2[[#This Row],[Raw Score]]/SUM(Table2[Raw Score])</f>
        <v>1.1943977308183869E-2</v>
      </c>
      <c r="AC76" s="70">
        <v>9</v>
      </c>
      <c r="AD76" s="68">
        <f>Table2[[#This Row],[Raw Score]]+Table2[[#This Row],[Rating]]/AVERAGE(Table2[Rating])*50 -Table2[[#This Row],[% Up]]*100</f>
        <v>211.47838816334846</v>
      </c>
      <c r="AE76" s="71">
        <f>Table2[[#This Row],[TK Score]]/SUM(Table2[TK Score])</f>
        <v>1.2726273412920451E-2</v>
      </c>
      <c r="AF76" s="72">
        <f>Table2[[#This Row],[Weight (%)]]*$D$101</f>
        <v>19.089410119380677</v>
      </c>
    </row>
    <row r="77" spans="1:32" x14ac:dyDescent="0.25">
      <c r="A77" s="4" t="e" vm="78">
        <v>#VALUE!</v>
      </c>
      <c r="B77" s="4" t="s">
        <v>64</v>
      </c>
      <c r="C77" s="4" t="s">
        <v>136</v>
      </c>
      <c r="D77" s="4" t="str" cm="1">
        <f t="array" ref="D77">_FV(Table2[[#This Row],[Data]],"Exchange")</f>
        <v>Nasdaq Stock Market</v>
      </c>
      <c r="E77" t="s">
        <v>236</v>
      </c>
      <c r="F77" s="58" cm="1">
        <f t="array" ref="F77">_FV(Table2[[#This Row],[Data]],"Market cap",TRUE)/1000000</f>
        <v>12255.781779999999</v>
      </c>
      <c r="G77" s="59" cm="1">
        <f t="array" ref="G77">_FV(Table2[[#This Row],[Data]],"Price")</f>
        <v>106.15</v>
      </c>
      <c r="H77">
        <v>4.5129999999999999</v>
      </c>
      <c r="I77" s="61" cm="1">
        <f t="array" ref="I77">_FV(Table2[[#This Row],[Data]],"P/E",TRUE)</f>
        <v>25.346599999999999</v>
      </c>
      <c r="J77" s="62"/>
      <c r="K77" s="62"/>
      <c r="L77" s="62" t="e">
        <f>Table2[[#This Row],[EV]]/Table2[[#This Row],[EBITDA]]</f>
        <v>#DIV/0!</v>
      </c>
      <c r="M77" s="63" cm="1">
        <f t="array" ref="M77">_FV(Table2[[#This Row],[Data]],"52 week low",TRUE)</f>
        <v>105.01</v>
      </c>
      <c r="N77" s="63" cm="1">
        <f t="array" ref="N77">_FV(Table2[[#This Row],[Data]],"52 week high",TRUE)</f>
        <v>195.82499999999999</v>
      </c>
      <c r="O77" s="64">
        <f>(Table2[[#This Row],[Close]]-Table2[[#This Row],[52Wk Lo]])/Table2[[#This Row],[52Wk Lo]]</f>
        <v>1.0856108942005529E-2</v>
      </c>
      <c r="P77" s="65">
        <v>1993</v>
      </c>
      <c r="Q77" s="65">
        <f>2022-Table2[[#This Row],[Founded]]</f>
        <v>29</v>
      </c>
      <c r="R77" s="66">
        <v>204</v>
      </c>
      <c r="S77" s="66">
        <f>Table2[[#This Row],[Close]]</f>
        <v>106.15</v>
      </c>
      <c r="T77" s="67">
        <f>(S77-R77)/R77</f>
        <v>-0.479656862745098</v>
      </c>
      <c r="U77" s="66">
        <v>105</v>
      </c>
      <c r="V77" s="66">
        <f>Table2[[#This Row],[Close]]</f>
        <v>106.15</v>
      </c>
      <c r="W77" s="67">
        <f>(V77-U77)/U77</f>
        <v>1.0952380952381007E-2</v>
      </c>
      <c r="X77" s="66">
        <v>49</v>
      </c>
      <c r="Y77" s="66">
        <f>Table2[[#This Row],[Close]]</f>
        <v>106.15</v>
      </c>
      <c r="Z77" s="67">
        <f>(Y77-X77)/X77</f>
        <v>1.166326530612245</v>
      </c>
      <c r="AA77" s="68">
        <f>100*(Table2[[#This Row],[1Y Change]]*0.17 + Table2[[#This Row],[3Y Change]]*0.166 + Table2[[#This Row],[5Y Change]]*0.166 + (Table2[[#This Row],[3Y Change]]-Table2[[#This Row],[1Y Change]])*0.166 + (Table2[[#This Row],[5Y Change]]-Table2[[#This Row],[1Y Change]])*0.166 + (Table2[[#This Row],[5Y Change]]-Table2[[#This Row],[3Y Change]])*0.166 + Table2[[#This Row],[Age (Inc.)]]/100)</f>
        <v>95.035311924769928</v>
      </c>
      <c r="AB77" s="69">
        <f>Table2[[#This Row],[Raw Score]]/SUM(Table2[Raw Score])</f>
        <v>7.3848132184121864E-3</v>
      </c>
      <c r="AC77" s="70">
        <v>7</v>
      </c>
      <c r="AD77" s="68">
        <f>Table2[[#This Row],[Raw Score]]+Table2[[#This Row],[Rating]]/AVERAGE(Table2[Rating])*50 -Table2[[#This Row],[% Up]]*100</f>
        <v>139.14200872287705</v>
      </c>
      <c r="AE77" s="71">
        <f>Table2[[#This Row],[TK Score]]/SUM(Table2[TK Score])</f>
        <v>8.3732397509221606E-3</v>
      </c>
      <c r="AF77" s="72">
        <f>Table2[[#This Row],[Weight (%)]]*$D$101</f>
        <v>12.559859626383242</v>
      </c>
    </row>
    <row r="78" spans="1:32" x14ac:dyDescent="0.25">
      <c r="A78" s="4" t="e" vm="79">
        <v>#VALUE!</v>
      </c>
      <c r="B78" s="4" t="s">
        <v>62</v>
      </c>
      <c r="C78" s="4" t="s">
        <v>137</v>
      </c>
      <c r="D78" s="4" t="str" cm="1">
        <f t="array" ref="D78">_FV(Table2[[#This Row],[Data]],"Exchange")</f>
        <v>New York Stock Exchange</v>
      </c>
      <c r="E78" t="s">
        <v>236</v>
      </c>
      <c r="F78" s="58" cm="1">
        <f t="array" ref="F78">_FV(Table2[[#This Row],[Data]],"Market cap",TRUE)/1000000</f>
        <v>18302.335674999998</v>
      </c>
      <c r="G78" s="59" cm="1">
        <f t="array" ref="G78">_FV(Table2[[#This Row],[Data]],"Price")</f>
        <v>100.75</v>
      </c>
      <c r="H78">
        <v>-5.45</v>
      </c>
      <c r="I78" s="73" cm="1">
        <f t="array" ref="I78">_FV(Table2[[#This Row],[Data]],"P/E",TRUE)</f>
        <v>0</v>
      </c>
      <c r="J78" s="62"/>
      <c r="K78" s="62"/>
      <c r="L78" s="62" t="e">
        <f>Table2[[#This Row],[EV]]/Table2[[#This Row],[EBITDA]]</f>
        <v>#DIV/0!</v>
      </c>
      <c r="M78" s="63" cm="1">
        <f t="array" ref="M78">_FV(Table2[[#This Row],[Data]],"52 week low",TRUE)</f>
        <v>98.47</v>
      </c>
      <c r="N78" s="63" cm="1">
        <f t="array" ref="N78">_FV(Table2[[#This Row],[Data]],"52 week high",TRUE)</f>
        <v>412.68</v>
      </c>
      <c r="O78" s="64">
        <f>(Table2[[#This Row],[Close]]-Table2[[#This Row],[52Wk Lo]])/Table2[[#This Row],[52Wk Lo]]</f>
        <v>2.3154260180765728E-2</v>
      </c>
      <c r="P78" s="65">
        <v>2008</v>
      </c>
      <c r="Q78" s="65">
        <f>2022-Table2[[#This Row],[Founded]]</f>
        <v>14</v>
      </c>
      <c r="R78" s="66">
        <v>353</v>
      </c>
      <c r="S78" s="66">
        <f>Table2[[#This Row],[Close]]</f>
        <v>100.75</v>
      </c>
      <c r="T78" s="67">
        <f>(S78-R78)/R78</f>
        <v>-0.71458923512747874</v>
      </c>
      <c r="U78" s="66">
        <v>87</v>
      </c>
      <c r="V78" s="66">
        <f>Table2[[#This Row],[Close]]</f>
        <v>100.75</v>
      </c>
      <c r="W78" s="67">
        <f>(V78-U78)/U78</f>
        <v>0.15804597701149425</v>
      </c>
      <c r="X78" s="66">
        <v>29</v>
      </c>
      <c r="Y78" s="66">
        <f>Table2[[#This Row],[Close]]</f>
        <v>100.75</v>
      </c>
      <c r="Z78" s="67">
        <f>(Y78-X78)/X78</f>
        <v>2.4741379310344827</v>
      </c>
      <c r="AA78" s="68">
        <f>100*(Table2[[#This Row],[1Y Change]]*0.17 + Table2[[#This Row],[3Y Change]]*0.166 + Table2[[#This Row],[5Y Change]]*0.166 + (Table2[[#This Row],[3Y Change]]-Table2[[#This Row],[1Y Change]])*0.166 + (Table2[[#This Row],[5Y Change]]-Table2[[#This Row],[1Y Change]])*0.166 + (Table2[[#This Row],[5Y Change]]-Table2[[#This Row],[3Y Change]])*0.166 + Table2[[#This Row],[Age (Inc.)]]/100)</f>
        <v>151.41197779297323</v>
      </c>
      <c r="AB78" s="69">
        <f>Table2[[#This Row],[Raw Score]]/SUM(Table2[Raw Score])</f>
        <v>1.1765617983309292E-2</v>
      </c>
      <c r="AC78" s="70">
        <v>6</v>
      </c>
      <c r="AD78" s="68">
        <f>Table2[[#This Row],[Raw Score]]+Table2[[#This Row],[Rating]]/AVERAGE(Table2[Rating])*50 -Table2[[#This Row],[% Up]]*100</f>
        <v>187.83281551116039</v>
      </c>
      <c r="AE78" s="71">
        <f>Table2[[#This Row],[TK Score]]/SUM(Table2[TK Score])</f>
        <v>1.1303338307398532E-2</v>
      </c>
      <c r="AF78" s="72">
        <f>Table2[[#This Row],[Weight (%)]]*$D$101</f>
        <v>16.955007461097797</v>
      </c>
    </row>
    <row r="79" spans="1:32" x14ac:dyDescent="0.25">
      <c r="A79" s="4" t="e" vm="80">
        <v>#VALUE!</v>
      </c>
      <c r="B79" s="4" t="s">
        <v>30</v>
      </c>
      <c r="C79" s="4" t="s">
        <v>138</v>
      </c>
      <c r="D79" s="4" t="str" cm="1">
        <f t="array" ref="D79">_FV(Table2[[#This Row],[Data]],"Exchange")</f>
        <v>New York Stock Exchange</v>
      </c>
      <c r="E79" t="s">
        <v>236</v>
      </c>
      <c r="F79" s="58" cm="1">
        <f t="array" ref="F79">_FV(Table2[[#This Row],[Data]],"Market cap",TRUE)/1000000</f>
        <v>36650.106372000002</v>
      </c>
      <c r="G79" s="59" cm="1">
        <f t="array" ref="G79">_FV(Table2[[#This Row],[Data]],"Price")</f>
        <v>47.96</v>
      </c>
      <c r="H79">
        <v>0.28000000000000003</v>
      </c>
      <c r="I79" s="61" cm="1">
        <f t="array" ref="I79">_FV(Table2[[#This Row],[Data]],"P/E",TRUE)</f>
        <v>205.70009999999999</v>
      </c>
      <c r="J79" s="62"/>
      <c r="K79" s="62"/>
      <c r="L79" s="62" t="e">
        <f>Table2[[#This Row],[EV]]/Table2[[#This Row],[EBITDA]]</f>
        <v>#DIV/0!</v>
      </c>
      <c r="M79" s="63" cm="1">
        <f t="array" ref="M79">_FV(Table2[[#This Row],[Data]],"52 week low",TRUE)</f>
        <v>31.3</v>
      </c>
      <c r="N79" s="63" cm="1">
        <f t="array" ref="N79">_FV(Table2[[#This Row],[Data]],"52 week high",TRUE)</f>
        <v>73.34</v>
      </c>
      <c r="O79" s="64">
        <f>(Table2[[#This Row],[Close]]-Table2[[#This Row],[52Wk Lo]])/Table2[[#This Row],[52Wk Lo]]</f>
        <v>0.5322683706070287</v>
      </c>
      <c r="P79" s="65">
        <v>2006</v>
      </c>
      <c r="Q79" s="65">
        <f>2022-Table2[[#This Row],[Founded]]</f>
        <v>16</v>
      </c>
      <c r="R79" s="66">
        <v>55</v>
      </c>
      <c r="S79" s="66">
        <f>Table2[[#This Row],[Close]]</f>
        <v>47.96</v>
      </c>
      <c r="T79" s="67">
        <f>(S79-R79)/R79</f>
        <v>-0.12799999999999997</v>
      </c>
      <c r="U79" s="66">
        <v>29</v>
      </c>
      <c r="V79" s="66">
        <f>Table2[[#This Row],[Close]]</f>
        <v>47.96</v>
      </c>
      <c r="W79" s="67">
        <f>(V79-U79)/U79</f>
        <v>0.6537931034482759</v>
      </c>
      <c r="X79" s="66">
        <v>16</v>
      </c>
      <c r="Y79" s="66">
        <f>Table2[[#This Row],[Close]]</f>
        <v>47.96</v>
      </c>
      <c r="Z79" s="67">
        <f>(Y79-X79)/X79</f>
        <v>1.9975000000000001</v>
      </c>
      <c r="AA79" s="68">
        <f>100*(Table2[[#This Row],[1Y Change]]*0.17 + Table2[[#This Row],[3Y Change]]*0.166 + Table2[[#This Row],[5Y Change]]*0.166 + (Table2[[#This Row],[3Y Change]]-Table2[[#This Row],[1Y Change]])*0.166 + (Table2[[#This Row],[5Y Change]]-Table2[[#This Row],[1Y Change]])*0.166 + (Table2[[#This Row],[5Y Change]]-Table2[[#This Row],[3Y Change]])*0.166 + Table2[[#This Row],[Age (Inc.)]]/100)</f>
        <v>128.40206551724137</v>
      </c>
      <c r="AB79" s="69">
        <f>Table2[[#This Row],[Raw Score]]/SUM(Table2[Raw Score])</f>
        <v>9.9776099167619703E-3</v>
      </c>
      <c r="AC79" s="70">
        <v>7</v>
      </c>
      <c r="AD79" s="68">
        <f>Table2[[#This Row],[Raw Score]]+Table2[[#This Row],[Rating]]/AVERAGE(Table2[Rating])*50 -Table2[[#This Row],[% Up]]*100</f>
        <v>120.3675361488462</v>
      </c>
      <c r="AE79" s="71">
        <f>Table2[[#This Row],[TK Score]]/SUM(Table2[TK Score])</f>
        <v>7.2434360237633296E-3</v>
      </c>
      <c r="AF79" s="72">
        <f>Table2[[#This Row],[Weight (%)]]*$D$101</f>
        <v>10.865154035644995</v>
      </c>
    </row>
    <row r="80" spans="1:32" x14ac:dyDescent="0.25">
      <c r="A80" s="4" t="e" vm="81">
        <v>#VALUE!</v>
      </c>
      <c r="B80" s="4" t="s">
        <v>156</v>
      </c>
      <c r="C80" s="4" t="s">
        <v>166</v>
      </c>
      <c r="D80" s="4" t="str" cm="1">
        <f t="array" ref="D80">_FV(Table2[[#This Row],[Data]],"Exchange")</f>
        <v>Nasdaq Stock Market</v>
      </c>
      <c r="E80" t="s">
        <v>235</v>
      </c>
      <c r="F80" s="58" cm="1">
        <f t="array" ref="F80">_FV(Table2[[#This Row],[Data]],"Market cap",TRUE)/1000000</f>
        <v>152096.76546600001</v>
      </c>
      <c r="G80" s="59" cm="1">
        <f t="array" ref="G80">_FV(Table2[[#This Row],[Data]],"Price")</f>
        <v>164.94</v>
      </c>
      <c r="H80">
        <v>8.74</v>
      </c>
      <c r="I80" s="61" cm="1">
        <f t="array" ref="I80">_FV(Table2[[#This Row],[Data]],"P/E",TRUE)</f>
        <v>19.147300000000001</v>
      </c>
      <c r="J80" s="62"/>
      <c r="K80" s="62"/>
      <c r="L80" s="62" t="e">
        <f>Table2[[#This Row],[EV]]/Table2[[#This Row],[EBITDA]]</f>
        <v>#DIV/0!</v>
      </c>
      <c r="M80" s="63" cm="1">
        <f t="array" ref="M80">_FV(Table2[[#This Row],[Data]],"52 week low",TRUE)</f>
        <v>160.5</v>
      </c>
      <c r="N80" s="63" cm="1">
        <f t="array" ref="N80">_FV(Table2[[#This Row],[Data]],"52 week high",TRUE)</f>
        <v>202.26</v>
      </c>
      <c r="O80" s="64">
        <f>(Table2[[#This Row],[Close]]-Table2[[#This Row],[52Wk Lo]])/Table2[[#This Row],[52Wk Lo]]</f>
        <v>2.7663551401869144E-2</v>
      </c>
      <c r="P80" s="65">
        <v>1951</v>
      </c>
      <c r="Q80" s="65">
        <f>2022-Table2[[#This Row],[Founded]]</f>
        <v>71</v>
      </c>
      <c r="R80" s="66">
        <v>165</v>
      </c>
      <c r="S80" s="66">
        <f>Table2[[#This Row],[Close]]</f>
        <v>164.94</v>
      </c>
      <c r="T80" s="67">
        <f>(S80-R80)/R80</f>
        <v>-3.6363636363637744E-4</v>
      </c>
      <c r="U80" s="66">
        <v>93</v>
      </c>
      <c r="V80" s="66">
        <f>Table2[[#This Row],[Close]]</f>
        <v>164.94</v>
      </c>
      <c r="W80" s="67">
        <f>(V80-U80)/U80</f>
        <v>0.7735483870967742</v>
      </c>
      <c r="X80" s="66">
        <v>73</v>
      </c>
      <c r="Y80" s="66">
        <f>Table2[[#This Row],[Close]]</f>
        <v>164.94</v>
      </c>
      <c r="Z80" s="67">
        <f>(Y80-X80)/X80</f>
        <v>1.2594520547945205</v>
      </c>
      <c r="AA80" s="68">
        <f>100*(Table2[[#This Row],[1Y Change]]*0.17 + Table2[[#This Row],[3Y Change]]*0.166 + Table2[[#This Row],[5Y Change]]*0.166 + (Table2[[#This Row],[3Y Change]]-Table2[[#This Row],[1Y Change]])*0.166 + (Table2[[#This Row],[5Y Change]]-Table2[[#This Row],[1Y Change]])*0.166 + (Table2[[#This Row],[5Y Change]]-Table2[[#This Row],[3Y Change]])*0.166 + Table2[[#This Row],[Age (Inc.)]]/100)</f>
        <v>146.56750646366447</v>
      </c>
      <c r="AB80" s="69">
        <f>Table2[[#This Row],[Raw Score]]/SUM(Table2[Raw Score])</f>
        <v>1.1389173531406845E-2</v>
      </c>
      <c r="AC80" s="70">
        <v>6</v>
      </c>
      <c r="AD80" s="68">
        <f>Table2[[#This Row],[Raw Score]]+Table2[[#This Row],[Rating]]/AVERAGE(Table2[Rating])*50 -Table2[[#This Row],[% Up]]*100</f>
        <v>182.53741505974131</v>
      </c>
      <c r="AE80" s="71">
        <f>Table2[[#This Row],[TK Score]]/SUM(Table2[TK Score])</f>
        <v>1.0984673527697221E-2</v>
      </c>
      <c r="AF80" s="72">
        <f>Table2[[#This Row],[Weight (%)]]*$D$101</f>
        <v>16.477010291545831</v>
      </c>
    </row>
    <row r="81" spans="1:32" x14ac:dyDescent="0.25">
      <c r="A81" s="4" t="e" vm="82">
        <v>#VALUE!</v>
      </c>
      <c r="B81" s="4" t="s">
        <v>22</v>
      </c>
      <c r="C81" s="4" t="s">
        <v>139</v>
      </c>
      <c r="D81" s="4" t="str" cm="1">
        <f t="array" ref="D81">_FV(Table2[[#This Row],[Data]],"Exchange")</f>
        <v>New York Stock Exchange</v>
      </c>
      <c r="E81" t="s">
        <v>237</v>
      </c>
      <c r="F81" s="58" cm="1">
        <f t="array" ref="F81">_FV(Table2[[#This Row],[Data]],"Market cap",TRUE)/1000000</f>
        <v>45262.362999999998</v>
      </c>
      <c r="G81" s="59" cm="1">
        <f t="array" ref="G81">_FV(Table2[[#This Row],[Data]],"Price")</f>
        <v>23.05</v>
      </c>
      <c r="H81">
        <v>-0.28499999999999998</v>
      </c>
      <c r="I81" s="61" cm="1">
        <f t="array" ref="I81">_FV(Table2[[#This Row],[Data]],"P/E",TRUE)</f>
        <v>0</v>
      </c>
      <c r="J81" s="62"/>
      <c r="K81" s="62"/>
      <c r="L81" s="62" t="e">
        <f>Table2[[#This Row],[EV]]/Table2[[#This Row],[EBITDA]]</f>
        <v>#DIV/0!</v>
      </c>
      <c r="M81" s="63" cm="1">
        <f t="array" ref="M81">_FV(Table2[[#This Row],[Data]],"52 week low",TRUE)</f>
        <v>22.8</v>
      </c>
      <c r="N81" s="63" cm="1">
        <f t="array" ref="N81">_FV(Table2[[#This Row],[Data]],"52 week high",TRUE)</f>
        <v>52.36</v>
      </c>
      <c r="O81" s="64">
        <f>(Table2[[#This Row],[Close]]-Table2[[#This Row],[52Wk Lo]])/Table2[[#This Row],[52Wk Lo]]</f>
        <v>1.0964912280701754E-2</v>
      </c>
      <c r="P81" s="65">
        <v>2009</v>
      </c>
      <c r="Q81" s="65">
        <f>2022-Table2[[#This Row],[Founded]]</f>
        <v>13</v>
      </c>
      <c r="R81" s="66">
        <v>53</v>
      </c>
      <c r="S81" s="66">
        <f>Table2[[#This Row],[Close]]</f>
        <v>23.05</v>
      </c>
      <c r="T81" s="67">
        <f>(S81-R81)/R81</f>
        <v>-0.56509433962264155</v>
      </c>
      <c r="U81" s="66">
        <v>42</v>
      </c>
      <c r="V81" s="66">
        <f>Table2[[#This Row],[Close]]</f>
        <v>23.05</v>
      </c>
      <c r="W81" s="67">
        <f>(V81-U81)/U81</f>
        <v>-0.4511904761904762</v>
      </c>
      <c r="X81" s="66">
        <v>42</v>
      </c>
      <c r="Y81" s="66">
        <f>Table2[[#This Row],[Close]]</f>
        <v>23.05</v>
      </c>
      <c r="Z81" s="67">
        <f>(Y81-X81)/X81</f>
        <v>-0.4511904761904762</v>
      </c>
      <c r="AA81" s="68">
        <f>100*(Table2[[#This Row],[1Y Change]]*0.17 + Table2[[#This Row],[3Y Change]]*0.166 + Table2[[#This Row],[5Y Change]]*0.166 + (Table2[[#This Row],[3Y Change]]-Table2[[#This Row],[1Y Change]])*0.166 + (Table2[[#This Row],[5Y Change]]-Table2[[#This Row],[1Y Change]])*0.166 + (Table2[[#This Row],[5Y Change]]-Table2[[#This Row],[3Y Change]])*0.166 + Table2[[#This Row],[Age (Inc.)]]/100)</f>
        <v>-7.8045193171608265</v>
      </c>
      <c r="AB81" s="69">
        <f>Table2[[#This Row],[Raw Score]]/SUM(Table2[Raw Score])</f>
        <v>-6.0645791810886457E-4</v>
      </c>
      <c r="AC81" s="70">
        <v>10</v>
      </c>
      <c r="AD81" s="68">
        <f>Table2[[#This Row],[Raw Score]]+Table2[[#This Row],[Rating]]/AVERAGE(Table2[Rating])*50 -Table2[[#This Row],[% Up]]*100</f>
        <v>55.659429015208559</v>
      </c>
      <c r="AE81" s="71">
        <f>Table2[[#This Row],[TK Score]]/SUM(Table2[TK Score])</f>
        <v>3.3494538983692922E-3</v>
      </c>
      <c r="AF81" s="72">
        <f>Table2[[#This Row],[Weight (%)]]*$D$101</f>
        <v>5.0241808475539385</v>
      </c>
    </row>
    <row r="82" spans="1:32" x14ac:dyDescent="0.25">
      <c r="A82" s="4" t="e" vm="83">
        <v>#VALUE!</v>
      </c>
      <c r="B82" s="4" t="s">
        <v>180</v>
      </c>
      <c r="C82" s="4" t="s">
        <v>191</v>
      </c>
      <c r="D82" s="4" t="str" cm="1">
        <f t="array" ref="D82">_FV(Table2[[#This Row],[Data]],"Exchange")</f>
        <v>Nasdaq Stock Market</v>
      </c>
      <c r="E82" t="s">
        <v>237</v>
      </c>
      <c r="F82" s="58" cm="1">
        <f t="array" ref="F82">_FV(Table2[[#This Row],[Data]],"Market cap",TRUE)/1000000</f>
        <v>19903.240782000001</v>
      </c>
      <c r="G82" s="59" cm="1">
        <f t="array" ref="G82">_FV(Table2[[#This Row],[Data]],"Price")</f>
        <v>381.09</v>
      </c>
      <c r="H82">
        <v>17.98</v>
      </c>
      <c r="I82" s="61" cm="1">
        <f t="array" ref="I82">_FV(Table2[[#This Row],[Data]],"P/E",TRUE)</f>
        <v>21.628699999999998</v>
      </c>
      <c r="J82" s="62"/>
      <c r="K82" s="62"/>
      <c r="L82" s="62" t="e">
        <f>Table2[[#This Row],[EV]]/Table2[[#This Row],[EBITDA]]</f>
        <v>#DIV/0!</v>
      </c>
      <c r="M82" s="63" cm="1">
        <f t="array" ref="M82">_FV(Table2[[#This Row],[Data]],"52 week low",TRUE)</f>
        <v>299.77269999999999</v>
      </c>
      <c r="N82" s="63" cm="1">
        <f t="array" ref="N82">_FV(Table2[[#This Row],[Data]],"52 week high",TRUE)</f>
        <v>438.63279999999997</v>
      </c>
      <c r="O82" s="64">
        <f>(Table2[[#This Row],[Close]]-Table2[[#This Row],[52Wk Lo]])/Table2[[#This Row],[52Wk Lo]]</f>
        <v>0.27126319374646185</v>
      </c>
      <c r="P82" s="65">
        <v>1990</v>
      </c>
      <c r="Q82" s="65">
        <f>2022-Table2[[#This Row],[Founded]]</f>
        <v>32</v>
      </c>
      <c r="R82" s="66">
        <v>287</v>
      </c>
      <c r="S82" s="66">
        <f>Table2[[#This Row],[Close]]</f>
        <v>381.09</v>
      </c>
      <c r="T82" s="67">
        <f>(S82-R82)/R82</f>
        <v>0.32783972125435529</v>
      </c>
      <c r="U82" s="66">
        <v>256</v>
      </c>
      <c r="V82" s="66">
        <f>Table2[[#This Row],[Close]]</f>
        <v>381.09</v>
      </c>
      <c r="W82" s="67">
        <f>(V82-U82)/U82</f>
        <v>0.4886328124999999</v>
      </c>
      <c r="X82" s="66">
        <v>272</v>
      </c>
      <c r="Y82" s="66">
        <f>Table2[[#This Row],[Close]]</f>
        <v>381.09</v>
      </c>
      <c r="Z82" s="67">
        <f>(Y82-X82)/X82</f>
        <v>0.40106617647058812</v>
      </c>
      <c r="AA82" s="68">
        <f>100*(Table2[[#This Row],[1Y Change]]*0.17 + Table2[[#This Row],[3Y Change]]*0.166 + Table2[[#This Row],[5Y Change]]*0.166 + (Table2[[#This Row],[3Y Change]]-Table2[[#This Row],[1Y Change]])*0.166 + (Table2[[#This Row],[5Y Change]]-Table2[[#This Row],[1Y Change]])*0.166 + (Table2[[#This Row],[5Y Change]]-Table2[[#This Row],[3Y Change]])*0.166 + Table2[[#This Row],[Age (Inc.)]]/100)</f>
        <v>54.773396791414733</v>
      </c>
      <c r="AB82" s="69">
        <f>Table2[[#This Row],[Raw Score]]/SUM(Table2[Raw Score])</f>
        <v>4.2562211503316891E-3</v>
      </c>
      <c r="AC82" s="70">
        <v>8</v>
      </c>
      <c r="AD82" s="68">
        <f>Table2[[#This Row],[Raw Score]]+Table2[[#This Row],[Rating]]/AVERAGE(Table2[Rating])*50 -Table2[[#This Row],[% Up]]*100</f>
        <v>79.295429065120189</v>
      </c>
      <c r="AE82" s="71">
        <f>Table2[[#This Row],[TK Score]]/SUM(Table2[TK Score])</f>
        <v>4.7718129471371346E-3</v>
      </c>
      <c r="AF82" s="72">
        <f>Table2[[#This Row],[Weight (%)]]*$D$101</f>
        <v>7.1577194207057016</v>
      </c>
    </row>
    <row r="83" spans="1:32" x14ac:dyDescent="0.25">
      <c r="A83" s="4" t="e" vm="84">
        <v>#VALUE!</v>
      </c>
      <c r="B83" s="4" t="s">
        <v>48</v>
      </c>
      <c r="C83" s="4" t="s">
        <v>140</v>
      </c>
      <c r="D83" s="4" t="str" cm="1">
        <f t="array" ref="D83">_FV(Table2[[#This Row],[Data]],"Exchange")</f>
        <v>New York Stock Exchange</v>
      </c>
      <c r="E83" t="s">
        <v>239</v>
      </c>
      <c r="F83" s="58" cm="1">
        <f t="array" ref="F83">_FV(Table2[[#This Row],[Data]],"Market cap",TRUE)/1000000</f>
        <v>456345.429672</v>
      </c>
      <c r="G83" s="59" cm="1">
        <f t="array" ref="G83">_FV(Table2[[#This Row],[Data]],"Price")</f>
        <v>486.42</v>
      </c>
      <c r="H83">
        <v>18.27</v>
      </c>
      <c r="I83" s="61" cm="1">
        <f t="array" ref="I83">_FV(Table2[[#This Row],[Data]],"P/E",TRUE)</f>
        <v>27.348500000000001</v>
      </c>
      <c r="J83" s="62"/>
      <c r="K83" s="62"/>
      <c r="L83" s="62" t="e">
        <f>Table2[[#This Row],[EV]]/Table2[[#This Row],[EBITDA]]</f>
        <v>#DIV/0!</v>
      </c>
      <c r="M83" s="63" cm="1">
        <f t="array" ref="M83">_FV(Table2[[#This Row],[Data]],"52 week low",TRUE)</f>
        <v>383.12</v>
      </c>
      <c r="N83" s="63" cm="1">
        <f t="array" ref="N83">_FV(Table2[[#This Row],[Data]],"52 week high",TRUE)</f>
        <v>553.29</v>
      </c>
      <c r="O83" s="64">
        <f>(Table2[[#This Row],[Close]]-Table2[[#This Row],[52Wk Lo]])/Table2[[#This Row],[52Wk Lo]]</f>
        <v>0.2696283148882857</v>
      </c>
      <c r="P83" s="65">
        <v>1977</v>
      </c>
      <c r="Q83" s="65">
        <f>2022-Table2[[#This Row],[Founded]]</f>
        <v>45</v>
      </c>
      <c r="R83" s="66">
        <v>347</v>
      </c>
      <c r="S83" s="66">
        <f>Table2[[#This Row],[Close]]</f>
        <v>486.42</v>
      </c>
      <c r="T83" s="67">
        <f>(S83-R83)/R83</f>
        <v>0.4017867435158502</v>
      </c>
      <c r="U83" s="66">
        <v>248</v>
      </c>
      <c r="V83" s="66">
        <f>Table2[[#This Row],[Close]]</f>
        <v>486.42</v>
      </c>
      <c r="W83" s="67">
        <f>(V83-U83)/U83</f>
        <v>0.96137096774193553</v>
      </c>
      <c r="X83" s="66">
        <v>160</v>
      </c>
      <c r="Y83" s="66">
        <f>Table2[[#This Row],[Close]]</f>
        <v>486.42</v>
      </c>
      <c r="Z83" s="67">
        <f>(Y83-X83)/X83</f>
        <v>2.0401250000000002</v>
      </c>
      <c r="AA83" s="68">
        <f>100*(Table2[[#This Row],[1Y Change]]*0.17 + Table2[[#This Row],[3Y Change]]*0.166 + Table2[[#This Row],[5Y Change]]*0.166 + (Table2[[#This Row],[3Y Change]]-Table2[[#This Row],[1Y Change]])*0.166 + (Table2[[#This Row],[5Y Change]]-Table2[[#This Row],[1Y Change]])*0.166 + (Table2[[#This Row],[5Y Change]]-Table2[[#This Row],[3Y Change]])*0.166 + Table2[[#This Row],[Age (Inc.)]]/100)</f>
        <v>156.04803781955937</v>
      </c>
      <c r="AB83" s="69">
        <f>Table2[[#This Row],[Raw Score]]/SUM(Table2[Raw Score])</f>
        <v>1.2125867628123288E-2</v>
      </c>
      <c r="AC83" s="70">
        <v>7</v>
      </c>
      <c r="AD83" s="68">
        <f>Table2[[#This Row],[Raw Score]]+Table2[[#This Row],[Rating]]/AVERAGE(Table2[Rating])*50 -Table2[[#This Row],[% Up]]*100</f>
        <v>174.27751402303852</v>
      </c>
      <c r="AE83" s="71">
        <f>Table2[[#This Row],[TK Score]]/SUM(Table2[TK Score])</f>
        <v>1.0487612055507682E-2</v>
      </c>
      <c r="AF83" s="72">
        <f>Table2[[#This Row],[Weight (%)]]*$D$101</f>
        <v>15.731418083261524</v>
      </c>
    </row>
    <row r="84" spans="1:32" x14ac:dyDescent="0.25">
      <c r="A84" s="4" t="e" vm="85">
        <v>#VALUE!</v>
      </c>
      <c r="B84" s="4" t="s">
        <v>47</v>
      </c>
      <c r="C84" s="4" t="s">
        <v>141</v>
      </c>
      <c r="D84" s="4" t="str" cm="1">
        <f t="array" ref="D84">_FV(Table2[[#This Row],[Data]],"Exchange")</f>
        <v>New York Stock Exchange</v>
      </c>
      <c r="E84" t="s">
        <v>237</v>
      </c>
      <c r="F84" s="58" cm="1">
        <f t="array" ref="F84">_FV(Table2[[#This Row],[Data]],"Market cap",TRUE)/1000000</f>
        <v>402051.038</v>
      </c>
      <c r="G84" s="59" cm="1">
        <f t="array" ref="G84">_FV(Table2[[#This Row],[Data]],"Price")</f>
        <v>193</v>
      </c>
      <c r="H84">
        <v>6.36</v>
      </c>
      <c r="I84" s="61" cm="1">
        <f t="array" ref="I84">_FV(Table2[[#This Row],[Data]],"P/E",TRUE)</f>
        <v>34.362499999999997</v>
      </c>
      <c r="J84" s="62"/>
      <c r="K84" s="62"/>
      <c r="L84" s="62" t="e">
        <f>Table2[[#This Row],[EV]]/Table2[[#This Row],[EBITDA]]</f>
        <v>#DIV/0!</v>
      </c>
      <c r="M84" s="63" cm="1">
        <f t="array" ref="M84">_FV(Table2[[#This Row],[Data]],"52 week low",TRUE)</f>
        <v>186.67</v>
      </c>
      <c r="N84" s="63" cm="1">
        <f t="array" ref="N84">_FV(Table2[[#This Row],[Data]],"52 week high",TRUE)</f>
        <v>252.67</v>
      </c>
      <c r="O84" s="64">
        <f>(Table2[[#This Row],[Close]]-Table2[[#This Row],[52Wk Lo]])/Table2[[#This Row],[52Wk Lo]]</f>
        <v>3.3910108748058138E-2</v>
      </c>
      <c r="P84" s="65">
        <v>1958</v>
      </c>
      <c r="Q84" s="65">
        <f>2022-Table2[[#This Row],[Founded]]</f>
        <v>64</v>
      </c>
      <c r="R84" s="66">
        <v>216</v>
      </c>
      <c r="S84" s="66">
        <f>Table2[[#This Row],[Close]]</f>
        <v>193</v>
      </c>
      <c r="T84" s="67">
        <f>(S84-R84)/R84</f>
        <v>-0.10648148148148148</v>
      </c>
      <c r="U84" s="66">
        <v>131</v>
      </c>
      <c r="V84" s="66">
        <f>Table2[[#This Row],[Close]]</f>
        <v>193</v>
      </c>
      <c r="W84" s="67">
        <f>(V84-U84)/U84</f>
        <v>0.47328244274809161</v>
      </c>
      <c r="X84" s="66">
        <v>79</v>
      </c>
      <c r="Y84" s="66">
        <f>Table2[[#This Row],[Close]]</f>
        <v>193</v>
      </c>
      <c r="Z84" s="67">
        <f>(Y84-X84)/X84</f>
        <v>1.4430379746835442</v>
      </c>
      <c r="AA84" s="68">
        <f>100*(Table2[[#This Row],[1Y Change]]*0.17 + Table2[[#This Row],[3Y Change]]*0.166 + Table2[[#This Row],[5Y Change]]*0.166 + (Table2[[#This Row],[3Y Change]]-Table2[[#This Row],[1Y Change]])*0.166 + (Table2[[#This Row],[5Y Change]]-Table2[[#This Row],[1Y Change]])*0.166 + (Table2[[#This Row],[5Y Change]]-Table2[[#This Row],[3Y Change]])*0.166 + Table2[[#This Row],[Age (Inc.)]]/100)</f>
        <v>145.44477968885883</v>
      </c>
      <c r="AB84" s="69">
        <f>Table2[[#This Row],[Raw Score]]/SUM(Table2[Raw Score])</f>
        <v>1.1301930933268025E-2</v>
      </c>
      <c r="AC84" s="70">
        <v>10</v>
      </c>
      <c r="AD84" s="68">
        <f>Table2[[#This Row],[Raw Score]]+Table2[[#This Row],[Rating]]/AVERAGE(Table2[Rating])*50 -Table2[[#This Row],[% Up]]*100</f>
        <v>206.61420837449259</v>
      </c>
      <c r="AE84" s="71">
        <f>Table2[[#This Row],[TK Score]]/SUM(Table2[TK Score])</f>
        <v>1.243355848133715E-2</v>
      </c>
      <c r="AF84" s="72">
        <f>Table2[[#This Row],[Weight (%)]]*$D$101</f>
        <v>18.650337722005723</v>
      </c>
    </row>
    <row r="85" spans="1:32" x14ac:dyDescent="0.25">
      <c r="A85" s="4" t="e" vm="86">
        <v>#VALUE!</v>
      </c>
      <c r="B85" s="4" t="s">
        <v>1</v>
      </c>
      <c r="C85" s="4" t="s">
        <v>142</v>
      </c>
      <c r="D85" s="4" t="str" cm="1">
        <f t="array" ref="D85">_FV(Table2[[#This Row],[Data]],"Exchange")</f>
        <v>NYSE Arca</v>
      </c>
      <c r="E85" s="4"/>
      <c r="F85" s="58" cm="1">
        <f t="array" ref="F85">_FV(Table2[[#This Row],[Data]],"Market cap",TRUE)/1000000</f>
        <v>291373.03686699999</v>
      </c>
      <c r="G85" s="59" cm="1">
        <f t="array" ref="G85">_FV(Table2[[#This Row],[Data]],"Price")</f>
        <v>365.9</v>
      </c>
      <c r="H85" s="60" t="e" vm="8">
        <f>Table2[[#This Row],[Close]]/Table2[[#This Row],[P/E]]</f>
        <v>#VALUE!</v>
      </c>
      <c r="I85" s="74" t="e" cm="1" vm="9">
        <f t="array" ref="I85">_FV(Table2[[#This Row],[Data]],"P/E",TRUE)</f>
        <v>#VALUE!</v>
      </c>
      <c r="J85" s="62"/>
      <c r="K85" s="62"/>
      <c r="L85" s="62" t="e">
        <f>Table2[[#This Row],[EV]]/Table2[[#This Row],[EBITDA]]</f>
        <v>#DIV/0!</v>
      </c>
      <c r="M85" s="63" cm="1">
        <f t="array" ref="M85">_FV(Table2[[#This Row],[Data]],"52 week low",TRUE)</f>
        <v>364.5</v>
      </c>
      <c r="N85" s="63" cm="1">
        <f t="array" ref="N85">_FV(Table2[[#This Row],[Data]],"52 week high",TRUE)</f>
        <v>441.26</v>
      </c>
      <c r="O85" s="64">
        <f>(Table2[[#This Row],[Close]]-Table2[[#This Row],[52Wk Lo]])/Table2[[#This Row],[52Wk Lo]]</f>
        <v>3.8408779149519266E-3</v>
      </c>
      <c r="P85" s="65">
        <v>1975</v>
      </c>
      <c r="Q85" s="65">
        <f>2022-Table2[[#This Row],[Founded]]</f>
        <v>47</v>
      </c>
      <c r="R85" s="66">
        <v>342</v>
      </c>
      <c r="S85" s="66">
        <f>Table2[[#This Row],[Close]]</f>
        <v>365.9</v>
      </c>
      <c r="T85" s="67">
        <f>(S85-R85)/R85</f>
        <v>6.988304093567245E-2</v>
      </c>
      <c r="U85" s="66">
        <v>229</v>
      </c>
      <c r="V85" s="66">
        <f>Table2[[#This Row],[Close]]</f>
        <v>365.9</v>
      </c>
      <c r="W85" s="67">
        <f>(V85-U85)/U85</f>
        <v>0.5978165938864628</v>
      </c>
      <c r="X85" s="66">
        <v>206</v>
      </c>
      <c r="Y85" s="66">
        <f>Table2[[#This Row],[Close]]</f>
        <v>365.9</v>
      </c>
      <c r="Z85" s="67">
        <f>(Y85-X85)/X85</f>
        <v>0.77621359223300956</v>
      </c>
      <c r="AA85" s="68">
        <f>100*(Table2[[#This Row],[1Y Change]]*0.17 + Table2[[#This Row],[3Y Change]]*0.166 + Table2[[#This Row],[5Y Change]]*0.166 + (Table2[[#This Row],[3Y Change]]-Table2[[#This Row],[1Y Change]])*0.166 + (Table2[[#This Row],[5Y Change]]-Table2[[#This Row],[1Y Change]])*0.166 + (Table2[[#This Row],[5Y Change]]-Table2[[#This Row],[3Y Change]])*0.166 + Table2[[#This Row],[Age (Inc.)]]/100)</f>
        <v>94.447087088561261</v>
      </c>
      <c r="AB85" s="69">
        <f>Table2[[#This Row],[Raw Score]]/SUM(Table2[Raw Score])</f>
        <v>7.3391046238082056E-3</v>
      </c>
      <c r="AC85" s="70">
        <v>10</v>
      </c>
      <c r="AD85" s="68">
        <f>Table2[[#This Row],[Raw Score]]+Table2[[#This Row],[Rating]]/AVERAGE(Table2[Rating])*50 -Table2[[#This Row],[% Up]]*100</f>
        <v>158.62343885750562</v>
      </c>
      <c r="AE85" s="71">
        <f>Table2[[#This Row],[TK Score]]/SUM(Table2[TK Score])</f>
        <v>9.5455865260285124E-3</v>
      </c>
      <c r="AF85" s="72">
        <f>Table2[[#This Row],[Weight (%)]]*$D$101</f>
        <v>14.318379789042769</v>
      </c>
    </row>
    <row r="86" spans="1:32" x14ac:dyDescent="0.25">
      <c r="A86" s="4" t="e" vm="87">
        <v>#VALUE!</v>
      </c>
      <c r="B86" s="4" t="s">
        <v>40</v>
      </c>
      <c r="C86" s="4" t="s">
        <v>143</v>
      </c>
      <c r="D86" s="4" t="str" cm="1">
        <f t="array" ref="D86">_FV(Table2[[#This Row],[Data]],"Exchange")</f>
        <v>NYSE Arca</v>
      </c>
      <c r="E86" s="4"/>
      <c r="F86" s="58" cm="1">
        <f t="array" ref="F86">_FV(Table2[[#This Row],[Data]],"Market cap",TRUE)/1000000</f>
        <v>7790.9957999999997</v>
      </c>
      <c r="G86" s="59" cm="1">
        <f t="array" ref="G86">_FV(Table2[[#This Row],[Data]],"Price")</f>
        <v>229.24</v>
      </c>
      <c r="H86" s="60" t="e" vm="8">
        <f>Table2[[#This Row],[Close]]/Table2[[#This Row],[P/E]]</f>
        <v>#VALUE!</v>
      </c>
      <c r="I86" s="74" t="e" cm="1" vm="9">
        <f t="array" ref="I86">_FV(Table2[[#This Row],[Data]],"P/E",TRUE)</f>
        <v>#VALUE!</v>
      </c>
      <c r="J86" s="62"/>
      <c r="K86" s="62"/>
      <c r="L86" s="62" t="e">
        <f>Table2[[#This Row],[EV]]/Table2[[#This Row],[EBITDA]]</f>
        <v>#DIV/0!</v>
      </c>
      <c r="M86" s="63" cm="1">
        <f t="array" ref="M86">_FV(Table2[[#This Row],[Data]],"52 week low",TRUE)</f>
        <v>228.27</v>
      </c>
      <c r="N86" s="63" cm="1">
        <f t="array" ref="N86">_FV(Table2[[#This Row],[Data]],"52 week high",TRUE)</f>
        <v>306.64019999999999</v>
      </c>
      <c r="O86" s="64">
        <f>(Table2[[#This Row],[Close]]-Table2[[#This Row],[52Wk Lo]])/Table2[[#This Row],[52Wk Lo]]</f>
        <v>4.2493538353703892E-3</v>
      </c>
      <c r="P86" s="65">
        <v>1975</v>
      </c>
      <c r="Q86" s="65">
        <f>2022-Table2[[#This Row],[Founded]]</f>
        <v>47</v>
      </c>
      <c r="R86" s="66">
        <v>230</v>
      </c>
      <c r="S86" s="66">
        <f>Table2[[#This Row],[Close]]</f>
        <v>229.24</v>
      </c>
      <c r="T86" s="67">
        <f>(S86-R86)/R86</f>
        <v>-3.3043478260869168E-3</v>
      </c>
      <c r="U86" s="66">
        <v>135</v>
      </c>
      <c r="V86" s="66">
        <f>Table2[[#This Row],[Close]]</f>
        <v>229.24</v>
      </c>
      <c r="W86" s="67">
        <f>(V86-U86)/U86</f>
        <v>0.69807407407407418</v>
      </c>
      <c r="X86" s="66">
        <v>110</v>
      </c>
      <c r="Y86" s="66">
        <f>Table2[[#This Row],[Close]]</f>
        <v>229.24</v>
      </c>
      <c r="Z86" s="67">
        <f>(Y86-X86)/X86</f>
        <v>1.0840000000000001</v>
      </c>
      <c r="AA86" s="68">
        <f>100*(Table2[[#This Row],[1Y Change]]*0.17 + Table2[[#This Row],[3Y Change]]*0.166 + Table2[[#This Row],[5Y Change]]*0.166 + (Table2[[#This Row],[3Y Change]]-Table2[[#This Row],[1Y Change]])*0.166 + (Table2[[#This Row],[5Y Change]]-Table2[[#This Row],[1Y Change]])*0.166 + (Table2[[#This Row],[5Y Change]]-Table2[[#This Row],[3Y Change]])*0.166 + Table2[[#This Row],[Age (Inc.)]]/100)</f>
        <v>112.62476006441227</v>
      </c>
      <c r="AB86" s="69">
        <f>Table2[[#This Row],[Raw Score]]/SUM(Table2[Raw Score])</f>
        <v>8.7516187404378439E-3</v>
      </c>
      <c r="AC86" s="70">
        <v>10</v>
      </c>
      <c r="AD86" s="68">
        <f>Table2[[#This Row],[Raw Score]]+Table2[[#This Row],[Rating]]/AVERAGE(Table2[Rating])*50 -Table2[[#This Row],[% Up]]*100</f>
        <v>176.76026424131479</v>
      </c>
      <c r="AE86" s="71">
        <f>Table2[[#This Row],[TK Score]]/SUM(Table2[TK Score])</f>
        <v>1.0637018140773315E-2</v>
      </c>
      <c r="AF86" s="72">
        <f>Table2[[#This Row],[Weight (%)]]*$D$101</f>
        <v>15.955527211159971</v>
      </c>
    </row>
    <row r="87" spans="1:32" x14ac:dyDescent="0.25">
      <c r="A87" s="4" t="e" vm="88">
        <v>#VALUE!</v>
      </c>
      <c r="B87" s="4" t="s">
        <v>39</v>
      </c>
      <c r="C87" s="4" t="s">
        <v>144</v>
      </c>
      <c r="D87" s="4" t="str" cm="1">
        <f t="array" ref="D87">_FV(Table2[[#This Row],[Data]],"Exchange")</f>
        <v>NYSE Arca</v>
      </c>
      <c r="E87" s="4"/>
      <c r="F87" s="58" cm="1">
        <f t="array" ref="F87">_FV(Table2[[#This Row],[Data]],"Market cap",TRUE)/1000000</f>
        <v>83435.797250000003</v>
      </c>
      <c r="G87" s="59" cm="1">
        <f t="array" ref="G87">_FV(Table2[[#This Row],[Data]],"Price")</f>
        <v>234.59</v>
      </c>
      <c r="H87" s="60" t="e" vm="8">
        <f>Table2[[#This Row],[Close]]/Table2[[#This Row],[P/E]]</f>
        <v>#VALUE!</v>
      </c>
      <c r="I87" s="74" t="e" cm="1" vm="9">
        <f t="array" ref="I87">_FV(Table2[[#This Row],[Data]],"P/E",TRUE)</f>
        <v>#VALUE!</v>
      </c>
      <c r="J87" s="62"/>
      <c r="K87" s="62"/>
      <c r="L87" s="62" t="e">
        <f>Table2[[#This Row],[EV]]/Table2[[#This Row],[EBITDA]]</f>
        <v>#DIV/0!</v>
      </c>
      <c r="M87" s="63" cm="1">
        <f t="array" ref="M87">_FV(Table2[[#This Row],[Data]],"52 week low",TRUE)</f>
        <v>233.42</v>
      </c>
      <c r="N87" s="63" cm="1">
        <f t="array" ref="N87">_FV(Table2[[#This Row],[Data]],"52 week high",TRUE)</f>
        <v>328.52</v>
      </c>
      <c r="O87" s="64">
        <f>(Table2[[#This Row],[Close]]-Table2[[#This Row],[52Wk Lo]])/Table2[[#This Row],[52Wk Lo]]</f>
        <v>5.0124239568161083E-3</v>
      </c>
      <c r="P87" s="65">
        <v>1975</v>
      </c>
      <c r="Q87" s="65">
        <f>2022-Table2[[#This Row],[Founded]]</f>
        <v>47</v>
      </c>
      <c r="R87" s="66">
        <v>254</v>
      </c>
      <c r="S87" s="66">
        <f>Table2[[#This Row],[Close]]</f>
        <v>234.59</v>
      </c>
      <c r="T87" s="67">
        <f>(S87-R87)/R87</f>
        <v>-7.6417322834645654E-2</v>
      </c>
      <c r="U87" s="66">
        <v>134</v>
      </c>
      <c r="V87" s="66">
        <f>Table2[[#This Row],[Close]]</f>
        <v>234.59</v>
      </c>
      <c r="W87" s="67">
        <f>(V87-U87)/U87</f>
        <v>0.75067164179104484</v>
      </c>
      <c r="X87" s="66">
        <v>112</v>
      </c>
      <c r="Y87" s="66">
        <f>Table2[[#This Row],[Close]]</f>
        <v>234.59</v>
      </c>
      <c r="Z87" s="67">
        <f>(Y87-X87)/X87</f>
        <v>1.0945535714285715</v>
      </c>
      <c r="AA87" s="68">
        <f>100*(Table2[[#This Row],[1Y Change]]*0.17 + Table2[[#This Row],[3Y Change]]*0.166 + Table2[[#This Row],[5Y Change]]*0.166 + (Table2[[#This Row],[3Y Change]]-Table2[[#This Row],[1Y Change]])*0.166 + (Table2[[#This Row],[5Y Change]]-Table2[[#This Row],[1Y Change]])*0.166 + (Table2[[#This Row],[5Y Change]]-Table2[[#This Row],[3Y Change]])*0.166 + Table2[[#This Row],[Age (Inc.)]]/100)</f>
        <v>115.20787774079547</v>
      </c>
      <c r="AB87" s="69">
        <f>Table2[[#This Row],[Raw Score]]/SUM(Table2[Raw Score])</f>
        <v>8.952342462756651E-3</v>
      </c>
      <c r="AC87" s="70">
        <v>10</v>
      </c>
      <c r="AD87" s="68">
        <f>Table2[[#This Row],[Raw Score]]+Table2[[#This Row],[Rating]]/AVERAGE(Table2[Rating])*50 -Table2[[#This Row],[% Up]]*100</f>
        <v>179.26707490555341</v>
      </c>
      <c r="AE87" s="71">
        <f>Table2[[#This Row],[TK Score]]/SUM(Table2[TK Score])</f>
        <v>1.078787212724726E-2</v>
      </c>
      <c r="AF87" s="72">
        <f>Table2[[#This Row],[Weight (%)]]*$D$101</f>
        <v>16.181808190870889</v>
      </c>
    </row>
    <row r="88" spans="1:32" x14ac:dyDescent="0.25">
      <c r="A88" s="4" t="e" vm="89">
        <v>#VALUE!</v>
      </c>
      <c r="B88" s="4" t="s">
        <v>27</v>
      </c>
      <c r="C88" s="4" t="s">
        <v>145</v>
      </c>
      <c r="D88" s="4" t="str" cm="1">
        <f t="array" ref="D88">_FV(Table2[[#This Row],[Data]],"Exchange")</f>
        <v>New York Stock Exchange</v>
      </c>
      <c r="E88" t="s">
        <v>237</v>
      </c>
      <c r="F88" s="58" cm="1">
        <f t="array" ref="F88">_FV(Table2[[#This Row],[Data]],"Market cap",TRUE)/1000000</f>
        <v>416523.44442000001</v>
      </c>
      <c r="G88" s="59" cm="1">
        <f t="array" ref="G88">_FV(Table2[[#This Row],[Data]],"Price")</f>
        <v>151.31</v>
      </c>
      <c r="H88">
        <v>4.87</v>
      </c>
      <c r="I88" s="61" cm="1">
        <f t="array" ref="I88">_FV(Table2[[#This Row],[Data]],"P/E",TRUE)</f>
        <v>30.669</v>
      </c>
      <c r="J88" s="62"/>
      <c r="K88" s="62"/>
      <c r="L88" s="62" t="e">
        <f>Table2[[#This Row],[EV]]/Table2[[#This Row],[EBITDA]]</f>
        <v>#DIV/0!</v>
      </c>
      <c r="M88" s="63" cm="1">
        <f t="array" ref="M88">_FV(Table2[[#This Row],[Data]],"52 week low",TRUE)</f>
        <v>132.01</v>
      </c>
      <c r="N88" s="63" cm="1">
        <f t="array" ref="N88">_FV(Table2[[#This Row],[Data]],"52 week high",TRUE)</f>
        <v>160.77000000000001</v>
      </c>
      <c r="O88" s="64">
        <f>(Table2[[#This Row],[Close]]-Table2[[#This Row],[52Wk Lo]])/Table2[[#This Row],[52Wk Lo]]</f>
        <v>0.14620104537535045</v>
      </c>
      <c r="P88" s="65">
        <v>1962</v>
      </c>
      <c r="Q88" s="65">
        <f>2022-Table2[[#This Row],[Founded]]</f>
        <v>60</v>
      </c>
      <c r="R88" s="66">
        <v>145</v>
      </c>
      <c r="S88" s="66">
        <f>Table2[[#This Row],[Close]]</f>
        <v>151.31</v>
      </c>
      <c r="T88" s="67">
        <f>(S88-R88)/R88</f>
        <v>4.3517241379310359E-2</v>
      </c>
      <c r="U88" s="66">
        <v>93</v>
      </c>
      <c r="V88" s="66">
        <f>Table2[[#This Row],[Close]]</f>
        <v>151.31</v>
      </c>
      <c r="W88" s="67">
        <f>(V88-U88)/U88</f>
        <v>0.62698924731182804</v>
      </c>
      <c r="X88" s="66">
        <v>69</v>
      </c>
      <c r="Y88" s="66">
        <f>Table2[[#This Row],[Close]]</f>
        <v>151.31</v>
      </c>
      <c r="Z88" s="67">
        <f>(Y88-X88)/X88</f>
        <v>1.1928985507246377</v>
      </c>
      <c r="AA88" s="68">
        <f>100*(Table2[[#This Row],[1Y Change]]*0.17 + Table2[[#This Row],[3Y Change]]*0.166 + Table2[[#This Row],[5Y Change]]*0.166 + (Table2[[#This Row],[3Y Change]]-Table2[[#This Row],[1Y Change]])*0.166 + (Table2[[#This Row],[5Y Change]]-Table2[[#This Row],[1Y Change]])*0.166 + (Table2[[#This Row],[5Y Change]]-Table2[[#This Row],[3Y Change]])*0.166 + Table2[[#This Row],[Age (Inc.)]]/100)</f>
        <v>129.10939002111849</v>
      </c>
      <c r="AB88" s="69">
        <f>Table2[[#This Row],[Raw Score]]/SUM(Table2[Raw Score])</f>
        <v>1.003257326922693E-2</v>
      </c>
      <c r="AC88" s="70">
        <v>10</v>
      </c>
      <c r="AD88" s="68">
        <f>Table2[[#This Row],[Raw Score]]+Table2[[#This Row],[Rating]]/AVERAGE(Table2[Rating])*50 -Table2[[#This Row],[% Up]]*100</f>
        <v>179.04972504402301</v>
      </c>
      <c r="AE88" s="71">
        <f>Table2[[#This Row],[TK Score]]/SUM(Table2[TK Score])</f>
        <v>1.0774792522337656E-2</v>
      </c>
      <c r="AF88" s="72">
        <f>Table2[[#This Row],[Weight (%)]]*$D$101</f>
        <v>16.162188783506483</v>
      </c>
    </row>
    <row r="89" spans="1:32" x14ac:dyDescent="0.25">
      <c r="A89" s="4" t="e" vm="90">
        <v>#VALUE!</v>
      </c>
      <c r="B89" s="4" t="s">
        <v>170</v>
      </c>
      <c r="C89" s="4" t="s">
        <v>183</v>
      </c>
      <c r="D89" s="4" t="str" cm="1">
        <f t="array" ref="D89">_FV(Table2[[#This Row],[Data]],"Exchange")</f>
        <v>Nasdaq Stock Market</v>
      </c>
      <c r="E89" t="s">
        <v>237</v>
      </c>
      <c r="F89" s="58" cm="1">
        <f t="array" ref="F89">_FV(Table2[[#This Row],[Data]],"Market cap",TRUE)/1000000</f>
        <v>5867.2183679999998</v>
      </c>
      <c r="G89" s="59" cm="1">
        <f t="array" ref="G89">_FV(Table2[[#This Row],[Data]],"Price")</f>
        <v>19.36</v>
      </c>
      <c r="H89">
        <v>0.62</v>
      </c>
      <c r="I89" s="61" cm="1">
        <f t="array" ref="I89">_FV(Table2[[#This Row],[Data]],"P/E",TRUE)</f>
        <v>32.666800000000002</v>
      </c>
      <c r="J89" s="62"/>
      <c r="K89" s="62"/>
      <c r="L89" s="62" t="e">
        <f>Table2[[#This Row],[EV]]/Table2[[#This Row],[EBITDA]]</f>
        <v>#DIV/0!</v>
      </c>
      <c r="M89" s="63" cm="1">
        <f t="array" ref="M89">_FV(Table2[[#This Row],[Data]],"52 week low",TRUE)</f>
        <v>16.22</v>
      </c>
      <c r="N89" s="63" cm="1">
        <f t="array" ref="N89">_FV(Table2[[#This Row],[Data]],"52 week high",TRUE)</f>
        <v>28.73</v>
      </c>
      <c r="O89" s="64">
        <f>(Table2[[#This Row],[Close]]-Table2[[#This Row],[52Wk Lo]])/Table2[[#This Row],[52Wk Lo]]</f>
        <v>0.19358816276202223</v>
      </c>
      <c r="P89" s="65">
        <v>1965</v>
      </c>
      <c r="Q89" s="65">
        <f>2022-Table2[[#This Row],[Founded]]</f>
        <v>57</v>
      </c>
      <c r="R89" s="66">
        <v>26</v>
      </c>
      <c r="S89" s="66">
        <f>Table2[[#This Row],[Close]]</f>
        <v>19.36</v>
      </c>
      <c r="T89" s="67">
        <f>(S89-R89)/R89</f>
        <v>-0.25538461538461543</v>
      </c>
      <c r="U89" s="66">
        <v>26</v>
      </c>
      <c r="V89" s="66">
        <f>Table2[[#This Row],[Close]]</f>
        <v>19.36</v>
      </c>
      <c r="W89" s="67">
        <f>(V89-U89)/U89</f>
        <v>-0.25538461538461543</v>
      </c>
      <c r="X89" s="66">
        <v>26</v>
      </c>
      <c r="Y89" s="66">
        <f>Table2[[#This Row],[Close]]</f>
        <v>19.36</v>
      </c>
      <c r="Z89" s="67">
        <f>(Y89-X89)/X89</f>
        <v>-0.25538461538461543</v>
      </c>
      <c r="AA89" s="68">
        <f>100*(Table2[[#This Row],[1Y Change]]*0.17 + Table2[[#This Row],[3Y Change]]*0.166 + Table2[[#This Row],[5Y Change]]*0.166 + (Table2[[#This Row],[3Y Change]]-Table2[[#This Row],[1Y Change]])*0.166 + (Table2[[#This Row],[5Y Change]]-Table2[[#This Row],[1Y Change]])*0.166 + (Table2[[#This Row],[5Y Change]]-Table2[[#This Row],[3Y Change]])*0.166 + Table2[[#This Row],[Age (Inc.)]]/100)</f>
        <v>44.179692307692299</v>
      </c>
      <c r="AB89" s="69">
        <f>Table2[[#This Row],[Raw Score]]/SUM(Table2[Raw Score])</f>
        <v>3.4330268310951212E-3</v>
      </c>
      <c r="AC89" s="70">
        <v>4</v>
      </c>
      <c r="AD89" s="68">
        <f>Table2[[#This Row],[Raw Score]]+Table2[[#This Row],[Rating]]/AVERAGE(Table2[Rating])*50 -Table2[[#This Row],[% Up]]*100</f>
        <v>50.645051855665898</v>
      </c>
      <c r="AE89" s="71">
        <f>Table2[[#This Row],[TK Score]]/SUM(Table2[TK Score])</f>
        <v>3.0477004412805594E-3</v>
      </c>
      <c r="AF89" s="72">
        <f>Table2[[#This Row],[Weight (%)]]*$D$101</f>
        <v>4.5715506619208393</v>
      </c>
    </row>
    <row r="90" spans="1:32" x14ac:dyDescent="0.25">
      <c r="A90" s="4" t="e" vm="91">
        <v>#VALUE!</v>
      </c>
      <c r="B90" s="4" t="s">
        <v>196</v>
      </c>
      <c r="C90" s="4" t="s">
        <v>197</v>
      </c>
      <c r="D90" s="4" t="str" cm="1">
        <f t="array" ref="D90">_FV(Table2[[#This Row],[Data]],"Exchange")</f>
        <v>New York Stock Exchange</v>
      </c>
      <c r="E90" t="s">
        <v>241</v>
      </c>
      <c r="F90" s="58" cm="1">
        <f t="array" ref="F90">_FV(Table2[[#This Row],[Data]],"Market cap",TRUE)/1000000</f>
        <v>355791.38178</v>
      </c>
      <c r="G90" s="59" cm="1">
        <f t="array" ref="G90">_FV(Table2[[#This Row],[Data]],"Price")</f>
        <v>84.46</v>
      </c>
      <c r="H90">
        <v>6.02</v>
      </c>
      <c r="I90" s="61" cm="1">
        <f t="array" ref="I90">_FV(Table2[[#This Row],[Data]],"P/E",TRUE)</f>
        <v>15.2247</v>
      </c>
      <c r="J90" s="62"/>
      <c r="K90" s="62"/>
      <c r="L90" s="62" t="e">
        <f>Table2[[#This Row],[EV]]/Table2[[#This Row],[EBITDA]]</f>
        <v>#DIV/0!</v>
      </c>
      <c r="M90" s="63" cm="1">
        <f t="array" ref="M90">_FV(Table2[[#This Row],[Data]],"52 week low",TRUE)</f>
        <v>52.1</v>
      </c>
      <c r="N90" s="63" cm="1">
        <f t="array" ref="N90">_FV(Table2[[#This Row],[Data]],"52 week high",TRUE)</f>
        <v>92.05</v>
      </c>
      <c r="O90" s="64">
        <f>(Table2[[#This Row],[Close]]-Table2[[#This Row],[52Wk Lo]])/Table2[[#This Row],[52Wk Lo]]</f>
        <v>0.62111324376199595</v>
      </c>
      <c r="P90" s="65">
        <v>1999</v>
      </c>
      <c r="Q90" s="65">
        <f>2022-Table2[[#This Row],[Founded]]</f>
        <v>23</v>
      </c>
      <c r="R90" s="66">
        <v>41</v>
      </c>
      <c r="S90" s="66">
        <f>Table2[[#This Row],[Close]]</f>
        <v>84.46</v>
      </c>
      <c r="T90" s="67">
        <f>(S90-R90)/R90</f>
        <v>1.0599999999999998</v>
      </c>
      <c r="U90" s="66">
        <v>71</v>
      </c>
      <c r="V90" s="66">
        <f>Table2[[#This Row],[Close]]</f>
        <v>84.46</v>
      </c>
      <c r="W90" s="67">
        <f>(V90-U90)/U90</f>
        <v>0.1895774647887323</v>
      </c>
      <c r="X90" s="66">
        <v>84</v>
      </c>
      <c r="Y90" s="66">
        <f>Table2[[#This Row],[Close]]</f>
        <v>84.46</v>
      </c>
      <c r="Z90" s="67">
        <f>(Y90-X90)/X90</f>
        <v>5.4761904761904019E-3</v>
      </c>
      <c r="AA90" s="68">
        <f>100*(Table2[[#This Row],[1Y Change]]*0.17 + Table2[[#This Row],[3Y Change]]*0.166 + Table2[[#This Row],[5Y Change]]*0.166 + (Table2[[#This Row],[3Y Change]]-Table2[[#This Row],[1Y Change]])*0.166 + (Table2[[#This Row],[5Y Change]]-Table2[[#This Row],[1Y Change]])*0.166 + (Table2[[#This Row],[5Y Change]]-Table2[[#This Row],[3Y Change]])*0.166 + Table2[[#This Row],[Age (Inc.)]]/100)</f>
        <v>9.2477002012072393</v>
      </c>
      <c r="AB90" s="69">
        <f>Table2[[#This Row],[Raw Score]]/SUM(Table2[Raw Score])</f>
        <v>7.1860172079877757E-4</v>
      </c>
      <c r="AC90" s="70">
        <v>8</v>
      </c>
      <c r="AD90" s="68">
        <f>Table2[[#This Row],[Raw Score]]+Table2[[#This Row],[Rating]]/AVERAGE(Table2[Rating])*50 -Table2[[#This Row],[% Up]]*100</f>
        <v>-1.2152725266407174</v>
      </c>
      <c r="AE90" s="71">
        <f>Table2[[#This Row],[TK Score]]/SUM(Table2[TK Score])</f>
        <v>-7.3132250437308902E-5</v>
      </c>
      <c r="AF90" s="72">
        <f>Table2[[#This Row],[Weight (%)]]*$D$101</f>
        <v>-0.10969837565596335</v>
      </c>
    </row>
    <row r="91" spans="1:32" x14ac:dyDescent="0.25">
      <c r="A91" s="4" t="e" vm="92">
        <v>#VALUE!</v>
      </c>
      <c r="B91" s="4" t="s">
        <v>176</v>
      </c>
      <c r="C91" s="4" t="s">
        <v>188</v>
      </c>
      <c r="D91" s="4" t="str" cm="1">
        <f t="array" ref="D91">_FV(Table2[[#This Row],[Data]],"Exchange")</f>
        <v>NYSE Arca</v>
      </c>
      <c r="E91" s="4"/>
      <c r="F91" s="58" cm="1">
        <f t="array" ref="F91">_FV(Table2[[#This Row],[Data]],"Market cap",TRUE)/1000000</f>
        <v>5561.1603558100005</v>
      </c>
      <c r="G91" s="59" cm="1">
        <f t="array" ref="G91">_FV(Table2[[#This Row],[Data]],"Price")</f>
        <v>127.24</v>
      </c>
      <c r="H91" s="60" t="e" vm="8">
        <f>Table2[[#This Row],[Close]]/Table2[[#This Row],[P/E]]</f>
        <v>#VALUE!</v>
      </c>
      <c r="I91" s="74" t="e" cm="1" vm="9">
        <f t="array" ref="I91">_FV(Table2[[#This Row],[Data]],"P/E",TRUE)</f>
        <v>#VALUE!</v>
      </c>
      <c r="J91" s="62"/>
      <c r="K91" s="62"/>
      <c r="L91" s="62" t="e">
        <f>Table2[[#This Row],[EV]]/Table2[[#This Row],[EBITDA]]</f>
        <v>#DIV/0!</v>
      </c>
      <c r="M91" s="63" cm="1">
        <f t="array" ref="M91">_FV(Table2[[#This Row],[Data]],"52 week low",TRUE)</f>
        <v>71.48</v>
      </c>
      <c r="N91" s="63" cm="1">
        <f t="array" ref="N91">_FV(Table2[[#This Row],[Data]],"52 week high",TRUE)</f>
        <v>147.66999999999999</v>
      </c>
      <c r="O91" s="75">
        <f>(Table2[[#This Row],[Close]]-Table2[[#This Row],[52Wk Lo]])/Table2[[#This Row],[52Wk Lo]]</f>
        <v>0.78007834359261319</v>
      </c>
      <c r="P91" s="65">
        <v>2006</v>
      </c>
      <c r="Q91" s="65">
        <f>2022-Table2[[#This Row],[Founded]]</f>
        <v>16</v>
      </c>
      <c r="R91" s="66">
        <v>59</v>
      </c>
      <c r="S91" s="66">
        <f>Table2[[#This Row],[Close]]</f>
        <v>127.24</v>
      </c>
      <c r="T91" s="67">
        <f>(S91-R91)/R91</f>
        <v>1.1566101694915254</v>
      </c>
      <c r="U91" s="66">
        <v>116</v>
      </c>
      <c r="V91" s="66">
        <f>Table2[[#This Row],[Close]]</f>
        <v>127.24</v>
      </c>
      <c r="W91" s="67">
        <f>(V91-U91)/U91</f>
        <v>9.6896551724137886E-2</v>
      </c>
      <c r="X91" s="66">
        <v>161</v>
      </c>
      <c r="Y91" s="66">
        <f>Table2[[#This Row],[Close]]</f>
        <v>127.24</v>
      </c>
      <c r="Z91" s="67">
        <f>(Y91-X91)/X91</f>
        <v>-0.20968944099378886</v>
      </c>
      <c r="AA91" s="76">
        <f>100*(Table2[[#This Row],[1Y Change]]*0.17 + Table2[[#This Row],[3Y Change]]*0.166 + Table2[[#This Row],[5Y Change]]*0.166 + (Table2[[#This Row],[3Y Change]]-Table2[[#This Row],[1Y Change]])*0.166 + (Table2[[#This Row],[5Y Change]]-Table2[[#This Row],[1Y Change]])*0.166 + (Table2[[#This Row],[5Y Change]]-Table2[[#This Row],[3Y Change]])*0.166 + Table2[[#This Row],[Age (Inc.)]]/100)</f>
        <v>-11.571136148632712</v>
      </c>
      <c r="AB91" s="69">
        <f>Table2[[#This Row],[Raw Score]]/SUM(Table2[Raw Score])</f>
        <v>-8.9914661668194236E-4</v>
      </c>
      <c r="AC91" s="77">
        <v>8</v>
      </c>
      <c r="AD91" s="68">
        <f>Table2[[#This Row],[Raw Score]]+Table2[[#This Row],[Rating]]/AVERAGE(Table2[Rating])*50 -Table2[[#This Row],[% Up]]*100</f>
        <v>-37.930618859542392</v>
      </c>
      <c r="AE91" s="71">
        <f>Table2[[#This Row],[TK Score]]/SUM(Table2[TK Score])</f>
        <v>-2.2825756831235076E-3</v>
      </c>
      <c r="AF91" s="72">
        <f>Table2[[#This Row],[Weight (%)]]*$D$101</f>
        <v>-3.4238635246852613</v>
      </c>
    </row>
    <row r="92" spans="1:32" x14ac:dyDescent="0.25">
      <c r="A92" s="4" t="e" vm="93">
        <v>#VALUE!</v>
      </c>
      <c r="B92" s="4" t="s">
        <v>63</v>
      </c>
      <c r="C92" s="4" t="s">
        <v>146</v>
      </c>
      <c r="D92" s="4" t="str" cm="1">
        <f t="array" ref="D92">_FV(Table2[[#This Row],[Data]],"Exchange")</f>
        <v>New York Stock Exchange</v>
      </c>
      <c r="E92" t="s">
        <v>235</v>
      </c>
      <c r="F92" s="58" cm="1">
        <f t="array" ref="F92">_FV(Table2[[#This Row],[Data]],"Market cap",TRUE)/1000000</f>
        <v>3978.260405</v>
      </c>
      <c r="G92" s="59" cm="1">
        <f t="array" ref="G92">_FV(Table2[[#This Row],[Data]],"Price")</f>
        <v>45.7</v>
      </c>
      <c r="H92">
        <v>2.4</v>
      </c>
      <c r="I92" s="61" cm="1">
        <f t="array" ref="I92">_FV(Table2[[#This Row],[Data]],"P/E",TRUE)</f>
        <v>19.7102</v>
      </c>
      <c r="J92" s="62"/>
      <c r="K92" s="62"/>
      <c r="L92" s="62" t="e">
        <f>Table2[[#This Row],[EV]]/Table2[[#This Row],[EBITDA]]</f>
        <v>#DIV/0!</v>
      </c>
      <c r="M92" s="63" cm="1">
        <f t="array" ref="M92">_FV(Table2[[#This Row],[Data]],"52 week low",TRUE)</f>
        <v>45.52</v>
      </c>
      <c r="N92" s="63" cm="1">
        <f t="array" ref="N92">_FV(Table2[[#This Row],[Data]],"52 week high",TRUE)</f>
        <v>108.82</v>
      </c>
      <c r="O92" s="64">
        <f>(Table2[[#This Row],[Close]]-Table2[[#This Row],[52Wk Lo]])/Table2[[#This Row],[52Wk Lo]]</f>
        <v>3.9543057996484993E-3</v>
      </c>
      <c r="P92" s="65">
        <v>2006</v>
      </c>
      <c r="Q92" s="65">
        <f>2022-Table2[[#This Row],[Founded]]</f>
        <v>16</v>
      </c>
      <c r="R92" s="66">
        <v>69</v>
      </c>
      <c r="S92" s="66">
        <f>Table2[[#This Row],[Close]]</f>
        <v>45.7</v>
      </c>
      <c r="T92" s="67">
        <f>(S92-R92)/R92</f>
        <v>-0.33768115942028981</v>
      </c>
      <c r="U92" s="66">
        <v>15</v>
      </c>
      <c r="V92" s="66">
        <f>Table2[[#This Row],[Close]]</f>
        <v>45.7</v>
      </c>
      <c r="W92" s="67">
        <f>(V92-U92)/U92</f>
        <v>2.0466666666666669</v>
      </c>
      <c r="X92" s="66">
        <v>17</v>
      </c>
      <c r="Y92" s="66">
        <f>Table2[[#This Row],[Close]]</f>
        <v>45.7</v>
      </c>
      <c r="Z92" s="67">
        <f>(Y92-X92)/X92</f>
        <v>1.6882352941176473</v>
      </c>
      <c r="AA92" s="68">
        <f>100*(Table2[[#This Row],[1Y Change]]*0.17 + Table2[[#This Row],[3Y Change]]*0.166 + Table2[[#This Row],[5Y Change]]*0.166 + (Table2[[#This Row],[3Y Change]]-Table2[[#This Row],[1Y Change]])*0.166 + (Table2[[#This Row],[5Y Change]]-Table2[[#This Row],[1Y Change]])*0.166 + (Table2[[#This Row],[5Y Change]]-Table2[[#This Row],[3Y Change]])*0.166 + Table2[[#This Row],[Age (Inc.)]]/100)</f>
        <v>139.51921909633421</v>
      </c>
      <c r="AB92" s="69">
        <f>Table2[[#This Row],[Raw Score]]/SUM(Table2[Raw Score])</f>
        <v>1.0841479367382516E-2</v>
      </c>
      <c r="AC92" s="70">
        <v>7</v>
      </c>
      <c r="AD92" s="68">
        <f>Table2[[#This Row],[Raw Score]]+Table2[[#This Row],[Rating]]/AVERAGE(Table2[Rating])*50 -Table2[[#This Row],[% Up]]*100</f>
        <v>184.31609620867704</v>
      </c>
      <c r="AE92" s="71">
        <f>Table2[[#This Row],[TK Score]]/SUM(Table2[TK Score])</f>
        <v>1.1091710387644721E-2</v>
      </c>
      <c r="AF92" s="72">
        <f>Table2[[#This Row],[Weight (%)]]*$D$101</f>
        <v>16.637565581467083</v>
      </c>
    </row>
    <row r="93" spans="1:32" x14ac:dyDescent="0.25">
      <c r="A93" s="4" t="e" vm="94">
        <v>#VALUE!</v>
      </c>
      <c r="B93" s="4" t="s">
        <v>20</v>
      </c>
      <c r="C93" s="4" t="s">
        <v>147</v>
      </c>
      <c r="D93" s="4" t="str" cm="1">
        <f t="array" ref="D93">_FV(Table2[[#This Row],[Data]],"Exchange")</f>
        <v>New York Stock Exchange</v>
      </c>
      <c r="E93" t="s">
        <v>236</v>
      </c>
      <c r="F93" s="58" cm="1">
        <f t="array" ref="F93">_FV(Table2[[#This Row],[Data]],"Market cap",TRUE)/1000000</f>
        <v>12148.942762000001</v>
      </c>
      <c r="G93" s="59" cm="1">
        <f t="array" ref="G93">_FV(Table2[[#This Row],[Data]],"Price")</f>
        <v>99.14</v>
      </c>
      <c r="H93">
        <v>-2.004</v>
      </c>
      <c r="I93" s="61" cm="1">
        <f t="array" ref="I93">_FV(Table2[[#This Row],[Data]],"P/E",TRUE)</f>
        <v>0</v>
      </c>
      <c r="J93" s="62"/>
      <c r="K93" s="62"/>
      <c r="L93" s="62" t="e">
        <f>Table2[[#This Row],[EV]]/Table2[[#This Row],[EBITDA]]</f>
        <v>#DIV/0!</v>
      </c>
      <c r="M93" s="63" cm="1">
        <f t="array" ref="M93">_FV(Table2[[#This Row],[Data]],"52 week low",TRUE)</f>
        <v>87.9</v>
      </c>
      <c r="N93" s="63" cm="1">
        <f t="array" ref="N93">_FV(Table2[[#This Row],[Data]],"52 week high",TRUE)</f>
        <v>153.43</v>
      </c>
      <c r="O93" s="64">
        <f>(Table2[[#This Row],[Close]]-Table2[[#This Row],[52Wk Lo]])/Table2[[#This Row],[52Wk Lo]]</f>
        <v>0.12787258248009095</v>
      </c>
      <c r="P93" s="65">
        <v>2007</v>
      </c>
      <c r="Q93" s="65">
        <f>2022-Table2[[#This Row],[Founded]]</f>
        <v>15</v>
      </c>
      <c r="R93" s="66">
        <v>141</v>
      </c>
      <c r="S93" s="66">
        <f>Table2[[#This Row],[Close]]</f>
        <v>99.14</v>
      </c>
      <c r="T93" s="67">
        <f>(S93-R93)/R93</f>
        <v>-0.29687943262411348</v>
      </c>
      <c r="U93" s="66">
        <v>58</v>
      </c>
      <c r="V93" s="66">
        <f>Table2[[#This Row],[Close]]</f>
        <v>99.14</v>
      </c>
      <c r="W93" s="67">
        <f>(V93-U93)/U93</f>
        <v>0.70931034482758626</v>
      </c>
      <c r="X93" s="66">
        <v>21</v>
      </c>
      <c r="Y93" s="66">
        <f>Table2[[#This Row],[Close]]</f>
        <v>99.14</v>
      </c>
      <c r="Z93" s="67">
        <f>(Y93-X93)/X93</f>
        <v>3.7209523809523808</v>
      </c>
      <c r="AA93" s="68">
        <f>100*(Table2[[#This Row],[1Y Change]]*0.17 + Table2[[#This Row],[3Y Change]]*0.166 + Table2[[#This Row],[5Y Change]]*0.166 + (Table2[[#This Row],[3Y Change]]-Table2[[#This Row],[1Y Change]])*0.166 + (Table2[[#This Row],[5Y Change]]-Table2[[#This Row],[1Y Change]])*0.166 + (Table2[[#This Row],[5Y Change]]-Table2[[#This Row],[3Y Change]])*0.166 + Table2[[#This Row],[Age (Inc.)]]/100)</f>
        <v>216.88742710407715</v>
      </c>
      <c r="AB93" s="69">
        <f>Table2[[#This Row],[Raw Score]]/SUM(Table2[Raw Score])</f>
        <v>1.6853452744528107E-2</v>
      </c>
      <c r="AC93" s="70">
        <v>6</v>
      </c>
      <c r="AD93" s="68">
        <f>Table2[[#This Row],[Raw Score]]+Table2[[#This Row],[Rating]]/AVERAGE(Table2[Rating])*50 -Table2[[#This Row],[% Up]]*100</f>
        <v>242.83643259233179</v>
      </c>
      <c r="AE93" s="71">
        <f>Table2[[#This Row],[TK Score]]/SUM(Table2[TK Score])</f>
        <v>1.461332698167331E-2</v>
      </c>
      <c r="AF93" s="72">
        <f>Table2[[#This Row],[Weight (%)]]*$D$101</f>
        <v>21.919990472509966</v>
      </c>
    </row>
    <row r="94" spans="1:32" x14ac:dyDescent="0.25">
      <c r="A94" s="4" t="e" vm="95">
        <v>#VALUE!</v>
      </c>
      <c r="B94" s="4" t="s">
        <v>29</v>
      </c>
      <c r="C94" s="4" t="s">
        <v>148</v>
      </c>
      <c r="D94" s="4" t="str" cm="1">
        <f t="array" ref="D94">_FV(Table2[[#This Row],[Data]],"Exchange")</f>
        <v>Nasdaq Stock Market</v>
      </c>
      <c r="E94" t="s">
        <v>237</v>
      </c>
      <c r="F94" s="58" cm="1">
        <f t="array" ref="F94">_FV(Table2[[#This Row],[Data]],"Market cap",TRUE)/1000000</f>
        <v>9326.9660000000003</v>
      </c>
      <c r="G94" s="59" cm="1">
        <f t="array" ref="G94">_FV(Table2[[#This Row],[Data]],"Price")</f>
        <v>36.520000000000003</v>
      </c>
      <c r="H94">
        <v>-2.1120000000000001</v>
      </c>
      <c r="I94" s="61" cm="1">
        <f t="array" ref="I94">_FV(Table2[[#This Row],[Data]],"P/E",TRUE)</f>
        <v>143.54320000000001</v>
      </c>
      <c r="J94" s="62"/>
      <c r="K94" s="62"/>
      <c r="L94" s="62" t="e">
        <f>Table2[[#This Row],[EV]]/Table2[[#This Row],[EBITDA]]</f>
        <v>#DIV/0!</v>
      </c>
      <c r="M94" s="63" cm="1">
        <f t="array" ref="M94">_FV(Table2[[#This Row],[Data]],"52 week low",TRUE)</f>
        <v>33.260100000000001</v>
      </c>
      <c r="N94" s="63" cm="1">
        <f t="array" ref="N94">_FV(Table2[[#This Row],[Data]],"52 week high",TRUE)</f>
        <v>124.9</v>
      </c>
      <c r="O94" s="64">
        <f>(Table2[[#This Row],[Close]]-Table2[[#This Row],[52Wk Lo]])/Table2[[#This Row],[52Wk Lo]]</f>
        <v>9.8012333095811546E-2</v>
      </c>
      <c r="P94" s="65">
        <v>2004</v>
      </c>
      <c r="Q94" s="65">
        <f>2022-Table2[[#This Row],[Founded]]</f>
        <v>18</v>
      </c>
      <c r="R94" s="66">
        <v>138</v>
      </c>
      <c r="S94" s="66">
        <f>Table2[[#This Row],[Close]]</f>
        <v>36.520000000000003</v>
      </c>
      <c r="T94" s="67">
        <f>(S94-R94)/R94</f>
        <v>-0.73536231884057968</v>
      </c>
      <c r="U94" s="66">
        <v>32</v>
      </c>
      <c r="V94" s="66">
        <f>Table2[[#This Row],[Close]]</f>
        <v>36.520000000000003</v>
      </c>
      <c r="W94" s="67">
        <f>(V94-U94)/U94</f>
        <v>0.1412500000000001</v>
      </c>
      <c r="X94" s="66">
        <v>37</v>
      </c>
      <c r="Y94" s="66">
        <f>Table2[[#This Row],[Close]]</f>
        <v>36.520000000000003</v>
      </c>
      <c r="Z94" s="67">
        <f>(Y94-X94)/X94</f>
        <v>-1.2972972972972889E-2</v>
      </c>
      <c r="AA94" s="68">
        <f>100*(Table2[[#This Row],[1Y Change]]*0.17 + Table2[[#This Row],[3Y Change]]*0.166 + Table2[[#This Row],[5Y Change]]*0.166 + (Table2[[#This Row],[3Y Change]]-Table2[[#This Row],[1Y Change]])*0.166 + (Table2[[#This Row],[5Y Change]]-Table2[[#This Row],[1Y Change]])*0.166 + (Table2[[#This Row],[5Y Change]]-Table2[[#This Row],[3Y Change]])*0.166 + Table2[[#This Row],[Age (Inc.)]]/100)</f>
        <v>31.611565511163342</v>
      </c>
      <c r="AB94" s="69">
        <f>Table2[[#This Row],[Raw Score]]/SUM(Table2[Raw Score])</f>
        <v>2.4564080667861393E-3</v>
      </c>
      <c r="AC94" s="70">
        <v>8</v>
      </c>
      <c r="AD94" s="68">
        <f>Table2[[#This Row],[Raw Score]]+Table2[[#This Row],[Rating]]/AVERAGE(Table2[Rating])*50 -Table2[[#This Row],[% Up]]*100</f>
        <v>73.458683849933834</v>
      </c>
      <c r="AE94" s="71">
        <f>Table2[[#This Row],[TK Score]]/SUM(Table2[TK Score])</f>
        <v>4.420571309184787E-3</v>
      </c>
      <c r="AF94" s="72">
        <f>Table2[[#This Row],[Weight (%)]]*$D$101</f>
        <v>6.6308569637771804</v>
      </c>
    </row>
    <row r="95" spans="1:32" x14ac:dyDescent="0.25">
      <c r="A95" s="4" t="e" vm="96">
        <v>#VALUE!</v>
      </c>
      <c r="B95" s="4" t="s">
        <v>12</v>
      </c>
      <c r="C95" s="4" t="s">
        <v>149</v>
      </c>
      <c r="D95" s="4" t="str" cm="1">
        <f t="array" ref="D95">_FV(Table2[[#This Row],[Data]],"Exchange")</f>
        <v>Nasdaq Stock Market</v>
      </c>
      <c r="E95" t="s">
        <v>236</v>
      </c>
      <c r="F95" s="58" cm="1">
        <f t="array" ref="F95">_FV(Table2[[#This Row],[Data]],"Market cap",TRUE)/1000000</f>
        <v>27621.11016</v>
      </c>
      <c r="G95" s="59" cm="1">
        <f t="array" ref="G95">_FV(Table2[[#This Row],[Data]],"Price")</f>
        <v>92.34</v>
      </c>
      <c r="H95">
        <v>4.4960000000000004</v>
      </c>
      <c r="I95" s="61" cm="1">
        <f t="array" ref="I95">_FV(Table2[[#This Row],[Data]],"P/E",TRUE)</f>
        <v>21.370999999999999</v>
      </c>
      <c r="J95" s="62"/>
      <c r="K95" s="62"/>
      <c r="L95" s="62" t="e">
        <f>Table2[[#This Row],[EV]]/Table2[[#This Row],[EBITDA]]</f>
        <v>#DIV/0!</v>
      </c>
      <c r="M95" s="63" cm="1">
        <f t="array" ref="M95">_FV(Table2[[#This Row],[Data]],"52 week low",TRUE)</f>
        <v>91.65</v>
      </c>
      <c r="N95" s="63" cm="1">
        <f t="array" ref="N95">_FV(Table2[[#This Row],[Data]],"52 week high",TRUE)</f>
        <v>406.48</v>
      </c>
      <c r="O95" s="64">
        <f>(Table2[[#This Row],[Close]]-Table2[[#This Row],[52Wk Lo]])/Table2[[#This Row],[52Wk Lo]]</f>
        <v>7.5286415711947373E-3</v>
      </c>
      <c r="P95" s="65">
        <v>2011</v>
      </c>
      <c r="Q95" s="65">
        <f>2022-Table2[[#This Row],[Founded]]</f>
        <v>11</v>
      </c>
      <c r="R95" s="66">
        <v>359</v>
      </c>
      <c r="S95" s="66">
        <f>Table2[[#This Row],[Close]]</f>
        <v>92.34</v>
      </c>
      <c r="T95" s="67">
        <f>(S95-R95)/R95</f>
        <v>-0.74278551532033421</v>
      </c>
      <c r="U95" s="66">
        <v>65</v>
      </c>
      <c r="V95" s="66">
        <f>Table2[[#This Row],[Close]]</f>
        <v>92.34</v>
      </c>
      <c r="W95" s="67">
        <f>(V95-U95)/U95</f>
        <v>0.42061538461538467</v>
      </c>
      <c r="X95" s="66">
        <v>65</v>
      </c>
      <c r="Y95" s="66">
        <f>Table2[[#This Row],[Close]]</f>
        <v>92.34</v>
      </c>
      <c r="Z95" s="67">
        <f>(Y95-X95)/X95</f>
        <v>0.42061538461538467</v>
      </c>
      <c r="AA95" s="68">
        <f>100*(Table2[[#This Row],[1Y Change]]*0.17 + Table2[[#This Row],[3Y Change]]*0.166 + Table2[[#This Row],[5Y Change]]*0.166 + (Table2[[#This Row],[3Y Change]]-Table2[[#This Row],[1Y Change]])*0.166 + (Table2[[#This Row],[5Y Change]]-Table2[[#This Row],[1Y Change]])*0.166 + (Table2[[#This Row],[5Y Change]]-Table2[[#This Row],[3Y Change]])*0.166 + Table2[[#This Row],[Age (Inc.)]]/100)</f>
        <v>50.961986886650955</v>
      </c>
      <c r="AB95" s="69">
        <f>Table2[[#This Row],[Raw Score]]/SUM(Table2[Raw Score])</f>
        <v>3.9600517615494693E-3</v>
      </c>
      <c r="AC95" s="70">
        <v>10</v>
      </c>
      <c r="AD95" s="68">
        <f>Table2[[#This Row],[Raw Score]]+Table2[[#This Row],[Rating]]/AVERAGE(Table2[Rating])*50 -Table2[[#This Row],[% Up]]*100</f>
        <v>114.76956228997103</v>
      </c>
      <c r="AE95" s="71">
        <f>Table2[[#This Row],[TK Score]]/SUM(Table2[TK Score])</f>
        <v>6.9065630860360048E-3</v>
      </c>
      <c r="AF95" s="72">
        <f>Table2[[#This Row],[Weight (%)]]*$D$101</f>
        <v>10.359844629054008</v>
      </c>
    </row>
    <row r="96" spans="1:32" x14ac:dyDescent="0.25">
      <c r="A96" s="13" t="s">
        <v>198</v>
      </c>
      <c r="B96" s="9" t="s">
        <v>201</v>
      </c>
      <c r="C96" s="10"/>
      <c r="D96" s="10"/>
      <c r="E96" s="10">
        <f>MAX(Table2[Mkt Cap (M)])</f>
        <v>2461118.4707999998</v>
      </c>
      <c r="F96" s="10">
        <f>MAX(Table2[Close])</f>
        <v>2250.2199999999998</v>
      </c>
      <c r="G96" s="50" t="e" vm="8">
        <f>MAX(Table2[EPS])</f>
        <v>#VALUE!</v>
      </c>
      <c r="H96" s="50" t="e" vm="8">
        <f>MAX(Table2[P/E])</f>
        <v>#VALUE!</v>
      </c>
      <c r="I96" s="36"/>
      <c r="J96" s="10"/>
      <c r="K96" s="10"/>
      <c r="L96" s="10">
        <f>MAX(Table2[52Wk Lo])</f>
        <v>2193.62</v>
      </c>
      <c r="M96" s="10">
        <f>MAX(Table2[52Wk Hi])</f>
        <v>3773.0781999999999</v>
      </c>
      <c r="N96" s="43">
        <f>MAX(Table2[% Up])</f>
        <v>0.78007834359261319</v>
      </c>
      <c r="O96" s="52">
        <f>MAX(Table2[Founded])</f>
        <v>2014</v>
      </c>
      <c r="P96" s="52">
        <f>MAX(Table2[Age (Inc.)])</f>
        <v>185</v>
      </c>
      <c r="Q96" s="10">
        <f>MAX(Table2[1Y Start])</f>
        <v>3343</v>
      </c>
      <c r="R96" s="10">
        <f>MAX(Table2[1Y End])</f>
        <v>2250.2199999999998</v>
      </c>
      <c r="S96" s="43">
        <f>MAX(Table2[1Y Change])</f>
        <v>1.2583333333333335</v>
      </c>
      <c r="T96" s="10">
        <f>MAX(Table2[3Y Start])</f>
        <v>1511</v>
      </c>
      <c r="U96" s="10">
        <f>MAX(Table2[3Y End])</f>
        <v>2250.2199999999998</v>
      </c>
      <c r="V96" s="43">
        <f>MAX(Table2[3Y Change])</f>
        <v>10.57514705882353</v>
      </c>
      <c r="W96" s="10">
        <f>MAX(Table2[5Y Start])</f>
        <v>797</v>
      </c>
      <c r="X96" s="10">
        <f>MAX(Table2[5Y End])</f>
        <v>2250.2199999999998</v>
      </c>
      <c r="Y96" s="43">
        <f>MAX(Table2[5Y Change])</f>
        <v>17.304883720930231</v>
      </c>
      <c r="Z96" s="18">
        <f>MAX(Table2[Raw Score])</f>
        <v>1053.527398615905</v>
      </c>
      <c r="AA96" s="27">
        <f>MAX(Table2[Raw Weight (%)])</f>
        <v>8.1865391944174165E-2</v>
      </c>
      <c r="AB96" s="50">
        <f>MAX(Table2[Rating])</f>
        <v>10</v>
      </c>
      <c r="AC96" s="18">
        <f>MAX(Table2[TK Score])</f>
        <v>1067.7307375089035</v>
      </c>
      <c r="AD96" s="27">
        <f>MAX(Table2[Weight (%)])</f>
        <v>6.4253531601639546E-2</v>
      </c>
      <c r="AE96" s="10">
        <f>MAX(Table2[Weight ($)])</f>
        <v>96.38029740245932</v>
      </c>
    </row>
    <row r="97" spans="1:31" s="39" customFormat="1" x14ac:dyDescent="0.25">
      <c r="A97" s="13" t="s">
        <v>199</v>
      </c>
      <c r="B97" s="9" t="s">
        <v>202</v>
      </c>
      <c r="C97" s="10"/>
      <c r="D97" s="10"/>
      <c r="E97" s="10">
        <f>MIN(Table2[Mkt Cap (M)])</f>
        <v>1489.997423</v>
      </c>
      <c r="F97" s="10">
        <f>MIN(Table2[Close])</f>
        <v>4.78</v>
      </c>
      <c r="G97" s="50" t="e" vm="8">
        <f>MIN(Table2[EPS])</f>
        <v>#VALUE!</v>
      </c>
      <c r="H97" s="50" t="e" vm="8">
        <f>MIN(Table2[P/E])</f>
        <v>#VALUE!</v>
      </c>
      <c r="I97" s="36"/>
      <c r="J97" s="10"/>
      <c r="K97" s="10"/>
      <c r="L97" s="10">
        <f>MIN(Table2[52Wk Lo])</f>
        <v>4.51</v>
      </c>
      <c r="M97" s="10">
        <f>MIN(Table2[52Wk Hi])</f>
        <v>6.3958000000000004</v>
      </c>
      <c r="N97" s="43">
        <f>MIN(Table2[% Up])</f>
        <v>1.6501650165017616E-3</v>
      </c>
      <c r="O97" s="52">
        <f>MIN(Table2[Founded])</f>
        <v>1837</v>
      </c>
      <c r="P97" s="52">
        <f>MIN(Table2[Age (Inc.)])</f>
        <v>8</v>
      </c>
      <c r="Q97" s="10">
        <f>MIN(Table2[1Y Start])</f>
        <v>4</v>
      </c>
      <c r="R97" s="10">
        <f>MIN(Table2[1Y End])</f>
        <v>4.78</v>
      </c>
      <c r="S97" s="43">
        <f>MIN(Table2[1Y Change])</f>
        <v>-0.90642384105960272</v>
      </c>
      <c r="T97" s="10">
        <f>MIN(Table2[3Y Start])</f>
        <v>6</v>
      </c>
      <c r="U97" s="10">
        <f>MIN(Table2[3Y End])</f>
        <v>4.78</v>
      </c>
      <c r="V97" s="43">
        <f>MIN(Table2[3Y Change])</f>
        <v>-0.78609195402298848</v>
      </c>
      <c r="W97" s="10">
        <f>MIN(Table2[5Y Start])</f>
        <v>4.5</v>
      </c>
      <c r="X97" s="10">
        <f>MIN(Table2[5Y End])</f>
        <v>4.78</v>
      </c>
      <c r="Y97" s="43">
        <f>MIN(Table2[5Y Change])</f>
        <v>-0.78609195402298848</v>
      </c>
      <c r="Z97" s="18">
        <f>MIN(Table2[Raw Score])</f>
        <v>-32.149199624677458</v>
      </c>
      <c r="AA97" s="27">
        <f>MIN(Table2[Raw Weight (%)])</f>
        <v>-2.4981854590810293E-3</v>
      </c>
      <c r="AB97" s="50">
        <f>MIN(Table2[Rating])</f>
        <v>3</v>
      </c>
      <c r="AC97" s="18">
        <f>MIN(Table2[TK Score])</f>
        <v>-37.930618859542392</v>
      </c>
      <c r="AD97" s="27">
        <f>MIN(Table2[Weight (%)])</f>
        <v>-2.2825756831235076E-3</v>
      </c>
      <c r="AE97" s="10">
        <f>MIN(Table2[Weight ($)])</f>
        <v>-3.4238635246852613</v>
      </c>
    </row>
    <row r="98" spans="1:31" x14ac:dyDescent="0.25">
      <c r="A98" s="29" t="s">
        <v>200</v>
      </c>
      <c r="B98" s="30" t="s">
        <v>203</v>
      </c>
      <c r="C98" s="31"/>
      <c r="D98" s="31"/>
      <c r="E98" s="31">
        <f>AVERAGE(Table2[Mkt Cap (M)])</f>
        <v>196769.86465689339</v>
      </c>
      <c r="F98" s="31">
        <f>AVERAGE(Table2[Close])</f>
        <v>222.1409574468085</v>
      </c>
      <c r="G98" s="34" t="e" vm="8">
        <f>AVERAGE(Table2[EPS])</f>
        <v>#VALUE!</v>
      </c>
      <c r="H98" s="34" t="e" vm="8">
        <f>AVERAGE(Table2[P/E])</f>
        <v>#VALUE!</v>
      </c>
      <c r="I98" s="37"/>
      <c r="J98" s="31"/>
      <c r="K98" s="31"/>
      <c r="L98" s="31">
        <f>AVERAGE(Table2[52Wk Lo])</f>
        <v>205.79217234042548</v>
      </c>
      <c r="M98" s="31">
        <f>AVERAGE(Table2[52Wk Hi])</f>
        <v>375.62561702127658</v>
      </c>
      <c r="N98" s="44">
        <f>AVERAGE(Table2[% Up])</f>
        <v>0.10122942158300782</v>
      </c>
      <c r="O98" s="53">
        <f>AVERAGE(Table2[Founded])</f>
        <v>1974.7659574468084</v>
      </c>
      <c r="P98" s="53">
        <f>AVERAGE(Table2[Age (Inc.)])</f>
        <v>47.234042553191486</v>
      </c>
      <c r="Q98" s="31">
        <f>AVERAGE(Table2[1Y Start])</f>
        <v>270.44680851063828</v>
      </c>
      <c r="R98" s="31">
        <f>AVERAGE(Table2[1Y End])</f>
        <v>222.1409574468085</v>
      </c>
      <c r="S98" s="44">
        <f>AVERAGE(Table2[1Y Change])</f>
        <v>-0.12414567218606583</v>
      </c>
      <c r="T98" s="31">
        <f>AVERAGE(Table2[3Y Start])</f>
        <v>133.88797872340427</v>
      </c>
      <c r="U98" s="31">
        <f>AVERAGE(Table2[3Y End])</f>
        <v>222.1409574468085</v>
      </c>
      <c r="V98" s="44">
        <f>AVERAGE(Table2[3Y Change])</f>
        <v>0.77574472212469781</v>
      </c>
      <c r="W98" s="31">
        <f>AVERAGE(Table2[5Y Start])</f>
        <v>103.3563829787234</v>
      </c>
      <c r="X98" s="31">
        <f>AVERAGE(Table2[5Y End])</f>
        <v>222.1409574468085</v>
      </c>
      <c r="Y98" s="44">
        <f>AVERAGE(Table2[5Y Change])</f>
        <v>1.5016447281681082</v>
      </c>
      <c r="Z98" s="32">
        <f>AVERAGE(Table2[Raw Score])</f>
        <v>136.90447229264757</v>
      </c>
      <c r="AA98" s="33">
        <f>AVERAGE(Table2[Raw Weight (%)])</f>
        <v>1.0638297872340429E-2</v>
      </c>
      <c r="AB98" s="34">
        <f>AVERAGE(Table2[Rating])</f>
        <v>7.7446808510638299</v>
      </c>
      <c r="AC98" s="32">
        <f>AVERAGE(Table2[TK Score])</f>
        <v>176.78153013434672</v>
      </c>
      <c r="AD98" s="33">
        <f>AVERAGE(Table2[Weight (%)])</f>
        <v>1.0638297872340436E-2</v>
      </c>
      <c r="AE98" s="31">
        <f>AVERAGE(Table2[Weight ($)])</f>
        <v>15.957446808510648</v>
      </c>
    </row>
    <row r="99" spans="1:31" x14ac:dyDescent="0.25">
      <c r="A99" s="29" t="s">
        <v>213</v>
      </c>
      <c r="B99" s="30" t="s">
        <v>214</v>
      </c>
      <c r="C99" s="31"/>
      <c r="D99" s="31"/>
      <c r="E99" s="31">
        <f>MEDIAN(Table2[Mkt Cap (M)])</f>
        <v>59930.749543999998</v>
      </c>
      <c r="F99" s="31">
        <f>MEDIAN(Table2[Close])</f>
        <v>109.095</v>
      </c>
      <c r="G99" s="34" t="e" vm="8">
        <f>MEDIAN(Table2[EPS])</f>
        <v>#VALUE!</v>
      </c>
      <c r="H99" s="34" t="e" vm="8">
        <f>MEDIAN(Table2[P/E])</f>
        <v>#VALUE!</v>
      </c>
      <c r="I99" s="37"/>
      <c r="J99" s="31"/>
      <c r="K99" s="31"/>
      <c r="L99" s="31">
        <f>MEDIAN(Table2[52Wk Lo])</f>
        <v>105.745</v>
      </c>
      <c r="M99" s="31">
        <f>MEDIAN(Table2[52Wk Hi])</f>
        <v>208</v>
      </c>
      <c r="N99" s="44">
        <f>MEDIAN(Table2[% Up])</f>
        <v>3.1738416592399905E-2</v>
      </c>
      <c r="O99" s="54">
        <f>MEDIAN(Table2[Founded])</f>
        <v>1988.5</v>
      </c>
      <c r="P99" s="54">
        <f>MEDIAN(Table2[Age (Inc.)])</f>
        <v>33.5</v>
      </c>
      <c r="Q99" s="31">
        <f>MEDIAN(Table2[1Y Start])</f>
        <v>161</v>
      </c>
      <c r="R99" s="31">
        <f>MEDIAN(Table2[1Y End])</f>
        <v>109.095</v>
      </c>
      <c r="S99" s="44">
        <f>MEDIAN(Table2[1Y Change])</f>
        <v>-0.1003404274108089</v>
      </c>
      <c r="T99" s="31">
        <f>MEDIAN(Table2[3Y Start])</f>
        <v>87</v>
      </c>
      <c r="U99" s="31">
        <f>MEDIAN(Table2[3Y End])</f>
        <v>109.095</v>
      </c>
      <c r="V99" s="44">
        <f>MEDIAN(Table2[3Y Change])</f>
        <v>0.54980526333874946</v>
      </c>
      <c r="W99" s="31">
        <f>MEDIAN(Table2[5Y Start])</f>
        <v>65.5</v>
      </c>
      <c r="X99" s="31">
        <f>MEDIAN(Table2[5Y End])</f>
        <v>109.095</v>
      </c>
      <c r="Y99" s="44">
        <f>MEDIAN(Table2[5Y Change])</f>
        <v>1.0423063973063971</v>
      </c>
      <c r="Z99" s="32">
        <f>MEDIAN(Table2[Raw Score])</f>
        <v>120.69953114164841</v>
      </c>
      <c r="AA99" s="33">
        <f>MEDIAN(Table2[Raw Weight (%)])</f>
        <v>9.379076839739181E-3</v>
      </c>
      <c r="AB99" s="34">
        <f>MEDIAN(Table2[Rating])</f>
        <v>8</v>
      </c>
      <c r="AC99" s="32">
        <f>MEDIAN(Table2[TK Score])</f>
        <v>165.24074750880465</v>
      </c>
      <c r="AD99" s="33">
        <f>MEDIAN(Table2[Weight (%)])</f>
        <v>9.9438006408867526E-3</v>
      </c>
      <c r="AE99" s="31">
        <f>MEDIAN(Table2[Weight ($)])</f>
        <v>14.915700961330129</v>
      </c>
    </row>
    <row r="100" spans="1:31" x14ac:dyDescent="0.25">
      <c r="A100" s="14" t="s">
        <v>205</v>
      </c>
      <c r="B100" s="11" t="s">
        <v>206</v>
      </c>
      <c r="C100" s="12"/>
      <c r="D100" s="12"/>
      <c r="E100" s="12">
        <f>SUM(Table2[Mkt Cap (M)])</f>
        <v>18496367.277747978</v>
      </c>
      <c r="F100" s="12">
        <f>SUM(Table2[Close])</f>
        <v>20881.25</v>
      </c>
      <c r="G100" s="19" t="e" vm="8">
        <f>SUM(Table2[EPS])</f>
        <v>#VALUE!</v>
      </c>
      <c r="H100" s="19" t="e" vm="8">
        <f>SUM(Table2[P/E])</f>
        <v>#VALUE!</v>
      </c>
      <c r="I100" s="38"/>
      <c r="J100" s="12"/>
      <c r="K100" s="12"/>
      <c r="L100" s="12">
        <f>SUM(Table2[52Wk Lo])</f>
        <v>19344.464199999995</v>
      </c>
      <c r="M100" s="12">
        <f>SUM(Table2[52Wk Hi])</f>
        <v>35308.807999999997</v>
      </c>
      <c r="N100" s="45">
        <f>SUM(Table2[% Up])</f>
        <v>9.5155656288027348</v>
      </c>
      <c r="O100" s="55">
        <f>SUM(Table2[Founded])</f>
        <v>185628</v>
      </c>
      <c r="P100" s="55">
        <f>SUM(Table2[Age (Inc.)])</f>
        <v>4440</v>
      </c>
      <c r="Q100" s="12">
        <f>SUM(Table2[1Y Start])</f>
        <v>25422</v>
      </c>
      <c r="R100" s="12">
        <f>SUM(Table2[1Y End])</f>
        <v>20881.25</v>
      </c>
      <c r="S100" s="45">
        <f>SUM(Table2[1Y Change])</f>
        <v>-11.669693185490187</v>
      </c>
      <c r="T100" s="12">
        <f>SUM(Table2[3Y Start])</f>
        <v>12585.470000000001</v>
      </c>
      <c r="U100" s="12">
        <f>SUM(Table2[3Y End])</f>
        <v>20881.25</v>
      </c>
      <c r="V100" s="45">
        <f>SUM(Table2[3Y Change])</f>
        <v>72.920003879721591</v>
      </c>
      <c r="W100" s="12">
        <f>SUM(Table2[5Y Start])</f>
        <v>9715.5</v>
      </c>
      <c r="X100" s="12">
        <f>SUM(Table2[5Y End])</f>
        <v>20881.25</v>
      </c>
      <c r="Y100" s="45">
        <f>SUM(Table2[5Y Change])</f>
        <v>141.15460444780217</v>
      </c>
      <c r="Z100" s="47">
        <f>SUM(Table2[Raw Score])</f>
        <v>12869.020395508871</v>
      </c>
      <c r="AA100" s="28">
        <f>SUM(Table2[Raw Weight (%)])</f>
        <v>1.0000000000000002</v>
      </c>
      <c r="AB100" s="19">
        <f>SUM(Table2[Rating])</f>
        <v>728</v>
      </c>
      <c r="AC100" s="47">
        <f>SUM(Table2[TK Score])</f>
        <v>16617.463832628593</v>
      </c>
      <c r="AD100" s="28">
        <f>SUM(Table2[Weight (%)])</f>
        <v>1.0000000000000009</v>
      </c>
      <c r="AE100" s="12">
        <f>SUM(Table2[Weight ($)])</f>
        <v>1500.0000000000009</v>
      </c>
    </row>
    <row r="101" spans="1:31" x14ac:dyDescent="0.25">
      <c r="A101" s="22" t="s">
        <v>207</v>
      </c>
      <c r="B101" s="23" t="s">
        <v>208</v>
      </c>
      <c r="C101" s="40"/>
      <c r="D101" s="42">
        <v>1500</v>
      </c>
      <c r="E101" s="35"/>
      <c r="F101" s="35"/>
    </row>
    <row r="102" spans="1:31" x14ac:dyDescent="0.25">
      <c r="A102" s="20" t="s">
        <v>209</v>
      </c>
      <c r="B102" s="21" t="s">
        <v>232</v>
      </c>
      <c r="C102" s="41"/>
      <c r="D102" s="57">
        <f>F100/F98</f>
        <v>94</v>
      </c>
      <c r="E102" s="35"/>
      <c r="F102" s="35"/>
    </row>
  </sheetData>
  <conditionalFormatting sqref="W1:W95">
    <cfRule type="colorScale" priority="35">
      <colorScale>
        <cfvo type="min"/>
        <cfvo type="percentile" val="50"/>
        <cfvo type="max"/>
        <color rgb="FFF8696B"/>
        <color rgb="FFFCFCFF"/>
        <color rgb="FF63BE7B"/>
      </colorScale>
    </cfRule>
  </conditionalFormatting>
  <conditionalFormatting sqref="Z1:Z95">
    <cfRule type="colorScale" priority="37">
      <colorScale>
        <cfvo type="min"/>
        <cfvo type="percentile" val="50"/>
        <cfvo type="max"/>
        <color rgb="FFF8696B"/>
        <color rgb="FFFCFCFF"/>
        <color rgb="FF63BE7B"/>
      </colorScale>
    </cfRule>
  </conditionalFormatting>
  <conditionalFormatting sqref="AD1:AD95">
    <cfRule type="colorScale" priority="39">
      <colorScale>
        <cfvo type="min"/>
        <cfvo type="percentile" val="50"/>
        <cfvo type="max"/>
        <color rgb="FFF8696B"/>
        <color rgb="FFFCFCFF"/>
        <color rgb="FF63BE7B"/>
      </colorScale>
    </cfRule>
  </conditionalFormatting>
  <conditionalFormatting sqref="AA1:AA95">
    <cfRule type="colorScale" priority="41">
      <colorScale>
        <cfvo type="min"/>
        <cfvo type="percentile" val="50"/>
        <cfvo type="max"/>
        <color rgb="FFF8696B"/>
        <color rgb="FFFCFCFF"/>
        <color rgb="FF63BE7B"/>
      </colorScale>
    </cfRule>
  </conditionalFormatting>
  <conditionalFormatting sqref="T1:T95">
    <cfRule type="colorScale" priority="43">
      <colorScale>
        <cfvo type="min"/>
        <cfvo type="percentile" val="50"/>
        <cfvo type="max"/>
        <color rgb="FFF8696B"/>
        <color rgb="FFFCFCFF"/>
        <color rgb="FF63BE7B"/>
      </colorScale>
    </cfRule>
  </conditionalFormatting>
  <dataValidations count="1">
    <dataValidation type="list" allowBlank="1" showInputMessage="1" showErrorMessage="1" sqref="H2 K5" xr:uid="{4D42D6EB-0F71-4D72-A415-627146785F19}">
      <formula1>"1min,5min,15min,30min,60min,daily,weekly,monthly"</formula1>
    </dataValidation>
  </dataValidation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Portfolio_Data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Tejas Kamtam</cp:lastModifiedBy>
  <dcterms:created xsi:type="dcterms:W3CDTF">2021-09-07T23:01:30Z</dcterms:created>
  <dcterms:modified xsi:type="dcterms:W3CDTF">2022-05-10T04:31:50Z</dcterms:modified>
</cp:coreProperties>
</file>