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jas/ucla/Y2/Spring/MGMT 170/"/>
    </mc:Choice>
  </mc:AlternateContent>
  <xr:revisionPtr revIDLastSave="0" documentId="13_ncr:1_{F1862136-4523-2844-BC72-97D092981BBC}" xr6:coauthVersionLast="47" xr6:coauthVersionMax="47" xr10:uidLastSave="{00000000-0000-0000-0000-000000000000}"/>
  <bookViews>
    <workbookView xWindow="16800" yWindow="500" windowWidth="16800" windowHeight="18900" xr2:uid="{29032D01-C40A-5F46-A132-730D2BC68F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8" i="1" l="1"/>
  <c r="C157" i="1"/>
  <c r="C155" i="1"/>
  <c r="C151" i="1"/>
  <c r="C150" i="1"/>
  <c r="C149" i="1"/>
  <c r="C141" i="1"/>
  <c r="C144" i="1"/>
  <c r="C145" i="1"/>
  <c r="C142" i="1"/>
  <c r="B136" i="1"/>
  <c r="B124" i="1"/>
  <c r="C114" i="1"/>
  <c r="C116" i="1"/>
  <c r="C110" i="1"/>
  <c r="C112" i="1" s="1"/>
  <c r="B106" i="1"/>
  <c r="C104" i="1"/>
  <c r="C101" i="1"/>
  <c r="C93" i="1"/>
  <c r="C90" i="1"/>
  <c r="C82" i="1"/>
  <c r="C81" i="1"/>
  <c r="D80" i="1"/>
  <c r="C80" i="1"/>
  <c r="C79" i="1"/>
  <c r="D77" i="1"/>
  <c r="C77" i="1"/>
  <c r="C68" i="1"/>
  <c r="C63" i="1"/>
  <c r="C72" i="1" s="1"/>
  <c r="D46" i="1"/>
  <c r="C50" i="1" s="1"/>
  <c r="D49" i="1"/>
  <c r="C46" i="1"/>
  <c r="C49" i="1" s="1"/>
  <c r="C40" i="1"/>
  <c r="C41" i="1" s="1"/>
  <c r="C33" i="1"/>
  <c r="C51" i="1" l="1"/>
  <c r="C52" i="1" s="1"/>
  <c r="C69" i="1"/>
  <c r="C31" i="1" l="1"/>
  <c r="C34" i="1" s="1"/>
  <c r="C25" i="1"/>
  <c r="C26" i="1" s="1"/>
  <c r="C20" i="1"/>
  <c r="C21" i="1" s="1"/>
  <c r="C19" i="1"/>
  <c r="C15" i="1"/>
  <c r="C14" i="1"/>
  <c r="C8" i="1"/>
  <c r="C10" i="1" s="1"/>
  <c r="C4" i="1"/>
  <c r="C16" i="1" l="1"/>
</calcChain>
</file>

<file path=xl/sharedStrings.xml><?xml version="1.0" encoding="utf-8"?>
<sst xmlns="http://schemas.openxmlformats.org/spreadsheetml/2006/main" count="148" uniqueCount="59">
  <si>
    <t>cap rate = NOI / Purchase price</t>
  </si>
  <si>
    <t>NOI</t>
  </si>
  <si>
    <t>purchase</t>
  </si>
  <si>
    <t>cap</t>
  </si>
  <si>
    <t>c</t>
  </si>
  <si>
    <t>sqft</t>
  </si>
  <si>
    <t>per</t>
  </si>
  <si>
    <t>value</t>
  </si>
  <si>
    <t>ltv</t>
  </si>
  <si>
    <t>equity</t>
  </si>
  <si>
    <t>d</t>
  </si>
  <si>
    <t>a</t>
  </si>
  <si>
    <t>val</t>
  </si>
  <si>
    <t>new equity</t>
  </si>
  <si>
    <t>change</t>
  </si>
  <si>
    <t>loan</t>
  </si>
  <si>
    <t>apprec</t>
  </si>
  <si>
    <t>neq equity</t>
  </si>
  <si>
    <t>debt service = NOI/DSCR</t>
  </si>
  <si>
    <t>noi</t>
  </si>
  <si>
    <t>dscr</t>
  </si>
  <si>
    <t>debt service</t>
  </si>
  <si>
    <t>b</t>
  </si>
  <si>
    <t>pv</t>
  </si>
  <si>
    <t>rate</t>
  </si>
  <si>
    <t>years</t>
  </si>
  <si>
    <t>pmt</t>
  </si>
  <si>
    <t>interest</t>
  </si>
  <si>
    <t>principal</t>
  </si>
  <si>
    <t>pre</t>
  </si>
  <si>
    <t>fv</t>
  </si>
  <si>
    <t>stats</t>
  </si>
  <si>
    <t>loan 1</t>
  </si>
  <si>
    <t>loan2</t>
  </si>
  <si>
    <t>loan diff</t>
  </si>
  <si>
    <t>pmt diff</t>
  </si>
  <si>
    <t>inc diff (annual)</t>
  </si>
  <si>
    <t>apr</t>
  </si>
  <si>
    <t>fees</t>
  </si>
  <si>
    <t>pre pay</t>
  </si>
  <si>
    <t>loan1</t>
  </si>
  <si>
    <t>price</t>
  </si>
  <si>
    <t>inc ann</t>
  </si>
  <si>
    <t>note: fv = -pv bc interest only</t>
  </si>
  <si>
    <t>new rate</t>
  </si>
  <si>
    <t>loan balance</t>
  </si>
  <si>
    <t>sf</t>
  </si>
  <si>
    <t>far</t>
  </si>
  <si>
    <t>tot</t>
  </si>
  <si>
    <t>rent income</t>
  </si>
  <si>
    <t>expense stop</t>
  </si>
  <si>
    <t>expense</t>
  </si>
  <si>
    <t>opex</t>
  </si>
  <si>
    <t>btcf</t>
  </si>
  <si>
    <t>depr ratio</t>
  </si>
  <si>
    <t>schedule</t>
  </si>
  <si>
    <t>ann depr</t>
  </si>
  <si>
    <t>interet paid</t>
  </si>
  <si>
    <t>tax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</si>
</sst>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%"/>
    <numFmt numFmtId="168" formatCode="0.000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'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0" fontId="0" fillId="2" borderId="0" xfId="3" applyNumberFormat="1" applyFont="1" applyFill="1"/>
    <xf numFmtId="43" fontId="0" fillId="0" borderId="0" xfId="1" applyFont="1"/>
    <xf numFmtId="43" fontId="0" fillId="0" borderId="0" xfId="0" applyNumberFormat="1"/>
    <xf numFmtId="44" fontId="0" fillId="0" borderId="0" xfId="2" applyFont="1"/>
    <xf numFmtId="8" fontId="0" fillId="0" borderId="0" xfId="0" applyNumberFormat="1"/>
    <xf numFmtId="10" fontId="0" fillId="0" borderId="0" xfId="0" applyNumberFormat="1"/>
    <xf numFmtId="9" fontId="0" fillId="0" borderId="0" xfId="0" applyNumberFormat="1"/>
    <xf numFmtId="44" fontId="0" fillId="0" borderId="0" xfId="2" quotePrefix="1" applyFont="1"/>
    <xf numFmtId="44" fontId="0" fillId="0" borderId="0" xfId="3" applyNumberFormat="1" applyFont="1"/>
    <xf numFmtId="0" fontId="2" fillId="0" borderId="0" xfId="0" applyFont="1"/>
    <xf numFmtId="166" fontId="0" fillId="0" borderId="0" xfId="0" applyNumberFormat="1"/>
    <xf numFmtId="166" fontId="0" fillId="0" borderId="0" xfId="3" applyNumberFormat="1" applyFont="1"/>
    <xf numFmtId="168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DF46-DE07-3E41-8A96-BCA045AE0920}">
  <dimension ref="A1:D200"/>
  <sheetViews>
    <sheetView tabSelected="1" topLeftCell="A177" zoomScale="156" zoomScaleNormal="156" workbookViewId="0">
      <selection activeCell="C190" sqref="C190"/>
    </sheetView>
  </sheetViews>
  <sheetFormatPr baseColWidth="10" defaultRowHeight="16"/>
  <cols>
    <col min="2" max="2" width="12" bestFit="1" customWidth="1"/>
    <col min="3" max="3" width="18.5" style="1" bestFit="1" customWidth="1"/>
    <col min="4" max="4" width="15.6640625" bestFit="1" customWidth="1"/>
  </cols>
  <sheetData>
    <row r="1" spans="1:4">
      <c r="A1">
        <v>1</v>
      </c>
      <c r="B1" t="s">
        <v>0</v>
      </c>
    </row>
    <row r="2" spans="1:4">
      <c r="A2" t="s">
        <v>4</v>
      </c>
      <c r="B2" t="s">
        <v>1</v>
      </c>
      <c r="C2" s="1">
        <v>3000000</v>
      </c>
    </row>
    <row r="3" spans="1:4">
      <c r="B3" t="s">
        <v>2</v>
      </c>
      <c r="C3" s="1">
        <v>50000000</v>
      </c>
    </row>
    <row r="4" spans="1:4">
      <c r="B4" t="s">
        <v>3</v>
      </c>
      <c r="C4" s="2">
        <f>C2/C3</f>
        <v>0.06</v>
      </c>
    </row>
    <row r="6" spans="1:4">
      <c r="A6">
        <v>2</v>
      </c>
      <c r="B6" t="s">
        <v>5</v>
      </c>
      <c r="C6" s="3">
        <v>100000</v>
      </c>
    </row>
    <row r="7" spans="1:4">
      <c r="A7" t="s">
        <v>10</v>
      </c>
      <c r="B7" t="s">
        <v>6</v>
      </c>
      <c r="C7" s="1">
        <v>60</v>
      </c>
    </row>
    <row r="8" spans="1:4">
      <c r="B8" t="s">
        <v>7</v>
      </c>
      <c r="C8" s="4">
        <f>C6*C7</f>
        <v>6000000</v>
      </c>
    </row>
    <row r="9" spans="1:4">
      <c r="B9" t="s">
        <v>8</v>
      </c>
      <c r="C9" s="1">
        <v>0.7</v>
      </c>
    </row>
    <row r="10" spans="1:4">
      <c r="B10" t="s">
        <v>9</v>
      </c>
      <c r="C10" s="4">
        <f>C8*(1-C9)</f>
        <v>1800000.0000000002</v>
      </c>
    </row>
    <row r="12" spans="1:4">
      <c r="A12">
        <v>3</v>
      </c>
      <c r="B12" t="s">
        <v>12</v>
      </c>
      <c r="C12" s="1">
        <v>100</v>
      </c>
      <c r="D12">
        <v>110</v>
      </c>
    </row>
    <row r="13" spans="1:4">
      <c r="A13" t="s">
        <v>4</v>
      </c>
      <c r="B13" t="s">
        <v>8</v>
      </c>
      <c r="C13" s="1">
        <v>0.8</v>
      </c>
    </row>
    <row r="14" spans="1:4">
      <c r="B14" t="s">
        <v>9</v>
      </c>
      <c r="C14" s="1">
        <f>C12*(1-C13)</f>
        <v>19.999999999999996</v>
      </c>
    </row>
    <row r="15" spans="1:4">
      <c r="B15" t="s">
        <v>13</v>
      </c>
      <c r="C15" s="1">
        <f>D12-80</f>
        <v>30</v>
      </c>
    </row>
    <row r="16" spans="1:4">
      <c r="B16" t="s">
        <v>14</v>
      </c>
      <c r="C16" s="1">
        <f>(C15-C14)/C14</f>
        <v>0.50000000000000022</v>
      </c>
    </row>
    <row r="18" spans="1:3">
      <c r="A18">
        <v>4</v>
      </c>
      <c r="B18" t="s">
        <v>2</v>
      </c>
      <c r="C18" s="3">
        <v>10000000</v>
      </c>
    </row>
    <row r="19" spans="1:3">
      <c r="A19" t="s">
        <v>4</v>
      </c>
      <c r="B19" t="s">
        <v>15</v>
      </c>
      <c r="C19" s="4">
        <f>C18*0.75</f>
        <v>7500000</v>
      </c>
    </row>
    <row r="20" spans="1:3">
      <c r="B20" t="s">
        <v>16</v>
      </c>
      <c r="C20" s="4">
        <f>C18*1.4</f>
        <v>14000000</v>
      </c>
    </row>
    <row r="21" spans="1:3">
      <c r="B21" t="s">
        <v>17</v>
      </c>
      <c r="C21" s="4">
        <f>C20-C19</f>
        <v>6500000</v>
      </c>
    </row>
    <row r="23" spans="1:3">
      <c r="A23">
        <v>5</v>
      </c>
      <c r="B23" t="s">
        <v>18</v>
      </c>
    </row>
    <row r="24" spans="1:3">
      <c r="A24" t="s">
        <v>22</v>
      </c>
      <c r="B24" t="s">
        <v>19</v>
      </c>
      <c r="C24" s="1">
        <v>70000</v>
      </c>
    </row>
    <row r="25" spans="1:3">
      <c r="B25" t="s">
        <v>20</v>
      </c>
      <c r="C25" s="1">
        <f>1.4</f>
        <v>1.4</v>
      </c>
    </row>
    <row r="26" spans="1:3">
      <c r="B26" t="s">
        <v>21</v>
      </c>
      <c r="C26" s="1">
        <f>C24/C25</f>
        <v>50000</v>
      </c>
    </row>
    <row r="28" spans="1:3">
      <c r="A28">
        <v>6</v>
      </c>
      <c r="B28" t="s">
        <v>23</v>
      </c>
      <c r="C28" s="3">
        <v>7500000</v>
      </c>
    </row>
    <row r="29" spans="1:3">
      <c r="A29" t="s">
        <v>4</v>
      </c>
      <c r="B29" t="s">
        <v>24</v>
      </c>
      <c r="C29" s="1">
        <v>4.7500000000000001E-2</v>
      </c>
    </row>
    <row r="30" spans="1:3">
      <c r="B30" t="s">
        <v>25</v>
      </c>
      <c r="C30" s="1">
        <v>25</v>
      </c>
    </row>
    <row r="31" spans="1:3">
      <c r="B31" t="s">
        <v>26</v>
      </c>
      <c r="C31" s="6">
        <f>PMT(C29/12,C30*12,C28)</f>
        <v>-42758.802103581671</v>
      </c>
    </row>
    <row r="33" spans="1:4">
      <c r="A33">
        <v>7</v>
      </c>
      <c r="B33" t="s">
        <v>27</v>
      </c>
      <c r="C33" s="4">
        <f>-C28*C29/12</f>
        <v>-29687.5</v>
      </c>
    </row>
    <row r="34" spans="1:4">
      <c r="A34" t="s">
        <v>22</v>
      </c>
      <c r="B34" t="s">
        <v>28</v>
      </c>
      <c r="C34" s="6">
        <f>C31-C33</f>
        <v>-13071.302103581671</v>
      </c>
    </row>
    <row r="36" spans="1:4">
      <c r="A36">
        <v>8</v>
      </c>
      <c r="B36" t="s">
        <v>23</v>
      </c>
      <c r="C36" s="3">
        <v>3600000</v>
      </c>
    </row>
    <row r="37" spans="1:4">
      <c r="A37" t="s">
        <v>4</v>
      </c>
      <c r="B37" t="s">
        <v>25</v>
      </c>
      <c r="C37" s="1">
        <v>30</v>
      </c>
    </row>
    <row r="38" spans="1:4">
      <c r="B38" t="s">
        <v>29</v>
      </c>
      <c r="C38" s="1">
        <v>8</v>
      </c>
    </row>
    <row r="39" spans="1:4">
      <c r="B39" t="s">
        <v>24</v>
      </c>
      <c r="C39" s="7">
        <v>4.2500000000000003E-2</v>
      </c>
    </row>
    <row r="40" spans="1:4">
      <c r="B40" t="s">
        <v>26</v>
      </c>
      <c r="C40" s="6">
        <f>PMT(C39/12,C37*12,C36)</f>
        <v>-17709.836078861412</v>
      </c>
    </row>
    <row r="41" spans="1:4">
      <c r="B41" t="s">
        <v>30</v>
      </c>
      <c r="C41" s="6">
        <f>FV(C39/12,C38*12,C40,C36)</f>
        <v>-3034083.0202721152</v>
      </c>
    </row>
    <row r="43" spans="1:4">
      <c r="A43">
        <v>9</v>
      </c>
      <c r="B43" t="s">
        <v>31</v>
      </c>
      <c r="C43" s="1" t="s">
        <v>32</v>
      </c>
      <c r="D43" t="s">
        <v>33</v>
      </c>
    </row>
    <row r="44" spans="1:4">
      <c r="A44" t="s">
        <v>4</v>
      </c>
      <c r="B44" t="s">
        <v>2</v>
      </c>
      <c r="C44" s="3">
        <v>36000000</v>
      </c>
      <c r="D44" s="3">
        <v>36000000</v>
      </c>
    </row>
    <row r="45" spans="1:4">
      <c r="B45" t="s">
        <v>8</v>
      </c>
      <c r="C45" s="8">
        <v>0.7</v>
      </c>
      <c r="D45" s="8">
        <v>0.75</v>
      </c>
    </row>
    <row r="46" spans="1:4">
      <c r="B46" t="s">
        <v>15</v>
      </c>
      <c r="C46" s="5">
        <f>C44*C45</f>
        <v>25200000</v>
      </c>
      <c r="D46" s="9">
        <f>D44*D45</f>
        <v>27000000</v>
      </c>
    </row>
    <row r="47" spans="1:4">
      <c r="B47" t="s">
        <v>25</v>
      </c>
      <c r="C47" s="1">
        <v>25</v>
      </c>
      <c r="D47">
        <v>25</v>
      </c>
    </row>
    <row r="48" spans="1:4">
      <c r="B48" t="s">
        <v>24</v>
      </c>
      <c r="C48" s="8">
        <v>0.06</v>
      </c>
      <c r="D48" s="7">
        <v>6.6000000000000003E-2</v>
      </c>
    </row>
    <row r="49" spans="1:4">
      <c r="B49" t="s">
        <v>26</v>
      </c>
      <c r="C49" s="6">
        <f>PMT(C48/12,C47*12,C46)</f>
        <v>-162363.95317434816</v>
      </c>
      <c r="D49" s="6">
        <f>PMT(D48/12,D47*12,D46)</f>
        <v>-183996.6568575729</v>
      </c>
    </row>
    <row r="50" spans="1:4">
      <c r="B50" t="s">
        <v>34</v>
      </c>
      <c r="C50" s="10">
        <f>D46-C46</f>
        <v>1800000</v>
      </c>
    </row>
    <row r="51" spans="1:4">
      <c r="B51" t="s">
        <v>35</v>
      </c>
      <c r="C51" s="6">
        <f>D49-C49</f>
        <v>-21632.70368322474</v>
      </c>
    </row>
    <row r="52" spans="1:4">
      <c r="B52" t="s">
        <v>36</v>
      </c>
      <c r="C52" s="8">
        <f>12*RATE(C47*12,C51,C50)</f>
        <v>0.139745894061096</v>
      </c>
    </row>
    <row r="54" spans="1:4">
      <c r="A54">
        <v>10</v>
      </c>
    </row>
    <row r="55" spans="1:4">
      <c r="A55" s="11" t="s">
        <v>11</v>
      </c>
    </row>
    <row r="57" spans="1:4">
      <c r="A57">
        <v>11</v>
      </c>
    </row>
    <row r="58" spans="1:4">
      <c r="A58" t="s">
        <v>10</v>
      </c>
    </row>
    <row r="60" spans="1:4">
      <c r="A60">
        <v>12</v>
      </c>
      <c r="B60" t="s">
        <v>23</v>
      </c>
      <c r="C60" s="3">
        <v>1200000</v>
      </c>
    </row>
    <row r="61" spans="1:4">
      <c r="A61" t="s">
        <v>4</v>
      </c>
      <c r="B61" t="s">
        <v>25</v>
      </c>
      <c r="C61" s="1">
        <v>30</v>
      </c>
    </row>
    <row r="62" spans="1:4">
      <c r="B62" t="s">
        <v>24</v>
      </c>
      <c r="C62" s="12">
        <v>4.1250000000000002E-2</v>
      </c>
    </row>
    <row r="63" spans="1:4">
      <c r="B63" t="s">
        <v>26</v>
      </c>
      <c r="C63" s="6">
        <f>PMT(C62/12,C61*12,C60)</f>
        <v>-5815.7967899760306</v>
      </c>
    </row>
    <row r="65" spans="1:4">
      <c r="A65">
        <v>13</v>
      </c>
      <c r="C65" s="8"/>
    </row>
    <row r="66" spans="1:4">
      <c r="A66" t="s">
        <v>22</v>
      </c>
    </row>
    <row r="68" spans="1:4">
      <c r="A68">
        <v>14</v>
      </c>
      <c r="B68" t="s">
        <v>38</v>
      </c>
      <c r="C68" s="4">
        <f>C60*1%+1200</f>
        <v>13200</v>
      </c>
    </row>
    <row r="69" spans="1:4">
      <c r="A69" t="s">
        <v>10</v>
      </c>
      <c r="B69" t="s">
        <v>37</v>
      </c>
      <c r="C69" s="13">
        <f>12*RATE(C61*12,C63,C60-C68)</f>
        <v>4.2175180820606284E-2</v>
      </c>
    </row>
    <row r="71" spans="1:4">
      <c r="A71">
        <v>15</v>
      </c>
      <c r="B71" t="s">
        <v>39</v>
      </c>
      <c r="C71" s="1">
        <v>10</v>
      </c>
    </row>
    <row r="72" spans="1:4">
      <c r="A72" t="s">
        <v>11</v>
      </c>
      <c r="B72" t="s">
        <v>30</v>
      </c>
      <c r="C72" s="6">
        <f>FV(C62/12,C71*12,C63,C60)</f>
        <v>-949382.65596184821</v>
      </c>
    </row>
    <row r="74" spans="1:4">
      <c r="A74">
        <v>16</v>
      </c>
      <c r="C74" s="1" t="s">
        <v>40</v>
      </c>
      <c r="D74" t="s">
        <v>33</v>
      </c>
    </row>
    <row r="75" spans="1:4">
      <c r="A75" t="s">
        <v>4</v>
      </c>
      <c r="B75" t="s">
        <v>41</v>
      </c>
      <c r="C75" s="1">
        <v>1200000</v>
      </c>
      <c r="D75">
        <v>1200000</v>
      </c>
    </row>
    <row r="76" spans="1:4">
      <c r="B76" t="s">
        <v>8</v>
      </c>
      <c r="C76" s="1">
        <v>0.9</v>
      </c>
      <c r="D76">
        <v>0.8</v>
      </c>
    </row>
    <row r="77" spans="1:4">
      <c r="B77" t="s">
        <v>15</v>
      </c>
      <c r="C77" s="1">
        <f>C75*C76</f>
        <v>1080000</v>
      </c>
      <c r="D77" s="1">
        <f>D75*D76</f>
        <v>960000</v>
      </c>
    </row>
    <row r="78" spans="1:4">
      <c r="B78" t="s">
        <v>24</v>
      </c>
      <c r="C78" s="1">
        <v>0.06</v>
      </c>
      <c r="D78">
        <v>0.05</v>
      </c>
    </row>
    <row r="79" spans="1:4">
      <c r="B79" t="s">
        <v>34</v>
      </c>
      <c r="C79" s="1">
        <f>C77-D77</f>
        <v>120000</v>
      </c>
    </row>
    <row r="80" spans="1:4">
      <c r="B80" t="s">
        <v>26</v>
      </c>
      <c r="C80" s="6">
        <f>PMT(C78/12,30*12,C77)</f>
        <v>-6475.145671649726</v>
      </c>
      <c r="D80" s="6">
        <f>PMT(D78/12,30*12,D77)</f>
        <v>-5153.4875809165351</v>
      </c>
    </row>
    <row r="81" spans="1:4">
      <c r="B81" t="s">
        <v>35</v>
      </c>
      <c r="C81" s="6">
        <f>C80-D80</f>
        <v>-1321.6580907331909</v>
      </c>
    </row>
    <row r="82" spans="1:4">
      <c r="B82" t="s">
        <v>42</v>
      </c>
      <c r="C82" s="14">
        <f>12*RATE(30*12,C81,C79)</f>
        <v>0.12938335749271024</v>
      </c>
    </row>
    <row r="84" spans="1:4">
      <c r="A84">
        <v>17</v>
      </c>
    </row>
    <row r="85" spans="1:4">
      <c r="A85" t="s">
        <v>10</v>
      </c>
    </row>
    <row r="87" spans="1:4">
      <c r="A87">
        <v>18</v>
      </c>
      <c r="B87" t="s">
        <v>23</v>
      </c>
      <c r="C87" s="1">
        <v>18000000</v>
      </c>
    </row>
    <row r="88" spans="1:4">
      <c r="A88" t="s">
        <v>11</v>
      </c>
      <c r="B88" t="s">
        <v>6</v>
      </c>
      <c r="C88" s="1">
        <v>10</v>
      </c>
    </row>
    <row r="89" spans="1:4">
      <c r="B89" t="s">
        <v>24</v>
      </c>
      <c r="C89" s="7">
        <v>1.4999999999999999E-2</v>
      </c>
    </row>
    <row r="90" spans="1:4">
      <c r="B90" t="s">
        <v>26</v>
      </c>
      <c r="C90" s="6">
        <f>PMT(C89/12,C88*12,C87,-C87)</f>
        <v>-22500</v>
      </c>
      <c r="D90" t="s">
        <v>43</v>
      </c>
    </row>
    <row r="92" spans="1:4">
      <c r="A92">
        <v>19</v>
      </c>
      <c r="B92" t="s">
        <v>44</v>
      </c>
      <c r="C92" s="7">
        <v>3.5000000000000003E-2</v>
      </c>
    </row>
    <row r="93" spans="1:4">
      <c r="A93" t="s">
        <v>4</v>
      </c>
      <c r="B93" t="s">
        <v>26</v>
      </c>
      <c r="C93" s="6">
        <f>PMT(C92/12,C88*12,C87,-C87)</f>
        <v>-52500</v>
      </c>
    </row>
    <row r="95" spans="1:4">
      <c r="A95">
        <v>20</v>
      </c>
    </row>
    <row r="96" spans="1:4">
      <c r="A96" t="s">
        <v>22</v>
      </c>
    </row>
    <row r="98" spans="1:3">
      <c r="A98">
        <v>21</v>
      </c>
    </row>
    <row r="99" spans="1:3">
      <c r="A99" t="s">
        <v>11</v>
      </c>
    </row>
    <row r="101" spans="1:3">
      <c r="A101">
        <v>22</v>
      </c>
      <c r="B101" t="s">
        <v>15</v>
      </c>
      <c r="C101" s="1">
        <f>0.9*2500000</f>
        <v>2250000</v>
      </c>
    </row>
    <row r="102" spans="1:3">
      <c r="A102" t="s">
        <v>11</v>
      </c>
      <c r="B102" t="s">
        <v>6</v>
      </c>
      <c r="C102" s="1">
        <v>15</v>
      </c>
    </row>
    <row r="103" spans="1:3">
      <c r="B103" t="s">
        <v>24</v>
      </c>
      <c r="C103" s="7">
        <v>5.5E-2</v>
      </c>
    </row>
    <row r="104" spans="1:3">
      <c r="B104" t="s">
        <v>26</v>
      </c>
      <c r="C104" s="6">
        <f>PMT(C103/12,C102*12,0,C101)</f>
        <v>-8071.8777289756335</v>
      </c>
    </row>
    <row r="106" spans="1:3">
      <c r="A106">
        <v>23</v>
      </c>
      <c r="B106" s="6">
        <f>PMT(0.015/12,30*12,18000000)</f>
        <v>-62121.637882372852</v>
      </c>
    </row>
    <row r="107" spans="1:3">
      <c r="A107" t="s">
        <v>22</v>
      </c>
    </row>
    <row r="109" spans="1:3">
      <c r="A109">
        <v>24</v>
      </c>
      <c r="B109" s="6"/>
      <c r="C109" s="6"/>
    </row>
    <row r="110" spans="1:3">
      <c r="A110" t="s">
        <v>4</v>
      </c>
      <c r="B110" t="s">
        <v>45</v>
      </c>
      <c r="C110" s="6">
        <f>FV(0.015/12,2*12,B106,18000000)</f>
        <v>-17035285.095892251</v>
      </c>
    </row>
    <row r="111" spans="1:3">
      <c r="B111" t="s">
        <v>24</v>
      </c>
      <c r="C111" s="7">
        <v>3.5000000000000003E-2</v>
      </c>
    </row>
    <row r="112" spans="1:3">
      <c r="B112" t="s">
        <v>26</v>
      </c>
      <c r="C112" s="6">
        <f>PMT(C111/12,28*12,C110)</f>
        <v>79605.856332021329</v>
      </c>
    </row>
    <row r="114" spans="1:3">
      <c r="A114">
        <v>25</v>
      </c>
      <c r="B114" t="s">
        <v>46</v>
      </c>
      <c r="C114" s="1">
        <f>40*180</f>
        <v>7200</v>
      </c>
    </row>
    <row r="115" spans="1:3">
      <c r="A115" t="s">
        <v>4</v>
      </c>
      <c r="B115" t="s">
        <v>47</v>
      </c>
      <c r="C115" s="1">
        <v>3</v>
      </c>
    </row>
    <row r="116" spans="1:3">
      <c r="B116" t="s">
        <v>48</v>
      </c>
      <c r="C116" s="1">
        <f>C114*C115</f>
        <v>21600</v>
      </c>
    </row>
    <row r="118" spans="1:3">
      <c r="A118">
        <v>26</v>
      </c>
    </row>
    <row r="119" spans="1:3">
      <c r="A119" t="s">
        <v>22</v>
      </c>
    </row>
    <row r="121" spans="1:3">
      <c r="A121">
        <v>27</v>
      </c>
    </row>
    <row r="122" spans="1:3">
      <c r="A122" t="s">
        <v>4</v>
      </c>
    </row>
    <row r="124" spans="1:3">
      <c r="A124">
        <v>28</v>
      </c>
      <c r="B124">
        <f>3000000-600000</f>
        <v>2400000</v>
      </c>
    </row>
    <row r="125" spans="1:3">
      <c r="A125" t="s">
        <v>22</v>
      </c>
    </row>
    <row r="127" spans="1:3">
      <c r="A127">
        <v>29</v>
      </c>
    </row>
    <row r="128" spans="1:3">
      <c r="A128" t="s">
        <v>10</v>
      </c>
    </row>
    <row r="130" spans="1:3">
      <c r="A130">
        <v>30</v>
      </c>
    </row>
    <row r="131" spans="1:3">
      <c r="A131" t="s">
        <v>4</v>
      </c>
    </row>
    <row r="133" spans="1:3">
      <c r="A133">
        <v>31</v>
      </c>
    </row>
    <row r="134" spans="1:3">
      <c r="A134" t="s">
        <v>22</v>
      </c>
    </row>
    <row r="136" spans="1:3">
      <c r="A136">
        <v>32</v>
      </c>
      <c r="B136">
        <f>100*(1+0.09)^8</f>
        <v>199.25626416901929</v>
      </c>
    </row>
    <row r="137" spans="1:3">
      <c r="A137" t="s">
        <v>11</v>
      </c>
    </row>
    <row r="139" spans="1:3">
      <c r="A139">
        <v>33</v>
      </c>
      <c r="B139" t="s">
        <v>5</v>
      </c>
      <c r="C139" s="1">
        <v>39000</v>
      </c>
    </row>
    <row r="140" spans="1:3">
      <c r="A140" t="s">
        <v>22</v>
      </c>
      <c r="B140" t="s">
        <v>41</v>
      </c>
      <c r="C140" s="1">
        <v>7800000</v>
      </c>
    </row>
    <row r="141" spans="1:3">
      <c r="B141" t="s">
        <v>49</v>
      </c>
      <c r="C141" s="1">
        <f>12*2*C139</f>
        <v>936000</v>
      </c>
    </row>
    <row r="142" spans="1:3">
      <c r="B142" t="s">
        <v>50</v>
      </c>
      <c r="C142" s="1">
        <f>0.7*C139</f>
        <v>27300</v>
      </c>
    </row>
    <row r="143" spans="1:3">
      <c r="B143" t="s">
        <v>51</v>
      </c>
      <c r="C143" s="1">
        <v>360000</v>
      </c>
    </row>
    <row r="144" spans="1:3">
      <c r="B144" t="s">
        <v>52</v>
      </c>
      <c r="C144" s="1">
        <f>12*C142</f>
        <v>327600</v>
      </c>
    </row>
    <row r="145" spans="1:3">
      <c r="B145" t="s">
        <v>19</v>
      </c>
      <c r="C145" s="1">
        <f>C141-C144</f>
        <v>608400</v>
      </c>
    </row>
    <row r="147" spans="1:3">
      <c r="A147">
        <v>34</v>
      </c>
      <c r="B147" t="s">
        <v>15</v>
      </c>
      <c r="C147" s="1">
        <v>5000000</v>
      </c>
    </row>
    <row r="148" spans="1:3">
      <c r="A148" t="s">
        <v>10</v>
      </c>
      <c r="B148" t="s">
        <v>24</v>
      </c>
      <c r="C148" s="7">
        <v>4.7500000000000001E-2</v>
      </c>
    </row>
    <row r="149" spans="1:3">
      <c r="B149" t="s">
        <v>26</v>
      </c>
      <c r="C149" s="6">
        <f>PMT(C148/12,30*12,C147)</f>
        <v>-26082.366825155546</v>
      </c>
    </row>
    <row r="150" spans="1:3">
      <c r="B150" t="s">
        <v>21</v>
      </c>
      <c r="C150" s="6">
        <f>C149*12</f>
        <v>-312988.40190186654</v>
      </c>
    </row>
    <row r="151" spans="1:3">
      <c r="B151" t="s">
        <v>53</v>
      </c>
      <c r="C151" s="6">
        <f>C145+C150</f>
        <v>295411.59809813346</v>
      </c>
    </row>
    <row r="153" spans="1:3">
      <c r="A153">
        <v>35</v>
      </c>
      <c r="B153" t="s">
        <v>54</v>
      </c>
      <c r="C153" s="8">
        <v>0.8</v>
      </c>
    </row>
    <row r="154" spans="1:3">
      <c r="A154" t="s">
        <v>10</v>
      </c>
      <c r="B154" t="s">
        <v>55</v>
      </c>
      <c r="C154" s="1">
        <v>39</v>
      </c>
    </row>
    <row r="155" spans="1:3">
      <c r="B155" t="s">
        <v>56</v>
      </c>
      <c r="C155" s="1">
        <f>C140*C153/C154</f>
        <v>160000</v>
      </c>
    </row>
    <row r="157" spans="1:3">
      <c r="A157">
        <v>36</v>
      </c>
      <c r="B157" t="s">
        <v>57</v>
      </c>
      <c r="C157" s="6">
        <f>CUMIPMT(0.0475/12,30*12,C147,1,12,0)</f>
        <v>-235834.67587931457</v>
      </c>
    </row>
    <row r="158" spans="1:3">
      <c r="A158" t="s">
        <v>10</v>
      </c>
      <c r="B158" t="s">
        <v>58</v>
      </c>
      <c r="C158" s="6">
        <f>C145+C157-C155</f>
        <v>212565.32412068546</v>
      </c>
    </row>
    <row r="160" spans="1:3">
      <c r="A160">
        <v>37</v>
      </c>
    </row>
    <row r="161" spans="1:1">
      <c r="A161" t="s">
        <v>22</v>
      </c>
    </row>
    <row r="163" spans="1:1">
      <c r="A163">
        <v>38</v>
      </c>
    </row>
    <row r="164" spans="1:1">
      <c r="A164" t="s">
        <v>11</v>
      </c>
    </row>
    <row r="166" spans="1:1">
      <c r="A166">
        <v>39</v>
      </c>
    </row>
    <row r="167" spans="1:1">
      <c r="A167" t="s">
        <v>22</v>
      </c>
    </row>
    <row r="169" spans="1:1">
      <c r="A169">
        <v>40</v>
      </c>
    </row>
    <row r="170" spans="1:1">
      <c r="A170" t="s">
        <v>10</v>
      </c>
    </row>
    <row r="172" spans="1:1">
      <c r="A172">
        <v>41</v>
      </c>
    </row>
    <row r="173" spans="1:1">
      <c r="A173" t="s">
        <v>10</v>
      </c>
    </row>
    <row r="175" spans="1:1">
      <c r="A175">
        <v>42</v>
      </c>
    </row>
    <row r="176" spans="1:1">
      <c r="A176" t="s">
        <v>4</v>
      </c>
    </row>
    <row r="178" spans="1:1">
      <c r="A178">
        <v>43</v>
      </c>
    </row>
    <row r="179" spans="1:1">
      <c r="A179" t="s">
        <v>11</v>
      </c>
    </row>
    <row r="181" spans="1:1">
      <c r="A181">
        <v>44</v>
      </c>
    </row>
    <row r="182" spans="1:1">
      <c r="A182" t="s">
        <v>10</v>
      </c>
    </row>
    <row r="184" spans="1:1">
      <c r="A184">
        <v>45</v>
      </c>
    </row>
    <row r="185" spans="1:1">
      <c r="A185" t="s">
        <v>4</v>
      </c>
    </row>
    <row r="187" spans="1:1">
      <c r="A187">
        <v>46</v>
      </c>
    </row>
    <row r="188" spans="1:1">
      <c r="A188" t="s">
        <v>10</v>
      </c>
    </row>
    <row r="190" spans="1:1">
      <c r="A190">
        <v>47</v>
      </c>
    </row>
    <row r="191" spans="1:1">
      <c r="A191" t="s">
        <v>10</v>
      </c>
    </row>
    <row r="193" spans="1:1">
      <c r="A193">
        <v>48</v>
      </c>
    </row>
    <row r="194" spans="1:1">
      <c r="A194" t="s">
        <v>4</v>
      </c>
    </row>
    <row r="196" spans="1:1">
      <c r="A196">
        <v>49</v>
      </c>
    </row>
    <row r="197" spans="1:1">
      <c r="A197" t="s">
        <v>11</v>
      </c>
    </row>
    <row r="199" spans="1:1">
      <c r="A199">
        <v>50</v>
      </c>
    </row>
    <row r="200" spans="1:1">
      <c r="A20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2023-06-15T06:18:16Z</dcterms:created>
  <dcterms:modified xsi:type="dcterms:W3CDTF">2023-06-15T17:58:15Z</dcterms:modified>
</cp:coreProperties>
</file>