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8_{063C7026-63F6-4AE0-A422-3F38A5497FB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asic Functions" sheetId="1" r:id="rId1"/>
    <sheet name="Employee Sheet" sheetId="2" r:id="rId2"/>
    <sheet name="If Condition" sheetId="3" r:id="rId3"/>
    <sheet name="Age Calculation" sheetId="4" r:id="rId4"/>
    <sheet name="Sample_Datas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kPTNpVzo62ODboC8FC/tNDziq84AkuYyusbpU/uEcZM="/>
    </ext>
  </extLst>
</workbook>
</file>

<file path=xl/calcChain.xml><?xml version="1.0" encoding="utf-8"?>
<calcChain xmlns="http://schemas.openxmlformats.org/spreadsheetml/2006/main">
  <c r="J39" i="5" l="1"/>
  <c r="I39" i="5"/>
  <c r="I10" i="5"/>
  <c r="H10" i="5"/>
  <c r="G10" i="5"/>
  <c r="E10" i="5"/>
  <c r="K42" i="5"/>
  <c r="J42" i="5"/>
  <c r="I42" i="5"/>
  <c r="H42" i="5"/>
  <c r="H39" i="5"/>
  <c r="X3" i="5"/>
  <c r="X4" i="5"/>
  <c r="X5" i="5"/>
  <c r="X6" i="5"/>
  <c r="X2" i="5"/>
  <c r="W3" i="5"/>
  <c r="W4" i="5"/>
  <c r="W5" i="5"/>
  <c r="W6" i="5"/>
  <c r="W2" i="5"/>
  <c r="V3" i="5"/>
  <c r="V4" i="5"/>
  <c r="V5" i="5"/>
  <c r="V6" i="5"/>
  <c r="V2" i="5"/>
  <c r="U3" i="5"/>
  <c r="U4" i="5"/>
  <c r="U5" i="5"/>
  <c r="U6" i="5"/>
  <c r="U2" i="5"/>
  <c r="T4" i="5"/>
  <c r="T3" i="5"/>
  <c r="T5" i="5"/>
  <c r="T6" i="5"/>
  <c r="T2" i="5"/>
  <c r="S3" i="5"/>
  <c r="S4" i="5"/>
  <c r="S5" i="5"/>
  <c r="S6" i="5"/>
  <c r="S2" i="5"/>
  <c r="R3" i="5"/>
  <c r="R4" i="5"/>
  <c r="R5" i="5"/>
  <c r="R6" i="5"/>
  <c r="R2" i="5"/>
  <c r="Q3" i="5"/>
  <c r="Q4" i="5"/>
  <c r="Q5" i="5"/>
  <c r="Q6" i="5"/>
  <c r="Q2" i="5"/>
  <c r="P2" i="5" a="1"/>
  <c r="P2" i="5" s="1"/>
  <c r="D10" i="5"/>
  <c r="E3" i="4"/>
  <c r="E4" i="4"/>
  <c r="E5" i="4"/>
  <c r="E6" i="4"/>
  <c r="E2" i="4"/>
  <c r="D3" i="4"/>
  <c r="D4" i="4"/>
  <c r="D5" i="4"/>
  <c r="D6" i="4"/>
  <c r="D2" i="4"/>
  <c r="D20" i="3"/>
  <c r="D19" i="3"/>
  <c r="D18" i="3"/>
  <c r="D17" i="3"/>
  <c r="D16" i="3"/>
  <c r="D15" i="3"/>
  <c r="D14" i="3"/>
  <c r="F3" i="3"/>
  <c r="F4" i="3"/>
  <c r="F5" i="3"/>
  <c r="F6" i="3"/>
  <c r="F7" i="3"/>
  <c r="F8" i="3"/>
  <c r="F9" i="3"/>
  <c r="F10" i="3"/>
  <c r="F11" i="3"/>
  <c r="F12" i="3"/>
  <c r="F2" i="3"/>
  <c r="E3" i="3"/>
  <c r="E4" i="3"/>
  <c r="E5" i="3"/>
  <c r="E6" i="3"/>
  <c r="E7" i="3"/>
  <c r="E8" i="3"/>
  <c r="E9" i="3"/>
  <c r="E10" i="3"/>
  <c r="E11" i="3"/>
  <c r="E12" i="3"/>
  <c r="E2" i="3"/>
  <c r="D12" i="3"/>
  <c r="D11" i="3"/>
  <c r="D10" i="3"/>
  <c r="D9" i="3"/>
  <c r="D8" i="3"/>
  <c r="D7" i="3"/>
  <c r="D6" i="3"/>
  <c r="D5" i="3"/>
  <c r="D4" i="3"/>
  <c r="D3" i="3"/>
  <c r="D2" i="3"/>
  <c r="E47" i="2"/>
  <c r="E48" i="2"/>
  <c r="E49" i="2"/>
  <c r="E30" i="2"/>
  <c r="F30" i="2" s="1"/>
  <c r="F8" i="2"/>
  <c r="F9" i="2"/>
  <c r="F10" i="2"/>
  <c r="F11" i="2"/>
  <c r="F12" i="2"/>
  <c r="F13" i="2"/>
  <c r="F14" i="2"/>
  <c r="H14" i="2" s="1"/>
  <c r="F15" i="2"/>
  <c r="F16" i="2"/>
  <c r="F17" i="2"/>
  <c r="F18" i="2"/>
  <c r="F19" i="2"/>
  <c r="F20" i="2"/>
  <c r="F21" i="2"/>
  <c r="F22" i="2"/>
  <c r="F23" i="2"/>
  <c r="F24" i="2"/>
  <c r="H24" i="2" s="1"/>
  <c r="I24" i="2" s="1"/>
  <c r="F25" i="2"/>
  <c r="H25" i="2" s="1"/>
  <c r="F26" i="2"/>
  <c r="H26" i="2" s="1"/>
  <c r="F27" i="2"/>
  <c r="H27" i="2" s="1"/>
  <c r="F28" i="2"/>
  <c r="H28" i="2" s="1"/>
  <c r="F29" i="2"/>
  <c r="H29" i="2" s="1"/>
  <c r="F7" i="2"/>
  <c r="H9" i="2"/>
  <c r="I9" i="2" s="1"/>
  <c r="H10" i="2"/>
  <c r="H11" i="2"/>
  <c r="I11" i="2" s="1"/>
  <c r="H12" i="2"/>
  <c r="I12" i="2" s="1"/>
  <c r="H13" i="2"/>
  <c r="H17" i="2"/>
  <c r="I17" i="2" s="1"/>
  <c r="J17" i="2" s="1"/>
  <c r="H18" i="2"/>
  <c r="I18" i="2" s="1"/>
  <c r="J18" i="2" s="1"/>
  <c r="H19" i="2"/>
  <c r="I19" i="2" s="1"/>
  <c r="J19" i="2" s="1"/>
  <c r="H20" i="2"/>
  <c r="H21" i="2"/>
  <c r="H22" i="2"/>
  <c r="G8" i="2"/>
  <c r="G9" i="2"/>
  <c r="G10" i="2"/>
  <c r="G11" i="2"/>
  <c r="G12" i="2"/>
  <c r="G13" i="2"/>
  <c r="G14" i="2"/>
  <c r="G15" i="2"/>
  <c r="G16" i="2"/>
  <c r="H16" i="2" s="1"/>
  <c r="I16" i="2" s="1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7" i="2"/>
  <c r="E32" i="1"/>
  <c r="E31" i="1"/>
  <c r="B32" i="1"/>
  <c r="B31" i="1"/>
  <c r="K21" i="1"/>
  <c r="K20" i="1"/>
  <c r="H21" i="1"/>
  <c r="H20" i="1"/>
  <c r="E20" i="1"/>
  <c r="B20" i="1"/>
  <c r="M9" i="1"/>
  <c r="J9" i="1"/>
  <c r="G5" i="1"/>
  <c r="G6" i="1"/>
  <c r="G7" i="1"/>
  <c r="G8" i="1"/>
  <c r="G4" i="1"/>
  <c r="B9" i="1"/>
  <c r="H7" i="2" l="1"/>
  <c r="E46" i="2"/>
  <c r="I7" i="2"/>
  <c r="J7" i="2" s="1"/>
  <c r="I28" i="2"/>
  <c r="J28" i="2" s="1"/>
  <c r="I27" i="2"/>
  <c r="J27" i="2" s="1"/>
  <c r="I26" i="2"/>
  <c r="J26" i="2" s="1"/>
  <c r="I25" i="2"/>
  <c r="J25" i="2" s="1"/>
  <c r="I29" i="2"/>
  <c r="J29" i="2" s="1"/>
  <c r="G30" i="2"/>
  <c r="H8" i="2"/>
  <c r="I8" i="2" s="1"/>
  <c r="H23" i="2"/>
  <c r="I23" i="2" s="1"/>
  <c r="H15" i="2"/>
  <c r="I15" i="2" s="1"/>
  <c r="J13" i="2"/>
  <c r="J20" i="2"/>
  <c r="I13" i="2"/>
  <c r="J12" i="2"/>
  <c r="I22" i="2"/>
  <c r="J22" i="2" s="1"/>
  <c r="I10" i="2"/>
  <c r="J10" i="2" s="1"/>
  <c r="J9" i="2"/>
  <c r="I14" i="2"/>
  <c r="J14" i="2" s="1"/>
  <c r="J11" i="2"/>
  <c r="I21" i="2"/>
  <c r="J21" i="2" s="1"/>
  <c r="I20" i="2"/>
  <c r="J24" i="2"/>
  <c r="J16" i="2"/>
  <c r="J23" i="2"/>
  <c r="J15" i="2"/>
  <c r="H30" i="2"/>
  <c r="I30" i="2" l="1"/>
  <c r="J8" i="2"/>
  <c r="J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<sst xmlns="http://schemas.openxmlformats.org/spreadsheetml/2006/main" count="293" uniqueCount="220">
  <si>
    <t>SUM</t>
  </si>
  <si>
    <t>PRODUCT</t>
  </si>
  <si>
    <t>AVERAGE</t>
  </si>
  <si>
    <t>MIN</t>
  </si>
  <si>
    <t>STUDENT NAME</t>
  </si>
  <si>
    <t>MARKS</t>
  </si>
  <si>
    <t>PRODUCTS</t>
  </si>
  <si>
    <t>QTY</t>
  </si>
  <si>
    <t>COST</t>
  </si>
  <si>
    <t>TOTAL</t>
  </si>
  <si>
    <t>Deepa</t>
  </si>
  <si>
    <t>P1</t>
  </si>
  <si>
    <t>Binil</t>
  </si>
  <si>
    <t>P2</t>
  </si>
  <si>
    <t>suman</t>
  </si>
  <si>
    <t>P3</t>
  </si>
  <si>
    <t>Shilpa</t>
  </si>
  <si>
    <t>P4</t>
  </si>
  <si>
    <t>Sunil</t>
  </si>
  <si>
    <t>P5</t>
  </si>
  <si>
    <t>Average</t>
  </si>
  <si>
    <t>MAX</t>
  </si>
  <si>
    <t>COUNT</t>
  </si>
  <si>
    <t>COUNTA</t>
  </si>
  <si>
    <t>COUNTBLANK</t>
  </si>
  <si>
    <t>GF</t>
  </si>
  <si>
    <t xml:space="preserve"> </t>
  </si>
  <si>
    <t>COUNTIF</t>
  </si>
  <si>
    <t>Variance &amp; Standard Deviation</t>
  </si>
  <si>
    <t>GENDER</t>
  </si>
  <si>
    <t>Day</t>
  </si>
  <si>
    <t>Sales</t>
  </si>
  <si>
    <t>F</t>
  </si>
  <si>
    <t>Mon</t>
  </si>
  <si>
    <t>M</t>
  </si>
  <si>
    <t>Tue</t>
  </si>
  <si>
    <t>Wed</t>
  </si>
  <si>
    <t>Thu</t>
  </si>
  <si>
    <t>Fri</t>
  </si>
  <si>
    <t>No of Female</t>
  </si>
  <si>
    <t>Variance</t>
  </si>
  <si>
    <t>No of Male</t>
  </si>
  <si>
    <t>Standard Deviation</t>
  </si>
  <si>
    <t>Example 1</t>
  </si>
  <si>
    <t>Employees sheet</t>
  </si>
  <si>
    <t>Date:</t>
  </si>
  <si>
    <t>Deduction Rate:</t>
  </si>
  <si>
    <t>Last Name</t>
  </si>
  <si>
    <t>Basic</t>
  </si>
  <si>
    <t>Hra</t>
  </si>
  <si>
    <t>DA</t>
  </si>
  <si>
    <t>Gross Salary</t>
  </si>
  <si>
    <t>Deduction</t>
  </si>
  <si>
    <t>Net salary</t>
  </si>
  <si>
    <t>Smith B</t>
  </si>
  <si>
    <t>Wilson C</t>
  </si>
  <si>
    <t>Thompson J</t>
  </si>
  <si>
    <t>Anthony Taylor</t>
  </si>
  <si>
    <t>Charles S. Billings</t>
  </si>
  <si>
    <t>Chris Poundsworth</t>
  </si>
  <si>
    <t>Clark Bickerson</t>
  </si>
  <si>
    <t>Douglas Williams</t>
  </si>
  <si>
    <t>Ivan Silberstein</t>
  </si>
  <si>
    <t>James Millen</t>
  </si>
  <si>
    <t>Jeffrey P. Jones</t>
  </si>
  <si>
    <t>Joe Morrison</t>
  </si>
  <si>
    <t>John T. Foster</t>
  </si>
  <si>
    <t>Kurt Kamichoff</t>
  </si>
  <si>
    <t>Michael Hayden</t>
  </si>
  <si>
    <t>Phillip A. Todd</t>
  </si>
  <si>
    <t>Richard E. Card</t>
  </si>
  <si>
    <t>Rick Fogerty</t>
  </si>
  <si>
    <t>Robert H. Miller</t>
  </si>
  <si>
    <t>Stephen C. Carter</t>
  </si>
  <si>
    <t>Steven H. Katz</t>
  </si>
  <si>
    <t>Thomas E. Abbott</t>
  </si>
  <si>
    <t>Tom Brown</t>
  </si>
  <si>
    <t>Total</t>
  </si>
  <si>
    <t>Question A</t>
  </si>
  <si>
    <t>Complete the above database with the following formula</t>
  </si>
  <si>
    <t>Hra is  10% of Basic</t>
  </si>
  <si>
    <t>DA will be 45% of Basic</t>
  </si>
  <si>
    <t xml:space="preserve">Gross being  sum of Basic, Hra, Da </t>
  </si>
  <si>
    <t xml:space="preserve"> Deduction is mention in the cell i4  and  currently 6% of gross salary</t>
  </si>
  <si>
    <t>Calculate Net salary where net salary will be gross salary - deduction</t>
  </si>
  <si>
    <t>Fill the total column with the appropriate formulea</t>
  </si>
  <si>
    <t>Question B</t>
  </si>
  <si>
    <t>Format all numbers to include a currency symbol with two decimal points</t>
  </si>
  <si>
    <t>Question C</t>
  </si>
  <si>
    <t>Write formula to calculate the following in the shaded area</t>
  </si>
  <si>
    <t>Average Gross Salary of all employees</t>
  </si>
  <si>
    <t>Maximum Basic Salary</t>
  </si>
  <si>
    <t>Minimum Basic Sal</t>
  </si>
  <si>
    <t>Total No. of employees</t>
  </si>
  <si>
    <t>ITEM CODE</t>
  </si>
  <si>
    <t xml:space="preserve">UNITS </t>
  </si>
  <si>
    <t>PRICE</t>
  </si>
  <si>
    <t xml:space="preserve">SALES </t>
  </si>
  <si>
    <t>COMMISSION</t>
  </si>
  <si>
    <t>GRADE</t>
  </si>
  <si>
    <t xml:space="preserve">Sales </t>
  </si>
  <si>
    <t>Commission</t>
  </si>
  <si>
    <t>Less than 1000</t>
  </si>
  <si>
    <t>No commission</t>
  </si>
  <si>
    <t>= B2 * C2</t>
  </si>
  <si>
    <t>1000 to 5000</t>
  </si>
  <si>
    <t>2% of sales</t>
  </si>
  <si>
    <t>Commision</t>
  </si>
  <si>
    <t xml:space="preserve">=IF(D2&lt;1000,0,IF(D2&lt;=5000,0.02*D2,0.05*D2))
</t>
  </si>
  <si>
    <t>Above 5000</t>
  </si>
  <si>
    <t>5% of sales</t>
  </si>
  <si>
    <t>Grade</t>
  </si>
  <si>
    <t xml:space="preserve">=IF(D2&lt;1000,"POOR",IF(D2&lt;=5000,"GOOD","EXCELLENT"))
</t>
  </si>
  <si>
    <t xml:space="preserve">Grade </t>
  </si>
  <si>
    <t>POOR</t>
  </si>
  <si>
    <t>GOOD</t>
  </si>
  <si>
    <t>EXCELLENT</t>
  </si>
  <si>
    <t>TOTAL SALES</t>
  </si>
  <si>
    <t xml:space="preserve">HIGHEST SALE VALUE </t>
  </si>
  <si>
    <t>LOWEST SALE VALUE</t>
  </si>
  <si>
    <t xml:space="preserve">AVERAGE SALE VALUE </t>
  </si>
  <si>
    <t>COUNT OF EXCELLENT</t>
  </si>
  <si>
    <t>COUNT OF GOOD</t>
  </si>
  <si>
    <t>COUNT OF POOR</t>
  </si>
  <si>
    <t>FIRST</t>
  </si>
  <si>
    <t>LAST</t>
  </si>
  <si>
    <t>DATE of BIRTH</t>
  </si>
  <si>
    <t>Age as on 31st March 2013</t>
  </si>
  <si>
    <t>Age as of Today</t>
  </si>
  <si>
    <t>Sara</t>
  </si>
  <si>
    <t>Kling</t>
  </si>
  <si>
    <t>Sean</t>
  </si>
  <si>
    <t>Willis</t>
  </si>
  <si>
    <t>Colleen</t>
  </si>
  <si>
    <t>Abel</t>
  </si>
  <si>
    <t>Teri</t>
  </si>
  <si>
    <t>Binga</t>
  </si>
  <si>
    <t>Frank</t>
  </si>
  <si>
    <t>Culbert</t>
  </si>
  <si>
    <t>EmpID</t>
  </si>
  <si>
    <t>Name</t>
  </si>
  <si>
    <t>Dept</t>
  </si>
  <si>
    <t>DOJ</t>
  </si>
  <si>
    <t>Salary</t>
  </si>
  <si>
    <t>Bonus%</t>
  </si>
  <si>
    <t>LeavesTaken</t>
  </si>
  <si>
    <t>AppraisalRating</t>
  </si>
  <si>
    <t>Region</t>
  </si>
  <si>
    <t>Target</t>
  </si>
  <si>
    <t>Project</t>
  </si>
  <si>
    <t>StartDate</t>
  </si>
  <si>
    <t>EndDate</t>
  </si>
  <si>
    <t>HoursSpent</t>
  </si>
  <si>
    <t>E101</t>
  </si>
  <si>
    <t>Aditi</t>
  </si>
  <si>
    <t>Finance</t>
  </si>
  <si>
    <t>North</t>
  </si>
  <si>
    <t>Alpha</t>
  </si>
  <si>
    <t>E102</t>
  </si>
  <si>
    <t>Raj</t>
  </si>
  <si>
    <t>IT</t>
  </si>
  <si>
    <t>South</t>
  </si>
  <si>
    <t>Beta</t>
  </si>
  <si>
    <t>E103</t>
  </si>
  <si>
    <t>Meera</t>
  </si>
  <si>
    <t>HR</t>
  </si>
  <si>
    <t>West</t>
  </si>
  <si>
    <t>E104</t>
  </si>
  <si>
    <t>John</t>
  </si>
  <si>
    <t>East</t>
  </si>
  <si>
    <t>Gamma</t>
  </si>
  <si>
    <t>E105</t>
  </si>
  <si>
    <t>Ali</t>
  </si>
  <si>
    <t>A. Basic Functions</t>
  </si>
  <si>
    <t>Find the SUM of all Salaries.</t>
  </si>
  <si>
    <t>Find the AVERAGE Appraisal Rating.</t>
  </si>
  <si>
    <t>Find the MAX and MIN Sales.</t>
  </si>
  <si>
    <t>Count how many employees are in IT Department.</t>
  </si>
  <si>
    <t>B. Salary &amp; Bonus</t>
  </si>
  <si>
    <t>Calculate Bonus Amount = Salary × Bonus%.</t>
  </si>
  <si>
    <t>Calculate Total Compensation = Salary + Bonus.</t>
  </si>
  <si>
    <t>Apply Tax (10%) and calculate Net Salary = Total Compensation – (10% of Total Compensation).</t>
  </si>
  <si>
    <t>C. Performance (IF conditions)</t>
  </si>
  <si>
    <t>Add a column Rating Result: If Sales ≥ Target → “Achieved”, else “Not Achieved”.</t>
  </si>
  <si>
    <t>Add a column Commission:</t>
  </si>
  <si>
    <t>Sales &lt; 500 → 0</t>
  </si>
  <si>
    <t>500–700 → 2% of Sales</t>
  </si>
  <si>
    <t>700 → 5% of Sales</t>
  </si>
  <si>
    <t>Add a column Performance Grade:</t>
  </si>
  <si>
    <t>Appraisal ≥ 4 → “Good”</t>
  </si>
  <si>
    <t>3 → “Average”</t>
  </si>
  <si>
    <t>Else “Poor”</t>
  </si>
  <si>
    <t>D. Dates &amp; Service</t>
  </si>
  <si>
    <t>Calculate Years of Service (from DOJ till TODAY).</t>
  </si>
  <si>
    <t>Calculate Project Duration = EndDate – StartDate.</t>
  </si>
  <si>
    <t>If HoursSpent &gt; 50 → mark as “Overloaded”, else “Normal”.</t>
  </si>
  <si>
    <t>E. Analysis with Functions</t>
  </si>
  <si>
    <t>Use COUNTIF to count how many employees are “Promotion Eligible” (Appraisal ≥ 4).</t>
  </si>
  <si>
    <t>Use SUMIF to find Total Net Sales for North region.</t>
  </si>
  <si>
    <t>Use AVERAGEIF to find Average Salary for IT Dept.</t>
  </si>
  <si>
    <t>Which project has the longest average duration?</t>
  </si>
  <si>
    <t xml:space="preserve">Bonus Amount </t>
  </si>
  <si>
    <t xml:space="preserve">Total Compensation </t>
  </si>
  <si>
    <t>Net Salary</t>
  </si>
  <si>
    <t xml:space="preserve"> Rating Result</t>
  </si>
  <si>
    <t>Commission:</t>
  </si>
  <si>
    <t>Performance Grade</t>
  </si>
  <si>
    <t>Years of Service</t>
  </si>
  <si>
    <t>Project Duration</t>
  </si>
  <si>
    <t>max = alpha</t>
  </si>
  <si>
    <t>NORMAL/OVERLOAD</t>
  </si>
  <si>
    <t xml:space="preserve">“Promotion Eligible” </t>
  </si>
  <si>
    <t>Net Sales for North region.</t>
  </si>
  <si>
    <t xml:space="preserve"> Average Salary for IT Dept.</t>
  </si>
  <si>
    <t>alpha</t>
  </si>
  <si>
    <t>beta</t>
  </si>
  <si>
    <t>gamma</t>
  </si>
  <si>
    <t xml:space="preserve">SUM OF ALL SALARIES </t>
  </si>
  <si>
    <t>AVERAGE ASPIRING RATING</t>
  </si>
  <si>
    <t>NO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</si>
</sst>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"/>
    <numFmt numFmtId="165" formatCode="dd\-mmm\-yy"/>
    <numFmt numFmtId="166" formatCode="&quot;₹&quot;\ #,##0.00"/>
    <numFmt numFmtId="167" formatCode="&quot;₹&quot;\ #,##0.0"/>
  </numFmts>
  <fonts count="25">
    <font>
      <sz val="11"/>
      <color theme="1"/>
      <name val="Calibri"/>
      <scheme val="minor"/>
    </font>
    <font>
      <b/>
      <i/>
      <sz val="11"/>
      <color theme="1"/>
      <name val="Times New Roman"/>
    </font>
    <font>
      <sz val="11"/>
      <name val="Calibri"/>
    </font>
    <font>
      <sz val="12"/>
      <color theme="1"/>
      <name val="Times New Roman"/>
    </font>
    <font>
      <sz val="11"/>
      <color theme="1"/>
      <name val="Times New Roman"/>
    </font>
    <font>
      <b/>
      <sz val="14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sz val="20"/>
      <color theme="1"/>
      <name val="Times New Roman"/>
    </font>
    <font>
      <b/>
      <sz val="18"/>
      <color rgb="FF44546A"/>
      <name val="Times New Roman"/>
    </font>
    <font>
      <sz val="18"/>
      <color rgb="FFFFFFFF"/>
      <name val="Times New Roman"/>
    </font>
    <font>
      <sz val="11"/>
      <color rgb="FFFFFFFF"/>
      <name val="Times New Roman"/>
    </font>
    <font>
      <b/>
      <sz val="11"/>
      <color rgb="FFFFFFFF"/>
      <name val="Times New Roman"/>
    </font>
    <font>
      <sz val="11"/>
      <color theme="1"/>
      <name val="Times New Roman"/>
    </font>
    <font>
      <b/>
      <sz val="11"/>
      <color rgb="FFFA7D00"/>
      <name val="Times New Roman"/>
    </font>
    <font>
      <b/>
      <sz val="11"/>
      <color theme="1"/>
      <name val="Times New Roman"/>
    </font>
    <font>
      <sz val="11"/>
      <color rgb="FFFF0000"/>
      <name val="Times New Roman"/>
    </font>
    <font>
      <sz val="12"/>
      <color theme="1"/>
      <name val="Arial"/>
    </font>
    <font>
      <sz val="14"/>
      <color theme="1"/>
      <name val="Times New Roman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4472C4"/>
        <bgColor rgb="FF4472C4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right"/>
    </xf>
    <xf numFmtId="0" fontId="4" fillId="0" borderId="7" xfId="0" applyFont="1" applyBorder="1"/>
    <xf numFmtId="0" fontId="4" fillId="0" borderId="8" xfId="0" applyFont="1" applyBorder="1" applyAlignment="1">
      <alignment horizontal="right"/>
    </xf>
    <xf numFmtId="0" fontId="5" fillId="0" borderId="4" xfId="0" applyFont="1" applyBorder="1"/>
    <xf numFmtId="0" fontId="4" fillId="0" borderId="6" xfId="0" applyFont="1" applyBorder="1" applyAlignment="1">
      <alignment horizontal="right"/>
    </xf>
    <xf numFmtId="0" fontId="4" fillId="0" borderId="0" xfId="0" applyFont="1"/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8" fillId="0" borderId="0" xfId="0" applyFont="1"/>
    <xf numFmtId="0" fontId="9" fillId="0" borderId="0" xfId="0" applyFont="1"/>
    <xf numFmtId="0" fontId="11" fillId="4" borderId="14" xfId="0" applyFont="1" applyFill="1" applyBorder="1" applyAlignment="1">
      <alignment horizontal="right"/>
    </xf>
    <xf numFmtId="14" fontId="11" fillId="4" borderId="14" xfId="0" applyNumberFormat="1" applyFont="1" applyFill="1" applyBorder="1" applyAlignment="1">
      <alignment horizontal="right"/>
    </xf>
    <xf numFmtId="9" fontId="11" fillId="4" borderId="14" xfId="0" applyNumberFormat="1" applyFont="1" applyFill="1" applyBorder="1" applyAlignment="1">
      <alignment horizontal="right"/>
    </xf>
    <xf numFmtId="0" fontId="12" fillId="4" borderId="15" xfId="0" applyFont="1" applyFill="1" applyBorder="1"/>
    <xf numFmtId="0" fontId="13" fillId="0" borderId="4" xfId="0" applyFont="1" applyBorder="1"/>
    <xf numFmtId="0" fontId="14" fillId="5" borderId="16" xfId="0" applyFont="1" applyFill="1" applyBorder="1"/>
    <xf numFmtId="0" fontId="15" fillId="0" borderId="0" xfId="0" applyFont="1"/>
    <xf numFmtId="0" fontId="16" fillId="0" borderId="0" xfId="0" applyFont="1" applyAlignment="1">
      <alignment horizontal="right"/>
    </xf>
    <xf numFmtId="0" fontId="16" fillId="0" borderId="0" xfId="0" applyFont="1"/>
    <xf numFmtId="0" fontId="8" fillId="6" borderId="14" xfId="0" applyFont="1" applyFill="1" applyBorder="1"/>
    <xf numFmtId="0" fontId="17" fillId="0" borderId="0" xfId="0" applyFont="1"/>
    <xf numFmtId="0" fontId="13" fillId="0" borderId="0" xfId="0" applyFont="1"/>
    <xf numFmtId="0" fontId="13" fillId="0" borderId="0" xfId="0" quotePrefix="1" applyFont="1"/>
    <xf numFmtId="0" fontId="1" fillId="0" borderId="4" xfId="0" applyFont="1" applyBorder="1"/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3" fillId="0" borderId="0" xfId="0" applyNumberFormat="1" applyFont="1"/>
    <xf numFmtId="9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18" fillId="0" borderId="0" xfId="0" applyFont="1"/>
    <xf numFmtId="166" fontId="8" fillId="0" borderId="0" xfId="0" applyNumberFormat="1" applyFont="1"/>
    <xf numFmtId="166" fontId="8" fillId="0" borderId="4" xfId="0" applyNumberFormat="1" applyFont="1" applyBorder="1"/>
    <xf numFmtId="166" fontId="8" fillId="4" borderId="15" xfId="0" applyNumberFormat="1" applyFont="1" applyFill="1" applyBorder="1"/>
    <xf numFmtId="166" fontId="13" fillId="0" borderId="4" xfId="0" applyNumberFormat="1" applyFont="1" applyBorder="1" applyAlignment="1">
      <alignment horizontal="right"/>
    </xf>
    <xf numFmtId="166" fontId="8" fillId="6" borderId="14" xfId="0" applyNumberFormat="1" applyFont="1" applyFill="1" applyBorder="1"/>
    <xf numFmtId="167" fontId="8" fillId="6" borderId="14" xfId="0" applyNumberFormat="1" applyFont="1" applyFill="1" applyBorder="1"/>
    <xf numFmtId="0" fontId="19" fillId="0" borderId="0" xfId="0" quotePrefix="1" applyFont="1"/>
    <xf numFmtId="0" fontId="17" fillId="0" borderId="20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3" fillId="0" borderId="19" xfId="0" applyFont="1" applyBorder="1" applyAlignment="1">
      <alignment vertical="top"/>
    </xf>
    <xf numFmtId="0" fontId="13" fillId="0" borderId="20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7" fillId="0" borderId="19" xfId="0" applyFont="1" applyBorder="1" applyAlignment="1">
      <alignment vertical="top"/>
    </xf>
    <xf numFmtId="0" fontId="15" fillId="0" borderId="21" xfId="0" applyFont="1" applyBorder="1" applyAlignment="1">
      <alignment vertical="top"/>
    </xf>
    <xf numFmtId="0" fontId="17" fillId="0" borderId="22" xfId="0" applyFont="1" applyBorder="1" applyAlignment="1">
      <alignment vertical="top"/>
    </xf>
    <xf numFmtId="0" fontId="17" fillId="0" borderId="23" xfId="0" applyFont="1" applyBorder="1" applyAlignment="1">
      <alignment vertical="top"/>
    </xf>
    <xf numFmtId="0" fontId="15" fillId="0" borderId="24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horizontal="right"/>
    </xf>
    <xf numFmtId="0" fontId="19" fillId="0" borderId="0" xfId="0" applyFont="1"/>
    <xf numFmtId="0" fontId="22" fillId="0" borderId="0" xfId="0" applyFont="1"/>
    <xf numFmtId="0" fontId="2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3" xfId="0" applyFont="1" applyBorder="1"/>
    <xf numFmtId="0" fontId="10" fillId="3" borderId="11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2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22" workbookViewId="0">
      <selection activeCell="B32" sqref="B32"/>
    </sheetView>
  </sheetViews>
  <sheetFormatPr defaultColWidth="14.44140625" defaultRowHeight="15" customHeight="1"/>
  <cols>
    <col min="1" max="1" width="17.44140625" customWidth="1"/>
    <col min="4" max="4" width="29.44140625" customWidth="1"/>
    <col min="7" max="7" width="17.44140625" customWidth="1"/>
    <col min="9" max="9" width="17.44140625" customWidth="1"/>
    <col min="10" max="10" width="20.33203125" customWidth="1"/>
    <col min="12" max="12" width="17.44140625" customWidth="1"/>
  </cols>
  <sheetData>
    <row r="1" spans="1:26">
      <c r="A1" s="68" t="s">
        <v>0</v>
      </c>
      <c r="B1" s="69"/>
      <c r="C1" s="1"/>
      <c r="D1" s="68" t="s">
        <v>1</v>
      </c>
      <c r="E1" s="72"/>
      <c r="F1" s="72"/>
      <c r="G1" s="69"/>
      <c r="H1" s="1"/>
      <c r="I1" s="68" t="s">
        <v>2</v>
      </c>
      <c r="J1" s="69"/>
      <c r="K1" s="1"/>
      <c r="L1" s="68" t="s">
        <v>3</v>
      </c>
      <c r="M1" s="6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1"/>
      <c r="D2" s="3"/>
      <c r="E2" s="2"/>
      <c r="F2" s="2"/>
      <c r="G2" s="4"/>
      <c r="H2" s="1"/>
      <c r="I2" s="2"/>
      <c r="J2" s="2"/>
      <c r="K2" s="1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" t="s">
        <v>4</v>
      </c>
      <c r="B3" s="5" t="s">
        <v>5</v>
      </c>
      <c r="C3" s="1"/>
      <c r="D3" s="6" t="s">
        <v>6</v>
      </c>
      <c r="E3" s="5" t="s">
        <v>7</v>
      </c>
      <c r="F3" s="5" t="s">
        <v>8</v>
      </c>
      <c r="G3" s="7" t="s">
        <v>9</v>
      </c>
      <c r="H3" s="1"/>
      <c r="I3" s="5" t="s">
        <v>4</v>
      </c>
      <c r="J3" s="5" t="s">
        <v>5</v>
      </c>
      <c r="K3" s="1"/>
      <c r="L3" s="5" t="s">
        <v>4</v>
      </c>
      <c r="M3" s="5" t="s">
        <v>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5" t="s">
        <v>10</v>
      </c>
      <c r="B4" s="8">
        <v>85</v>
      </c>
      <c r="C4" s="1"/>
      <c r="D4" s="6" t="s">
        <v>11</v>
      </c>
      <c r="E4" s="8">
        <v>150</v>
      </c>
      <c r="F4" s="8">
        <v>10</v>
      </c>
      <c r="G4" s="4">
        <f>E4-F4</f>
        <v>140</v>
      </c>
      <c r="H4" s="1"/>
      <c r="I4" s="5" t="s">
        <v>10</v>
      </c>
      <c r="J4" s="8">
        <v>85</v>
      </c>
      <c r="K4" s="1"/>
      <c r="L4" s="5" t="s">
        <v>10</v>
      </c>
      <c r="M4" s="8">
        <v>85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 t="s">
        <v>12</v>
      </c>
      <c r="B5" s="8">
        <v>96</v>
      </c>
      <c r="C5" s="1"/>
      <c r="D5" s="6" t="s">
        <v>13</v>
      </c>
      <c r="E5" s="8">
        <v>200</v>
      </c>
      <c r="F5" s="8">
        <v>15</v>
      </c>
      <c r="G5" s="4">
        <f t="shared" ref="G5:G8" si="0">E5-F5</f>
        <v>185</v>
      </c>
      <c r="H5" s="1"/>
      <c r="I5" s="5" t="s">
        <v>12</v>
      </c>
      <c r="J5" s="8">
        <v>96</v>
      </c>
      <c r="K5" s="1"/>
      <c r="L5" s="5" t="s">
        <v>12</v>
      </c>
      <c r="M5" s="8">
        <v>96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 t="s">
        <v>14</v>
      </c>
      <c r="B6" s="8">
        <v>78</v>
      </c>
      <c r="C6" s="1"/>
      <c r="D6" s="6" t="s">
        <v>15</v>
      </c>
      <c r="E6" s="8">
        <v>250</v>
      </c>
      <c r="F6" s="8">
        <v>20</v>
      </c>
      <c r="G6" s="4">
        <f t="shared" si="0"/>
        <v>230</v>
      </c>
      <c r="H6" s="1"/>
      <c r="I6" s="5" t="s">
        <v>14</v>
      </c>
      <c r="J6" s="8">
        <v>78</v>
      </c>
      <c r="K6" s="1"/>
      <c r="L6" s="5" t="s">
        <v>14</v>
      </c>
      <c r="M6" s="8">
        <v>78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 t="s">
        <v>16</v>
      </c>
      <c r="B7" s="8">
        <v>65</v>
      </c>
      <c r="C7" s="1"/>
      <c r="D7" s="6" t="s">
        <v>17</v>
      </c>
      <c r="E7" s="8">
        <v>300</v>
      </c>
      <c r="F7" s="8">
        <v>25</v>
      </c>
      <c r="G7" s="4">
        <f t="shared" si="0"/>
        <v>275</v>
      </c>
      <c r="H7" s="1"/>
      <c r="I7" s="5" t="s">
        <v>16</v>
      </c>
      <c r="J7" s="8">
        <v>65</v>
      </c>
      <c r="K7" s="1"/>
      <c r="L7" s="5" t="s">
        <v>16</v>
      </c>
      <c r="M7" s="8">
        <v>65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 t="s">
        <v>18</v>
      </c>
      <c r="B8" s="8">
        <v>89</v>
      </c>
      <c r="C8" s="1"/>
      <c r="D8" s="9" t="s">
        <v>19</v>
      </c>
      <c r="E8" s="10">
        <v>350</v>
      </c>
      <c r="F8" s="10">
        <v>30</v>
      </c>
      <c r="G8" s="4">
        <f t="shared" si="0"/>
        <v>320</v>
      </c>
      <c r="H8" s="1"/>
      <c r="I8" s="5" t="s">
        <v>18</v>
      </c>
      <c r="J8" s="8">
        <v>89</v>
      </c>
      <c r="K8" s="1"/>
      <c r="L8" s="5" t="s">
        <v>18</v>
      </c>
      <c r="M8" s="8">
        <v>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1" t="s">
        <v>0</v>
      </c>
      <c r="B9" s="2">
        <f>SUM(B4:B8)</f>
        <v>413</v>
      </c>
      <c r="C9" s="1"/>
      <c r="D9" s="2"/>
      <c r="E9" s="2"/>
      <c r="F9" s="2"/>
      <c r="G9" s="4"/>
      <c r="H9" s="1"/>
      <c r="I9" s="11" t="s">
        <v>20</v>
      </c>
      <c r="J9" s="2">
        <f>AVERAGE(J4:J8)</f>
        <v>82.6</v>
      </c>
      <c r="K9" s="1"/>
      <c r="L9" s="11" t="s">
        <v>3</v>
      </c>
      <c r="M9" s="2">
        <f>MIN(M4:M8)</f>
        <v>65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8" t="s">
        <v>21</v>
      </c>
      <c r="B12" s="69"/>
      <c r="C12" s="1"/>
      <c r="D12" s="68" t="s">
        <v>22</v>
      </c>
      <c r="E12" s="69"/>
      <c r="F12" s="1"/>
      <c r="G12" s="68" t="s">
        <v>23</v>
      </c>
      <c r="H12" s="69"/>
      <c r="I12" s="1"/>
      <c r="J12" s="68" t="s">
        <v>24</v>
      </c>
      <c r="K12" s="6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/>
      <c r="B13" s="4"/>
      <c r="C13" s="1"/>
      <c r="D13" s="2"/>
      <c r="E13" s="2"/>
      <c r="F13" s="1"/>
      <c r="G13" s="3"/>
      <c r="H13" s="4"/>
      <c r="I13" s="1"/>
      <c r="J13" s="3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 t="s">
        <v>4</v>
      </c>
      <c r="B14" s="7" t="s">
        <v>5</v>
      </c>
      <c r="C14" s="1"/>
      <c r="D14" s="5" t="s">
        <v>4</v>
      </c>
      <c r="E14" s="5" t="s">
        <v>5</v>
      </c>
      <c r="F14" s="1"/>
      <c r="G14" s="6" t="s">
        <v>4</v>
      </c>
      <c r="H14" s="7" t="s">
        <v>5</v>
      </c>
      <c r="I14" s="1"/>
      <c r="J14" s="6" t="s">
        <v>4</v>
      </c>
      <c r="K14" s="7" t="s">
        <v>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 t="s">
        <v>10</v>
      </c>
      <c r="B15" s="12">
        <v>85</v>
      </c>
      <c r="C15" s="1"/>
      <c r="D15" s="5" t="s">
        <v>10</v>
      </c>
      <c r="E15" s="8">
        <v>85</v>
      </c>
      <c r="F15" s="1"/>
      <c r="G15" s="6" t="s">
        <v>10</v>
      </c>
      <c r="H15" s="12">
        <v>85</v>
      </c>
      <c r="I15" s="1"/>
      <c r="J15" s="6" t="s">
        <v>10</v>
      </c>
      <c r="K15" s="12">
        <v>85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 t="s">
        <v>12</v>
      </c>
      <c r="B16" s="12">
        <v>96</v>
      </c>
      <c r="C16" s="1"/>
      <c r="D16" s="5" t="s">
        <v>12</v>
      </c>
      <c r="E16" s="8">
        <v>96</v>
      </c>
      <c r="F16" s="1"/>
      <c r="G16" s="6" t="s">
        <v>12</v>
      </c>
      <c r="H16" s="7" t="s">
        <v>25</v>
      </c>
      <c r="I16" s="1"/>
      <c r="J16" s="6" t="s">
        <v>12</v>
      </c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 t="s">
        <v>14</v>
      </c>
      <c r="B17" s="12">
        <v>78</v>
      </c>
      <c r="C17" s="1"/>
      <c r="D17" s="5" t="s">
        <v>14</v>
      </c>
      <c r="E17" s="8">
        <v>78</v>
      </c>
      <c r="F17" s="1"/>
      <c r="G17" s="6" t="s">
        <v>14</v>
      </c>
      <c r="H17" s="12">
        <v>78</v>
      </c>
      <c r="I17" s="1"/>
      <c r="J17" s="6" t="s">
        <v>14</v>
      </c>
      <c r="K17" s="12">
        <v>78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 t="s">
        <v>16</v>
      </c>
      <c r="B18" s="12">
        <v>65</v>
      </c>
      <c r="C18" s="1"/>
      <c r="D18" s="5" t="s">
        <v>16</v>
      </c>
      <c r="E18" s="8">
        <v>65</v>
      </c>
      <c r="F18" s="1"/>
      <c r="G18" s="6" t="s">
        <v>16</v>
      </c>
      <c r="H18" s="12">
        <v>65</v>
      </c>
      <c r="I18" s="1"/>
      <c r="J18" s="6" t="s">
        <v>16</v>
      </c>
      <c r="K18" s="12">
        <v>65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 t="s">
        <v>18</v>
      </c>
      <c r="B19" s="12">
        <v>89</v>
      </c>
      <c r="C19" s="1"/>
      <c r="D19" s="5" t="s">
        <v>18</v>
      </c>
      <c r="E19" s="8">
        <v>89</v>
      </c>
      <c r="F19" s="1"/>
      <c r="G19" s="6" t="s">
        <v>18</v>
      </c>
      <c r="H19" s="12">
        <v>89</v>
      </c>
      <c r="I19" s="1"/>
      <c r="J19" s="6" t="s">
        <v>18</v>
      </c>
      <c r="K19" s="12">
        <v>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 t="s">
        <v>21</v>
      </c>
      <c r="B20" s="2">
        <f>MAX(B15:B19)</f>
        <v>96</v>
      </c>
      <c r="C20" s="1"/>
      <c r="D20" s="11" t="s">
        <v>22</v>
      </c>
      <c r="E20" s="2">
        <f>COUNT(E15:E19)</f>
        <v>5</v>
      </c>
      <c r="F20" s="13" t="s">
        <v>26</v>
      </c>
      <c r="G20" s="11" t="s">
        <v>23</v>
      </c>
      <c r="H20" s="2">
        <f>COUNTA(H15:H19)</f>
        <v>5</v>
      </c>
      <c r="I20" s="1"/>
      <c r="J20" s="11" t="s">
        <v>24</v>
      </c>
      <c r="K20" s="2">
        <f>COUNTBLANK(K15:K19)</f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1" t="s">
        <v>22</v>
      </c>
      <c r="H21" s="2">
        <f>COUNT(H15:H19)</f>
        <v>4</v>
      </c>
      <c r="I21" s="1"/>
      <c r="J21" s="11" t="s">
        <v>22</v>
      </c>
      <c r="K21" s="2">
        <f>COUNT(K15:K19)</f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70" t="s">
        <v>27</v>
      </c>
      <c r="B23" s="71"/>
      <c r="C23" s="1"/>
      <c r="D23" s="70" t="s">
        <v>28</v>
      </c>
      <c r="E23" s="7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4"/>
      <c r="C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 t="s">
        <v>4</v>
      </c>
      <c r="B25" s="7" t="s">
        <v>29</v>
      </c>
      <c r="C25" s="1"/>
      <c r="D25" s="14" t="s">
        <v>30</v>
      </c>
      <c r="E25" s="14" t="s">
        <v>31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 t="s">
        <v>10</v>
      </c>
      <c r="B26" s="7" t="s">
        <v>32</v>
      </c>
      <c r="C26" s="1"/>
      <c r="D26" s="5" t="s">
        <v>33</v>
      </c>
      <c r="E26" s="5">
        <v>120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 t="s">
        <v>12</v>
      </c>
      <c r="B27" s="7" t="s">
        <v>34</v>
      </c>
      <c r="C27" s="1"/>
      <c r="D27" s="5" t="s">
        <v>35</v>
      </c>
      <c r="E27" s="5">
        <v>150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 t="s">
        <v>14</v>
      </c>
      <c r="B28" s="7" t="s">
        <v>34</v>
      </c>
      <c r="C28" s="1"/>
      <c r="D28" s="5" t="s">
        <v>36</v>
      </c>
      <c r="E28" s="5">
        <v>100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 t="s">
        <v>16</v>
      </c>
      <c r="B29" s="7" t="s">
        <v>32</v>
      </c>
      <c r="C29" s="1"/>
      <c r="D29" s="5" t="s">
        <v>37</v>
      </c>
      <c r="E29" s="5">
        <v>130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 t="s">
        <v>18</v>
      </c>
      <c r="B30" s="7" t="s">
        <v>34</v>
      </c>
      <c r="C30" s="1"/>
      <c r="D30" s="5" t="s">
        <v>38</v>
      </c>
      <c r="E30" s="5">
        <v>170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1" t="s">
        <v>39</v>
      </c>
      <c r="B31" s="2">
        <f>COUNTIF(B26:B30,"F")</f>
        <v>2</v>
      </c>
      <c r="C31" s="1"/>
      <c r="D31" s="15" t="s">
        <v>40</v>
      </c>
      <c r="E31" s="2">
        <f>VAR(E26:E30)</f>
        <v>730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1" t="s">
        <v>41</v>
      </c>
      <c r="B32" s="2">
        <f>COUNTIF(B26:B30,"M")</f>
        <v>3</v>
      </c>
      <c r="C32" s="1"/>
      <c r="D32" s="15" t="s">
        <v>42</v>
      </c>
      <c r="E32" s="2">
        <f>STDEV(E26:E30)</f>
        <v>27.018512172212592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2:B12"/>
    <mergeCell ref="A23:B23"/>
    <mergeCell ref="D23:E23"/>
    <mergeCell ref="A1:B1"/>
    <mergeCell ref="D1:G1"/>
    <mergeCell ref="I1:J1"/>
    <mergeCell ref="L1:M1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22" zoomScale="77" workbookViewId="0">
      <selection activeCell="G48" sqref="G48"/>
    </sheetView>
  </sheetViews>
  <sheetFormatPr defaultColWidth="14.44140625" defaultRowHeight="15" customHeight="1"/>
  <cols>
    <col min="1" max="26" width="21.5546875" customWidth="1"/>
  </cols>
  <sheetData>
    <row r="1" spans="1:26" ht="15" customHeight="1">
      <c r="A1" s="16"/>
      <c r="B1" s="16"/>
      <c r="C1" s="16"/>
      <c r="D1" s="17" t="s">
        <v>43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>
      <c r="A2" s="16"/>
      <c r="B2" s="16"/>
      <c r="C2" s="16"/>
      <c r="D2" s="73" t="s">
        <v>44</v>
      </c>
      <c r="E2" s="74"/>
      <c r="F2" s="74"/>
      <c r="G2" s="74"/>
      <c r="H2" s="74"/>
      <c r="I2" s="74"/>
      <c r="J2" s="75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" customHeight="1">
      <c r="A3" s="16"/>
      <c r="B3" s="16"/>
      <c r="C3" s="16"/>
      <c r="D3" s="16"/>
      <c r="E3" s="16"/>
      <c r="F3" s="16"/>
      <c r="G3" s="16"/>
      <c r="H3" s="18" t="s">
        <v>45</v>
      </c>
      <c r="I3" s="19">
        <v>45900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customHeight="1">
      <c r="A4" s="16"/>
      <c r="B4" s="16"/>
      <c r="C4" s="16"/>
      <c r="D4" s="16"/>
      <c r="E4" s="16"/>
      <c r="F4" s="16"/>
      <c r="G4" s="16"/>
      <c r="H4" s="18" t="s">
        <v>46</v>
      </c>
      <c r="I4" s="20">
        <v>0.06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" customHeight="1">
      <c r="A6" s="16"/>
      <c r="B6" s="16"/>
      <c r="C6" s="16"/>
      <c r="D6" s="21" t="s">
        <v>47</v>
      </c>
      <c r="E6" s="21" t="s">
        <v>48</v>
      </c>
      <c r="F6" s="21" t="s">
        <v>49</v>
      </c>
      <c r="G6" s="21" t="s">
        <v>50</v>
      </c>
      <c r="H6" s="21" t="s">
        <v>51</v>
      </c>
      <c r="I6" s="21" t="s">
        <v>52</v>
      </c>
      <c r="J6" s="21" t="s">
        <v>53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" customHeight="1" thickTop="1">
      <c r="A7" s="16"/>
      <c r="B7" s="16"/>
      <c r="C7" s="16"/>
      <c r="D7" s="22" t="s">
        <v>54</v>
      </c>
      <c r="E7" s="43">
        <v>45789</v>
      </c>
      <c r="F7" s="41">
        <f>E7*10%</f>
        <v>4578.9000000000005</v>
      </c>
      <c r="G7" s="41">
        <f>E7*45%</f>
        <v>20605.05</v>
      </c>
      <c r="H7" s="41">
        <f>E7+F7+G7</f>
        <v>70972.95</v>
      </c>
      <c r="I7" s="41">
        <f>H7*6%</f>
        <v>4258.3769999999995</v>
      </c>
      <c r="J7" s="41">
        <f>H7-I7</f>
        <v>66714.573000000004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" customHeight="1">
      <c r="A8" s="16"/>
      <c r="B8" s="16"/>
      <c r="C8" s="16"/>
      <c r="D8" s="22" t="s">
        <v>55</v>
      </c>
      <c r="E8" s="43">
        <v>41245</v>
      </c>
      <c r="F8" s="41">
        <f t="shared" ref="F8:F30" si="0">E8*10%</f>
        <v>4124.5</v>
      </c>
      <c r="G8" s="41">
        <f t="shared" ref="G8:G29" si="1">E8*45%</f>
        <v>18560.25</v>
      </c>
      <c r="H8" s="41">
        <f t="shared" ref="H8:H29" si="2">E8+F8+G8</f>
        <v>63929.75</v>
      </c>
      <c r="I8" s="41">
        <f t="shared" ref="I8:I29" si="3">H8*6%</f>
        <v>3835.7849999999999</v>
      </c>
      <c r="J8" s="41">
        <f t="shared" ref="J8:J29" si="4">H8-I8</f>
        <v>60093.964999999997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" customHeight="1">
      <c r="A9" s="16"/>
      <c r="B9" s="16"/>
      <c r="C9" s="16"/>
      <c r="D9" s="22" t="s">
        <v>56</v>
      </c>
      <c r="E9" s="43">
        <v>39876</v>
      </c>
      <c r="F9" s="41">
        <f t="shared" si="0"/>
        <v>3987.6000000000004</v>
      </c>
      <c r="G9" s="41">
        <f t="shared" si="1"/>
        <v>17944.2</v>
      </c>
      <c r="H9" s="41">
        <f t="shared" si="2"/>
        <v>61807.8</v>
      </c>
      <c r="I9" s="41">
        <f t="shared" si="3"/>
        <v>3708.4679999999998</v>
      </c>
      <c r="J9" s="41">
        <f t="shared" si="4"/>
        <v>58099.332000000002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" customHeight="1">
      <c r="A10" s="16"/>
      <c r="B10" s="16"/>
      <c r="C10" s="16"/>
      <c r="D10" s="22" t="s">
        <v>57</v>
      </c>
      <c r="E10" s="43">
        <v>55500</v>
      </c>
      <c r="F10" s="41">
        <f t="shared" si="0"/>
        <v>5550</v>
      </c>
      <c r="G10" s="41">
        <f t="shared" si="1"/>
        <v>24975</v>
      </c>
      <c r="H10" s="41">
        <f t="shared" si="2"/>
        <v>86025</v>
      </c>
      <c r="I10" s="41">
        <f t="shared" si="3"/>
        <v>5161.5</v>
      </c>
      <c r="J10" s="41">
        <f t="shared" si="4"/>
        <v>80863.5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" customHeight="1">
      <c r="A11" s="16"/>
      <c r="B11" s="16"/>
      <c r="C11" s="16"/>
      <c r="D11" s="22" t="s">
        <v>58</v>
      </c>
      <c r="E11" s="43">
        <v>39000</v>
      </c>
      <c r="F11" s="41">
        <f t="shared" si="0"/>
        <v>3900</v>
      </c>
      <c r="G11" s="41">
        <f t="shared" si="1"/>
        <v>17550</v>
      </c>
      <c r="H11" s="41">
        <f t="shared" si="2"/>
        <v>60450</v>
      </c>
      <c r="I11" s="41">
        <f t="shared" si="3"/>
        <v>3627</v>
      </c>
      <c r="J11" s="41">
        <f t="shared" si="4"/>
        <v>56823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" customHeight="1">
      <c r="A12" s="16"/>
      <c r="B12" s="16"/>
      <c r="C12" s="16"/>
      <c r="D12" s="22" t="s">
        <v>59</v>
      </c>
      <c r="E12" s="43">
        <v>29850</v>
      </c>
      <c r="F12" s="41">
        <f t="shared" si="0"/>
        <v>2985</v>
      </c>
      <c r="G12" s="41">
        <f t="shared" si="1"/>
        <v>13432.5</v>
      </c>
      <c r="H12" s="41">
        <f t="shared" si="2"/>
        <v>46267.5</v>
      </c>
      <c r="I12" s="41">
        <f t="shared" si="3"/>
        <v>2776.0499999999997</v>
      </c>
      <c r="J12" s="41">
        <f t="shared" si="4"/>
        <v>43491.45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" customHeight="1">
      <c r="A13" s="16"/>
      <c r="B13" s="16"/>
      <c r="C13" s="16"/>
      <c r="D13" s="22" t="s">
        <v>60</v>
      </c>
      <c r="E13" s="43">
        <v>120000</v>
      </c>
      <c r="F13" s="41">
        <f t="shared" si="0"/>
        <v>12000</v>
      </c>
      <c r="G13" s="41">
        <f t="shared" si="1"/>
        <v>54000</v>
      </c>
      <c r="H13" s="41">
        <f t="shared" si="2"/>
        <v>186000</v>
      </c>
      <c r="I13" s="41">
        <f t="shared" si="3"/>
        <v>11160</v>
      </c>
      <c r="J13" s="41">
        <f t="shared" si="4"/>
        <v>174840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" customHeight="1">
      <c r="A14" s="16"/>
      <c r="B14" s="16"/>
      <c r="C14" s="16"/>
      <c r="D14" s="22" t="s">
        <v>61</v>
      </c>
      <c r="E14" s="43">
        <v>89687</v>
      </c>
      <c r="F14" s="41">
        <f t="shared" si="0"/>
        <v>8968.7000000000007</v>
      </c>
      <c r="G14" s="41">
        <f t="shared" si="1"/>
        <v>40359.15</v>
      </c>
      <c r="H14" s="41">
        <f t="shared" si="2"/>
        <v>139014.85</v>
      </c>
      <c r="I14" s="41">
        <f t="shared" si="3"/>
        <v>8340.8909999999996</v>
      </c>
      <c r="J14" s="41">
        <f t="shared" si="4"/>
        <v>130673.959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" customHeight="1">
      <c r="A15" s="16"/>
      <c r="B15" s="16"/>
      <c r="C15" s="16"/>
      <c r="D15" s="22" t="s">
        <v>62</v>
      </c>
      <c r="E15" s="43">
        <v>95000</v>
      </c>
      <c r="F15" s="41">
        <f t="shared" si="0"/>
        <v>9500</v>
      </c>
      <c r="G15" s="41">
        <f t="shared" si="1"/>
        <v>42750</v>
      </c>
      <c r="H15" s="41">
        <f t="shared" si="2"/>
        <v>147250</v>
      </c>
      <c r="I15" s="41">
        <f t="shared" si="3"/>
        <v>8835</v>
      </c>
      <c r="J15" s="41">
        <f t="shared" si="4"/>
        <v>138415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" customHeight="1">
      <c r="A16" s="16"/>
      <c r="B16" s="16"/>
      <c r="C16" s="16"/>
      <c r="D16" s="22" t="s">
        <v>63</v>
      </c>
      <c r="E16" s="43">
        <v>27690</v>
      </c>
      <c r="F16" s="41">
        <f t="shared" si="0"/>
        <v>2769</v>
      </c>
      <c r="G16" s="41">
        <f t="shared" si="1"/>
        <v>12460.5</v>
      </c>
      <c r="H16" s="41">
        <f t="shared" si="2"/>
        <v>42919.5</v>
      </c>
      <c r="I16" s="41">
        <f t="shared" si="3"/>
        <v>2575.17</v>
      </c>
      <c r="J16" s="41">
        <f t="shared" si="4"/>
        <v>40344.33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" customHeight="1">
      <c r="A17" s="16"/>
      <c r="B17" s="16"/>
      <c r="C17" s="16"/>
      <c r="D17" s="22" t="s">
        <v>64</v>
      </c>
      <c r="E17" s="43">
        <v>42000</v>
      </c>
      <c r="F17" s="41">
        <f t="shared" si="0"/>
        <v>4200</v>
      </c>
      <c r="G17" s="41">
        <f t="shared" si="1"/>
        <v>18900</v>
      </c>
      <c r="H17" s="41">
        <f t="shared" si="2"/>
        <v>65100</v>
      </c>
      <c r="I17" s="41">
        <f t="shared" si="3"/>
        <v>3906</v>
      </c>
      <c r="J17" s="41">
        <f t="shared" si="4"/>
        <v>61194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" customHeight="1">
      <c r="A18" s="16"/>
      <c r="B18" s="16"/>
      <c r="C18" s="16"/>
      <c r="D18" s="22" t="s">
        <v>65</v>
      </c>
      <c r="E18" s="43">
        <v>24000</v>
      </c>
      <c r="F18" s="41">
        <f t="shared" si="0"/>
        <v>2400</v>
      </c>
      <c r="G18" s="41">
        <f t="shared" si="1"/>
        <v>10800</v>
      </c>
      <c r="H18" s="41">
        <f t="shared" si="2"/>
        <v>37200</v>
      </c>
      <c r="I18" s="41">
        <f t="shared" si="3"/>
        <v>2232</v>
      </c>
      <c r="J18" s="41">
        <f t="shared" si="4"/>
        <v>34968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" customHeight="1">
      <c r="A19" s="16"/>
      <c r="B19" s="16"/>
      <c r="C19" s="16"/>
      <c r="D19" s="22" t="s">
        <v>66</v>
      </c>
      <c r="E19" s="43">
        <v>39500</v>
      </c>
      <c r="F19" s="41">
        <f t="shared" si="0"/>
        <v>3950</v>
      </c>
      <c r="G19" s="41">
        <f t="shared" si="1"/>
        <v>17775</v>
      </c>
      <c r="H19" s="41">
        <f t="shared" si="2"/>
        <v>61225</v>
      </c>
      <c r="I19" s="41">
        <f t="shared" si="3"/>
        <v>3673.5</v>
      </c>
      <c r="J19" s="41">
        <f t="shared" si="4"/>
        <v>57551.5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" customHeight="1">
      <c r="A20" s="16"/>
      <c r="B20" s="16"/>
      <c r="C20" s="16"/>
      <c r="D20" s="22" t="s">
        <v>67</v>
      </c>
      <c r="E20" s="43">
        <v>48000</v>
      </c>
      <c r="F20" s="41">
        <f t="shared" si="0"/>
        <v>4800</v>
      </c>
      <c r="G20" s="41">
        <f t="shared" si="1"/>
        <v>21600</v>
      </c>
      <c r="H20" s="41">
        <f t="shared" si="2"/>
        <v>74400</v>
      </c>
      <c r="I20" s="41">
        <f t="shared" si="3"/>
        <v>4464</v>
      </c>
      <c r="J20" s="41">
        <f t="shared" si="4"/>
        <v>69936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5.2">
      <c r="A21" s="16"/>
      <c r="B21" s="16"/>
      <c r="C21" s="16"/>
      <c r="D21" s="22" t="s">
        <v>68</v>
      </c>
      <c r="E21" s="43">
        <v>78230</v>
      </c>
      <c r="F21" s="41">
        <f t="shared" si="0"/>
        <v>7823</v>
      </c>
      <c r="G21" s="41">
        <f t="shared" si="1"/>
        <v>35203.5</v>
      </c>
      <c r="H21" s="41">
        <f t="shared" si="2"/>
        <v>121256.5</v>
      </c>
      <c r="I21" s="41">
        <f t="shared" si="3"/>
        <v>7275.3899999999994</v>
      </c>
      <c r="J21" s="41">
        <f t="shared" si="4"/>
        <v>113981.11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5.2">
      <c r="A22" s="16"/>
      <c r="B22" s="16"/>
      <c r="C22" s="16"/>
      <c r="D22" s="22" t="s">
        <v>69</v>
      </c>
      <c r="E22" s="43">
        <v>29500</v>
      </c>
      <c r="F22" s="41">
        <f t="shared" si="0"/>
        <v>2950</v>
      </c>
      <c r="G22" s="41">
        <f t="shared" si="1"/>
        <v>13275</v>
      </c>
      <c r="H22" s="41">
        <f t="shared" si="2"/>
        <v>45725</v>
      </c>
      <c r="I22" s="41">
        <f t="shared" si="3"/>
        <v>2743.5</v>
      </c>
      <c r="J22" s="41">
        <f t="shared" si="4"/>
        <v>42981.5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5.2">
      <c r="A23" s="16"/>
      <c r="B23" s="16"/>
      <c r="C23" s="16"/>
      <c r="D23" s="22" t="s">
        <v>70</v>
      </c>
      <c r="E23" s="43">
        <v>43000</v>
      </c>
      <c r="F23" s="41">
        <f t="shared" si="0"/>
        <v>4300</v>
      </c>
      <c r="G23" s="41">
        <f t="shared" si="1"/>
        <v>19350</v>
      </c>
      <c r="H23" s="41">
        <f t="shared" si="2"/>
        <v>66650</v>
      </c>
      <c r="I23" s="41">
        <f t="shared" si="3"/>
        <v>3999</v>
      </c>
      <c r="J23" s="41">
        <f t="shared" si="4"/>
        <v>62651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5.2">
      <c r="A24" s="16"/>
      <c r="B24" s="16"/>
      <c r="C24" s="16"/>
      <c r="D24" s="22" t="s">
        <v>71</v>
      </c>
      <c r="E24" s="43">
        <v>89873</v>
      </c>
      <c r="F24" s="41">
        <f t="shared" si="0"/>
        <v>8987.3000000000011</v>
      </c>
      <c r="G24" s="41">
        <f t="shared" si="1"/>
        <v>40442.85</v>
      </c>
      <c r="H24" s="41">
        <f t="shared" si="2"/>
        <v>139303.15</v>
      </c>
      <c r="I24" s="41">
        <f t="shared" si="3"/>
        <v>8358.1889999999985</v>
      </c>
      <c r="J24" s="41">
        <f t="shared" si="4"/>
        <v>130944.961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5.2">
      <c r="A25" s="16"/>
      <c r="B25" s="16"/>
      <c r="C25" s="16"/>
      <c r="D25" s="22" t="s">
        <v>72</v>
      </c>
      <c r="E25" s="43">
        <v>149000</v>
      </c>
      <c r="F25" s="41">
        <f t="shared" si="0"/>
        <v>14900</v>
      </c>
      <c r="G25" s="41">
        <f t="shared" si="1"/>
        <v>67050</v>
      </c>
      <c r="H25" s="41">
        <f t="shared" si="2"/>
        <v>230950</v>
      </c>
      <c r="I25" s="41">
        <f t="shared" si="3"/>
        <v>13857</v>
      </c>
      <c r="J25" s="41">
        <f t="shared" si="4"/>
        <v>217093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5.2">
      <c r="A26" s="16"/>
      <c r="B26" s="16"/>
      <c r="C26" s="16"/>
      <c r="D26" s="22" t="s">
        <v>73</v>
      </c>
      <c r="E26" s="43">
        <v>44123</v>
      </c>
      <c r="F26" s="41">
        <f t="shared" si="0"/>
        <v>4412.3</v>
      </c>
      <c r="G26" s="41">
        <f t="shared" si="1"/>
        <v>19855.350000000002</v>
      </c>
      <c r="H26" s="41">
        <f t="shared" si="2"/>
        <v>68390.650000000009</v>
      </c>
      <c r="I26" s="41">
        <f t="shared" si="3"/>
        <v>4103.4390000000003</v>
      </c>
      <c r="J26" s="41">
        <f t="shared" si="4"/>
        <v>64287.21100000001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5.2">
      <c r="A27" s="16"/>
      <c r="B27" s="16"/>
      <c r="C27" s="16"/>
      <c r="D27" s="22" t="s">
        <v>74</v>
      </c>
      <c r="E27" s="43">
        <v>32900</v>
      </c>
      <c r="F27" s="41">
        <f t="shared" si="0"/>
        <v>3290</v>
      </c>
      <c r="G27" s="41">
        <f t="shared" si="1"/>
        <v>14805</v>
      </c>
      <c r="H27" s="41">
        <f t="shared" si="2"/>
        <v>50995</v>
      </c>
      <c r="I27" s="41">
        <f t="shared" si="3"/>
        <v>3059.7</v>
      </c>
      <c r="J27" s="41">
        <f t="shared" si="4"/>
        <v>47935.3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5.2">
      <c r="A28" s="16"/>
      <c r="B28" s="16"/>
      <c r="C28" s="16"/>
      <c r="D28" s="22" t="s">
        <v>75</v>
      </c>
      <c r="E28" s="43">
        <v>60000</v>
      </c>
      <c r="F28" s="41">
        <f t="shared" si="0"/>
        <v>6000</v>
      </c>
      <c r="G28" s="41">
        <f t="shared" si="1"/>
        <v>27000</v>
      </c>
      <c r="H28" s="41">
        <f t="shared" si="2"/>
        <v>93000</v>
      </c>
      <c r="I28" s="41">
        <f t="shared" si="3"/>
        <v>5580</v>
      </c>
      <c r="J28" s="41">
        <f t="shared" si="4"/>
        <v>87420</v>
      </c>
      <c r="K28" s="40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5.8" thickBot="1">
      <c r="A29" s="16"/>
      <c r="B29" s="16"/>
      <c r="C29" s="16"/>
      <c r="D29" s="22" t="s">
        <v>76</v>
      </c>
      <c r="E29" s="43">
        <v>65000</v>
      </c>
      <c r="F29" s="41">
        <f t="shared" si="0"/>
        <v>6500</v>
      </c>
      <c r="G29" s="41">
        <f t="shared" si="1"/>
        <v>29250</v>
      </c>
      <c r="H29" s="41">
        <f t="shared" si="2"/>
        <v>100750</v>
      </c>
      <c r="I29" s="41">
        <f t="shared" si="3"/>
        <v>6045</v>
      </c>
      <c r="J29" s="41">
        <f t="shared" si="4"/>
        <v>94705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6.4" thickTop="1" thickBot="1">
      <c r="A30" s="16"/>
      <c r="B30" s="16"/>
      <c r="C30" s="16"/>
      <c r="D30" s="21" t="s">
        <v>77</v>
      </c>
      <c r="E30" s="42">
        <f>SUM(E7:E29)</f>
        <v>1328763</v>
      </c>
      <c r="F30" s="41">
        <f t="shared" si="0"/>
        <v>132876.30000000002</v>
      </c>
      <c r="G30" s="42">
        <f>SUM(G7:G29)</f>
        <v>597943.35</v>
      </c>
      <c r="H30" s="42">
        <f t="shared" ref="H30:J30" si="5">SUM(H7:H29)</f>
        <v>2059582.65</v>
      </c>
      <c r="I30" s="42">
        <f t="shared" si="5"/>
        <v>123574.95899999999</v>
      </c>
      <c r="J30" s="42">
        <f t="shared" si="5"/>
        <v>1936007.6910000003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25.8" thickTop="1">
      <c r="A31" s="16"/>
      <c r="B31" s="23" t="s">
        <v>78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25.2">
      <c r="A32" s="16"/>
      <c r="B32" s="24" t="s">
        <v>79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25.2">
      <c r="A33" s="25">
        <v>1</v>
      </c>
      <c r="B33" s="26" t="s">
        <v>80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25.2">
      <c r="A34" s="25">
        <v>2</v>
      </c>
      <c r="B34" s="26" t="s">
        <v>81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25.2">
      <c r="A35" s="25">
        <v>3</v>
      </c>
      <c r="B35" s="26" t="s">
        <v>82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5.2">
      <c r="A36" s="25">
        <v>4</v>
      </c>
      <c r="B36" s="26" t="s">
        <v>83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5.2">
      <c r="A37" s="25">
        <v>5</v>
      </c>
      <c r="B37" s="26" t="s">
        <v>84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25.2">
      <c r="A38" s="25">
        <v>6</v>
      </c>
      <c r="B38" s="26" t="s">
        <v>85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5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5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5.2">
      <c r="A41" s="16"/>
      <c r="B41" s="23" t="s">
        <v>86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5.2">
      <c r="A42" s="25">
        <v>1</v>
      </c>
      <c r="B42" s="26" t="s">
        <v>87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5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25.2">
      <c r="A44" s="16"/>
      <c r="B44" s="23" t="s">
        <v>88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5.2">
      <c r="A45" s="16"/>
      <c r="B45" s="24" t="s">
        <v>89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25.2">
      <c r="A46" s="16"/>
      <c r="B46" s="26" t="s">
        <v>90</v>
      </c>
      <c r="C46" s="16"/>
      <c r="D46" s="16"/>
      <c r="E46" s="44">
        <f>AVERAGE(H7:H29)</f>
        <v>89547.071739130435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25.2">
      <c r="A47" s="16"/>
      <c r="B47" s="26" t="s">
        <v>91</v>
      </c>
      <c r="C47" s="16"/>
      <c r="D47" s="16"/>
      <c r="E47" s="45">
        <f>MAX(E7:E29)</f>
        <v>149000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25.2">
      <c r="A48" s="16"/>
      <c r="B48" s="26" t="s">
        <v>92</v>
      </c>
      <c r="C48" s="16"/>
      <c r="D48" s="16"/>
      <c r="E48" s="44">
        <f>MIN(E7:E29)</f>
        <v>24000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25.2">
      <c r="A49" s="16"/>
      <c r="B49" s="26" t="s">
        <v>93</v>
      </c>
      <c r="C49" s="16"/>
      <c r="D49" s="16"/>
      <c r="E49" s="27">
        <f>COUNTA(D7:D29)</f>
        <v>23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5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5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25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5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5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5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25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5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25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5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25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5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5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5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25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5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25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5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25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5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25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5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25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5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25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5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25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5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5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5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25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5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5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5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25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5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25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5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25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5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25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5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25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5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25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5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5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25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25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25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25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25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25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25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25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25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25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25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25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25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25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25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25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25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25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25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25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25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25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25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25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25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25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25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25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25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25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25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25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25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25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25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25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25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25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25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25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25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25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25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25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25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25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25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25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25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25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25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25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25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25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25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25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25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25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25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25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25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25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25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25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25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25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25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25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25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25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25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25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25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25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25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25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25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25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25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25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25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25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25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25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25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25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25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25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25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25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25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25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25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25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25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25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25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25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25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25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25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25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25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25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25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25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25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25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25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25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25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25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25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25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25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25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25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25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25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25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25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25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25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25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25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25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25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25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25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25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25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25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25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25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25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25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25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25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25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25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25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25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25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25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25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25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25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25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25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25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25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25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25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25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25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25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25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25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25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25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25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25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25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25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25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25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25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25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25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25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25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25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25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25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25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25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25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25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25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25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25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25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25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25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25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25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25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25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25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25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25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25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25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25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25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25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25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25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25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25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25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25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25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25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25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25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25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25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25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25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25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25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25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25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25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25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25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25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25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25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25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25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25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25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25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25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25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25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25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25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25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25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25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25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25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25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25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25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25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25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25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25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25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25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25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25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25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25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25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25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25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25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25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25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25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25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25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25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25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25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25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25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25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25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25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25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25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25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25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25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25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25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25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25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25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25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25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25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25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25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25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25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25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25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25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25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25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25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25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25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25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25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25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25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25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25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25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25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25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25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25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25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25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25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25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25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25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25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25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25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25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25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25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25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25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25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25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25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25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25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25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25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25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25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25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25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25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25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25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25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25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25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25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25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25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25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25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25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25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25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25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25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25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25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25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25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25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25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25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25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25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25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25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25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25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25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25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25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25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25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25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25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25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25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25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25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25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25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25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25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25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25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25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25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25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25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25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25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25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25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25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25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25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25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25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25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25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25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25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25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25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25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25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25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25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25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25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25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25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25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25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25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25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25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25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25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25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25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25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25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25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25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25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25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25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25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25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25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25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25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25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25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25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25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25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25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25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25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25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25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25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25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25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25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25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25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25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25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25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25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25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25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25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25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25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25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25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25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25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25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25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25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25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25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25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25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25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25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25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25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25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25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25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25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25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25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25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25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25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25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25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25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25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25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25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25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25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25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25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25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25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25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25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25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25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25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25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25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25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25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25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25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25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25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25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25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25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25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25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25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25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25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25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25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25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25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25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25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25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25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25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25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25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25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25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25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25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25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25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25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25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25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25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25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25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25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25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25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25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25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25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25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25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25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25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25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25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25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25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25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25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25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25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25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25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25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25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25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25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25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25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25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25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25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25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25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25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25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25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25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25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25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25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25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25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25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25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25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25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25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25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25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25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25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25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25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25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25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25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25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25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25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25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25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25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25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25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25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25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25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25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25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25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25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25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25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25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25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25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25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25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25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25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25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25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25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25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25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25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25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25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25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25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25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25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25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25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25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25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25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25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25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25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25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25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25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25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25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25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25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25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25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25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25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25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25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25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25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25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25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25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25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25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25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25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25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25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25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25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25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25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25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25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25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25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25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25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25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25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25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25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25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25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25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25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25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25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25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25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25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25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25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25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25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25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25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25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25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25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25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25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25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25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25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25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25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25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25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25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25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25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25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25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25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25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25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25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25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25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25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25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25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25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25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25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25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25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25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25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25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25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25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25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25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25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25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25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25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25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25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25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25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25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25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25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25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25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25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25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25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25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25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25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25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25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25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25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25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25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25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25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25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25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25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25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25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25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25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25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25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25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25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25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25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25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25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25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25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25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25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25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25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25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25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25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25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25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25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25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25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25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25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25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25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25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25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25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25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25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25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25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25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25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25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25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25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25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25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25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25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25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25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25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25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25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25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25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25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25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25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25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25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25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25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25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25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25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25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25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25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25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25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25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25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25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25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25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25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25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25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25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25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25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25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25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25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25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25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25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25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25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25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25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25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25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25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25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25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25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25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25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25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25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25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25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25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25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25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25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25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25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25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25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25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25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25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25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25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25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25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25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25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25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25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25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25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25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25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25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25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25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25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25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25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25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25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25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25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25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25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25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25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25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25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25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25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25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25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25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25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25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25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25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25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25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25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25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25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25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25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25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25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25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25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D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0"/>
  <sheetViews>
    <sheetView zoomScale="88" zoomScaleNormal="88" workbookViewId="0">
      <selection activeCell="I19" sqref="I19"/>
    </sheetView>
  </sheetViews>
  <sheetFormatPr defaultColWidth="14.44140625" defaultRowHeight="15" customHeight="1"/>
  <cols>
    <col min="1" max="1" width="13.6640625" customWidth="1"/>
    <col min="2" max="2" width="8.109375" customWidth="1"/>
    <col min="3" max="3" width="7.88671875" customWidth="1"/>
    <col min="4" max="4" width="8.44140625" customWidth="1"/>
    <col min="5" max="5" width="15.44140625" customWidth="1"/>
    <col min="6" max="6" width="14.6640625" customWidth="1"/>
    <col min="8" max="8" width="14.5546875" customWidth="1"/>
    <col min="9" max="9" width="14.88671875" customWidth="1"/>
    <col min="11" max="11" width="29.5546875" customWidth="1"/>
    <col min="12" max="12" width="21.5546875" customWidth="1"/>
    <col min="13" max="15" width="10.88671875" customWidth="1"/>
    <col min="16" max="16" width="57.44140625" customWidth="1"/>
  </cols>
  <sheetData>
    <row r="1" spans="1:16" ht="16.2" thickBot="1">
      <c r="A1" s="48" t="s">
        <v>94</v>
      </c>
      <c r="B1" s="49" t="s">
        <v>95</v>
      </c>
      <c r="C1" s="49" t="s">
        <v>96</v>
      </c>
      <c r="D1" s="49" t="s">
        <v>97</v>
      </c>
      <c r="E1" s="49" t="s">
        <v>98</v>
      </c>
      <c r="F1" s="49" t="s">
        <v>99</v>
      </c>
      <c r="G1" s="28"/>
      <c r="H1" s="48" t="s">
        <v>100</v>
      </c>
      <c r="I1" s="49" t="s">
        <v>101</v>
      </c>
      <c r="J1" s="28"/>
      <c r="K1" s="28"/>
      <c r="L1" s="28"/>
      <c r="M1" s="28"/>
      <c r="N1" s="28"/>
      <c r="O1" s="28"/>
      <c r="P1" s="28"/>
    </row>
    <row r="2" spans="1:16" ht="16.2" thickBot="1">
      <c r="A2" s="50">
        <v>100</v>
      </c>
      <c r="B2" s="51">
        <v>1000</v>
      </c>
      <c r="C2" s="51">
        <v>5.5</v>
      </c>
      <c r="D2" s="47">
        <f xml:space="preserve"> B2 * C2</f>
        <v>5500</v>
      </c>
      <c r="E2" s="47">
        <f>IF(D2&lt;1000,0,IF(D2&lt;=5000,0.02*D2,0.05*D2))</f>
        <v>275</v>
      </c>
      <c r="F2" s="47" t="str">
        <f>IF(D2&lt;1000,"POOR",IF(D2&lt;=5000,"GOOD","EXCELLENT"))</f>
        <v>EXCELLENT</v>
      </c>
      <c r="G2" s="28"/>
      <c r="H2" s="52" t="s">
        <v>102</v>
      </c>
      <c r="I2" s="53" t="s">
        <v>103</v>
      </c>
      <c r="J2" s="28"/>
      <c r="K2" s="29"/>
      <c r="L2" s="29"/>
      <c r="M2" s="29"/>
      <c r="N2" s="29"/>
      <c r="O2" s="29" t="s">
        <v>31</v>
      </c>
      <c r="P2" s="46" t="s">
        <v>104</v>
      </c>
    </row>
    <row r="3" spans="1:16" ht="16.2" thickBot="1">
      <c r="A3" s="50">
        <v>101</v>
      </c>
      <c r="B3" s="51">
        <v>1200</v>
      </c>
      <c r="C3" s="51">
        <v>6.75</v>
      </c>
      <c r="D3" s="47">
        <f t="shared" ref="D3:D12" si="0" xml:space="preserve"> B3 * C3</f>
        <v>8100</v>
      </c>
      <c r="E3" s="47">
        <f t="shared" ref="E3:E12" si="1">IF(D3&lt;1000,0,IF(D3&lt;=5000,0.02*D3,0.05*D3))</f>
        <v>405</v>
      </c>
      <c r="F3" s="47" t="str">
        <f t="shared" ref="F3:F12" si="2">IF(D3&lt;1000,"POOR",IF(D3&lt;=5000,"GOOD","EXCELLENT"))</f>
        <v>EXCELLENT</v>
      </c>
      <c r="G3" s="28"/>
      <c r="H3" s="52" t="s">
        <v>105</v>
      </c>
      <c r="I3" s="53" t="s">
        <v>106</v>
      </c>
      <c r="J3" s="28"/>
      <c r="K3" s="29"/>
      <c r="L3" s="29"/>
      <c r="M3" s="29"/>
      <c r="N3" s="29"/>
      <c r="O3" s="29" t="s">
        <v>107</v>
      </c>
      <c r="P3" s="30" t="s">
        <v>108</v>
      </c>
    </row>
    <row r="4" spans="1:16" ht="16.2" thickBot="1">
      <c r="A4" s="50">
        <v>102</v>
      </c>
      <c r="B4" s="51">
        <v>1300</v>
      </c>
      <c r="C4" s="51">
        <v>2</v>
      </c>
      <c r="D4" s="47">
        <f t="shared" si="0"/>
        <v>2600</v>
      </c>
      <c r="E4" s="47">
        <f t="shared" si="1"/>
        <v>52</v>
      </c>
      <c r="F4" s="47" t="str">
        <f t="shared" si="2"/>
        <v>GOOD</v>
      </c>
      <c r="G4" s="28"/>
      <c r="H4" s="52" t="s">
        <v>109</v>
      </c>
      <c r="I4" s="53" t="s">
        <v>110</v>
      </c>
      <c r="J4" s="28"/>
      <c r="K4" s="29"/>
      <c r="L4" s="29"/>
      <c r="M4" s="29"/>
      <c r="N4" s="29"/>
      <c r="O4" s="29" t="s">
        <v>111</v>
      </c>
      <c r="P4" s="30" t="s">
        <v>112</v>
      </c>
    </row>
    <row r="5" spans="1:16" ht="16.2" thickBot="1">
      <c r="A5" s="50">
        <v>103</v>
      </c>
      <c r="B5" s="51">
        <v>800</v>
      </c>
      <c r="C5" s="51">
        <v>4</v>
      </c>
      <c r="D5" s="47">
        <f t="shared" si="0"/>
        <v>3200</v>
      </c>
      <c r="E5" s="47">
        <f t="shared" si="1"/>
        <v>64</v>
      </c>
      <c r="F5" s="47" t="str">
        <f t="shared" si="2"/>
        <v>GOOD</v>
      </c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ht="16.2" thickBot="1">
      <c r="A6" s="50">
        <v>104</v>
      </c>
      <c r="B6" s="51">
        <v>1200</v>
      </c>
      <c r="C6" s="51">
        <v>5</v>
      </c>
      <c r="D6" s="47">
        <f t="shared" si="0"/>
        <v>6000</v>
      </c>
      <c r="E6" s="47">
        <f t="shared" si="1"/>
        <v>300</v>
      </c>
      <c r="F6" s="47" t="str">
        <f t="shared" si="2"/>
        <v>EXCELLENT</v>
      </c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1:16" ht="16.2" thickBot="1">
      <c r="A7" s="50">
        <v>105</v>
      </c>
      <c r="B7" s="51">
        <v>1800</v>
      </c>
      <c r="C7" s="51">
        <v>0.5</v>
      </c>
      <c r="D7" s="47">
        <f t="shared" si="0"/>
        <v>900</v>
      </c>
      <c r="E7" s="47">
        <f t="shared" si="1"/>
        <v>0</v>
      </c>
      <c r="F7" s="47" t="str">
        <f t="shared" si="2"/>
        <v>POOR</v>
      </c>
      <c r="G7" s="28"/>
      <c r="H7" s="48" t="s">
        <v>100</v>
      </c>
      <c r="I7" s="49" t="s">
        <v>113</v>
      </c>
      <c r="J7" s="28"/>
      <c r="K7" s="28"/>
      <c r="L7" s="28"/>
      <c r="M7" s="28"/>
      <c r="N7" s="28"/>
      <c r="O7" s="28"/>
      <c r="P7" s="28"/>
    </row>
    <row r="8" spans="1:16" ht="16.2" thickBot="1">
      <c r="A8" s="50">
        <v>106</v>
      </c>
      <c r="B8" s="51">
        <v>145</v>
      </c>
      <c r="C8" s="51">
        <v>2</v>
      </c>
      <c r="D8" s="47">
        <f t="shared" si="0"/>
        <v>290</v>
      </c>
      <c r="E8" s="47">
        <f t="shared" si="1"/>
        <v>0</v>
      </c>
      <c r="F8" s="47" t="str">
        <f t="shared" si="2"/>
        <v>POOR</v>
      </c>
      <c r="G8" s="28"/>
      <c r="H8" s="52" t="s">
        <v>102</v>
      </c>
      <c r="I8" s="53" t="s">
        <v>114</v>
      </c>
      <c r="J8" s="28"/>
      <c r="K8" s="28"/>
      <c r="L8" s="28"/>
      <c r="M8" s="28"/>
      <c r="N8" s="28"/>
      <c r="O8" s="28"/>
      <c r="P8" s="28"/>
    </row>
    <row r="9" spans="1:16" ht="16.2" thickBot="1">
      <c r="A9" s="50">
        <v>107</v>
      </c>
      <c r="B9" s="51">
        <v>1900</v>
      </c>
      <c r="C9" s="51">
        <v>3.5</v>
      </c>
      <c r="D9" s="47">
        <f t="shared" si="0"/>
        <v>6650</v>
      </c>
      <c r="E9" s="47">
        <f t="shared" si="1"/>
        <v>332.5</v>
      </c>
      <c r="F9" s="47" t="str">
        <f t="shared" si="2"/>
        <v>EXCELLENT</v>
      </c>
      <c r="G9" s="28"/>
      <c r="H9" s="52" t="s">
        <v>105</v>
      </c>
      <c r="I9" s="53" t="s">
        <v>115</v>
      </c>
      <c r="J9" s="28"/>
      <c r="K9" s="28"/>
      <c r="L9" s="28"/>
      <c r="M9" s="28"/>
      <c r="N9" s="28"/>
      <c r="O9" s="28"/>
      <c r="P9" s="28"/>
    </row>
    <row r="10" spans="1:16" ht="16.2" thickBot="1">
      <c r="A10" s="50">
        <v>108</v>
      </c>
      <c r="B10" s="51">
        <v>1550</v>
      </c>
      <c r="C10" s="51">
        <v>2.25</v>
      </c>
      <c r="D10" s="47">
        <f t="shared" si="0"/>
        <v>3487.5</v>
      </c>
      <c r="E10" s="47">
        <f t="shared" si="1"/>
        <v>69.75</v>
      </c>
      <c r="F10" s="47" t="str">
        <f t="shared" si="2"/>
        <v>GOOD</v>
      </c>
      <c r="G10" s="28"/>
      <c r="H10" s="52" t="s">
        <v>109</v>
      </c>
      <c r="I10" s="53" t="s">
        <v>116</v>
      </c>
      <c r="J10" s="28"/>
      <c r="K10" s="28"/>
      <c r="L10" s="28"/>
      <c r="M10" s="28"/>
      <c r="N10" s="28"/>
      <c r="O10" s="28"/>
      <c r="P10" s="28"/>
    </row>
    <row r="11" spans="1:16" ht="16.2" thickBot="1">
      <c r="A11" s="50">
        <v>109</v>
      </c>
      <c r="B11" s="51">
        <v>2000</v>
      </c>
      <c r="C11" s="51">
        <v>2</v>
      </c>
      <c r="D11" s="47">
        <f t="shared" si="0"/>
        <v>4000</v>
      </c>
      <c r="E11" s="47">
        <f t="shared" si="1"/>
        <v>80</v>
      </c>
      <c r="F11" s="47" t="str">
        <f t="shared" si="2"/>
        <v>GOOD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6.2" thickBot="1">
      <c r="A12" s="50">
        <v>110</v>
      </c>
      <c r="B12" s="51">
        <v>2200</v>
      </c>
      <c r="C12" s="51">
        <v>3</v>
      </c>
      <c r="D12" s="47">
        <f t="shared" si="0"/>
        <v>6600</v>
      </c>
      <c r="E12" s="47">
        <f t="shared" si="1"/>
        <v>330</v>
      </c>
      <c r="F12" s="47" t="str">
        <f t="shared" si="2"/>
        <v>EXCELLENT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16.2" thickBot="1">
      <c r="A13" s="54"/>
      <c r="B13" s="47"/>
      <c r="C13" s="47"/>
      <c r="D13" s="47"/>
      <c r="E13" s="47"/>
      <c r="F13" s="47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15.6">
      <c r="A14" s="55" t="s">
        <v>117</v>
      </c>
      <c r="B14" s="56"/>
      <c r="C14" s="56"/>
      <c r="D14" s="56">
        <f>SUM(D2:D12)</f>
        <v>47327.5</v>
      </c>
      <c r="E14" s="56"/>
      <c r="F14" s="57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15.6">
      <c r="A15" s="58" t="s">
        <v>118</v>
      </c>
      <c r="B15" s="59"/>
      <c r="C15" s="59"/>
      <c r="D15" s="59">
        <f>MAX(D2:D12)</f>
        <v>8100</v>
      </c>
      <c r="E15" s="59"/>
      <c r="F15" s="60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 ht="15.6">
      <c r="A16" s="58" t="s">
        <v>119</v>
      </c>
      <c r="B16" s="59"/>
      <c r="C16" s="59"/>
      <c r="D16" s="59">
        <f>MIN(D2:D12)</f>
        <v>290</v>
      </c>
      <c r="E16" s="59"/>
      <c r="F16" s="60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ht="15.6">
      <c r="A17" s="58" t="s">
        <v>120</v>
      </c>
      <c r="B17" s="59"/>
      <c r="C17" s="59"/>
      <c r="D17" s="59">
        <f>AVERAGE(D2:D12)</f>
        <v>4302.5</v>
      </c>
      <c r="E17" s="59"/>
      <c r="F17" s="60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ht="15.6">
      <c r="A18" s="58" t="s">
        <v>121</v>
      </c>
      <c r="B18" s="59"/>
      <c r="C18" s="59"/>
      <c r="D18" s="59">
        <f>COUNTIF(F2:F12,"EXCELLENT")</f>
        <v>5</v>
      </c>
      <c r="E18" s="59"/>
      <c r="F18" s="60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ht="15.6">
      <c r="A19" s="58" t="s">
        <v>122</v>
      </c>
      <c r="B19" s="59"/>
      <c r="C19" s="59"/>
      <c r="D19" s="63">
        <f>COUNTIF(F2:F12,"GOOD")</f>
        <v>4</v>
      </c>
      <c r="E19" s="59"/>
      <c r="F19" s="60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ht="15.6">
      <c r="A20" s="61" t="s">
        <v>123</v>
      </c>
      <c r="B20" s="62"/>
      <c r="C20" s="62"/>
      <c r="D20" s="62">
        <f>COUNTIF(F2:F12,"POOR")</f>
        <v>2</v>
      </c>
      <c r="E20" s="62"/>
      <c r="F20" s="51" t="s">
        <v>26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zoomScale="104" workbookViewId="0">
      <selection activeCell="D2" sqref="D2"/>
    </sheetView>
  </sheetViews>
  <sheetFormatPr defaultColWidth="14.44140625" defaultRowHeight="15" customHeight="1"/>
  <cols>
    <col min="1" max="1" width="7.6640625" customWidth="1"/>
    <col min="2" max="2" width="7.44140625" customWidth="1"/>
    <col min="3" max="3" width="15.88671875" customWidth="1"/>
    <col min="4" max="4" width="24.6640625" customWidth="1"/>
    <col min="5" max="5" width="14.88671875" customWidth="1"/>
  </cols>
  <sheetData>
    <row r="1" spans="1:5">
      <c r="A1" s="31" t="s">
        <v>124</v>
      </c>
      <c r="B1" s="31" t="s">
        <v>125</v>
      </c>
      <c r="C1" s="31" t="s">
        <v>126</v>
      </c>
      <c r="D1" s="31" t="s">
        <v>127</v>
      </c>
      <c r="E1" s="31" t="s">
        <v>128</v>
      </c>
    </row>
    <row r="2" spans="1:5">
      <c r="A2" s="13" t="s">
        <v>129</v>
      </c>
      <c r="B2" s="13" t="s">
        <v>130</v>
      </c>
      <c r="C2" s="32">
        <v>29577</v>
      </c>
      <c r="D2" s="64">
        <f>DATEDIF(C2,DATE(2013,3,31),"Y")</f>
        <v>32</v>
      </c>
      <c r="E2" s="33">
        <f ca="1">DATEDIF(C2,TODAY(),"Y")</f>
        <v>44</v>
      </c>
    </row>
    <row r="3" spans="1:5">
      <c r="A3" s="13" t="s">
        <v>131</v>
      </c>
      <c r="B3" s="13" t="s">
        <v>132</v>
      </c>
      <c r="C3" s="32">
        <v>30500</v>
      </c>
      <c r="D3" s="64">
        <f t="shared" ref="D3:D6" si="0">DATEDIF(C3,DATE(2013,3,31),"Y")</f>
        <v>29</v>
      </c>
      <c r="E3" s="33">
        <f t="shared" ref="E3:E6" ca="1" si="1">DATEDIF(C3,TODAY(),"Y")</f>
        <v>42</v>
      </c>
    </row>
    <row r="4" spans="1:5">
      <c r="A4" s="13" t="s">
        <v>133</v>
      </c>
      <c r="B4" s="13" t="s">
        <v>134</v>
      </c>
      <c r="C4" s="32">
        <v>32348</v>
      </c>
      <c r="D4" s="64">
        <f t="shared" si="0"/>
        <v>24</v>
      </c>
      <c r="E4" s="33">
        <f t="shared" ca="1" si="1"/>
        <v>37</v>
      </c>
    </row>
    <row r="5" spans="1:5">
      <c r="A5" s="13" t="s">
        <v>135</v>
      </c>
      <c r="B5" s="13" t="s">
        <v>136</v>
      </c>
      <c r="C5" s="32">
        <v>31568</v>
      </c>
      <c r="D5" s="64">
        <f t="shared" si="0"/>
        <v>26</v>
      </c>
      <c r="E5" s="33">
        <f t="shared" ca="1" si="1"/>
        <v>39</v>
      </c>
    </row>
    <row r="6" spans="1:5">
      <c r="A6" s="13" t="s">
        <v>137</v>
      </c>
      <c r="B6" s="13" t="s">
        <v>138</v>
      </c>
      <c r="C6" s="32">
        <v>29747</v>
      </c>
      <c r="D6" s="64">
        <f t="shared" si="0"/>
        <v>31</v>
      </c>
      <c r="E6" s="33">
        <f t="shared" ca="1" si="1"/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2"/>
  <sheetViews>
    <sheetView tabSelected="1" zoomScale="68" zoomScaleNormal="68" workbookViewId="0">
      <selection activeCell="M37" sqref="M37"/>
    </sheetView>
  </sheetViews>
  <sheetFormatPr defaultColWidth="14.44140625" defaultRowHeight="15" customHeight="1"/>
  <cols>
    <col min="1" max="3" width="13.5546875" customWidth="1"/>
    <col min="4" max="4" width="23.77734375" customWidth="1"/>
    <col min="5" max="5" width="28.6640625" customWidth="1"/>
    <col min="6" max="6" width="13.5546875" customWidth="1"/>
    <col min="7" max="7" width="13.88671875" customWidth="1"/>
    <col min="8" max="8" width="17.44140625" customWidth="1"/>
    <col min="9" max="9" width="26.33203125" customWidth="1"/>
    <col min="10" max="16" width="13.5546875" customWidth="1"/>
    <col min="17" max="17" width="19.21875" customWidth="1"/>
    <col min="18" max="20" width="13.5546875" customWidth="1"/>
    <col min="21" max="21" width="21.109375" customWidth="1"/>
    <col min="22" max="23" width="13.5546875" customWidth="1"/>
    <col min="24" max="24" width="29.77734375" customWidth="1"/>
    <col min="25" max="26" width="13.5546875" customWidth="1"/>
  </cols>
  <sheetData>
    <row r="1" spans="1:26" ht="15.6">
      <c r="A1" s="34" t="s">
        <v>139</v>
      </c>
      <c r="B1" s="34" t="s">
        <v>140</v>
      </c>
      <c r="C1" s="34" t="s">
        <v>141</v>
      </c>
      <c r="D1" s="34" t="s">
        <v>142</v>
      </c>
      <c r="E1" s="34" t="s">
        <v>143</v>
      </c>
      <c r="F1" s="34" t="s">
        <v>144</v>
      </c>
      <c r="G1" s="34" t="s">
        <v>145</v>
      </c>
      <c r="H1" s="34" t="s">
        <v>146</v>
      </c>
      <c r="I1" s="34" t="s">
        <v>147</v>
      </c>
      <c r="J1" s="34" t="s">
        <v>31</v>
      </c>
      <c r="K1" s="34" t="s">
        <v>148</v>
      </c>
      <c r="L1" s="34" t="s">
        <v>149</v>
      </c>
      <c r="M1" s="34" t="s">
        <v>150</v>
      </c>
      <c r="N1" s="34" t="s">
        <v>151</v>
      </c>
      <c r="O1" s="34" t="s">
        <v>152</v>
      </c>
      <c r="P1" s="76" t="s">
        <v>201</v>
      </c>
      <c r="Q1" s="76" t="s">
        <v>202</v>
      </c>
      <c r="R1" s="76" t="s">
        <v>203</v>
      </c>
      <c r="S1" s="76" t="s">
        <v>204</v>
      </c>
      <c r="T1" s="76" t="s">
        <v>205</v>
      </c>
      <c r="U1" s="76" t="s">
        <v>206</v>
      </c>
      <c r="V1" s="76" t="s">
        <v>207</v>
      </c>
      <c r="W1" s="76" t="s">
        <v>208</v>
      </c>
      <c r="X1" s="76" t="s">
        <v>210</v>
      </c>
      <c r="Y1" s="13"/>
      <c r="Z1" s="13"/>
    </row>
    <row r="2" spans="1:26" ht="15.6">
      <c r="A2" s="1" t="s">
        <v>153</v>
      </c>
      <c r="B2" s="1" t="s">
        <v>154</v>
      </c>
      <c r="C2" s="1" t="s">
        <v>155</v>
      </c>
      <c r="D2" s="35">
        <v>43110</v>
      </c>
      <c r="E2" s="1">
        <v>60000</v>
      </c>
      <c r="F2" s="36">
        <v>0.1</v>
      </c>
      <c r="G2" s="1">
        <v>2</v>
      </c>
      <c r="H2" s="1">
        <v>4</v>
      </c>
      <c r="I2" s="1" t="s">
        <v>156</v>
      </c>
      <c r="J2" s="1">
        <v>580</v>
      </c>
      <c r="K2" s="1">
        <v>640</v>
      </c>
      <c r="L2" s="1" t="s">
        <v>157</v>
      </c>
      <c r="M2" s="37">
        <v>44927</v>
      </c>
      <c r="N2" s="35">
        <v>44936</v>
      </c>
      <c r="O2" s="1">
        <v>40</v>
      </c>
      <c r="P2" s="65" cm="1">
        <f t="array" ref="P2:P6">E2:E6*F2:F6</f>
        <v>6000</v>
      </c>
      <c r="Q2" s="13">
        <f>E2+P2</f>
        <v>66000</v>
      </c>
      <c r="R2" s="13">
        <f>Q2 - (Q2*10%)</f>
        <v>59400</v>
      </c>
      <c r="S2" s="13" t="str">
        <f>IF(J2 &gt;= K2, "Achieved", "Not Achieved")</f>
        <v>Not Achieved</v>
      </c>
      <c r="T2" s="13" t="b">
        <f>IF(J2&lt;500,0,IF(J2&lt;=700*2%,J2*5%))</f>
        <v>0</v>
      </c>
      <c r="U2" s="13" t="str">
        <f>IF(H2&gt;=4,"GOOD",IF(H2&gt;=3,"AVERAGE","POOR"))</f>
        <v>GOOD</v>
      </c>
      <c r="V2" s="46">
        <f ca="1">DATEDIF(D2,TODAY(),"Y")</f>
        <v>7</v>
      </c>
      <c r="W2" s="13">
        <f>N2-M2</f>
        <v>9</v>
      </c>
      <c r="X2" s="13" t="str">
        <f>IF( O2 &gt; 50,"OVERLOAD","NORMAL")</f>
        <v>NORMAL</v>
      </c>
      <c r="Y2" s="13"/>
      <c r="Z2" s="13"/>
    </row>
    <row r="3" spans="1:26" ht="15.6">
      <c r="A3" s="1" t="s">
        <v>158</v>
      </c>
      <c r="B3" s="1" t="s">
        <v>159</v>
      </c>
      <c r="C3" s="1" t="s">
        <v>160</v>
      </c>
      <c r="D3" s="37">
        <v>43893</v>
      </c>
      <c r="E3" s="1">
        <v>45000</v>
      </c>
      <c r="F3" s="36">
        <v>0.08</v>
      </c>
      <c r="G3" s="1">
        <v>5</v>
      </c>
      <c r="H3" s="1">
        <v>3</v>
      </c>
      <c r="I3" s="1" t="s">
        <v>161</v>
      </c>
      <c r="J3" s="1">
        <v>700</v>
      </c>
      <c r="K3" s="1">
        <v>700</v>
      </c>
      <c r="L3" s="1" t="s">
        <v>162</v>
      </c>
      <c r="M3" s="37">
        <v>44931</v>
      </c>
      <c r="N3" s="35">
        <v>44946</v>
      </c>
      <c r="O3" s="1">
        <v>55</v>
      </c>
      <c r="P3" s="13">
        <v>3600</v>
      </c>
      <c r="Q3" s="13">
        <f t="shared" ref="Q3:Q6" si="0">E3+P3</f>
        <v>48600</v>
      </c>
      <c r="R3" s="13">
        <f t="shared" ref="R3:R6" si="1">Q3 - (Q3*10%)</f>
        <v>43740</v>
      </c>
      <c r="S3" s="13" t="str">
        <f t="shared" ref="S3:S6" si="2">IF(J3 &gt;= K3, "Achieved", "Not Achieved")</f>
        <v>Achieved</v>
      </c>
      <c r="T3" s="13" t="b">
        <f t="shared" ref="T3:T6" si="3">IF(J3&lt;500,0,IF(J3&lt;=700*2%,J3*5%))</f>
        <v>0</v>
      </c>
      <c r="U3" s="13" t="str">
        <f t="shared" ref="U3:U6" si="4">IF(H3&gt;=4,"GOOD",IF(H3&gt;=3,"AVERAGE","POOR"))</f>
        <v>AVERAGE</v>
      </c>
      <c r="V3" s="46">
        <f t="shared" ref="V3:V6" ca="1" si="5">DATEDIF(D3,TODAY(),"Y")</f>
        <v>5</v>
      </c>
      <c r="W3" s="13">
        <f t="shared" ref="W3:W6" si="6">N3-M3</f>
        <v>15</v>
      </c>
      <c r="X3" s="13" t="str">
        <f t="shared" ref="X3:X6" si="7">IF( O3 &gt; 50,"OVERLOAD","NORMAL")</f>
        <v>OVERLOAD</v>
      </c>
      <c r="Y3" s="13"/>
      <c r="Z3" s="13"/>
    </row>
    <row r="4" spans="1:26" ht="15.6">
      <c r="A4" s="1" t="s">
        <v>163</v>
      </c>
      <c r="B4" s="1" t="s">
        <v>164</v>
      </c>
      <c r="C4" s="1" t="s">
        <v>165</v>
      </c>
      <c r="D4" s="35">
        <v>43661</v>
      </c>
      <c r="E4" s="1">
        <v>50000</v>
      </c>
      <c r="F4" s="36">
        <v>0.12</v>
      </c>
      <c r="G4" s="1">
        <v>1</v>
      </c>
      <c r="H4" s="1">
        <v>5</v>
      </c>
      <c r="I4" s="1" t="s">
        <v>166</v>
      </c>
      <c r="J4" s="1">
        <v>400</v>
      </c>
      <c r="K4" s="1">
        <v>600</v>
      </c>
      <c r="L4" s="1" t="s">
        <v>157</v>
      </c>
      <c r="M4" s="35">
        <v>44938</v>
      </c>
      <c r="N4" s="35">
        <v>44944</v>
      </c>
      <c r="O4" s="1">
        <v>30</v>
      </c>
      <c r="P4" s="13">
        <v>6000</v>
      </c>
      <c r="Q4" s="13">
        <f t="shared" si="0"/>
        <v>56000</v>
      </c>
      <c r="R4" s="13">
        <f t="shared" si="1"/>
        <v>50400</v>
      </c>
      <c r="S4" s="13" t="str">
        <f t="shared" si="2"/>
        <v>Not Achieved</v>
      </c>
      <c r="T4" s="13">
        <f>IF(J4&lt;500,T90,IF(J4&lt;=700*2%,J4*5%))</f>
        <v>0</v>
      </c>
      <c r="U4" s="13" t="str">
        <f t="shared" si="4"/>
        <v>GOOD</v>
      </c>
      <c r="V4" s="46">
        <f t="shared" ca="1" si="5"/>
        <v>6</v>
      </c>
      <c r="W4" s="13">
        <f t="shared" si="6"/>
        <v>6</v>
      </c>
      <c r="X4" s="13" t="str">
        <f t="shared" si="7"/>
        <v>NORMAL</v>
      </c>
      <c r="Y4" s="13"/>
      <c r="Z4" s="13"/>
    </row>
    <row r="5" spans="1:26" ht="15.6">
      <c r="A5" s="1" t="s">
        <v>167</v>
      </c>
      <c r="B5" s="1" t="s">
        <v>168</v>
      </c>
      <c r="C5" s="1" t="s">
        <v>31</v>
      </c>
      <c r="D5" s="35">
        <v>44428</v>
      </c>
      <c r="E5" s="1">
        <v>40000</v>
      </c>
      <c r="F5" s="36">
        <v>0.05</v>
      </c>
      <c r="G5" s="1">
        <v>7</v>
      </c>
      <c r="H5" s="1">
        <v>2</v>
      </c>
      <c r="I5" s="1" t="s">
        <v>169</v>
      </c>
      <c r="J5" s="1">
        <v>900</v>
      </c>
      <c r="K5" s="1">
        <v>800</v>
      </c>
      <c r="L5" s="1" t="s">
        <v>170</v>
      </c>
      <c r="M5" s="35">
        <v>44941</v>
      </c>
      <c r="N5" s="35">
        <v>44951</v>
      </c>
      <c r="O5" s="1">
        <v>20</v>
      </c>
      <c r="P5" s="13">
        <v>2000</v>
      </c>
      <c r="Q5" s="13">
        <f t="shared" si="0"/>
        <v>42000</v>
      </c>
      <c r="R5" s="13">
        <f t="shared" si="1"/>
        <v>37800</v>
      </c>
      <c r="S5" s="13" t="str">
        <f t="shared" si="2"/>
        <v>Achieved</v>
      </c>
      <c r="T5" s="13" t="b">
        <f t="shared" si="3"/>
        <v>0</v>
      </c>
      <c r="U5" s="13" t="str">
        <f t="shared" si="4"/>
        <v>POOR</v>
      </c>
      <c r="V5" s="46">
        <f t="shared" ca="1" si="5"/>
        <v>4</v>
      </c>
      <c r="W5" s="13">
        <f t="shared" si="6"/>
        <v>10</v>
      </c>
      <c r="X5" s="13" t="str">
        <f t="shared" si="7"/>
        <v>NORMAL</v>
      </c>
      <c r="Y5" s="13"/>
      <c r="Z5" s="13"/>
    </row>
    <row r="6" spans="1:26" ht="15.6">
      <c r="A6" s="1" t="s">
        <v>171</v>
      </c>
      <c r="B6" s="1" t="s">
        <v>172</v>
      </c>
      <c r="C6" s="1" t="s">
        <v>160</v>
      </c>
      <c r="D6" s="37">
        <v>43070</v>
      </c>
      <c r="E6" s="1">
        <v>70000</v>
      </c>
      <c r="F6" s="36">
        <v>0.15</v>
      </c>
      <c r="G6" s="1">
        <v>3</v>
      </c>
      <c r="H6" s="1">
        <v>5</v>
      </c>
      <c r="I6" s="1" t="s">
        <v>156</v>
      </c>
      <c r="J6" s="1">
        <v>300</v>
      </c>
      <c r="K6" s="1">
        <v>500</v>
      </c>
      <c r="L6" s="1" t="s">
        <v>162</v>
      </c>
      <c r="M6" s="35">
        <v>44946</v>
      </c>
      <c r="N6" s="35">
        <v>44954</v>
      </c>
      <c r="O6" s="1">
        <v>60</v>
      </c>
      <c r="P6" s="13">
        <v>10500</v>
      </c>
      <c r="Q6" s="13">
        <f t="shared" si="0"/>
        <v>80500</v>
      </c>
      <c r="R6" s="13">
        <f t="shared" si="1"/>
        <v>72450</v>
      </c>
      <c r="S6" s="13" t="str">
        <f t="shared" si="2"/>
        <v>Not Achieved</v>
      </c>
      <c r="T6" s="13">
        <f t="shared" si="3"/>
        <v>0</v>
      </c>
      <c r="U6" s="13" t="str">
        <f t="shared" si="4"/>
        <v>GOOD</v>
      </c>
      <c r="V6" s="46">
        <f t="shared" ca="1" si="5"/>
        <v>7</v>
      </c>
      <c r="W6" s="13">
        <f t="shared" si="6"/>
        <v>8</v>
      </c>
      <c r="X6" s="13" t="str">
        <f t="shared" si="7"/>
        <v>OVERLOAD</v>
      </c>
      <c r="Y6" s="13"/>
      <c r="Z6" s="13"/>
    </row>
    <row r="7" spans="1:26" ht="15.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4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>
      <c r="A9" s="38" t="s">
        <v>173</v>
      </c>
      <c r="B9" s="13"/>
      <c r="C9" s="13"/>
      <c r="D9" s="76" t="s">
        <v>217</v>
      </c>
      <c r="E9" s="76" t="s">
        <v>218</v>
      </c>
      <c r="F9" s="13"/>
      <c r="G9" s="76" t="s">
        <v>21</v>
      </c>
      <c r="H9" s="76" t="s">
        <v>3</v>
      </c>
      <c r="I9" s="76" t="s">
        <v>219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>
      <c r="A10" s="66" t="s">
        <v>174</v>
      </c>
      <c r="B10" s="13"/>
      <c r="C10" s="13"/>
      <c r="D10" s="13">
        <f>SUM(E2:E6)</f>
        <v>265000</v>
      </c>
      <c r="E10" s="13">
        <f>AVERAGE(H2:H6)</f>
        <v>3.8</v>
      </c>
      <c r="F10" s="13"/>
      <c r="G10" s="13">
        <f>MAX(J2:J6)</f>
        <v>900</v>
      </c>
      <c r="H10" s="13">
        <f>MIN(J2:J6)</f>
        <v>300</v>
      </c>
      <c r="I10" s="13">
        <f>COUNTA(A2:A6)</f>
        <v>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>
      <c r="A11" s="66" t="s">
        <v>175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>
      <c r="A12" s="39" t="s">
        <v>176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>
      <c r="A13" s="66" t="s">
        <v>177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>
      <c r="A14" s="3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7.399999999999999">
      <c r="A15" s="38" t="s">
        <v>178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39" t="s">
        <v>179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66" t="s">
        <v>180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66" t="s">
        <v>181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3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38" t="s">
        <v>182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3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66" t="s">
        <v>183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66" t="s">
        <v>184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39" t="s">
        <v>185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39" t="s">
        <v>186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39" t="s">
        <v>187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3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67" t="s">
        <v>188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39" t="s">
        <v>189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39" t="s">
        <v>190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39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38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38" t="s">
        <v>192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39" t="s">
        <v>193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66" t="s">
        <v>194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66" t="s">
        <v>195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3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38" t="s">
        <v>196</v>
      </c>
      <c r="B38" s="13"/>
      <c r="C38" s="13"/>
      <c r="D38" s="13"/>
      <c r="E38" s="13"/>
      <c r="F38" s="13"/>
      <c r="G38" s="13"/>
      <c r="H38" s="76" t="s">
        <v>211</v>
      </c>
      <c r="I38" s="76" t="s">
        <v>212</v>
      </c>
      <c r="J38" s="76" t="s">
        <v>213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66" t="s">
        <v>197</v>
      </c>
      <c r="B39" s="13"/>
      <c r="C39" s="13"/>
      <c r="D39" s="13"/>
      <c r="E39" s="13"/>
      <c r="F39" s="13"/>
      <c r="G39" s="13"/>
      <c r="H39" s="46">
        <f>COUNTIF(H2:H6,"&gt;=4")</f>
        <v>3</v>
      </c>
      <c r="I39" s="65">
        <f>SUMIF(I2:I6,"North",J2:J6)</f>
        <v>880</v>
      </c>
      <c r="J39" s="13">
        <f>AVERAGEIF(C2:C6,"IT",E2:E6)</f>
        <v>57500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66" t="s">
        <v>198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66" t="s">
        <v>199</v>
      </c>
      <c r="B41" s="13"/>
      <c r="C41" s="13"/>
      <c r="D41" s="13"/>
      <c r="E41" s="13"/>
      <c r="F41" s="13"/>
      <c r="G41" s="13"/>
      <c r="H41" s="76" t="s">
        <v>214</v>
      </c>
      <c r="I41" s="76" t="s">
        <v>215</v>
      </c>
      <c r="J41" s="76" t="s">
        <v>216</v>
      </c>
      <c r="K41" s="76" t="s">
        <v>209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39" t="s">
        <v>200</v>
      </c>
      <c r="B42" s="13"/>
      <c r="C42" s="13"/>
      <c r="D42" s="13"/>
      <c r="E42" s="13"/>
      <c r="F42" s="13"/>
      <c r="G42" s="13"/>
      <c r="H42" s="13">
        <f>AVERAGEIF(L2:L6,"Alpha",W2:W7)</f>
        <v>7.5</v>
      </c>
      <c r="I42" s="13">
        <f>AVERAGEIF(L2:L6, "Beta", W2:W6)</f>
        <v>11.5</v>
      </c>
      <c r="J42" s="13">
        <f>AVERAGEIF(L2:L6, "Gamma", W2:W6)</f>
        <v>10</v>
      </c>
      <c r="K42" s="13">
        <f>MAX(H42:J42)</f>
        <v>11.5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Functions</vt:lpstr>
      <vt:lpstr>Employee Sheet</vt:lpstr>
      <vt:lpstr>If Condition</vt:lpstr>
      <vt:lpstr>Age Calculation</vt:lpstr>
      <vt:lpstr>Sample_Dataset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 SHIGAVAN</cp:lastModifiedBy>
  <dcterms:created xsi:type="dcterms:W3CDTF">2025-08-26T12:34:21Z</dcterms:created>
  <dcterms:modified xsi:type="dcterms:W3CDTF">2025-09-07T14:21:04Z</dcterms:modified>
</cp:coreProperties>
</file>