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-165" windowWidth="25545" windowHeight="12825"/>
  </bookViews>
  <sheets>
    <sheet name="GRE Data" sheetId="1" r:id="rId1"/>
    <sheet name="Covariance" sheetId="5" r:id="rId2"/>
    <sheet name="Linearly transformed" sheetId="4" r:id="rId3"/>
    <sheet name="Standardized" sheetId="3" r:id="rId4"/>
  </sheets>
  <calcPr calcId="145621" concurrentCalc="0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Q22" i="3"/>
  <c r="N44" i="3"/>
  <c r="N45" i="3"/>
  <c r="N43" i="3"/>
  <c r="N22" i="3"/>
  <c r="N21" i="3"/>
  <c r="K3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4" i="3"/>
  <c r="H35" i="3"/>
  <c r="H34" i="3"/>
  <c r="G35" i="3"/>
  <c r="G34" i="3"/>
  <c r="F35" i="3"/>
  <c r="F34" i="3"/>
  <c r="D35" i="3"/>
  <c r="D34" i="3"/>
  <c r="C35" i="3"/>
  <c r="C34" i="3"/>
  <c r="B35" i="3"/>
  <c r="B34" i="3"/>
  <c r="F3" i="3"/>
  <c r="G3" i="3"/>
  <c r="K3" i="3"/>
  <c r="F4" i="3"/>
  <c r="G4" i="3"/>
  <c r="K4" i="3"/>
  <c r="F5" i="3"/>
  <c r="G5" i="3"/>
  <c r="K5" i="3"/>
  <c r="F6" i="3"/>
  <c r="G6" i="3"/>
  <c r="K6" i="3"/>
  <c r="F7" i="3"/>
  <c r="G7" i="3"/>
  <c r="K7" i="3"/>
  <c r="F8" i="3"/>
  <c r="G8" i="3"/>
  <c r="K8" i="3"/>
  <c r="F9" i="3"/>
  <c r="G9" i="3"/>
  <c r="K9" i="3"/>
  <c r="F10" i="3"/>
  <c r="G10" i="3"/>
  <c r="K10" i="3"/>
  <c r="F11" i="3"/>
  <c r="G11" i="3"/>
  <c r="K11" i="3"/>
  <c r="F12" i="3"/>
  <c r="G12" i="3"/>
  <c r="K12" i="3"/>
  <c r="F13" i="3"/>
  <c r="G13" i="3"/>
  <c r="K13" i="3"/>
  <c r="F14" i="3"/>
  <c r="G14" i="3"/>
  <c r="K14" i="3"/>
  <c r="F15" i="3"/>
  <c r="G15" i="3"/>
  <c r="K15" i="3"/>
  <c r="F16" i="3"/>
  <c r="G16" i="3"/>
  <c r="K16" i="3"/>
  <c r="F17" i="3"/>
  <c r="G17" i="3"/>
  <c r="K17" i="3"/>
  <c r="F18" i="3"/>
  <c r="G18" i="3"/>
  <c r="K18" i="3"/>
  <c r="F19" i="3"/>
  <c r="G19" i="3"/>
  <c r="K19" i="3"/>
  <c r="F20" i="3"/>
  <c r="G20" i="3"/>
  <c r="K20" i="3"/>
  <c r="F21" i="3"/>
  <c r="G21" i="3"/>
  <c r="K21" i="3"/>
  <c r="F22" i="3"/>
  <c r="G22" i="3"/>
  <c r="K22" i="3"/>
  <c r="F23" i="3"/>
  <c r="G23" i="3"/>
  <c r="K23" i="3"/>
  <c r="F24" i="3"/>
  <c r="G24" i="3"/>
  <c r="K24" i="3"/>
  <c r="F25" i="3"/>
  <c r="G25" i="3"/>
  <c r="K25" i="3"/>
  <c r="F26" i="3"/>
  <c r="G26" i="3"/>
  <c r="K26" i="3"/>
  <c r="F27" i="3"/>
  <c r="G27" i="3"/>
  <c r="K27" i="3"/>
  <c r="F28" i="3"/>
  <c r="G28" i="3"/>
  <c r="K28" i="3"/>
  <c r="F29" i="3"/>
  <c r="G29" i="3"/>
  <c r="K29" i="3"/>
  <c r="F30" i="3"/>
  <c r="G30" i="3"/>
  <c r="K30" i="3"/>
  <c r="F31" i="3"/>
  <c r="G31" i="3"/>
  <c r="K31" i="3"/>
  <c r="F32" i="3"/>
  <c r="G32" i="3"/>
  <c r="K32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" i="4"/>
  <c r="M32" i="4"/>
  <c r="M31" i="4"/>
  <c r="M27" i="4"/>
  <c r="M26" i="4"/>
  <c r="K5" i="1"/>
  <c r="K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C35" i="1"/>
  <c r="K10" i="1"/>
  <c r="K8" i="1"/>
  <c r="K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K2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C33" i="3"/>
  <c r="B3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H33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" i="5"/>
  <c r="M82" i="3"/>
  <c r="L70" i="3"/>
  <c r="L69" i="3"/>
  <c r="L68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4" i="4"/>
  <c r="E35" i="4"/>
  <c r="C51" i="1"/>
  <c r="C53" i="1"/>
  <c r="C52" i="1"/>
  <c r="E10" i="5"/>
  <c r="F10" i="5"/>
  <c r="E11" i="5"/>
  <c r="F11" i="5"/>
  <c r="E14" i="5"/>
  <c r="F14" i="5"/>
  <c r="E18" i="5"/>
  <c r="F18" i="5"/>
  <c r="E19" i="5"/>
  <c r="F19" i="5"/>
  <c r="E22" i="5"/>
  <c r="F22" i="5"/>
  <c r="E23" i="5"/>
  <c r="F23" i="5"/>
  <c r="E24" i="5"/>
  <c r="F24" i="5"/>
  <c r="E25" i="5"/>
  <c r="F25" i="5"/>
  <c r="E26" i="5"/>
  <c r="F26" i="5"/>
  <c r="E27" i="5"/>
  <c r="F27" i="5"/>
  <c r="E9" i="5"/>
  <c r="F9" i="5"/>
  <c r="E17" i="5"/>
  <c r="F17" i="5"/>
  <c r="E30" i="5"/>
  <c r="F30" i="5"/>
  <c r="C35" i="5"/>
  <c r="B35" i="5"/>
  <c r="C34" i="5"/>
  <c r="B34" i="5"/>
  <c r="C33" i="5"/>
  <c r="B33" i="5"/>
  <c r="E32" i="5"/>
  <c r="F32" i="5"/>
  <c r="E31" i="5"/>
  <c r="F31" i="5"/>
  <c r="E29" i="5"/>
  <c r="F29" i="5"/>
  <c r="E28" i="5"/>
  <c r="F28" i="5"/>
  <c r="E21" i="5"/>
  <c r="F21" i="5"/>
  <c r="E20" i="5"/>
  <c r="F20" i="5"/>
  <c r="E16" i="5"/>
  <c r="F16" i="5"/>
  <c r="E15" i="5"/>
  <c r="F15" i="5"/>
  <c r="E13" i="5"/>
  <c r="F13" i="5"/>
  <c r="E12" i="5"/>
  <c r="F12" i="5"/>
  <c r="E8" i="5"/>
  <c r="F8" i="5"/>
  <c r="E7" i="5"/>
  <c r="F7" i="5"/>
  <c r="E6" i="5"/>
  <c r="F6" i="5"/>
  <c r="E5" i="5"/>
  <c r="F5" i="5"/>
  <c r="E4" i="5"/>
  <c r="F4" i="5"/>
  <c r="D35" i="5"/>
  <c r="D34" i="5"/>
  <c r="D33" i="5"/>
  <c r="E3" i="5"/>
  <c r="E35" i="1"/>
  <c r="E34" i="1"/>
  <c r="D34" i="1"/>
  <c r="C34" i="1"/>
  <c r="E33" i="1"/>
  <c r="D33" i="1"/>
  <c r="C33" i="1"/>
  <c r="B35" i="1"/>
  <c r="B34" i="1"/>
  <c r="G5" i="5"/>
  <c r="H5" i="5"/>
  <c r="G6" i="5"/>
  <c r="H6" i="5"/>
  <c r="G14" i="5"/>
  <c r="H14" i="5"/>
  <c r="G22" i="5"/>
  <c r="H22" i="5"/>
  <c r="G30" i="5"/>
  <c r="H30" i="5"/>
  <c r="G8" i="5"/>
  <c r="H8" i="5"/>
  <c r="G24" i="5"/>
  <c r="H24" i="5"/>
  <c r="G10" i="5"/>
  <c r="H10" i="5"/>
  <c r="G4" i="5"/>
  <c r="H4" i="5"/>
  <c r="G28" i="5"/>
  <c r="H28" i="5"/>
  <c r="G21" i="5"/>
  <c r="H21" i="5"/>
  <c r="G7" i="5"/>
  <c r="H7" i="5"/>
  <c r="G15" i="5"/>
  <c r="H15" i="5"/>
  <c r="G23" i="5"/>
  <c r="H23" i="5"/>
  <c r="G31" i="5"/>
  <c r="H31" i="5"/>
  <c r="G16" i="5"/>
  <c r="H16" i="5"/>
  <c r="G32" i="5"/>
  <c r="H32" i="5"/>
  <c r="G12" i="5"/>
  <c r="H12" i="5"/>
  <c r="G13" i="5"/>
  <c r="H13" i="5"/>
  <c r="G9" i="5"/>
  <c r="H9" i="5"/>
  <c r="G17" i="5"/>
  <c r="H17" i="5"/>
  <c r="G25" i="5"/>
  <c r="H25" i="5"/>
  <c r="G18" i="5"/>
  <c r="H18" i="5"/>
  <c r="G26" i="5"/>
  <c r="H26" i="5"/>
  <c r="G11" i="5"/>
  <c r="H11" i="5"/>
  <c r="G19" i="5"/>
  <c r="H19" i="5"/>
  <c r="G27" i="5"/>
  <c r="H27" i="5"/>
  <c r="G20" i="5"/>
  <c r="H20" i="5"/>
  <c r="G29" i="5"/>
  <c r="H29" i="5"/>
  <c r="G3" i="5"/>
  <c r="H3" i="5"/>
  <c r="M22" i="5"/>
  <c r="E35" i="5"/>
  <c r="R23" i="5"/>
  <c r="F3" i="5"/>
  <c r="F33" i="5"/>
  <c r="E33" i="5"/>
  <c r="M23" i="5"/>
  <c r="E34" i="5"/>
  <c r="R22" i="5"/>
  <c r="H33" i="5"/>
  <c r="G33" i="5"/>
  <c r="K22" i="1"/>
  <c r="D39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" i="3"/>
  <c r="C34" i="4"/>
  <c r="C35" i="4"/>
  <c r="B34" i="4"/>
  <c r="B35" i="4"/>
  <c r="C33" i="4"/>
  <c r="D33" i="4"/>
  <c r="B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34" i="4"/>
  <c r="G35" i="4"/>
  <c r="F4" i="4"/>
  <c r="F3" i="4"/>
  <c r="F34" i="4"/>
  <c r="F35" i="4"/>
  <c r="D34" i="4"/>
  <c r="D35" i="4"/>
  <c r="G33" i="4"/>
  <c r="I33" i="4"/>
  <c r="H34" i="4"/>
  <c r="F33" i="4"/>
  <c r="D40" i="4"/>
  <c r="E33" i="4"/>
  <c r="H35" i="4"/>
  <c r="H40" i="4"/>
  <c r="H38" i="4"/>
  <c r="H37" i="4"/>
  <c r="D38" i="4"/>
  <c r="D37" i="4"/>
  <c r="E33" i="3"/>
  <c r="D33" i="3"/>
  <c r="G33" i="3"/>
  <c r="F33" i="3"/>
  <c r="D40" i="3"/>
  <c r="D42" i="3"/>
  <c r="D38" i="3"/>
  <c r="D37" i="3"/>
  <c r="B33" i="1"/>
  <c r="R23" i="1"/>
  <c r="R22" i="1"/>
  <c r="F32" i="1"/>
  <c r="F31" i="1"/>
  <c r="F30" i="1"/>
  <c r="F29" i="1"/>
  <c r="F28" i="1"/>
  <c r="F26" i="1"/>
  <c r="F25" i="1"/>
  <c r="F24" i="1"/>
  <c r="F22" i="1"/>
  <c r="F21" i="1"/>
  <c r="F20" i="1"/>
  <c r="F18" i="1"/>
  <c r="F17" i="1"/>
  <c r="F16" i="1"/>
  <c r="F14" i="1"/>
  <c r="F13" i="1"/>
  <c r="F12" i="1"/>
  <c r="F10" i="1"/>
  <c r="F9" i="1"/>
  <c r="F8" i="1"/>
  <c r="F7" i="1"/>
  <c r="F6" i="1"/>
  <c r="F5" i="1"/>
  <c r="F4" i="1"/>
  <c r="F3" i="1"/>
  <c r="D38" i="1"/>
  <c r="D37" i="1"/>
  <c r="F27" i="1"/>
  <c r="F15" i="1"/>
  <c r="F23" i="1"/>
  <c r="F11" i="1"/>
  <c r="F19" i="1"/>
  <c r="F33" i="1"/>
  <c r="H33" i="3"/>
  <c r="I33" i="3"/>
  <c r="H37" i="3"/>
  <c r="H40" i="3"/>
  <c r="H42" i="3"/>
  <c r="I35" i="3"/>
  <c r="H38" i="3"/>
</calcChain>
</file>

<file path=xl/sharedStrings.xml><?xml version="1.0" encoding="utf-8"?>
<sst xmlns="http://schemas.openxmlformats.org/spreadsheetml/2006/main" count="112" uniqueCount="62">
  <si>
    <t>GRE-V</t>
  </si>
  <si>
    <t>GRE-Q</t>
  </si>
  <si>
    <t>Predicted Q</t>
  </si>
  <si>
    <t>Mean:</t>
  </si>
  <si>
    <t>SD:</t>
  </si>
  <si>
    <t>Variance:</t>
  </si>
  <si>
    <t>Error (aka Residual)</t>
  </si>
  <si>
    <t>D35+E35=</t>
  </si>
  <si>
    <t>D34+E34=</t>
  </si>
  <si>
    <t>Residual^2</t>
  </si>
  <si>
    <t>Do you see the number above in the graph?</t>
  </si>
  <si>
    <t>Sqrt of the above</t>
  </si>
  <si>
    <t>Sqrt(D40)=</t>
  </si>
  <si>
    <t>Proportion of variance accounted for</t>
  </si>
  <si>
    <t>D35/C35=</t>
  </si>
  <si>
    <t>H35+I35=</t>
  </si>
  <si>
    <t>H34+I34=</t>
  </si>
  <si>
    <t>Predicted new Q</t>
  </si>
  <si>
    <t>New scale Q</t>
  </si>
  <si>
    <t>H35/G35=</t>
  </si>
  <si>
    <t>Take home points</t>
  </si>
  <si>
    <t>(1) mean(residual) = 0</t>
  </si>
  <si>
    <t>(2) mean(predicted) = mean(actual)</t>
  </si>
  <si>
    <t>(3) var(actual) = var(predicted) + var(residual)</t>
  </si>
  <si>
    <r>
      <t xml:space="preserve">(4) sd(actual) </t>
    </r>
    <r>
      <rPr>
        <sz val="11"/>
        <color theme="1"/>
        <rFont val="Calibri"/>
        <family val="2"/>
      </rPr>
      <t>≠ sd(predicted) + sd(residual)</t>
    </r>
  </si>
  <si>
    <t>(5) var(actual) = var(predicted) + var(residual) is true only if you use regresson-based predicted.</t>
  </si>
  <si>
    <t>(6) that is because with regression-based predicted, cov(predicted,residual) = 0.</t>
  </si>
  <si>
    <t>(7) Try changing the prediction line to something else and see what happens.</t>
  </si>
  <si>
    <t>Cov(Residual, Predicted) =</t>
  </si>
  <si>
    <t>Slope(Residual,Predicted) =</t>
  </si>
  <si>
    <t>Slope(Residual,V) =</t>
  </si>
  <si>
    <t>Cov(Residual, V) =</t>
  </si>
  <si>
    <t>D35+E35+2*K22</t>
  </si>
  <si>
    <t>Centered Predicted Q</t>
  </si>
  <si>
    <t>Centered Predicted Q x Residual</t>
  </si>
  <si>
    <t>Note:</t>
  </si>
  <si>
    <t xml:space="preserve"> VARP() or VAR.P: treating data as population. VAR.P is for newer versions of Excel</t>
  </si>
  <si>
    <t xml:space="preserve"> VARS() or VAR.S: estimated variance of the population from which the current data were sampled. Var.S is for newer versions of Excel</t>
  </si>
  <si>
    <t xml:space="preserve">VAR.P(D3:D32) = </t>
  </si>
  <si>
    <t>VAR.S(D3:D32) =</t>
  </si>
  <si>
    <t>VAR.P*30/29 =</t>
  </si>
  <si>
    <t>Intercept =</t>
  </si>
  <si>
    <t>Slope =</t>
  </si>
  <si>
    <t>Covariance=</t>
  </si>
  <si>
    <t>"For one unit increase in standardized V, how many unit increase in Q? To answer this question, see how many unit increase in V we're talking about. Answer = about 138. So one unit increase in standardized V corresponds to 138 unit increase in GPA. So we expect 0.0047 * 138 increase for a one unit increase in zGPA.</t>
  </si>
  <si>
    <t>0.004704*138.41272 =</t>
  </si>
  <si>
    <t>zGRE-V</t>
  </si>
  <si>
    <t>zGRE-Q</t>
  </si>
  <si>
    <t>Predicted zGRE-Q</t>
  </si>
  <si>
    <t>Regression analysis using Excel</t>
  </si>
  <si>
    <t>Regression line predicting Q from V</t>
  </si>
  <si>
    <t>slope =</t>
  </si>
  <si>
    <t>correlation =</t>
  </si>
  <si>
    <t>d35/c35 =</t>
  </si>
  <si>
    <t>correlation^2 =</t>
  </si>
  <si>
    <t>Original:</t>
  </si>
  <si>
    <t>Linearly</t>
  </si>
  <si>
    <t>Transformed:</t>
  </si>
  <si>
    <t>slope=</t>
  </si>
  <si>
    <t>zGRE-V * zGRE-Q</t>
  </si>
  <si>
    <t>N22*B34/C34=</t>
  </si>
  <si>
    <t>&lt;= where else do you see this number?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</si>
</sst>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 vertical="center" wrapText="1"/>
    </xf>
    <xf numFmtId="2" fontId="0" fillId="2" borderId="0" xfId="0" applyNumberFormat="1" applyFill="1"/>
    <xf numFmtId="0" fontId="0" fillId="0" borderId="0" xfId="0" applyAlignment="1">
      <alignment wrapText="1"/>
    </xf>
    <xf numFmtId="165" fontId="0" fillId="0" borderId="0" xfId="0" applyNumberFormat="1"/>
    <xf numFmtId="165" fontId="0" fillId="2" borderId="0" xfId="0" applyNumberFormat="1" applyFill="1"/>
    <xf numFmtId="165" fontId="0" fillId="0" borderId="2" xfId="0" applyNumberFormat="1" applyBorder="1"/>
    <xf numFmtId="165" fontId="0" fillId="0" borderId="3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5" xfId="0" applyNumberFormat="1" applyBorder="1"/>
    <xf numFmtId="165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" fontId="0" fillId="3" borderId="0" xfId="0" applyNumberFormat="1" applyFill="1" applyBorder="1"/>
    <xf numFmtId="2" fontId="0" fillId="0" borderId="12" xfId="0" applyNumberFormat="1" applyBorder="1"/>
    <xf numFmtId="2" fontId="0" fillId="3" borderId="12" xfId="0" applyNumberFormat="1" applyFill="1" applyBorder="1"/>
    <xf numFmtId="2" fontId="0" fillId="4" borderId="0" xfId="0" applyNumberFormat="1" applyFill="1"/>
    <xf numFmtId="2" fontId="0" fillId="0" borderId="13" xfId="0" applyNumberFormat="1" applyBorder="1"/>
    <xf numFmtId="2" fontId="0" fillId="4" borderId="14" xfId="0" applyNumberFormat="1" applyFill="1" applyBorder="1"/>
    <xf numFmtId="2" fontId="0" fillId="0" borderId="15" xfId="0" applyNumberFormat="1" applyBorder="1"/>
    <xf numFmtId="49" fontId="0" fillId="0" borderId="1" xfId="0" applyNumberFormat="1" applyBorder="1" applyAlignment="1">
      <alignment wrapText="1"/>
    </xf>
    <xf numFmtId="2" fontId="0" fillId="0" borderId="0" xfId="0" applyNumberFormat="1" applyFill="1" applyBorder="1"/>
    <xf numFmtId="0" fontId="0" fillId="0" borderId="0" xfId="0" applyBorder="1"/>
    <xf numFmtId="2" fontId="0" fillId="3" borderId="15" xfId="0" applyNumberFormat="1" applyFill="1" applyBorder="1"/>
    <xf numFmtId="2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49" fontId="0" fillId="3" borderId="1" xfId="0" applyNumberFormat="1" applyFill="1" applyBorder="1" applyAlignment="1">
      <alignment horizontal="right" vertical="center"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3" borderId="0" xfId="0" applyNumberFormat="1" applyFill="1"/>
    <xf numFmtId="164" fontId="0" fillId="5" borderId="0" xfId="0" applyNumberFormat="1" applyFill="1" applyAlignment="1"/>
    <xf numFmtId="0" fontId="0" fillId="4" borderId="0" xfId="0" applyFill="1"/>
    <xf numFmtId="0" fontId="0" fillId="4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2" fontId="0" fillId="0" borderId="17" xfId="0" applyNumberFormat="1" applyBorder="1"/>
    <xf numFmtId="0" fontId="0" fillId="0" borderId="18" xfId="0" applyBorder="1" applyAlignment="1">
      <alignment horizontal="right" vertical="center"/>
    </xf>
    <xf numFmtId="2" fontId="0" fillId="0" borderId="19" xfId="0" applyNumberFormat="1" applyBorder="1"/>
    <xf numFmtId="2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4" fontId="0" fillId="3" borderId="0" xfId="0" applyNumberFormat="1" applyFill="1"/>
    <xf numFmtId="164" fontId="0" fillId="5" borderId="0" xfId="0" applyNumberFormat="1" applyFill="1"/>
    <xf numFmtId="164" fontId="0" fillId="0" borderId="0" xfId="0" applyNumberFormat="1" applyAlignment="1">
      <alignment horizontal="right"/>
    </xf>
    <xf numFmtId="164" fontId="0" fillId="0" borderId="0" xfId="0" applyNumberFormat="1" applyFill="1"/>
    <xf numFmtId="164" fontId="0" fillId="0" borderId="23" xfId="0" applyNumberFormat="1" applyBorder="1"/>
    <xf numFmtId="164" fontId="0" fillId="5" borderId="24" xfId="0" applyNumberFormat="1" applyFill="1" applyBorder="1"/>
    <xf numFmtId="165" fontId="0" fillId="0" borderId="23" xfId="0" applyNumberFormat="1" applyBorder="1"/>
    <xf numFmtId="0" fontId="0" fillId="0" borderId="25" xfId="0" applyFill="1" applyBorder="1" applyAlignment="1">
      <alignment horizontal="right" vertical="center" wrapText="1"/>
    </xf>
    <xf numFmtId="164" fontId="0" fillId="5" borderId="0" xfId="0" applyNumberFormat="1" applyFill="1" applyBorder="1"/>
    <xf numFmtId="164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'GRE Data'!$D$3:$D$32</c:f>
              <c:numCache>
                <c:formatCode>0.00</c:formatCode>
                <c:ptCount val="30"/>
                <c:pt idx="0">
                  <c:v>384.33695299001215</c:v>
                </c:pt>
                <c:pt idx="1">
                  <c:v>315.28372008741371</c:v>
                </c:pt>
                <c:pt idx="2">
                  <c:v>507.53357969724851</c:v>
                </c:pt>
                <c:pt idx="3">
                  <c:v>400.1228811736558</c:v>
                </c:pt>
                <c:pt idx="4">
                  <c:v>466.10163995568939</c:v>
                </c:pt>
                <c:pt idx="5">
                  <c:v>255.81305165616868</c:v>
                </c:pt>
                <c:pt idx="6">
                  <c:v>507.65873528091748</c:v>
                </c:pt>
                <c:pt idx="7">
                  <c:v>470.52017621391713</c:v>
                </c:pt>
                <c:pt idx="8">
                  <c:v>509.28575786861467</c:v>
                </c:pt>
                <c:pt idx="9">
                  <c:v>456.39936144778301</c:v>
                </c:pt>
                <c:pt idx="10">
                  <c:v>493.26584315898117</c:v>
                </c:pt>
                <c:pt idx="11">
                  <c:v>378.19888784311451</c:v>
                </c:pt>
                <c:pt idx="12">
                  <c:v>436.34181877804474</c:v>
                </c:pt>
                <c:pt idx="13">
                  <c:v>367.5497801370164</c:v>
                </c:pt>
                <c:pt idx="14">
                  <c:v>459.4520693798836</c:v>
                </c:pt>
                <c:pt idx="15">
                  <c:v>463.5604374524969</c:v>
                </c:pt>
                <c:pt idx="16">
                  <c:v>455.87153137752671</c:v>
                </c:pt>
                <c:pt idx="17">
                  <c:v>348.92336435879776</c:v>
                </c:pt>
                <c:pt idx="18">
                  <c:v>405.37941568775432</c:v>
                </c:pt>
                <c:pt idx="19">
                  <c:v>526.94357826017745</c:v>
                </c:pt>
                <c:pt idx="20">
                  <c:v>546.32636908752625</c:v>
                </c:pt>
                <c:pt idx="21">
                  <c:v>557.85700742642348</c:v>
                </c:pt>
                <c:pt idx="22">
                  <c:v>491.7911838905332</c:v>
                </c:pt>
                <c:pt idx="23">
                  <c:v>413.25877591178607</c:v>
                </c:pt>
                <c:pt idx="24">
                  <c:v>456.64423106800496</c:v>
                </c:pt>
                <c:pt idx="25">
                  <c:v>457.37883992867086</c:v>
                </c:pt>
                <c:pt idx="26">
                  <c:v>369.20945200740982</c:v>
                </c:pt>
                <c:pt idx="27">
                  <c:v>343.62873901488695</c:v>
                </c:pt>
                <c:pt idx="28">
                  <c:v>303.20892703691203</c:v>
                </c:pt>
                <c:pt idx="29">
                  <c:v>494.84389182263391</c:v>
                </c:pt>
              </c:numCache>
            </c:numRef>
          </c:xVal>
          <c:yVal>
            <c:numRef>
              <c:f>'GRE Data'!$E$3:$E$32</c:f>
              <c:numCache>
                <c:formatCode>0.00</c:formatCode>
                <c:ptCount val="30"/>
                <c:pt idx="0">
                  <c:v>-2.9169529900121347</c:v>
                </c:pt>
                <c:pt idx="1">
                  <c:v>-28.033720087413712</c:v>
                </c:pt>
                <c:pt idx="2">
                  <c:v>-57.923579697248499</c:v>
                </c:pt>
                <c:pt idx="3">
                  <c:v>-47.852881173655817</c:v>
                </c:pt>
                <c:pt idx="4">
                  <c:v>131.87836004431063</c:v>
                </c:pt>
                <c:pt idx="5">
                  <c:v>166.97694834383134</c:v>
                </c:pt>
                <c:pt idx="6">
                  <c:v>67.261264719082476</c:v>
                </c:pt>
                <c:pt idx="7">
                  <c:v>-85.18017621391715</c:v>
                </c:pt>
                <c:pt idx="8">
                  <c:v>-32.165757868614662</c:v>
                </c:pt>
                <c:pt idx="9">
                  <c:v>-86.339361447783006</c:v>
                </c:pt>
                <c:pt idx="10">
                  <c:v>-132.09584315898115</c:v>
                </c:pt>
                <c:pt idx="11">
                  <c:v>62.291112156885504</c:v>
                </c:pt>
                <c:pt idx="12">
                  <c:v>85.208181221955215</c:v>
                </c:pt>
                <c:pt idx="13">
                  <c:v>50.200219862983602</c:v>
                </c:pt>
                <c:pt idx="14">
                  <c:v>55.907930620116417</c:v>
                </c:pt>
                <c:pt idx="15">
                  <c:v>11.249562547503103</c:v>
                </c:pt>
                <c:pt idx="16">
                  <c:v>-69.211531377526683</c:v>
                </c:pt>
                <c:pt idx="17">
                  <c:v>19.336635641202236</c:v>
                </c:pt>
                <c:pt idx="18">
                  <c:v>90.52058431224566</c:v>
                </c:pt>
                <c:pt idx="19">
                  <c:v>159.17642173982256</c:v>
                </c:pt>
                <c:pt idx="20">
                  <c:v>-51.766369087526243</c:v>
                </c:pt>
                <c:pt idx="21">
                  <c:v>51.81299257357648</c:v>
                </c:pt>
                <c:pt idx="22">
                  <c:v>100.81881610946681</c:v>
                </c:pt>
                <c:pt idx="23">
                  <c:v>-170.17877591178606</c:v>
                </c:pt>
                <c:pt idx="24">
                  <c:v>-50.854231068004935</c:v>
                </c:pt>
                <c:pt idx="25">
                  <c:v>39.281160071329168</c:v>
                </c:pt>
                <c:pt idx="26">
                  <c:v>-109.4794520074098</c:v>
                </c:pt>
                <c:pt idx="27">
                  <c:v>-131.13873901488694</c:v>
                </c:pt>
                <c:pt idx="28">
                  <c:v>-22.988927036912003</c:v>
                </c:pt>
                <c:pt idx="29">
                  <c:v>-13.793891822633896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3-4E8A-AF74-12FB1E05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3664"/>
        <c:axId val="33968128"/>
      </c:scatterChart>
      <c:valAx>
        <c:axId val="33953664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968128"/>
        <c:crossesAt val="-200"/>
        <c:crossBetween val="midCat"/>
      </c:valAx>
      <c:valAx>
        <c:axId val="3396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95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'Linearly transformed'!$G$2</c:f>
              <c:strCache>
                <c:ptCount val="1"/>
                <c:pt idx="0">
                  <c:v>New scale Q</c:v>
                </c:pt>
              </c:strCache>
            </c:strRef>
          </c:tx>
          <c:spPr>
            <a:ln w="28575">
              <a:noFill/>
            </a:ln>
          </c:spPr>
          <c:xVal>
            <c:numRef>
              <c:f>'Linearly transformed'!$F$3:$F$32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'Linearly transformed'!$G$3:$G$32</c:f>
              <c:numCache>
                <c:formatCode>0.00</c:formatCode>
                <c:ptCount val="30"/>
                <c:pt idx="0">
                  <c:v>127.67750000000001</c:v>
                </c:pt>
                <c:pt idx="1">
                  <c:v>115.90625</c:v>
                </c:pt>
                <c:pt idx="2">
                  <c:v>136.20125000000002</c:v>
                </c:pt>
                <c:pt idx="3">
                  <c:v>124.03375</c:v>
                </c:pt>
                <c:pt idx="4">
                  <c:v>154.7475</c:v>
                </c:pt>
                <c:pt idx="5">
                  <c:v>132.84875</c:v>
                </c:pt>
                <c:pt idx="6">
                  <c:v>151.86500000000001</c:v>
                </c:pt>
                <c:pt idx="7">
                  <c:v>128.16749999999999</c:v>
                </c:pt>
                <c:pt idx="8">
                  <c:v>139.63999999999999</c:v>
                </c:pt>
                <c:pt idx="9">
                  <c:v>126.25749999999999</c:v>
                </c:pt>
                <c:pt idx="10">
                  <c:v>125.14625000000001</c:v>
                </c:pt>
                <c:pt idx="11">
                  <c:v>135.06125</c:v>
                </c:pt>
                <c:pt idx="12">
                  <c:v>145.19374999999999</c:v>
                </c:pt>
                <c:pt idx="13">
                  <c:v>132.21875</c:v>
                </c:pt>
                <c:pt idx="14">
                  <c:v>144.42000000000002</c:v>
                </c:pt>
                <c:pt idx="15">
                  <c:v>139.35124999999999</c:v>
                </c:pt>
                <c:pt idx="16">
                  <c:v>128.33250000000001</c:v>
                </c:pt>
                <c:pt idx="17">
                  <c:v>126.0325</c:v>
                </c:pt>
                <c:pt idx="18">
                  <c:v>141.98750000000001</c:v>
                </c:pt>
                <c:pt idx="19">
                  <c:v>165.76499999999999</c:v>
                </c:pt>
                <c:pt idx="20">
                  <c:v>141.82</c:v>
                </c:pt>
                <c:pt idx="21">
                  <c:v>156.20875000000001</c:v>
                </c:pt>
                <c:pt idx="22">
                  <c:v>154.07625000000002</c:v>
                </c:pt>
                <c:pt idx="23">
                  <c:v>110.38500000000001</c:v>
                </c:pt>
                <c:pt idx="24">
                  <c:v>130.72375</c:v>
                </c:pt>
                <c:pt idx="25">
                  <c:v>142.08250000000001</c:v>
                </c:pt>
                <c:pt idx="26">
                  <c:v>112.46625</c:v>
                </c:pt>
                <c:pt idx="27">
                  <c:v>106.56125</c:v>
                </c:pt>
                <c:pt idx="28">
                  <c:v>115.0275</c:v>
                </c:pt>
                <c:pt idx="29">
                  <c:v>140.13124999999999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0E-4539-A6F5-3F552400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1600"/>
        <c:axId val="116056064"/>
      </c:scatterChart>
      <c:valAx>
        <c:axId val="1160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GRE V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16056064"/>
        <c:crosses val="autoZero"/>
        <c:crossBetween val="midCat"/>
      </c:valAx>
      <c:valAx>
        <c:axId val="116056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</a:t>
                </a:r>
                <a:r>
                  <a:rPr lang="en-US" baseline="0"/>
                  <a:t> scale Q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1604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Q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Standardized!$B$3:$B$32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Standardized!$C$3:$C$32</c:f>
              <c:numCache>
                <c:formatCode>0.00</c:formatCode>
                <c:ptCount val="30"/>
                <c:pt idx="0">
                  <c:v>381.42</c:v>
                </c:pt>
                <c:pt idx="1">
                  <c:v>287.25</c:v>
                </c:pt>
                <c:pt idx="2">
                  <c:v>449.61</c:v>
                </c:pt>
                <c:pt idx="3">
                  <c:v>352.27</c:v>
                </c:pt>
                <c:pt idx="4">
                  <c:v>597.98</c:v>
                </c:pt>
                <c:pt idx="5">
                  <c:v>422.79</c:v>
                </c:pt>
                <c:pt idx="6">
                  <c:v>574.91999999999996</c:v>
                </c:pt>
                <c:pt idx="7">
                  <c:v>385.34</c:v>
                </c:pt>
                <c:pt idx="8">
                  <c:v>477.12</c:v>
                </c:pt>
                <c:pt idx="9">
                  <c:v>370.06</c:v>
                </c:pt>
                <c:pt idx="10">
                  <c:v>361.17</c:v>
                </c:pt>
                <c:pt idx="11">
                  <c:v>440.49</c:v>
                </c:pt>
                <c:pt idx="12">
                  <c:v>521.54999999999995</c:v>
                </c:pt>
                <c:pt idx="13">
                  <c:v>417.75</c:v>
                </c:pt>
                <c:pt idx="14">
                  <c:v>515.36</c:v>
                </c:pt>
                <c:pt idx="15">
                  <c:v>474.81</c:v>
                </c:pt>
                <c:pt idx="16">
                  <c:v>386.66</c:v>
                </c:pt>
                <c:pt idx="17">
                  <c:v>368.26</c:v>
                </c:pt>
                <c:pt idx="18">
                  <c:v>495.9</c:v>
                </c:pt>
                <c:pt idx="19">
                  <c:v>686.12</c:v>
                </c:pt>
                <c:pt idx="20">
                  <c:v>494.56</c:v>
                </c:pt>
                <c:pt idx="21">
                  <c:v>609.66999999999996</c:v>
                </c:pt>
                <c:pt idx="22">
                  <c:v>592.61</c:v>
                </c:pt>
                <c:pt idx="23">
                  <c:v>243.08</c:v>
                </c:pt>
                <c:pt idx="24">
                  <c:v>405.79</c:v>
                </c:pt>
                <c:pt idx="25">
                  <c:v>496.66</c:v>
                </c:pt>
                <c:pt idx="26">
                  <c:v>259.73</c:v>
                </c:pt>
                <c:pt idx="27">
                  <c:v>212.49</c:v>
                </c:pt>
                <c:pt idx="28">
                  <c:v>280.22000000000003</c:v>
                </c:pt>
                <c:pt idx="29">
                  <c:v>481.05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0-4359-A5C2-3B9A1D4BCFF5}"/>
            </c:ext>
          </c:extLst>
        </c:ser>
        <c:ser>
          <c:idx val="1"/>
          <c:order val="1"/>
          <c:tx>
            <c:v>Predicted Q</c:v>
          </c:tx>
          <c:spPr>
            <a:ln w="28575">
              <a:noFill/>
            </a:ln>
          </c:spPr>
          <c:xVal>
            <c:numRef>
              <c:f>Standardized!$B$3:$B$32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Standardized!$D$3:$D$32</c:f>
              <c:numCache>
                <c:formatCode>0.00</c:formatCode>
                <c:ptCount val="30"/>
                <c:pt idx="0">
                  <c:v>384.3371765503116</c:v>
                </c:pt>
                <c:pt idx="1">
                  <c:v>315.28285238851311</c:v>
                </c:pt>
                <c:pt idx="2">
                  <c:v>507.53575015339408</c:v>
                </c:pt>
                <c:pt idx="3">
                  <c:v>400.12335420148395</c:v>
                </c:pt>
                <c:pt idx="4">
                  <c:v>466.10315565631504</c:v>
                </c:pt>
                <c:pt idx="5">
                  <c:v>255.81124413285548</c:v>
                </c:pt>
                <c:pt idx="6">
                  <c:v>507.66090771491668</c:v>
                </c:pt>
                <c:pt idx="7">
                  <c:v>470.52176174137259</c:v>
                </c:pt>
                <c:pt idx="8">
                  <c:v>509.28795601471006</c:v>
                </c:pt>
                <c:pt idx="9">
                  <c:v>456.40072382176135</c:v>
                </c:pt>
                <c:pt idx="10">
                  <c:v>493.26778813982162</c:v>
                </c:pt>
                <c:pt idx="11">
                  <c:v>378.19901440259616</c:v>
                </c:pt>
                <c:pt idx="12">
                  <c:v>436.34286417949266</c:v>
                </c:pt>
                <c:pt idx="13">
                  <c:v>367.54973840695868</c:v>
                </c:pt>
                <c:pt idx="14">
                  <c:v>459.45347999628996</c:v>
                </c:pt>
                <c:pt idx="15">
                  <c:v>463.56191299409596</c:v>
                </c:pt>
                <c:pt idx="16">
                  <c:v>455.87288541012271</c:v>
                </c:pt>
                <c:pt idx="17">
                  <c:v>348.92302827253502</c:v>
                </c:pt>
                <c:pt idx="18">
                  <c:v>405.37997178543174</c:v>
                </c:pt>
                <c:pt idx="19">
                  <c:v>526.94605545561126</c:v>
                </c:pt>
                <c:pt idx="20">
                  <c:v>546.32915259228002</c:v>
                </c:pt>
                <c:pt idx="21">
                  <c:v>557.85997315168504</c:v>
                </c:pt>
                <c:pt idx="22">
                  <c:v>491.79310556709919</c:v>
                </c:pt>
                <c:pt idx="23">
                  <c:v>413.25945652824373</c:v>
                </c:pt>
                <c:pt idx="24">
                  <c:v>456.64559731169675</c:v>
                </c:pt>
                <c:pt idx="25">
                  <c:v>457.38021778150312</c:v>
                </c:pt>
                <c:pt idx="26">
                  <c:v>369.20943650541011</c:v>
                </c:pt>
                <c:pt idx="27">
                  <c:v>343.62831925681951</c:v>
                </c:pt>
                <c:pt idx="28">
                  <c:v>303.20786851814034</c:v>
                </c:pt>
                <c:pt idx="29">
                  <c:v>494.84586174162786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E0-4359-A5C2-3B9A1D4B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9408"/>
        <c:axId val="116531584"/>
      </c:scatterChart>
      <c:valAx>
        <c:axId val="11652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GRE-V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531584"/>
        <c:crosses val="autoZero"/>
        <c:crossBetween val="midCat"/>
      </c:valAx>
      <c:valAx>
        <c:axId val="11653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GRE-Q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52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new Q (standardizdd)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Standardized!$F$3:$F$32</c:f>
              <c:numCache>
                <c:formatCode>0.00</c:formatCode>
                <c:ptCount val="30"/>
                <c:pt idx="0">
                  <c:v>-0.68086455602769269</c:v>
                </c:pt>
                <c:pt idx="1">
                  <c:v>-1.6133611167223836</c:v>
                </c:pt>
                <c:pt idx="2">
                  <c:v>0.98278573034959671</c:v>
                </c:pt>
                <c:pt idx="3">
                  <c:v>-0.46769099238897738</c:v>
                </c:pt>
                <c:pt idx="4">
                  <c:v>0.42328779393278215</c:v>
                </c:pt>
                <c:pt idx="5">
                  <c:v>-2.41645449038923</c:v>
                </c:pt>
                <c:pt idx="6">
                  <c:v>0.98447583443911435</c:v>
                </c:pt>
                <c:pt idx="7">
                  <c:v>0.4829558165714023</c:v>
                </c:pt>
                <c:pt idx="8">
                  <c:v>1.0064471876028427</c:v>
                </c:pt>
                <c:pt idx="9">
                  <c:v>0.29226798560192108</c:v>
                </c:pt>
                <c:pt idx="10">
                  <c:v>0.79011386414459495</c:v>
                </c:pt>
                <c:pt idx="11">
                  <c:v>-0.76375313920055388</c:v>
                </c:pt>
                <c:pt idx="12">
                  <c:v>2.1410434560105666E-2</c:v>
                </c:pt>
                <c:pt idx="13">
                  <c:v>-0.90755895238254836</c:v>
                </c:pt>
                <c:pt idx="14">
                  <c:v>0.33349182882884876</c:v>
                </c:pt>
                <c:pt idx="15">
                  <c:v>0.38897133263692585</c:v>
                </c:pt>
                <c:pt idx="16">
                  <c:v>0.28514015531134679</c:v>
                </c:pt>
                <c:pt idx="17">
                  <c:v>-1.1590905305746626</c:v>
                </c:pt>
                <c:pt idx="18">
                  <c:v>-0.39670662062923945</c:v>
                </c:pt>
                <c:pt idx="19">
                  <c:v>1.2448988297978212</c:v>
                </c:pt>
                <c:pt idx="20">
                  <c:v>1.5066445153135415</c:v>
                </c:pt>
                <c:pt idx="21">
                  <c:v>1.6623545399086592</c:v>
                </c:pt>
                <c:pt idx="22">
                  <c:v>0.77020002900288775</c:v>
                </c:pt>
                <c:pt idx="23">
                  <c:v>-0.29030354577613354</c:v>
                </c:pt>
                <c:pt idx="24">
                  <c:v>0.29557471099445493</c:v>
                </c:pt>
                <c:pt idx="25">
                  <c:v>0.30549488717205819</c:v>
                </c:pt>
                <c:pt idx="26">
                  <c:v>-0.88514670249981575</c:v>
                </c:pt>
                <c:pt idx="27">
                  <c:v>-1.2305892818399058</c:v>
                </c:pt>
                <c:pt idx="28">
                  <c:v>-1.776419419967578</c:v>
                </c:pt>
                <c:pt idx="29">
                  <c:v>0.81142387222981627</c:v>
                </c:pt>
              </c:numCache>
            </c:numRef>
          </c:xVal>
          <c:yVal>
            <c:numRef>
              <c:f>Standardized!$G$3:$G$32</c:f>
              <c:numCache>
                <c:formatCode>0.00</c:formatCode>
                <c:ptCount val="30"/>
                <c:pt idx="0">
                  <c:v>-0.46895203448138079</c:v>
                </c:pt>
                <c:pt idx="1">
                  <c:v>-1.2969282062050642</c:v>
                </c:pt>
                <c:pt idx="2">
                  <c:v>0.13059872637492118</c:v>
                </c:pt>
                <c:pt idx="3">
                  <c:v>-0.72524921411125653</c:v>
                </c:pt>
                <c:pt idx="4">
                  <c:v>1.4351205974447192</c:v>
                </c:pt>
                <c:pt idx="5">
                  <c:v>-0.10521226359671712</c:v>
                </c:pt>
                <c:pt idx="6">
                  <c:v>1.2323688663207075</c:v>
                </c:pt>
                <c:pt idx="7">
                  <c:v>-0.43448599866151455</c:v>
                </c:pt>
                <c:pt idx="8">
                  <c:v>0.3724764420393421</c:v>
                </c:pt>
                <c:pt idx="9">
                  <c:v>-0.56883319951038214</c:v>
                </c:pt>
                <c:pt idx="10">
                  <c:v>-0.64699724503043665</c:v>
                </c:pt>
                <c:pt idx="11">
                  <c:v>5.0412438957272307E-2</c:v>
                </c:pt>
                <c:pt idx="12">
                  <c:v>0.76312082251808488</c:v>
                </c:pt>
                <c:pt idx="13">
                  <c:v>-0.14952573822226009</c:v>
                </c:pt>
                <c:pt idx="14">
                  <c:v>0.70869613840457157</c:v>
                </c:pt>
                <c:pt idx="15">
                  <c:v>0.352166099502635</c:v>
                </c:pt>
                <c:pt idx="16">
                  <c:v>-0.42288008864053861</c:v>
                </c:pt>
                <c:pt idx="17">
                  <c:v>-0.58465944044807605</c:v>
                </c:pt>
                <c:pt idx="18">
                  <c:v>0.53759688915594772</c:v>
                </c:pt>
                <c:pt idx="19">
                  <c:v>2.2100788620271281</c:v>
                </c:pt>
                <c:pt idx="20">
                  <c:v>0.52581513201344254</c:v>
                </c:pt>
                <c:pt idx="21">
                  <c:v>1.5379032399789638</c:v>
                </c:pt>
                <c:pt idx="22">
                  <c:v>1.3879056453139327</c:v>
                </c:pt>
                <c:pt idx="23">
                  <c:v>-1.6852865741039182</c:v>
                </c:pt>
                <c:pt idx="24">
                  <c:v>-0.25468231689715903</c:v>
                </c:pt>
                <c:pt idx="25">
                  <c:v>0.54427907977408552</c:v>
                </c:pt>
                <c:pt idx="26">
                  <c:v>-1.5388938454302501</c:v>
                </c:pt>
                <c:pt idx="27">
                  <c:v>-1.9542447464839487</c:v>
                </c:pt>
                <c:pt idx="28">
                  <c:v>-1.358738469422835</c:v>
                </c:pt>
                <c:pt idx="29">
                  <c:v>0.40703040141997376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58-4833-B512-95DE0B620115}"/>
            </c:ext>
          </c:extLst>
        </c:ser>
        <c:ser>
          <c:idx val="1"/>
          <c:order val="1"/>
          <c:tx>
            <c:v>Predicted new Q (standardized)</c:v>
          </c:tx>
          <c:spPr>
            <a:ln w="28575">
              <a:noFill/>
            </a:ln>
          </c:spPr>
          <c:xVal>
            <c:numRef>
              <c:f>Standardized!$F$3:$F$32</c:f>
              <c:numCache>
                <c:formatCode>0.00</c:formatCode>
                <c:ptCount val="30"/>
                <c:pt idx="0">
                  <c:v>-0.68086455602769269</c:v>
                </c:pt>
                <c:pt idx="1">
                  <c:v>-1.6133611167223836</c:v>
                </c:pt>
                <c:pt idx="2">
                  <c:v>0.98278573034959671</c:v>
                </c:pt>
                <c:pt idx="3">
                  <c:v>-0.46769099238897738</c:v>
                </c:pt>
                <c:pt idx="4">
                  <c:v>0.42328779393278215</c:v>
                </c:pt>
                <c:pt idx="5">
                  <c:v>-2.41645449038923</c:v>
                </c:pt>
                <c:pt idx="6">
                  <c:v>0.98447583443911435</c:v>
                </c:pt>
                <c:pt idx="7">
                  <c:v>0.4829558165714023</c:v>
                </c:pt>
                <c:pt idx="8">
                  <c:v>1.0064471876028427</c:v>
                </c:pt>
                <c:pt idx="9">
                  <c:v>0.29226798560192108</c:v>
                </c:pt>
                <c:pt idx="10">
                  <c:v>0.79011386414459495</c:v>
                </c:pt>
                <c:pt idx="11">
                  <c:v>-0.76375313920055388</c:v>
                </c:pt>
                <c:pt idx="12">
                  <c:v>2.1410434560105666E-2</c:v>
                </c:pt>
                <c:pt idx="13">
                  <c:v>-0.90755895238254836</c:v>
                </c:pt>
                <c:pt idx="14">
                  <c:v>0.33349182882884876</c:v>
                </c:pt>
                <c:pt idx="15">
                  <c:v>0.38897133263692585</c:v>
                </c:pt>
                <c:pt idx="16">
                  <c:v>0.28514015531134679</c:v>
                </c:pt>
                <c:pt idx="17">
                  <c:v>-1.1590905305746626</c:v>
                </c:pt>
                <c:pt idx="18">
                  <c:v>-0.39670662062923945</c:v>
                </c:pt>
                <c:pt idx="19">
                  <c:v>1.2448988297978212</c:v>
                </c:pt>
                <c:pt idx="20">
                  <c:v>1.5066445153135415</c:v>
                </c:pt>
                <c:pt idx="21">
                  <c:v>1.6623545399086592</c:v>
                </c:pt>
                <c:pt idx="22">
                  <c:v>0.77020002900288775</c:v>
                </c:pt>
                <c:pt idx="23">
                  <c:v>-0.29030354577613354</c:v>
                </c:pt>
                <c:pt idx="24">
                  <c:v>0.29557471099445493</c:v>
                </c:pt>
                <c:pt idx="25">
                  <c:v>0.30549488717205819</c:v>
                </c:pt>
                <c:pt idx="26">
                  <c:v>-0.88514670249981575</c:v>
                </c:pt>
                <c:pt idx="27">
                  <c:v>-1.2305892818399058</c:v>
                </c:pt>
                <c:pt idx="28">
                  <c:v>-1.776419419967578</c:v>
                </c:pt>
                <c:pt idx="29">
                  <c:v>0.81142387222981627</c:v>
                </c:pt>
              </c:numCache>
            </c:numRef>
          </c:xVal>
          <c:yVal>
            <c:numRef>
              <c:f>Standardized!$H$3:$H$32</c:f>
              <c:numCache>
                <c:formatCode>0.00</c:formatCode>
                <c:ptCount val="30"/>
                <c:pt idx="0">
                  <c:v>-0.44330514513479324</c:v>
                </c:pt>
                <c:pt idx="1">
                  <c:v>-1.0504457570476886</c:v>
                </c:pt>
                <c:pt idx="2">
                  <c:v>0.63988346429845744</c:v>
                </c:pt>
                <c:pt idx="3">
                  <c:v>-0.30450964354619525</c:v>
                </c:pt>
                <c:pt idx="4">
                  <c:v>0.27559909715072023</c:v>
                </c:pt>
                <c:pt idx="5">
                  <c:v>-1.5733330500024592</c:v>
                </c:pt>
                <c:pt idx="6">
                  <c:v>0.64098387675503721</c:v>
                </c:pt>
                <c:pt idx="7">
                  <c:v>0.31444844126996935</c:v>
                </c:pt>
                <c:pt idx="8">
                  <c:v>0.65528923869057354</c:v>
                </c:pt>
                <c:pt idx="9">
                  <c:v>0.19029320975586697</c:v>
                </c:pt>
                <c:pt idx="10">
                  <c:v>0.51443644424837021</c:v>
                </c:pt>
                <c:pt idx="11">
                  <c:v>-0.49727319952705046</c:v>
                </c:pt>
                <c:pt idx="12">
                  <c:v>1.3940152584004321E-2</c:v>
                </c:pt>
                <c:pt idx="13">
                  <c:v>-0.59090394637602883</c:v>
                </c:pt>
                <c:pt idx="14">
                  <c:v>0.2171337048924413</c:v>
                </c:pt>
                <c:pt idx="15">
                  <c:v>0.25325593988016709</c:v>
                </c:pt>
                <c:pt idx="16">
                  <c:v>0.1856523398302915</c:v>
                </c:pt>
                <c:pt idx="17">
                  <c:v>-0.75467402632700153</c:v>
                </c:pt>
                <c:pt idx="18">
                  <c:v>-0.25829232036984701</c:v>
                </c:pt>
                <c:pt idx="19">
                  <c:v>0.81054308310801637</c:v>
                </c:pt>
                <c:pt idx="20">
                  <c:v>0.98096348181831849</c:v>
                </c:pt>
                <c:pt idx="21">
                  <c:v>1.0823449598832058</c:v>
                </c:pt>
                <c:pt idx="22">
                  <c:v>0.5014707148686699</c:v>
                </c:pt>
                <c:pt idx="23">
                  <c:v>-0.18901417962517614</c:v>
                </c:pt>
                <c:pt idx="24">
                  <c:v>0.19244619064917476</c:v>
                </c:pt>
                <c:pt idx="25">
                  <c:v>0.19890513332909929</c:v>
                </c:pt>
                <c:pt idx="26">
                  <c:v>-0.576311520321385</c:v>
                </c:pt>
                <c:pt idx="27">
                  <c:v>-0.8012262576423087</c:v>
                </c:pt>
                <c:pt idx="28">
                  <c:v>-1.1566116370977055</c:v>
                </c:pt>
                <c:pt idx="29">
                  <c:v>0.52831121000524484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58-4833-B512-95DE0B62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3360"/>
        <c:axId val="119833728"/>
      </c:scatterChart>
      <c:valAx>
        <c:axId val="119823360"/>
        <c:scaling>
          <c:orientation val="minMax"/>
          <c:max val="3.5"/>
          <c:min val="-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0"/>
                  <a:t> (standardized)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9833728"/>
        <c:crossesAt val="-3.5"/>
        <c:crossBetween val="midCat"/>
      </c:valAx>
      <c:valAx>
        <c:axId val="119833728"/>
        <c:scaling>
          <c:orientation val="minMax"/>
          <c:max val="3.5"/>
          <c:min val="-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Q</a:t>
                </a:r>
                <a:r>
                  <a:rPr lang="en-US" baseline="0"/>
                  <a:t> (standardized)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9823360"/>
        <c:crossesAt val="-3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'GRE Data'!$B$3:$B$32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'GRE Data'!$D$3:$D$32</c:f>
              <c:numCache>
                <c:formatCode>0.00</c:formatCode>
                <c:ptCount val="30"/>
                <c:pt idx="0">
                  <c:v>384.33695299001215</c:v>
                </c:pt>
                <c:pt idx="1">
                  <c:v>315.28372008741371</c:v>
                </c:pt>
                <c:pt idx="2">
                  <c:v>507.53357969724851</c:v>
                </c:pt>
                <c:pt idx="3">
                  <c:v>400.1228811736558</c:v>
                </c:pt>
                <c:pt idx="4">
                  <c:v>466.10163995568939</c:v>
                </c:pt>
                <c:pt idx="5">
                  <c:v>255.81305165616868</c:v>
                </c:pt>
                <c:pt idx="6">
                  <c:v>507.65873528091748</c:v>
                </c:pt>
                <c:pt idx="7">
                  <c:v>470.52017621391713</c:v>
                </c:pt>
                <c:pt idx="8">
                  <c:v>509.28575786861467</c:v>
                </c:pt>
                <c:pt idx="9">
                  <c:v>456.39936144778301</c:v>
                </c:pt>
                <c:pt idx="10">
                  <c:v>493.26584315898117</c:v>
                </c:pt>
                <c:pt idx="11">
                  <c:v>378.19888784311451</c:v>
                </c:pt>
                <c:pt idx="12">
                  <c:v>436.34181877804474</c:v>
                </c:pt>
                <c:pt idx="13">
                  <c:v>367.5497801370164</c:v>
                </c:pt>
                <c:pt idx="14">
                  <c:v>459.4520693798836</c:v>
                </c:pt>
                <c:pt idx="15">
                  <c:v>463.5604374524969</c:v>
                </c:pt>
                <c:pt idx="16">
                  <c:v>455.87153137752671</c:v>
                </c:pt>
                <c:pt idx="17">
                  <c:v>348.92336435879776</c:v>
                </c:pt>
                <c:pt idx="18">
                  <c:v>405.37941568775432</c:v>
                </c:pt>
                <c:pt idx="19">
                  <c:v>526.94357826017745</c:v>
                </c:pt>
                <c:pt idx="20">
                  <c:v>546.32636908752625</c:v>
                </c:pt>
                <c:pt idx="21">
                  <c:v>557.85700742642348</c:v>
                </c:pt>
                <c:pt idx="22">
                  <c:v>491.7911838905332</c:v>
                </c:pt>
                <c:pt idx="23">
                  <c:v>413.25877591178607</c:v>
                </c:pt>
                <c:pt idx="24">
                  <c:v>456.64423106800496</c:v>
                </c:pt>
                <c:pt idx="25">
                  <c:v>457.37883992867086</c:v>
                </c:pt>
                <c:pt idx="26">
                  <c:v>369.20945200740982</c:v>
                </c:pt>
                <c:pt idx="27">
                  <c:v>343.62873901488695</c:v>
                </c:pt>
                <c:pt idx="28">
                  <c:v>303.20892703691203</c:v>
                </c:pt>
                <c:pt idx="29">
                  <c:v>494.84389182263391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8E-46EB-863B-A21B9114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9776"/>
        <c:axId val="34002816"/>
      </c:scatterChart>
      <c:valAx>
        <c:axId val="339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4002816"/>
        <c:crosses val="autoZero"/>
        <c:crossBetween val="midCat"/>
      </c:valAx>
      <c:valAx>
        <c:axId val="34002816"/>
        <c:scaling>
          <c:orientation val="minMax"/>
          <c:max val="8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979776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31750"/>
            </c:spPr>
            <c:trendlineType val="linear"/>
            <c:dispRSqr val="0"/>
            <c:dispEq val="0"/>
          </c:trendline>
          <c:xVal>
            <c:numRef>
              <c:f>'GRE Data'!$B$3:$B$32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'GRE Data'!$E$3:$E$32</c:f>
              <c:numCache>
                <c:formatCode>0.00</c:formatCode>
                <c:ptCount val="30"/>
                <c:pt idx="0">
                  <c:v>-2.9169529900121347</c:v>
                </c:pt>
                <c:pt idx="1">
                  <c:v>-28.033720087413712</c:v>
                </c:pt>
                <c:pt idx="2">
                  <c:v>-57.923579697248499</c:v>
                </c:pt>
                <c:pt idx="3">
                  <c:v>-47.852881173655817</c:v>
                </c:pt>
                <c:pt idx="4">
                  <c:v>131.87836004431063</c:v>
                </c:pt>
                <c:pt idx="5">
                  <c:v>166.97694834383134</c:v>
                </c:pt>
                <c:pt idx="6">
                  <c:v>67.261264719082476</c:v>
                </c:pt>
                <c:pt idx="7">
                  <c:v>-85.18017621391715</c:v>
                </c:pt>
                <c:pt idx="8">
                  <c:v>-32.165757868614662</c:v>
                </c:pt>
                <c:pt idx="9">
                  <c:v>-86.339361447783006</c:v>
                </c:pt>
                <c:pt idx="10">
                  <c:v>-132.09584315898115</c:v>
                </c:pt>
                <c:pt idx="11">
                  <c:v>62.291112156885504</c:v>
                </c:pt>
                <c:pt idx="12">
                  <c:v>85.208181221955215</c:v>
                </c:pt>
                <c:pt idx="13">
                  <c:v>50.200219862983602</c:v>
                </c:pt>
                <c:pt idx="14">
                  <c:v>55.907930620116417</c:v>
                </c:pt>
                <c:pt idx="15">
                  <c:v>11.249562547503103</c:v>
                </c:pt>
                <c:pt idx="16">
                  <c:v>-69.211531377526683</c:v>
                </c:pt>
                <c:pt idx="17">
                  <c:v>19.336635641202236</c:v>
                </c:pt>
                <c:pt idx="18">
                  <c:v>90.52058431224566</c:v>
                </c:pt>
                <c:pt idx="19">
                  <c:v>159.17642173982256</c:v>
                </c:pt>
                <c:pt idx="20">
                  <c:v>-51.766369087526243</c:v>
                </c:pt>
                <c:pt idx="21">
                  <c:v>51.81299257357648</c:v>
                </c:pt>
                <c:pt idx="22">
                  <c:v>100.81881610946681</c:v>
                </c:pt>
                <c:pt idx="23">
                  <c:v>-170.17877591178606</c:v>
                </c:pt>
                <c:pt idx="24">
                  <c:v>-50.854231068004935</c:v>
                </c:pt>
                <c:pt idx="25">
                  <c:v>39.281160071329168</c:v>
                </c:pt>
                <c:pt idx="26">
                  <c:v>-109.4794520074098</c:v>
                </c:pt>
                <c:pt idx="27">
                  <c:v>-131.13873901488694</c:v>
                </c:pt>
                <c:pt idx="28">
                  <c:v>-22.988927036912003</c:v>
                </c:pt>
                <c:pt idx="29">
                  <c:v>-13.793891822633896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3A-49B8-9C46-DE07093E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5120"/>
        <c:axId val="33055488"/>
      </c:scatterChart>
      <c:valAx>
        <c:axId val="33045120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055488"/>
        <c:crossesAt val="-200"/>
        <c:crossBetween val="midCat"/>
      </c:valAx>
      <c:valAx>
        <c:axId val="3305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04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8575">
              <a:noFill/>
            </a:ln>
          </c:spPr>
          <c:xVal>
            <c:numRef>
              <c:f>'GRE Data'!$B$3:$B$32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'GRE Data'!$C$3:$C$32</c:f>
              <c:numCache>
                <c:formatCode>0.00</c:formatCode>
                <c:ptCount val="30"/>
                <c:pt idx="0">
                  <c:v>381.42</c:v>
                </c:pt>
                <c:pt idx="1">
                  <c:v>287.25</c:v>
                </c:pt>
                <c:pt idx="2">
                  <c:v>449.61</c:v>
                </c:pt>
                <c:pt idx="3">
                  <c:v>352.27</c:v>
                </c:pt>
                <c:pt idx="4">
                  <c:v>597.98</c:v>
                </c:pt>
                <c:pt idx="5">
                  <c:v>422.79</c:v>
                </c:pt>
                <c:pt idx="6">
                  <c:v>574.91999999999996</c:v>
                </c:pt>
                <c:pt idx="7">
                  <c:v>385.34</c:v>
                </c:pt>
                <c:pt idx="8">
                  <c:v>477.12</c:v>
                </c:pt>
                <c:pt idx="9">
                  <c:v>370.06</c:v>
                </c:pt>
                <c:pt idx="10">
                  <c:v>361.17</c:v>
                </c:pt>
                <c:pt idx="11">
                  <c:v>440.49</c:v>
                </c:pt>
                <c:pt idx="12">
                  <c:v>521.54999999999995</c:v>
                </c:pt>
                <c:pt idx="13">
                  <c:v>417.75</c:v>
                </c:pt>
                <c:pt idx="14">
                  <c:v>515.36</c:v>
                </c:pt>
                <c:pt idx="15">
                  <c:v>474.81</c:v>
                </c:pt>
                <c:pt idx="16">
                  <c:v>386.66</c:v>
                </c:pt>
                <c:pt idx="17">
                  <c:v>368.26</c:v>
                </c:pt>
                <c:pt idx="18">
                  <c:v>495.9</c:v>
                </c:pt>
                <c:pt idx="19">
                  <c:v>686.12</c:v>
                </c:pt>
                <c:pt idx="20">
                  <c:v>494.56</c:v>
                </c:pt>
                <c:pt idx="21">
                  <c:v>609.66999999999996</c:v>
                </c:pt>
                <c:pt idx="22">
                  <c:v>592.61</c:v>
                </c:pt>
                <c:pt idx="23">
                  <c:v>243.08</c:v>
                </c:pt>
                <c:pt idx="24">
                  <c:v>405.79</c:v>
                </c:pt>
                <c:pt idx="25">
                  <c:v>496.66</c:v>
                </c:pt>
                <c:pt idx="26">
                  <c:v>259.73</c:v>
                </c:pt>
                <c:pt idx="27">
                  <c:v>212.49</c:v>
                </c:pt>
                <c:pt idx="28">
                  <c:v>280.22000000000003</c:v>
                </c:pt>
                <c:pt idx="29">
                  <c:v>481.05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B8-4AEE-8A6F-7446397DAF9F}"/>
            </c:ext>
          </c:extLst>
        </c:ser>
        <c:ser>
          <c:idx val="0"/>
          <c:order val="1"/>
          <c:tx>
            <c:v>Predicted</c:v>
          </c:tx>
          <c:spPr>
            <a:ln w="28575">
              <a:noFill/>
            </a:ln>
          </c:spPr>
          <c:xVal>
            <c:numRef>
              <c:f>'GRE Data'!$B$3:$B$32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'GRE Data'!$D$3:$D$32</c:f>
              <c:numCache>
                <c:formatCode>0.00</c:formatCode>
                <c:ptCount val="30"/>
                <c:pt idx="0">
                  <c:v>384.33695299001215</c:v>
                </c:pt>
                <c:pt idx="1">
                  <c:v>315.28372008741371</c:v>
                </c:pt>
                <c:pt idx="2">
                  <c:v>507.53357969724851</c:v>
                </c:pt>
                <c:pt idx="3">
                  <c:v>400.1228811736558</c:v>
                </c:pt>
                <c:pt idx="4">
                  <c:v>466.10163995568939</c:v>
                </c:pt>
                <c:pt idx="5">
                  <c:v>255.81305165616868</c:v>
                </c:pt>
                <c:pt idx="6">
                  <c:v>507.65873528091748</c:v>
                </c:pt>
                <c:pt idx="7">
                  <c:v>470.52017621391713</c:v>
                </c:pt>
                <c:pt idx="8">
                  <c:v>509.28575786861467</c:v>
                </c:pt>
                <c:pt idx="9">
                  <c:v>456.39936144778301</c:v>
                </c:pt>
                <c:pt idx="10">
                  <c:v>493.26584315898117</c:v>
                </c:pt>
                <c:pt idx="11">
                  <c:v>378.19888784311451</c:v>
                </c:pt>
                <c:pt idx="12">
                  <c:v>436.34181877804474</c:v>
                </c:pt>
                <c:pt idx="13">
                  <c:v>367.5497801370164</c:v>
                </c:pt>
                <c:pt idx="14">
                  <c:v>459.4520693798836</c:v>
                </c:pt>
                <c:pt idx="15">
                  <c:v>463.5604374524969</c:v>
                </c:pt>
                <c:pt idx="16">
                  <c:v>455.87153137752671</c:v>
                </c:pt>
                <c:pt idx="17">
                  <c:v>348.92336435879776</c:v>
                </c:pt>
                <c:pt idx="18">
                  <c:v>405.37941568775432</c:v>
                </c:pt>
                <c:pt idx="19">
                  <c:v>526.94357826017745</c:v>
                </c:pt>
                <c:pt idx="20">
                  <c:v>546.32636908752625</c:v>
                </c:pt>
                <c:pt idx="21">
                  <c:v>557.85700742642348</c:v>
                </c:pt>
                <c:pt idx="22">
                  <c:v>491.7911838905332</c:v>
                </c:pt>
                <c:pt idx="23">
                  <c:v>413.25877591178607</c:v>
                </c:pt>
                <c:pt idx="24">
                  <c:v>456.64423106800496</c:v>
                </c:pt>
                <c:pt idx="25">
                  <c:v>457.37883992867086</c:v>
                </c:pt>
                <c:pt idx="26">
                  <c:v>369.20945200740982</c:v>
                </c:pt>
                <c:pt idx="27">
                  <c:v>343.62873901488695</c:v>
                </c:pt>
                <c:pt idx="28">
                  <c:v>303.20892703691203</c:v>
                </c:pt>
                <c:pt idx="29">
                  <c:v>494.84389182263391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B8-4AEE-8A6F-7446397D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7120"/>
        <c:axId val="33083392"/>
      </c:scatterChart>
      <c:valAx>
        <c:axId val="330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083392"/>
        <c:crosses val="autoZero"/>
        <c:crossBetween val="midCat"/>
      </c:valAx>
      <c:valAx>
        <c:axId val="33083392"/>
        <c:scaling>
          <c:orientation val="minMax"/>
          <c:max val="8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  <a:r>
                  <a:rPr lang="en-US" baseline="0"/>
                  <a:t> </a:t>
                </a: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077120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Covariance!$D$3:$D$32</c:f>
              <c:numCache>
                <c:formatCode>0.00</c:formatCode>
                <c:ptCount val="30"/>
                <c:pt idx="0">
                  <c:v>402.63</c:v>
                </c:pt>
                <c:pt idx="1">
                  <c:v>339.18</c:v>
                </c:pt>
                <c:pt idx="2">
                  <c:v>515.82999999999993</c:v>
                </c:pt>
                <c:pt idx="3">
                  <c:v>417.13499999999999</c:v>
                </c:pt>
                <c:pt idx="4">
                  <c:v>477.76</c:v>
                </c:pt>
                <c:pt idx="5">
                  <c:v>284.53499999999997</c:v>
                </c:pt>
                <c:pt idx="6">
                  <c:v>515.94499999999994</c:v>
                </c:pt>
                <c:pt idx="7">
                  <c:v>481.82</c:v>
                </c:pt>
                <c:pt idx="8">
                  <c:v>517.44000000000005</c:v>
                </c:pt>
                <c:pt idx="9">
                  <c:v>468.84500000000003</c:v>
                </c:pt>
                <c:pt idx="10">
                  <c:v>502.72</c:v>
                </c:pt>
                <c:pt idx="11">
                  <c:v>396.99</c:v>
                </c:pt>
                <c:pt idx="12">
                  <c:v>450.41499999999996</c:v>
                </c:pt>
                <c:pt idx="13">
                  <c:v>387.20500000000004</c:v>
                </c:pt>
                <c:pt idx="14">
                  <c:v>471.65</c:v>
                </c:pt>
                <c:pt idx="15">
                  <c:v>475.42500000000001</c:v>
                </c:pt>
                <c:pt idx="16">
                  <c:v>468.36</c:v>
                </c:pt>
                <c:pt idx="17">
                  <c:v>370.09000000000003</c:v>
                </c:pt>
                <c:pt idx="18">
                  <c:v>421.96500000000003</c:v>
                </c:pt>
                <c:pt idx="19">
                  <c:v>533.66499999999996</c:v>
                </c:pt>
                <c:pt idx="20">
                  <c:v>551.47500000000002</c:v>
                </c:pt>
                <c:pt idx="21">
                  <c:v>562.06999999999994</c:v>
                </c:pt>
                <c:pt idx="22">
                  <c:v>501.36500000000001</c:v>
                </c:pt>
                <c:pt idx="23">
                  <c:v>429.20500000000004</c:v>
                </c:pt>
                <c:pt idx="24">
                  <c:v>469.07</c:v>
                </c:pt>
                <c:pt idx="25">
                  <c:v>469.745</c:v>
                </c:pt>
                <c:pt idx="26">
                  <c:v>388.73</c:v>
                </c:pt>
                <c:pt idx="27">
                  <c:v>365.22500000000002</c:v>
                </c:pt>
                <c:pt idx="28">
                  <c:v>328.08500000000004</c:v>
                </c:pt>
                <c:pt idx="29">
                  <c:v>504.17</c:v>
                </c:pt>
              </c:numCache>
            </c:numRef>
          </c:xVal>
          <c:yVal>
            <c:numRef>
              <c:f>Covariance!$E$3:$E$32</c:f>
              <c:numCache>
                <c:formatCode>0.00</c:formatCode>
                <c:ptCount val="30"/>
                <c:pt idx="0">
                  <c:v>-21.20999999999998</c:v>
                </c:pt>
                <c:pt idx="1">
                  <c:v>-51.930000000000007</c:v>
                </c:pt>
                <c:pt idx="2">
                  <c:v>-66.219999999999914</c:v>
                </c:pt>
                <c:pt idx="3">
                  <c:v>-64.865000000000009</c:v>
                </c:pt>
                <c:pt idx="4">
                  <c:v>120.22000000000003</c:v>
                </c:pt>
                <c:pt idx="5">
                  <c:v>138.25500000000005</c:v>
                </c:pt>
                <c:pt idx="6">
                  <c:v>58.975000000000023</c:v>
                </c:pt>
                <c:pt idx="7">
                  <c:v>-96.480000000000018</c:v>
                </c:pt>
                <c:pt idx="8">
                  <c:v>-40.32000000000005</c:v>
                </c:pt>
                <c:pt idx="9">
                  <c:v>-98.785000000000025</c:v>
                </c:pt>
                <c:pt idx="10">
                  <c:v>-141.55000000000001</c:v>
                </c:pt>
                <c:pt idx="11">
                  <c:v>43.5</c:v>
                </c:pt>
                <c:pt idx="12">
                  <c:v>71.134999999999991</c:v>
                </c:pt>
                <c:pt idx="13">
                  <c:v>30.544999999999959</c:v>
                </c:pt>
                <c:pt idx="14">
                  <c:v>43.710000000000036</c:v>
                </c:pt>
                <c:pt idx="15">
                  <c:v>-0.61500000000000909</c:v>
                </c:pt>
                <c:pt idx="16">
                  <c:v>-81.699999999999989</c:v>
                </c:pt>
                <c:pt idx="17">
                  <c:v>-1.8300000000000409</c:v>
                </c:pt>
                <c:pt idx="18">
                  <c:v>73.934999999999945</c:v>
                </c:pt>
                <c:pt idx="19">
                  <c:v>152.45500000000004</c:v>
                </c:pt>
                <c:pt idx="20">
                  <c:v>-56.91500000000002</c:v>
                </c:pt>
                <c:pt idx="21">
                  <c:v>47.600000000000023</c:v>
                </c:pt>
                <c:pt idx="22">
                  <c:v>91.245000000000005</c:v>
                </c:pt>
                <c:pt idx="23">
                  <c:v>-186.12500000000003</c:v>
                </c:pt>
                <c:pt idx="24">
                  <c:v>-63.279999999999973</c:v>
                </c:pt>
                <c:pt idx="25">
                  <c:v>26.91500000000002</c:v>
                </c:pt>
                <c:pt idx="26">
                  <c:v>-129</c:v>
                </c:pt>
                <c:pt idx="27">
                  <c:v>-152.73500000000001</c:v>
                </c:pt>
                <c:pt idx="28">
                  <c:v>-47.865000000000009</c:v>
                </c:pt>
                <c:pt idx="29">
                  <c:v>-23.120000000000005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86-42CC-A3B2-1FE33CF4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8848"/>
        <c:axId val="114569216"/>
      </c:scatterChart>
      <c:valAx>
        <c:axId val="114558848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4569216"/>
        <c:crossesAt val="-200"/>
        <c:crossBetween val="midCat"/>
      </c:valAx>
      <c:valAx>
        <c:axId val="11456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455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Covariance!$B$3:$B$32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Covariance!$D$3:$D$32</c:f>
              <c:numCache>
                <c:formatCode>0.00</c:formatCode>
                <c:ptCount val="30"/>
                <c:pt idx="0">
                  <c:v>402.63</c:v>
                </c:pt>
                <c:pt idx="1">
                  <c:v>339.18</c:v>
                </c:pt>
                <c:pt idx="2">
                  <c:v>515.82999999999993</c:v>
                </c:pt>
                <c:pt idx="3">
                  <c:v>417.13499999999999</c:v>
                </c:pt>
                <c:pt idx="4">
                  <c:v>477.76</c:v>
                </c:pt>
                <c:pt idx="5">
                  <c:v>284.53499999999997</c:v>
                </c:pt>
                <c:pt idx="6">
                  <c:v>515.94499999999994</c:v>
                </c:pt>
                <c:pt idx="7">
                  <c:v>481.82</c:v>
                </c:pt>
                <c:pt idx="8">
                  <c:v>517.44000000000005</c:v>
                </c:pt>
                <c:pt idx="9">
                  <c:v>468.84500000000003</c:v>
                </c:pt>
                <c:pt idx="10">
                  <c:v>502.72</c:v>
                </c:pt>
                <c:pt idx="11">
                  <c:v>396.99</c:v>
                </c:pt>
                <c:pt idx="12">
                  <c:v>450.41499999999996</c:v>
                </c:pt>
                <c:pt idx="13">
                  <c:v>387.20500000000004</c:v>
                </c:pt>
                <c:pt idx="14">
                  <c:v>471.65</c:v>
                </c:pt>
                <c:pt idx="15">
                  <c:v>475.42500000000001</c:v>
                </c:pt>
                <c:pt idx="16">
                  <c:v>468.36</c:v>
                </c:pt>
                <c:pt idx="17">
                  <c:v>370.09000000000003</c:v>
                </c:pt>
                <c:pt idx="18">
                  <c:v>421.96500000000003</c:v>
                </c:pt>
                <c:pt idx="19">
                  <c:v>533.66499999999996</c:v>
                </c:pt>
                <c:pt idx="20">
                  <c:v>551.47500000000002</c:v>
                </c:pt>
                <c:pt idx="21">
                  <c:v>562.06999999999994</c:v>
                </c:pt>
                <c:pt idx="22">
                  <c:v>501.36500000000001</c:v>
                </c:pt>
                <c:pt idx="23">
                  <c:v>429.20500000000004</c:v>
                </c:pt>
                <c:pt idx="24">
                  <c:v>469.07</c:v>
                </c:pt>
                <c:pt idx="25">
                  <c:v>469.745</c:v>
                </c:pt>
                <c:pt idx="26">
                  <c:v>388.73</c:v>
                </c:pt>
                <c:pt idx="27">
                  <c:v>365.22500000000002</c:v>
                </c:pt>
                <c:pt idx="28">
                  <c:v>328.08500000000004</c:v>
                </c:pt>
                <c:pt idx="29">
                  <c:v>504.17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8-4901-BFCE-E9643048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6768"/>
        <c:axId val="115939200"/>
      </c:scatterChart>
      <c:valAx>
        <c:axId val="1145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939200"/>
        <c:crosses val="autoZero"/>
        <c:crossBetween val="midCat"/>
      </c:valAx>
      <c:valAx>
        <c:axId val="115939200"/>
        <c:scaling>
          <c:orientation val="minMax"/>
          <c:max val="8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4576768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31750"/>
            </c:spPr>
            <c:trendlineType val="linear"/>
            <c:dispRSqr val="0"/>
            <c:dispEq val="0"/>
          </c:trendline>
          <c:xVal>
            <c:numRef>
              <c:f>Covariance!$B$3:$B$32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Covariance!$E$3:$E$32</c:f>
              <c:numCache>
                <c:formatCode>0.00</c:formatCode>
                <c:ptCount val="30"/>
                <c:pt idx="0">
                  <c:v>-21.20999999999998</c:v>
                </c:pt>
                <c:pt idx="1">
                  <c:v>-51.930000000000007</c:v>
                </c:pt>
                <c:pt idx="2">
                  <c:v>-66.219999999999914</c:v>
                </c:pt>
                <c:pt idx="3">
                  <c:v>-64.865000000000009</c:v>
                </c:pt>
                <c:pt idx="4">
                  <c:v>120.22000000000003</c:v>
                </c:pt>
                <c:pt idx="5">
                  <c:v>138.25500000000005</c:v>
                </c:pt>
                <c:pt idx="6">
                  <c:v>58.975000000000023</c:v>
                </c:pt>
                <c:pt idx="7">
                  <c:v>-96.480000000000018</c:v>
                </c:pt>
                <c:pt idx="8">
                  <c:v>-40.32000000000005</c:v>
                </c:pt>
                <c:pt idx="9">
                  <c:v>-98.785000000000025</c:v>
                </c:pt>
                <c:pt idx="10">
                  <c:v>-141.55000000000001</c:v>
                </c:pt>
                <c:pt idx="11">
                  <c:v>43.5</c:v>
                </c:pt>
                <c:pt idx="12">
                  <c:v>71.134999999999991</c:v>
                </c:pt>
                <c:pt idx="13">
                  <c:v>30.544999999999959</c:v>
                </c:pt>
                <c:pt idx="14">
                  <c:v>43.710000000000036</c:v>
                </c:pt>
                <c:pt idx="15">
                  <c:v>-0.61500000000000909</c:v>
                </c:pt>
                <c:pt idx="16">
                  <c:v>-81.699999999999989</c:v>
                </c:pt>
                <c:pt idx="17">
                  <c:v>-1.8300000000000409</c:v>
                </c:pt>
                <c:pt idx="18">
                  <c:v>73.934999999999945</c:v>
                </c:pt>
                <c:pt idx="19">
                  <c:v>152.45500000000004</c:v>
                </c:pt>
                <c:pt idx="20">
                  <c:v>-56.91500000000002</c:v>
                </c:pt>
                <c:pt idx="21">
                  <c:v>47.600000000000023</c:v>
                </c:pt>
                <c:pt idx="22">
                  <c:v>91.245000000000005</c:v>
                </c:pt>
                <c:pt idx="23">
                  <c:v>-186.12500000000003</c:v>
                </c:pt>
                <c:pt idx="24">
                  <c:v>-63.279999999999973</c:v>
                </c:pt>
                <c:pt idx="25">
                  <c:v>26.91500000000002</c:v>
                </c:pt>
                <c:pt idx="26">
                  <c:v>-129</c:v>
                </c:pt>
                <c:pt idx="27">
                  <c:v>-152.73500000000001</c:v>
                </c:pt>
                <c:pt idx="28">
                  <c:v>-47.865000000000009</c:v>
                </c:pt>
                <c:pt idx="29">
                  <c:v>-23.120000000000005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23-4408-8A57-743AC7F4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6352"/>
        <c:axId val="116146944"/>
      </c:scatterChart>
      <c:valAx>
        <c:axId val="115956352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146944"/>
        <c:crossesAt val="-200"/>
        <c:crossBetween val="midCat"/>
      </c:valAx>
      <c:valAx>
        <c:axId val="11614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95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8575">
              <a:noFill/>
            </a:ln>
          </c:spPr>
          <c:xVal>
            <c:numRef>
              <c:f>Covariance!$B$3:$B$32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Covariance!$C$3:$C$32</c:f>
              <c:numCache>
                <c:formatCode>0.00</c:formatCode>
                <c:ptCount val="30"/>
                <c:pt idx="0">
                  <c:v>381.42</c:v>
                </c:pt>
                <c:pt idx="1">
                  <c:v>287.25</c:v>
                </c:pt>
                <c:pt idx="2">
                  <c:v>449.61</c:v>
                </c:pt>
                <c:pt idx="3">
                  <c:v>352.27</c:v>
                </c:pt>
                <c:pt idx="4">
                  <c:v>597.98</c:v>
                </c:pt>
                <c:pt idx="5">
                  <c:v>422.79</c:v>
                </c:pt>
                <c:pt idx="6">
                  <c:v>574.91999999999996</c:v>
                </c:pt>
                <c:pt idx="7">
                  <c:v>385.34</c:v>
                </c:pt>
                <c:pt idx="8">
                  <c:v>477.12</c:v>
                </c:pt>
                <c:pt idx="9">
                  <c:v>370.06</c:v>
                </c:pt>
                <c:pt idx="10">
                  <c:v>361.17</c:v>
                </c:pt>
                <c:pt idx="11">
                  <c:v>440.49</c:v>
                </c:pt>
                <c:pt idx="12">
                  <c:v>521.54999999999995</c:v>
                </c:pt>
                <c:pt idx="13">
                  <c:v>417.75</c:v>
                </c:pt>
                <c:pt idx="14">
                  <c:v>515.36</c:v>
                </c:pt>
                <c:pt idx="15">
                  <c:v>474.81</c:v>
                </c:pt>
                <c:pt idx="16">
                  <c:v>386.66</c:v>
                </c:pt>
                <c:pt idx="17">
                  <c:v>368.26</c:v>
                </c:pt>
                <c:pt idx="18">
                  <c:v>495.9</c:v>
                </c:pt>
                <c:pt idx="19">
                  <c:v>686.12</c:v>
                </c:pt>
                <c:pt idx="20">
                  <c:v>494.56</c:v>
                </c:pt>
                <c:pt idx="21">
                  <c:v>609.66999999999996</c:v>
                </c:pt>
                <c:pt idx="22">
                  <c:v>592.61</c:v>
                </c:pt>
                <c:pt idx="23">
                  <c:v>243.08</c:v>
                </c:pt>
                <c:pt idx="24">
                  <c:v>405.79</c:v>
                </c:pt>
                <c:pt idx="25">
                  <c:v>496.66</c:v>
                </c:pt>
                <c:pt idx="26">
                  <c:v>259.73</c:v>
                </c:pt>
                <c:pt idx="27">
                  <c:v>212.49</c:v>
                </c:pt>
                <c:pt idx="28">
                  <c:v>280.22000000000003</c:v>
                </c:pt>
                <c:pt idx="29">
                  <c:v>481.05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48-4B13-898F-D452461E8046}"/>
            </c:ext>
          </c:extLst>
        </c:ser>
        <c:ser>
          <c:idx val="0"/>
          <c:order val="1"/>
          <c:tx>
            <c:v>Predicted</c:v>
          </c:tx>
          <c:spPr>
            <a:ln w="28575">
              <a:noFill/>
            </a:ln>
          </c:spPr>
          <c:xVal>
            <c:numRef>
              <c:f>Covariance!$B$3:$B$32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Covariance!$D$3:$D$32</c:f>
              <c:numCache>
                <c:formatCode>0.00</c:formatCode>
                <c:ptCount val="30"/>
                <c:pt idx="0">
                  <c:v>402.63</c:v>
                </c:pt>
                <c:pt idx="1">
                  <c:v>339.18</c:v>
                </c:pt>
                <c:pt idx="2">
                  <c:v>515.82999999999993</c:v>
                </c:pt>
                <c:pt idx="3">
                  <c:v>417.13499999999999</c:v>
                </c:pt>
                <c:pt idx="4">
                  <c:v>477.76</c:v>
                </c:pt>
                <c:pt idx="5">
                  <c:v>284.53499999999997</c:v>
                </c:pt>
                <c:pt idx="6">
                  <c:v>515.94499999999994</c:v>
                </c:pt>
                <c:pt idx="7">
                  <c:v>481.82</c:v>
                </c:pt>
                <c:pt idx="8">
                  <c:v>517.44000000000005</c:v>
                </c:pt>
                <c:pt idx="9">
                  <c:v>468.84500000000003</c:v>
                </c:pt>
                <c:pt idx="10">
                  <c:v>502.72</c:v>
                </c:pt>
                <c:pt idx="11">
                  <c:v>396.99</c:v>
                </c:pt>
                <c:pt idx="12">
                  <c:v>450.41499999999996</c:v>
                </c:pt>
                <c:pt idx="13">
                  <c:v>387.20500000000004</c:v>
                </c:pt>
                <c:pt idx="14">
                  <c:v>471.65</c:v>
                </c:pt>
                <c:pt idx="15">
                  <c:v>475.42500000000001</c:v>
                </c:pt>
                <c:pt idx="16">
                  <c:v>468.36</c:v>
                </c:pt>
                <c:pt idx="17">
                  <c:v>370.09000000000003</c:v>
                </c:pt>
                <c:pt idx="18">
                  <c:v>421.96500000000003</c:v>
                </c:pt>
                <c:pt idx="19">
                  <c:v>533.66499999999996</c:v>
                </c:pt>
                <c:pt idx="20">
                  <c:v>551.47500000000002</c:v>
                </c:pt>
                <c:pt idx="21">
                  <c:v>562.06999999999994</c:v>
                </c:pt>
                <c:pt idx="22">
                  <c:v>501.36500000000001</c:v>
                </c:pt>
                <c:pt idx="23">
                  <c:v>429.20500000000004</c:v>
                </c:pt>
                <c:pt idx="24">
                  <c:v>469.07</c:v>
                </c:pt>
                <c:pt idx="25">
                  <c:v>469.745</c:v>
                </c:pt>
                <c:pt idx="26">
                  <c:v>388.73</c:v>
                </c:pt>
                <c:pt idx="27">
                  <c:v>365.22500000000002</c:v>
                </c:pt>
                <c:pt idx="28">
                  <c:v>328.08500000000004</c:v>
                </c:pt>
                <c:pt idx="29">
                  <c:v>504.17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48-4B13-898F-D452461E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2288"/>
        <c:axId val="116174208"/>
      </c:scatterChart>
      <c:valAx>
        <c:axId val="1161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174208"/>
        <c:crosses val="autoZero"/>
        <c:crossBetween val="midCat"/>
      </c:valAx>
      <c:valAx>
        <c:axId val="116174208"/>
        <c:scaling>
          <c:orientation val="minMax"/>
          <c:max val="8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  <a:r>
                  <a:rPr lang="en-US" baseline="0"/>
                  <a:t> </a:t>
                </a: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172288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'Linearly transformed'!$C$2</c:f>
              <c:strCache>
                <c:ptCount val="1"/>
                <c:pt idx="0">
                  <c:v>GRE-Q</c:v>
                </c:pt>
              </c:strCache>
            </c:strRef>
          </c:tx>
          <c:spPr>
            <a:ln w="28575">
              <a:noFill/>
            </a:ln>
          </c:spPr>
          <c:xVal>
            <c:numRef>
              <c:f>'Linearly transformed'!$B$3:$B$32</c:f>
              <c:numCache>
                <c:formatCode>0.00</c:formatCode>
                <c:ptCount val="30"/>
                <c:pt idx="0">
                  <c:v>405.26</c:v>
                </c:pt>
                <c:pt idx="1">
                  <c:v>278.36</c:v>
                </c:pt>
                <c:pt idx="2">
                  <c:v>631.66</c:v>
                </c:pt>
                <c:pt idx="3">
                  <c:v>434.27</c:v>
                </c:pt>
                <c:pt idx="4">
                  <c:v>555.52</c:v>
                </c:pt>
                <c:pt idx="5">
                  <c:v>169.07</c:v>
                </c:pt>
                <c:pt idx="6">
                  <c:v>631.89</c:v>
                </c:pt>
                <c:pt idx="7">
                  <c:v>563.64</c:v>
                </c:pt>
                <c:pt idx="8">
                  <c:v>634.88</c:v>
                </c:pt>
                <c:pt idx="9">
                  <c:v>537.69000000000005</c:v>
                </c:pt>
                <c:pt idx="10">
                  <c:v>605.44000000000005</c:v>
                </c:pt>
                <c:pt idx="11">
                  <c:v>393.98</c:v>
                </c:pt>
                <c:pt idx="12">
                  <c:v>500.83</c:v>
                </c:pt>
                <c:pt idx="13">
                  <c:v>374.41</c:v>
                </c:pt>
                <c:pt idx="14">
                  <c:v>543.29999999999995</c:v>
                </c:pt>
                <c:pt idx="15">
                  <c:v>550.85</c:v>
                </c:pt>
                <c:pt idx="16">
                  <c:v>536.72</c:v>
                </c:pt>
                <c:pt idx="17">
                  <c:v>340.18</c:v>
                </c:pt>
                <c:pt idx="18">
                  <c:v>443.93</c:v>
                </c:pt>
                <c:pt idx="19">
                  <c:v>667.33</c:v>
                </c:pt>
                <c:pt idx="20">
                  <c:v>702.95</c:v>
                </c:pt>
                <c:pt idx="21">
                  <c:v>724.14</c:v>
                </c:pt>
                <c:pt idx="22">
                  <c:v>602.73</c:v>
                </c:pt>
                <c:pt idx="23">
                  <c:v>458.41</c:v>
                </c:pt>
                <c:pt idx="24">
                  <c:v>538.14</c:v>
                </c:pt>
                <c:pt idx="25">
                  <c:v>539.49</c:v>
                </c:pt>
                <c:pt idx="26">
                  <c:v>377.46</c:v>
                </c:pt>
                <c:pt idx="27">
                  <c:v>330.45</c:v>
                </c:pt>
                <c:pt idx="28">
                  <c:v>256.17</c:v>
                </c:pt>
                <c:pt idx="29">
                  <c:v>608.34</c:v>
                </c:pt>
              </c:numCache>
            </c:numRef>
          </c:xVal>
          <c:yVal>
            <c:numRef>
              <c:f>'Linearly transformed'!$C$3:$C$32</c:f>
              <c:numCache>
                <c:formatCode>0.00</c:formatCode>
                <c:ptCount val="30"/>
                <c:pt idx="0">
                  <c:v>381.42</c:v>
                </c:pt>
                <c:pt idx="1">
                  <c:v>287.25</c:v>
                </c:pt>
                <c:pt idx="2">
                  <c:v>449.61</c:v>
                </c:pt>
                <c:pt idx="3">
                  <c:v>352.27</c:v>
                </c:pt>
                <c:pt idx="4">
                  <c:v>597.98</c:v>
                </c:pt>
                <c:pt idx="5">
                  <c:v>422.79</c:v>
                </c:pt>
                <c:pt idx="6">
                  <c:v>574.91999999999996</c:v>
                </c:pt>
                <c:pt idx="7">
                  <c:v>385.34</c:v>
                </c:pt>
                <c:pt idx="8">
                  <c:v>477.12</c:v>
                </c:pt>
                <c:pt idx="9">
                  <c:v>370.06</c:v>
                </c:pt>
                <c:pt idx="10">
                  <c:v>361.17</c:v>
                </c:pt>
                <c:pt idx="11">
                  <c:v>440.49</c:v>
                </c:pt>
                <c:pt idx="12">
                  <c:v>521.54999999999995</c:v>
                </c:pt>
                <c:pt idx="13">
                  <c:v>417.75</c:v>
                </c:pt>
                <c:pt idx="14">
                  <c:v>515.36</c:v>
                </c:pt>
                <c:pt idx="15">
                  <c:v>474.81</c:v>
                </c:pt>
                <c:pt idx="16">
                  <c:v>386.66</c:v>
                </c:pt>
                <c:pt idx="17">
                  <c:v>368.26</c:v>
                </c:pt>
                <c:pt idx="18">
                  <c:v>495.9</c:v>
                </c:pt>
                <c:pt idx="19">
                  <c:v>686.12</c:v>
                </c:pt>
                <c:pt idx="20">
                  <c:v>494.56</c:v>
                </c:pt>
                <c:pt idx="21">
                  <c:v>609.66999999999996</c:v>
                </c:pt>
                <c:pt idx="22">
                  <c:v>592.61</c:v>
                </c:pt>
                <c:pt idx="23">
                  <c:v>243.08</c:v>
                </c:pt>
                <c:pt idx="24">
                  <c:v>405.79</c:v>
                </c:pt>
                <c:pt idx="25">
                  <c:v>496.66</c:v>
                </c:pt>
                <c:pt idx="26">
                  <c:v>259.73</c:v>
                </c:pt>
                <c:pt idx="27">
                  <c:v>212.49</c:v>
                </c:pt>
                <c:pt idx="28">
                  <c:v>280.22000000000003</c:v>
                </c:pt>
                <c:pt idx="29">
                  <c:v>481.05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1B-4161-885E-6D9478E0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7392"/>
        <c:axId val="116029312"/>
      </c:scatterChart>
      <c:valAx>
        <c:axId val="1160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GRE V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16029312"/>
        <c:crosses val="autoZero"/>
        <c:crossBetween val="midCat"/>
      </c:valAx>
      <c:valAx>
        <c:axId val="116029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GRE Q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1602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47</xdr:row>
      <xdr:rowOff>57150</xdr:rowOff>
    </xdr:from>
    <xdr:to>
      <xdr:col>14</xdr:col>
      <xdr:colOff>385763</xdr:colOff>
      <xdr:row>66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24</xdr:row>
      <xdr:rowOff>57150</xdr:rowOff>
    </xdr:from>
    <xdr:to>
      <xdr:col>21</xdr:col>
      <xdr:colOff>576263</xdr:colOff>
      <xdr:row>43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47</xdr:row>
      <xdr:rowOff>38100</xdr:rowOff>
    </xdr:from>
    <xdr:to>
      <xdr:col>22</xdr:col>
      <xdr:colOff>223838</xdr:colOff>
      <xdr:row>66</xdr:row>
      <xdr:rowOff>38101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24</xdr:row>
      <xdr:rowOff>66675</xdr:rowOff>
    </xdr:from>
    <xdr:to>
      <xdr:col>14</xdr:col>
      <xdr:colOff>385763</xdr:colOff>
      <xdr:row>43</xdr:row>
      <xdr:rowOff>9526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23</xdr:row>
      <xdr:rowOff>28575</xdr:rowOff>
    </xdr:from>
    <xdr:to>
      <xdr:col>18</xdr:col>
      <xdr:colOff>42863</xdr:colOff>
      <xdr:row>41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0</xdr:row>
      <xdr:rowOff>180975</xdr:rowOff>
    </xdr:from>
    <xdr:to>
      <xdr:col>25</xdr:col>
      <xdr:colOff>233363</xdr:colOff>
      <xdr:row>18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23</xdr:row>
      <xdr:rowOff>9525</xdr:rowOff>
    </xdr:from>
    <xdr:to>
      <xdr:col>25</xdr:col>
      <xdr:colOff>490538</xdr:colOff>
      <xdr:row>41</xdr:row>
      <xdr:rowOff>152401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1</xdr:row>
      <xdr:rowOff>0</xdr:rowOff>
    </xdr:from>
    <xdr:to>
      <xdr:col>18</xdr:col>
      <xdr:colOff>42863</xdr:colOff>
      <xdr:row>19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2</xdr:row>
      <xdr:rowOff>28574</xdr:rowOff>
    </xdr:from>
    <xdr:to>
      <xdr:col>16</xdr:col>
      <xdr:colOff>57151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2</xdr:row>
      <xdr:rowOff>28575</xdr:rowOff>
    </xdr:from>
    <xdr:to>
      <xdr:col>22</xdr:col>
      <xdr:colOff>604839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200024</xdr:rowOff>
    </xdr:from>
    <xdr:to>
      <xdr:col>20</xdr:col>
      <xdr:colOff>161925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933450</xdr:colOff>
      <xdr:row>25</xdr:row>
      <xdr:rowOff>161925</xdr:rowOff>
    </xdr:from>
    <xdr:to>
      <xdr:col>21</xdr:col>
      <xdr:colOff>57150</xdr:colOff>
      <xdr:row>41</xdr:row>
      <xdr:rowOff>142876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/>
  </sheetViews>
  <sheetFormatPr defaultRowHeight="15" x14ac:dyDescent="0.25"/>
  <cols>
    <col min="1" max="1" width="17" customWidth="1"/>
    <col min="2" max="2" width="14.7109375" customWidth="1"/>
    <col min="3" max="3" width="14.140625" customWidth="1"/>
    <col min="4" max="4" width="13.7109375" customWidth="1"/>
    <col min="5" max="5" width="9.28515625" bestFit="1" customWidth="1"/>
    <col min="6" max="6" width="12.7109375" customWidth="1"/>
    <col min="7" max="7" width="9.28515625" bestFit="1" customWidth="1"/>
    <col min="10" max="10" width="15.7109375" customWidth="1"/>
    <col min="11" max="11" width="10.7109375" customWidth="1"/>
    <col min="19" max="19" width="12.7109375" bestFit="1" customWidth="1"/>
  </cols>
  <sheetData>
    <row r="1" spans="2:11" x14ac:dyDescent="0.25">
      <c r="D1" s="1"/>
    </row>
    <row r="2" spans="2:11" ht="29.25" customHeight="1" x14ac:dyDescent="0.25">
      <c r="B2" s="4" t="s">
        <v>0</v>
      </c>
      <c r="C2" s="4" t="s">
        <v>1</v>
      </c>
      <c r="D2" s="4" t="s">
        <v>2</v>
      </c>
      <c r="E2" s="6" t="s">
        <v>6</v>
      </c>
      <c r="F2" s="4" t="s">
        <v>9</v>
      </c>
      <c r="G2" s="4"/>
    </row>
    <row r="3" spans="2:11" x14ac:dyDescent="0.25">
      <c r="B3" s="2">
        <v>405.26</v>
      </c>
      <c r="C3" s="2">
        <v>381.42</v>
      </c>
      <c r="D3" s="2">
        <f>K$5+K$6*B3</f>
        <v>384.33695299001215</v>
      </c>
      <c r="E3" s="2">
        <f>C3-D3</f>
        <v>-2.9169529900121347</v>
      </c>
      <c r="F3" s="2">
        <f>E3^2</f>
        <v>8.5086147459407329</v>
      </c>
      <c r="G3" s="2"/>
      <c r="I3" s="50" t="s">
        <v>50</v>
      </c>
      <c r="J3" s="50"/>
      <c r="K3" s="50"/>
    </row>
    <row r="4" spans="2:11" x14ac:dyDescent="0.25">
      <c r="B4" s="2">
        <v>278.36</v>
      </c>
      <c r="C4" s="2">
        <v>287.25</v>
      </c>
      <c r="D4" s="2">
        <f t="shared" ref="D4:D32" si="0">K$5+K$6*B4</f>
        <v>315.28372008741371</v>
      </c>
      <c r="E4" s="2">
        <f t="shared" ref="E4:E32" si="1">C4-D4</f>
        <v>-28.033720087413712</v>
      </c>
      <c r="F4" s="2">
        <f t="shared" ref="F4:F32" si="2">E4^2</f>
        <v>785.8894619394631</v>
      </c>
      <c r="G4" s="2"/>
      <c r="I4" s="50"/>
      <c r="J4" s="50"/>
      <c r="K4" s="50"/>
    </row>
    <row r="5" spans="2:11" x14ac:dyDescent="0.25">
      <c r="B5" s="2">
        <v>631.66</v>
      </c>
      <c r="C5" s="2">
        <v>449.61</v>
      </c>
      <c r="D5" s="2">
        <f t="shared" si="0"/>
        <v>507.53357969724851</v>
      </c>
      <c r="E5" s="2">
        <f t="shared" si="1"/>
        <v>-57.923579697248499</v>
      </c>
      <c r="F5" s="2">
        <f t="shared" si="2"/>
        <v>3355.1410849434983</v>
      </c>
      <c r="G5" s="2"/>
      <c r="I5" s="50"/>
      <c r="J5" s="51" t="s">
        <v>41</v>
      </c>
      <c r="K5" s="50">
        <f>INTERCEPT(C3:C32,B3:B32)</f>
        <v>163.81281456521265</v>
      </c>
    </row>
    <row r="6" spans="2:11" x14ac:dyDescent="0.25">
      <c r="B6" s="2">
        <v>434.27</v>
      </c>
      <c r="C6" s="2">
        <v>352.27</v>
      </c>
      <c r="D6" s="2">
        <f t="shared" si="0"/>
        <v>400.1228811736558</v>
      </c>
      <c r="E6" s="2">
        <f t="shared" si="1"/>
        <v>-47.852881173655817</v>
      </c>
      <c r="F6" s="2">
        <f t="shared" si="2"/>
        <v>2289.8982366200235</v>
      </c>
      <c r="G6" s="2"/>
      <c r="I6" s="50"/>
      <c r="J6" s="51" t="s">
        <v>51</v>
      </c>
      <c r="K6" s="50">
        <f>SLOPE(C3:C32,B3:B32)</f>
        <v>0.54415471160440088</v>
      </c>
    </row>
    <row r="7" spans="2:11" x14ac:dyDescent="0.25">
      <c r="B7" s="2">
        <v>555.52</v>
      </c>
      <c r="C7" s="2">
        <v>597.98</v>
      </c>
      <c r="D7" s="2">
        <f t="shared" si="0"/>
        <v>466.10163995568939</v>
      </c>
      <c r="E7" s="2">
        <f t="shared" si="1"/>
        <v>131.87836004431063</v>
      </c>
      <c r="F7" s="2">
        <f t="shared" si="2"/>
        <v>17391.901847976824</v>
      </c>
      <c r="G7" s="2"/>
    </row>
    <row r="8" spans="2:11" x14ac:dyDescent="0.25">
      <c r="B8" s="2">
        <v>169.07</v>
      </c>
      <c r="C8" s="2">
        <v>422.79</v>
      </c>
      <c r="D8" s="2">
        <f t="shared" si="0"/>
        <v>255.81305165616868</v>
      </c>
      <c r="E8" s="2">
        <f t="shared" si="1"/>
        <v>166.97694834383134</v>
      </c>
      <c r="F8" s="2">
        <f t="shared" si="2"/>
        <v>27881.301278218518</v>
      </c>
      <c r="G8" s="2"/>
      <c r="I8" s="52"/>
      <c r="J8" s="53" t="s">
        <v>52</v>
      </c>
      <c r="K8" s="52">
        <f>CORREL(B3:B32,C3:C32)</f>
        <v>0.65109152945356497</v>
      </c>
    </row>
    <row r="9" spans="2:11" x14ac:dyDescent="0.25">
      <c r="B9" s="2">
        <v>631.89</v>
      </c>
      <c r="C9" s="2">
        <v>574.91999999999996</v>
      </c>
      <c r="D9" s="2">
        <f t="shared" si="0"/>
        <v>507.65873528091748</v>
      </c>
      <c r="E9" s="2">
        <f t="shared" si="1"/>
        <v>67.261264719082476</v>
      </c>
      <c r="F9" s="2">
        <f t="shared" si="2"/>
        <v>4524.0777316104886</v>
      </c>
      <c r="G9" s="2"/>
      <c r="I9" s="52"/>
      <c r="J9" s="53" t="s">
        <v>54</v>
      </c>
      <c r="K9" s="52">
        <f>K8^2</f>
        <v>0.42392017972618246</v>
      </c>
    </row>
    <row r="10" spans="2:11" x14ac:dyDescent="0.25">
      <c r="B10" s="2">
        <v>563.64</v>
      </c>
      <c r="C10" s="2">
        <v>385.34</v>
      </c>
      <c r="D10" s="2">
        <f t="shared" si="0"/>
        <v>470.52017621391713</v>
      </c>
      <c r="E10" s="2">
        <f t="shared" si="1"/>
        <v>-85.18017621391715</v>
      </c>
      <c r="F10" s="2">
        <f t="shared" si="2"/>
        <v>7255.6624198339769</v>
      </c>
      <c r="G10" s="2"/>
      <c r="I10" s="52"/>
      <c r="J10" s="53" t="s">
        <v>53</v>
      </c>
      <c r="K10" s="52">
        <f>D35/C35</f>
        <v>0.42392017972618179</v>
      </c>
    </row>
    <row r="11" spans="2:11" x14ac:dyDescent="0.25">
      <c r="B11" s="2">
        <v>634.88</v>
      </c>
      <c r="C11" s="2">
        <v>477.12</v>
      </c>
      <c r="D11" s="2">
        <f t="shared" si="0"/>
        <v>509.28575786861467</v>
      </c>
      <c r="E11" s="2">
        <f t="shared" si="1"/>
        <v>-32.165757868614662</v>
      </c>
      <c r="F11" s="2">
        <f t="shared" si="2"/>
        <v>1034.6359792623462</v>
      </c>
      <c r="G11" s="2"/>
    </row>
    <row r="12" spans="2:11" x14ac:dyDescent="0.25">
      <c r="B12" s="2">
        <v>537.69000000000005</v>
      </c>
      <c r="C12" s="2">
        <v>370.06</v>
      </c>
      <c r="D12" s="2">
        <f t="shared" si="0"/>
        <v>456.39936144778301</v>
      </c>
      <c r="E12" s="2">
        <f t="shared" si="1"/>
        <v>-86.339361447783006</v>
      </c>
      <c r="F12" s="2">
        <f t="shared" si="2"/>
        <v>7454.4853352109185</v>
      </c>
      <c r="G12" s="2"/>
    </row>
    <row r="13" spans="2:11" x14ac:dyDescent="0.25">
      <c r="B13" s="2">
        <v>605.44000000000005</v>
      </c>
      <c r="C13" s="2">
        <v>361.17</v>
      </c>
      <c r="D13" s="2">
        <f t="shared" si="0"/>
        <v>493.26584315898117</v>
      </c>
      <c r="E13" s="2">
        <f t="shared" si="1"/>
        <v>-132.09584315898115</v>
      </c>
      <c r="F13" s="2">
        <f t="shared" si="2"/>
        <v>17449.311779882148</v>
      </c>
      <c r="G13" s="2"/>
    </row>
    <row r="14" spans="2:11" x14ac:dyDescent="0.25">
      <c r="B14" s="2">
        <v>393.98</v>
      </c>
      <c r="C14" s="2">
        <v>440.49</v>
      </c>
      <c r="D14" s="2">
        <f t="shared" si="0"/>
        <v>378.19888784311451</v>
      </c>
      <c r="E14" s="2">
        <f t="shared" si="1"/>
        <v>62.291112156885504</v>
      </c>
      <c r="F14" s="2">
        <f t="shared" si="2"/>
        <v>3880.1826537416891</v>
      </c>
      <c r="G14" s="2"/>
    </row>
    <row r="15" spans="2:11" x14ac:dyDescent="0.25">
      <c r="B15" s="2">
        <v>500.83</v>
      </c>
      <c r="C15" s="2">
        <v>521.54999999999995</v>
      </c>
      <c r="D15" s="2">
        <f t="shared" si="0"/>
        <v>436.34181877804474</v>
      </c>
      <c r="E15" s="2">
        <f t="shared" si="1"/>
        <v>85.208181221955215</v>
      </c>
      <c r="F15" s="2">
        <f t="shared" si="2"/>
        <v>7260.4341471535608</v>
      </c>
      <c r="G15" s="2"/>
    </row>
    <row r="16" spans="2:11" x14ac:dyDescent="0.25">
      <c r="B16" s="2">
        <v>374.41</v>
      </c>
      <c r="C16" s="2">
        <v>417.75</v>
      </c>
      <c r="D16" s="2">
        <f t="shared" si="0"/>
        <v>367.5497801370164</v>
      </c>
      <c r="E16" s="2">
        <f t="shared" si="1"/>
        <v>50.200219862983602</v>
      </c>
      <c r="F16" s="2">
        <f t="shared" si="2"/>
        <v>2520.0620742918932</v>
      </c>
      <c r="G16" s="2"/>
    </row>
    <row r="17" spans="2:18" x14ac:dyDescent="0.25">
      <c r="B17" s="2">
        <v>543.29999999999995</v>
      </c>
      <c r="C17" s="2">
        <v>515.36</v>
      </c>
      <c r="D17" s="2">
        <f t="shared" si="0"/>
        <v>459.4520693798836</v>
      </c>
      <c r="E17" s="2">
        <f t="shared" si="1"/>
        <v>55.907930620116417</v>
      </c>
      <c r="F17" s="2">
        <f t="shared" si="2"/>
        <v>3125.6967062237509</v>
      </c>
      <c r="G17" s="2"/>
    </row>
    <row r="18" spans="2:18" x14ac:dyDescent="0.25">
      <c r="B18" s="2">
        <v>550.85</v>
      </c>
      <c r="C18" s="2">
        <v>474.81</v>
      </c>
      <c r="D18" s="2">
        <f t="shared" si="0"/>
        <v>463.5604374524969</v>
      </c>
      <c r="E18" s="2">
        <f t="shared" si="1"/>
        <v>11.249562547503103</v>
      </c>
      <c r="F18" s="2">
        <f t="shared" si="2"/>
        <v>126.55265751018452</v>
      </c>
      <c r="G18" s="2"/>
    </row>
    <row r="19" spans="2:18" x14ac:dyDescent="0.25">
      <c r="B19" s="2">
        <v>536.72</v>
      </c>
      <c r="C19" s="2">
        <v>386.66</v>
      </c>
      <c r="D19" s="2">
        <f t="shared" si="0"/>
        <v>455.87153137752671</v>
      </c>
      <c r="E19" s="2">
        <f t="shared" si="1"/>
        <v>-69.211531377526683</v>
      </c>
      <c r="F19" s="2">
        <f t="shared" si="2"/>
        <v>4790.2360756223607</v>
      </c>
      <c r="G19" s="2"/>
    </row>
    <row r="20" spans="2:18" x14ac:dyDescent="0.25">
      <c r="B20" s="2">
        <v>340.18</v>
      </c>
      <c r="C20" s="2">
        <v>368.26</v>
      </c>
      <c r="D20" s="2">
        <f t="shared" si="0"/>
        <v>348.92336435879776</v>
      </c>
      <c r="E20" s="2">
        <f t="shared" si="1"/>
        <v>19.336635641202236</v>
      </c>
      <c r="F20" s="2">
        <f t="shared" si="2"/>
        <v>373.90547792061261</v>
      </c>
      <c r="G20" s="2"/>
    </row>
    <row r="21" spans="2:18" ht="15.75" thickBot="1" x14ac:dyDescent="0.3">
      <c r="B21" s="2">
        <v>443.93</v>
      </c>
      <c r="C21" s="2">
        <v>495.9</v>
      </c>
      <c r="D21" s="2">
        <f t="shared" si="0"/>
        <v>405.37941568775432</v>
      </c>
      <c r="E21" s="2">
        <f t="shared" si="1"/>
        <v>90.52058431224566</v>
      </c>
      <c r="F21" s="2">
        <f t="shared" si="2"/>
        <v>8193.9761842303742</v>
      </c>
      <c r="G21" s="2"/>
    </row>
    <row r="22" spans="2:18" ht="15.75" thickBot="1" x14ac:dyDescent="0.3">
      <c r="B22" s="2">
        <v>667.33</v>
      </c>
      <c r="C22" s="2">
        <v>686.12</v>
      </c>
      <c r="D22" s="2">
        <f t="shared" si="0"/>
        <v>526.94357826017745</v>
      </c>
      <c r="E22" s="2">
        <f t="shared" si="1"/>
        <v>159.17642173982256</v>
      </c>
      <c r="F22" s="2">
        <f t="shared" si="2"/>
        <v>25337.133237893857</v>
      </c>
      <c r="G22" s="2"/>
      <c r="J22" s="1" t="s">
        <v>28</v>
      </c>
      <c r="K22" s="34">
        <f>COVAR($D$3:$D$32,$E$3:$E$32)</f>
        <v>-4.8506384094556172E-13</v>
      </c>
      <c r="Q22" s="1" t="s">
        <v>31</v>
      </c>
      <c r="R22" s="2">
        <f>COVAR($B$3:$B$32,$E$3:$E$32)</f>
        <v>3.2590226813529929E-13</v>
      </c>
    </row>
    <row r="23" spans="2:18" x14ac:dyDescent="0.25">
      <c r="B23" s="2">
        <v>702.95</v>
      </c>
      <c r="C23" s="2">
        <v>494.56</v>
      </c>
      <c r="D23" s="2">
        <f t="shared" si="0"/>
        <v>546.32636908752625</v>
      </c>
      <c r="E23" s="2">
        <f t="shared" si="1"/>
        <v>-51.766369087526243</v>
      </c>
      <c r="F23" s="2">
        <f t="shared" si="2"/>
        <v>2679.7569685059925</v>
      </c>
      <c r="G23" s="2"/>
      <c r="J23" s="1" t="s">
        <v>29</v>
      </c>
      <c r="K23" s="2">
        <f>SLOPE($D$3:$D$32,$E$3:$E$32)</f>
        <v>-6.5091873982547009E-17</v>
      </c>
      <c r="Q23" s="1" t="s">
        <v>30</v>
      </c>
      <c r="R23" s="2">
        <f>SLOPE($B$3:$B$32,$E$3:$E$32)</f>
        <v>4.3733602832023767E-17</v>
      </c>
    </row>
    <row r="24" spans="2:18" x14ac:dyDescent="0.25">
      <c r="B24" s="2">
        <v>724.14</v>
      </c>
      <c r="C24" s="2">
        <v>609.66999999999996</v>
      </c>
      <c r="D24" s="2">
        <f t="shared" si="0"/>
        <v>557.85700742642348</v>
      </c>
      <c r="E24" s="2">
        <f t="shared" si="1"/>
        <v>51.81299257357648</v>
      </c>
      <c r="F24" s="2">
        <f t="shared" si="2"/>
        <v>2684.5861994294914</v>
      </c>
      <c r="G24" s="2"/>
    </row>
    <row r="25" spans="2:18" x14ac:dyDescent="0.25">
      <c r="B25" s="2">
        <v>602.73</v>
      </c>
      <c r="C25" s="2">
        <v>592.61</v>
      </c>
      <c r="D25" s="2">
        <f t="shared" si="0"/>
        <v>491.7911838905332</v>
      </c>
      <c r="E25" s="2">
        <f t="shared" si="1"/>
        <v>100.81881610946681</v>
      </c>
      <c r="F25" s="2">
        <f t="shared" si="2"/>
        <v>10164.433681714485</v>
      </c>
      <c r="G25" s="2"/>
    </row>
    <row r="26" spans="2:18" x14ac:dyDescent="0.25">
      <c r="B26" s="2">
        <v>458.41</v>
      </c>
      <c r="C26" s="2">
        <v>243.08</v>
      </c>
      <c r="D26" s="2">
        <f t="shared" si="0"/>
        <v>413.25877591178607</v>
      </c>
      <c r="E26" s="2">
        <f t="shared" si="1"/>
        <v>-170.17877591178606</v>
      </c>
      <c r="F26" s="2">
        <f t="shared" si="2"/>
        <v>28960.815770833895</v>
      </c>
      <c r="G26" s="2"/>
    </row>
    <row r="27" spans="2:18" x14ac:dyDescent="0.25">
      <c r="B27" s="2">
        <v>538.14</v>
      </c>
      <c r="C27" s="2">
        <v>405.79</v>
      </c>
      <c r="D27" s="2">
        <f t="shared" si="0"/>
        <v>456.64423106800496</v>
      </c>
      <c r="E27" s="2">
        <f t="shared" si="1"/>
        <v>-50.854231068004935</v>
      </c>
      <c r="F27" s="2">
        <f t="shared" si="2"/>
        <v>2586.1528175180383</v>
      </c>
      <c r="G27" s="2"/>
    </row>
    <row r="28" spans="2:18" x14ac:dyDescent="0.25">
      <c r="B28" s="2">
        <v>539.49</v>
      </c>
      <c r="C28" s="2">
        <v>496.66</v>
      </c>
      <c r="D28" s="2">
        <f t="shared" si="0"/>
        <v>457.37883992867086</v>
      </c>
      <c r="E28" s="2">
        <f t="shared" si="1"/>
        <v>39.281160071329168</v>
      </c>
      <c r="F28" s="2">
        <f t="shared" si="2"/>
        <v>1543.0095365493848</v>
      </c>
      <c r="G28" s="2"/>
    </row>
    <row r="29" spans="2:18" x14ac:dyDescent="0.25">
      <c r="B29" s="2">
        <v>377.46</v>
      </c>
      <c r="C29" s="2">
        <v>259.73</v>
      </c>
      <c r="D29" s="2">
        <f t="shared" si="0"/>
        <v>369.20945200740982</v>
      </c>
      <c r="E29" s="2">
        <f t="shared" si="1"/>
        <v>-109.4794520074098</v>
      </c>
      <c r="F29" s="2">
        <f t="shared" si="2"/>
        <v>11985.750411842746</v>
      </c>
      <c r="G29" s="2"/>
    </row>
    <row r="30" spans="2:18" x14ac:dyDescent="0.25">
      <c r="B30" s="2">
        <v>330.45</v>
      </c>
      <c r="C30" s="2">
        <v>212.49</v>
      </c>
      <c r="D30" s="2">
        <f t="shared" si="0"/>
        <v>343.62873901488695</v>
      </c>
      <c r="E30" s="2">
        <f t="shared" si="1"/>
        <v>-131.13873901488694</v>
      </c>
      <c r="F30" s="2">
        <f t="shared" si="2"/>
        <v>17197.36887041463</v>
      </c>
      <c r="G30" s="2"/>
    </row>
    <row r="31" spans="2:18" x14ac:dyDescent="0.25">
      <c r="B31" s="2">
        <v>256.17</v>
      </c>
      <c r="C31" s="2">
        <v>280.22000000000003</v>
      </c>
      <c r="D31" s="2">
        <f t="shared" si="0"/>
        <v>303.20892703691203</v>
      </c>
      <c r="E31" s="2">
        <f t="shared" si="1"/>
        <v>-22.988927036912003</v>
      </c>
      <c r="F31" s="2">
        <f t="shared" si="2"/>
        <v>528.49076630846366</v>
      </c>
      <c r="G31" s="2"/>
    </row>
    <row r="32" spans="2:18" x14ac:dyDescent="0.25">
      <c r="B32" s="3">
        <v>608.34</v>
      </c>
      <c r="C32" s="3">
        <v>481.05</v>
      </c>
      <c r="D32" s="3">
        <f t="shared" si="0"/>
        <v>494.84389182263391</v>
      </c>
      <c r="E32" s="3">
        <f t="shared" si="1"/>
        <v>-13.793891822633896</v>
      </c>
      <c r="F32" s="3">
        <f t="shared" si="2"/>
        <v>190.27145161452626</v>
      </c>
      <c r="G32" s="3"/>
    </row>
    <row r="33" spans="1:7" x14ac:dyDescent="0.25">
      <c r="A33" s="1" t="s">
        <v>3</v>
      </c>
      <c r="B33" s="2">
        <f>AVERAGE(B3:B32)</f>
        <v>497.91633333333334</v>
      </c>
      <c r="C33" s="2">
        <f t="shared" ref="C33:E33" si="3">AVERAGE(C3:C32)</f>
        <v>434.75633333333337</v>
      </c>
      <c r="D33" s="2">
        <f t="shared" si="3"/>
        <v>434.75633333333343</v>
      </c>
      <c r="E33" s="2">
        <f t="shared" si="3"/>
        <v>-4.9264296346033615E-14</v>
      </c>
      <c r="F33" s="28">
        <f t="shared" ref="F33" si="4">AVERAGE(F3:F32)</f>
        <v>7451.987648652138</v>
      </c>
      <c r="G33" s="2"/>
    </row>
    <row r="34" spans="1:7" ht="15.75" thickBot="1" x14ac:dyDescent="0.3">
      <c r="A34" s="5" t="s">
        <v>4</v>
      </c>
      <c r="B34" s="2">
        <f>STDEVP(B3:B32)</f>
        <v>136.08629280676604</v>
      </c>
      <c r="C34" s="2">
        <f t="shared" ref="C34:E34" si="5">STDEVP(C3:C32)</f>
        <v>113.73515714100397</v>
      </c>
      <c r="D34" s="2">
        <f t="shared" si="5"/>
        <v>74.051997415577759</v>
      </c>
      <c r="E34" s="2">
        <f t="shared" si="5"/>
        <v>86.324895879764242</v>
      </c>
      <c r="F34" s="2"/>
      <c r="G34" s="2"/>
    </row>
    <row r="35" spans="1:7" ht="15.75" thickBot="1" x14ac:dyDescent="0.3">
      <c r="A35" s="46" t="s">
        <v>5</v>
      </c>
      <c r="B35" s="2">
        <f>VARP(B3:B32)</f>
        <v>18519.479089888864</v>
      </c>
      <c r="C35" s="31">
        <f>_xlfn.VAR.P(C3:C32)</f>
        <v>12935.685969888866</v>
      </c>
      <c r="D35" s="29">
        <f t="shared" ref="D35:E35" si="6">VARP(D3:D32)</f>
        <v>5483.6983212367359</v>
      </c>
      <c r="E35" s="30">
        <f t="shared" si="6"/>
        <v>7451.987648652138</v>
      </c>
      <c r="F35" s="2"/>
    </row>
    <row r="37" spans="1:7" ht="15.75" thickBot="1" x14ac:dyDescent="0.3">
      <c r="C37" s="1" t="s">
        <v>8</v>
      </c>
      <c r="D37" s="2">
        <f>D34+E34</f>
        <v>160.376893295342</v>
      </c>
    </row>
    <row r="38" spans="1:7" ht="15.75" thickBot="1" x14ac:dyDescent="0.3">
      <c r="C38" s="1" t="s">
        <v>7</v>
      </c>
      <c r="D38" s="33">
        <f>D35+E35</f>
        <v>12935.685969888873</v>
      </c>
    </row>
    <row r="39" spans="1:7" ht="15.75" thickBot="1" x14ac:dyDescent="0.3">
      <c r="C39" t="s">
        <v>32</v>
      </c>
      <c r="D39" s="34">
        <f>D35+E35+2*K22</f>
        <v>12935.685969888871</v>
      </c>
    </row>
    <row r="40" spans="1:7" x14ac:dyDescent="0.25">
      <c r="A40" s="1" t="s">
        <v>20</v>
      </c>
      <c r="B40" t="s">
        <v>21</v>
      </c>
    </row>
    <row r="41" spans="1:7" x14ac:dyDescent="0.25">
      <c r="B41" t="s">
        <v>22</v>
      </c>
    </row>
    <row r="42" spans="1:7" x14ac:dyDescent="0.25">
      <c r="B42" t="s">
        <v>23</v>
      </c>
    </row>
    <row r="43" spans="1:7" x14ac:dyDescent="0.25">
      <c r="B43" t="s">
        <v>24</v>
      </c>
    </row>
    <row r="44" spans="1:7" x14ac:dyDescent="0.25">
      <c r="B44" t="s">
        <v>25</v>
      </c>
    </row>
    <row r="45" spans="1:7" x14ac:dyDescent="0.25">
      <c r="B45" t="s">
        <v>26</v>
      </c>
    </row>
    <row r="46" spans="1:7" x14ac:dyDescent="0.25">
      <c r="B46" t="s">
        <v>27</v>
      </c>
    </row>
    <row r="48" spans="1:7" x14ac:dyDescent="0.25">
      <c r="A48" t="s">
        <v>35</v>
      </c>
      <c r="B48" t="s">
        <v>36</v>
      </c>
    </row>
    <row r="49" spans="2:4" x14ac:dyDescent="0.25">
      <c r="B49" t="s">
        <v>37</v>
      </c>
    </row>
    <row r="51" spans="2:4" x14ac:dyDescent="0.25">
      <c r="B51" t="s">
        <v>38</v>
      </c>
      <c r="C51">
        <f>_xlfn.VAR.P(D3:D32)</f>
        <v>5483.6983212367359</v>
      </c>
    </row>
    <row r="52" spans="2:4" x14ac:dyDescent="0.25">
      <c r="B52" t="s">
        <v>39</v>
      </c>
      <c r="C52">
        <f>_xlfn.VAR.S(D3:D32)</f>
        <v>5672.7913667966195</v>
      </c>
    </row>
    <row r="53" spans="2:4" x14ac:dyDescent="0.25">
      <c r="B53" t="s">
        <v>40</v>
      </c>
      <c r="C53">
        <f>C51*30/29</f>
        <v>5672.7913667966232</v>
      </c>
    </row>
    <row r="57" spans="2:4" x14ac:dyDescent="0.25">
      <c r="C57" s="46"/>
      <c r="D57" s="47"/>
    </row>
    <row r="58" spans="2:4" x14ac:dyDescent="0.25">
      <c r="C58" s="46"/>
      <c r="D58" s="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/>
  </sheetViews>
  <sheetFormatPr defaultRowHeight="15" x14ac:dyDescent="0.25"/>
  <cols>
    <col min="2" max="2" width="13.28515625" customWidth="1"/>
    <col min="3" max="3" width="12.7109375" customWidth="1"/>
    <col min="4" max="4" width="13.7109375" customWidth="1"/>
    <col min="5" max="5" width="9.28515625" bestFit="1" customWidth="1"/>
    <col min="6" max="6" width="12.7109375" customWidth="1"/>
    <col min="7" max="8" width="11.140625" customWidth="1"/>
    <col min="19" max="19" width="12.7109375" bestFit="1" customWidth="1"/>
  </cols>
  <sheetData>
    <row r="1" spans="2:8" x14ac:dyDescent="0.25">
      <c r="D1" s="1"/>
    </row>
    <row r="2" spans="2:8" ht="46.5" customHeight="1" x14ac:dyDescent="0.25">
      <c r="B2" s="4" t="s">
        <v>0</v>
      </c>
      <c r="C2" s="4" t="s">
        <v>1</v>
      </c>
      <c r="D2" s="4" t="s">
        <v>2</v>
      </c>
      <c r="E2" s="6" t="s">
        <v>6</v>
      </c>
      <c r="F2" s="4" t="s">
        <v>9</v>
      </c>
      <c r="G2" s="43" t="s">
        <v>33</v>
      </c>
      <c r="H2" s="35" t="s">
        <v>34</v>
      </c>
    </row>
    <row r="3" spans="2:8" x14ac:dyDescent="0.25">
      <c r="B3" s="2">
        <v>405.26</v>
      </c>
      <c r="C3" s="2">
        <v>381.42</v>
      </c>
      <c r="D3" s="2">
        <f>200 + 0.5*B3</f>
        <v>402.63</v>
      </c>
      <c r="E3" s="2">
        <f>C3-D3</f>
        <v>-21.20999999999998</v>
      </c>
      <c r="F3" s="2">
        <f>E3^2</f>
        <v>449.86409999999915</v>
      </c>
      <c r="G3" s="2">
        <f>D3-D$33</f>
        <v>-46.328166666666675</v>
      </c>
      <c r="H3" s="2">
        <f>G3*E3</f>
        <v>982.62041499999918</v>
      </c>
    </row>
    <row r="4" spans="2:8" x14ac:dyDescent="0.25">
      <c r="B4" s="2">
        <v>278.36</v>
      </c>
      <c r="C4" s="2">
        <v>287.25</v>
      </c>
      <c r="D4" s="2">
        <f t="shared" ref="D4:D32" si="0">200 + 0.5*B4</f>
        <v>339.18</v>
      </c>
      <c r="E4" s="2">
        <f t="shared" ref="E4:E32" si="1">C4-D4</f>
        <v>-51.930000000000007</v>
      </c>
      <c r="F4" s="2">
        <f t="shared" ref="F4:F32" si="2">E4^2</f>
        <v>2696.7249000000006</v>
      </c>
      <c r="G4" s="2">
        <f t="shared" ref="G4:G32" si="3">D4-D$33</f>
        <v>-109.77816666666666</v>
      </c>
      <c r="H4" s="2">
        <f t="shared" ref="H4:H32" si="4">G4*E4</f>
        <v>5700.7801950000003</v>
      </c>
    </row>
    <row r="5" spans="2:8" x14ac:dyDescent="0.25">
      <c r="B5" s="2">
        <v>631.66</v>
      </c>
      <c r="C5" s="2">
        <v>449.61</v>
      </c>
      <c r="D5" s="2">
        <f t="shared" si="0"/>
        <v>515.82999999999993</v>
      </c>
      <c r="E5" s="2">
        <f t="shared" si="1"/>
        <v>-66.219999999999914</v>
      </c>
      <c r="F5" s="2">
        <f t="shared" si="2"/>
        <v>4385.0883999999887</v>
      </c>
      <c r="G5" s="2">
        <f t="shared" si="3"/>
        <v>66.871833333333257</v>
      </c>
      <c r="H5" s="2">
        <f t="shared" si="4"/>
        <v>-4428.2528033333228</v>
      </c>
    </row>
    <row r="6" spans="2:8" x14ac:dyDescent="0.25">
      <c r="B6" s="2">
        <v>434.27</v>
      </c>
      <c r="C6" s="2">
        <v>352.27</v>
      </c>
      <c r="D6" s="2">
        <f t="shared" si="0"/>
        <v>417.13499999999999</v>
      </c>
      <c r="E6" s="2">
        <f t="shared" si="1"/>
        <v>-64.865000000000009</v>
      </c>
      <c r="F6" s="2">
        <f t="shared" si="2"/>
        <v>4207.4682250000014</v>
      </c>
      <c r="G6" s="2">
        <f t="shared" si="3"/>
        <v>-31.82316666666668</v>
      </c>
      <c r="H6" s="2">
        <f t="shared" si="4"/>
        <v>2064.2097058333343</v>
      </c>
    </row>
    <row r="7" spans="2:8" x14ac:dyDescent="0.25">
      <c r="B7" s="2">
        <v>555.52</v>
      </c>
      <c r="C7" s="2">
        <v>597.98</v>
      </c>
      <c r="D7" s="2">
        <f t="shared" si="0"/>
        <v>477.76</v>
      </c>
      <c r="E7" s="2">
        <f t="shared" si="1"/>
        <v>120.22000000000003</v>
      </c>
      <c r="F7" s="2">
        <f t="shared" si="2"/>
        <v>14452.848400000006</v>
      </c>
      <c r="G7" s="2">
        <f t="shared" si="3"/>
        <v>28.80183333333332</v>
      </c>
      <c r="H7" s="2">
        <f t="shared" si="4"/>
        <v>3462.5564033333326</v>
      </c>
    </row>
    <row r="8" spans="2:8" x14ac:dyDescent="0.25">
      <c r="B8" s="2">
        <v>169.07</v>
      </c>
      <c r="C8" s="2">
        <v>422.79</v>
      </c>
      <c r="D8" s="2">
        <f t="shared" si="0"/>
        <v>284.53499999999997</v>
      </c>
      <c r="E8" s="2">
        <f t="shared" si="1"/>
        <v>138.25500000000005</v>
      </c>
      <c r="F8" s="2">
        <f t="shared" si="2"/>
        <v>19114.445025000015</v>
      </c>
      <c r="G8" s="2">
        <f t="shared" si="3"/>
        <v>-164.4231666666667</v>
      </c>
      <c r="H8" s="2">
        <f t="shared" si="4"/>
        <v>-22732.324907500013</v>
      </c>
    </row>
    <row r="9" spans="2:8" x14ac:dyDescent="0.25">
      <c r="B9" s="2">
        <v>631.89</v>
      </c>
      <c r="C9" s="2">
        <v>574.91999999999996</v>
      </c>
      <c r="D9" s="2">
        <f t="shared" si="0"/>
        <v>515.94499999999994</v>
      </c>
      <c r="E9" s="2">
        <f t="shared" si="1"/>
        <v>58.975000000000023</v>
      </c>
      <c r="F9" s="2">
        <f t="shared" si="2"/>
        <v>3478.0506250000026</v>
      </c>
      <c r="G9" s="2">
        <f t="shared" si="3"/>
        <v>66.986833333333266</v>
      </c>
      <c r="H9" s="2">
        <f t="shared" si="4"/>
        <v>3950.5484958333309</v>
      </c>
    </row>
    <row r="10" spans="2:8" x14ac:dyDescent="0.25">
      <c r="B10" s="2">
        <v>563.64</v>
      </c>
      <c r="C10" s="2">
        <v>385.34</v>
      </c>
      <c r="D10" s="2">
        <f t="shared" si="0"/>
        <v>481.82</v>
      </c>
      <c r="E10" s="2">
        <f t="shared" si="1"/>
        <v>-96.480000000000018</v>
      </c>
      <c r="F10" s="2">
        <f t="shared" si="2"/>
        <v>9308.3904000000039</v>
      </c>
      <c r="G10" s="2">
        <f t="shared" si="3"/>
        <v>32.861833333333323</v>
      </c>
      <c r="H10" s="2">
        <f t="shared" si="4"/>
        <v>-3170.5096799999997</v>
      </c>
    </row>
    <row r="11" spans="2:8" x14ac:dyDescent="0.25">
      <c r="B11" s="2">
        <v>634.88</v>
      </c>
      <c r="C11" s="2">
        <v>477.12</v>
      </c>
      <c r="D11" s="2">
        <f t="shared" si="0"/>
        <v>517.44000000000005</v>
      </c>
      <c r="E11" s="2">
        <f t="shared" si="1"/>
        <v>-40.32000000000005</v>
      </c>
      <c r="F11" s="2">
        <f t="shared" si="2"/>
        <v>1625.702400000004</v>
      </c>
      <c r="G11" s="2">
        <f t="shared" si="3"/>
        <v>68.481833333333384</v>
      </c>
      <c r="H11" s="2">
        <f t="shared" si="4"/>
        <v>-2761.1875200000054</v>
      </c>
    </row>
    <row r="12" spans="2:8" x14ac:dyDescent="0.25">
      <c r="B12" s="2">
        <v>537.69000000000005</v>
      </c>
      <c r="C12" s="2">
        <v>370.06</v>
      </c>
      <c r="D12" s="2">
        <f t="shared" si="0"/>
        <v>468.84500000000003</v>
      </c>
      <c r="E12" s="2">
        <f t="shared" si="1"/>
        <v>-98.785000000000025</v>
      </c>
      <c r="F12" s="2">
        <f t="shared" si="2"/>
        <v>9758.4762250000058</v>
      </c>
      <c r="G12" s="2">
        <f t="shared" si="3"/>
        <v>19.886833333333357</v>
      </c>
      <c r="H12" s="2">
        <f t="shared" si="4"/>
        <v>-1964.520830833336</v>
      </c>
    </row>
    <row r="13" spans="2:8" x14ac:dyDescent="0.25">
      <c r="B13" s="2">
        <v>605.44000000000005</v>
      </c>
      <c r="C13" s="2">
        <v>361.17</v>
      </c>
      <c r="D13" s="2">
        <f t="shared" si="0"/>
        <v>502.72</v>
      </c>
      <c r="E13" s="2">
        <f t="shared" si="1"/>
        <v>-141.55000000000001</v>
      </c>
      <c r="F13" s="2">
        <f t="shared" si="2"/>
        <v>20036.402500000004</v>
      </c>
      <c r="G13" s="2">
        <f t="shared" si="3"/>
        <v>53.761833333333357</v>
      </c>
      <c r="H13" s="2">
        <f t="shared" si="4"/>
        <v>-7609.9875083333372</v>
      </c>
    </row>
    <row r="14" spans="2:8" x14ac:dyDescent="0.25">
      <c r="B14" s="2">
        <v>393.98</v>
      </c>
      <c r="C14" s="2">
        <v>440.49</v>
      </c>
      <c r="D14" s="2">
        <f t="shared" si="0"/>
        <v>396.99</v>
      </c>
      <c r="E14" s="2">
        <f t="shared" si="1"/>
        <v>43.5</v>
      </c>
      <c r="F14" s="2">
        <f t="shared" si="2"/>
        <v>1892.25</v>
      </c>
      <c r="G14" s="2">
        <f t="shared" si="3"/>
        <v>-51.968166666666662</v>
      </c>
      <c r="H14" s="2">
        <f t="shared" si="4"/>
        <v>-2260.6152499999998</v>
      </c>
    </row>
    <row r="15" spans="2:8" x14ac:dyDescent="0.25">
      <c r="B15" s="2">
        <v>500.83</v>
      </c>
      <c r="C15" s="2">
        <v>521.54999999999995</v>
      </c>
      <c r="D15" s="2">
        <f t="shared" si="0"/>
        <v>450.41499999999996</v>
      </c>
      <c r="E15" s="2">
        <f t="shared" si="1"/>
        <v>71.134999999999991</v>
      </c>
      <c r="F15" s="2">
        <f t="shared" si="2"/>
        <v>5060.188224999999</v>
      </c>
      <c r="G15" s="2">
        <f t="shared" si="3"/>
        <v>1.456833333333293</v>
      </c>
      <c r="H15" s="2">
        <f t="shared" si="4"/>
        <v>103.63183916666378</v>
      </c>
    </row>
    <row r="16" spans="2:8" x14ac:dyDescent="0.25">
      <c r="B16" s="2">
        <v>374.41</v>
      </c>
      <c r="C16" s="2">
        <v>417.75</v>
      </c>
      <c r="D16" s="2">
        <f t="shared" si="0"/>
        <v>387.20500000000004</v>
      </c>
      <c r="E16" s="2">
        <f t="shared" si="1"/>
        <v>30.544999999999959</v>
      </c>
      <c r="F16" s="2">
        <f t="shared" si="2"/>
        <v>932.99702499999751</v>
      </c>
      <c r="G16" s="2">
        <f t="shared" si="3"/>
        <v>-61.75316666666663</v>
      </c>
      <c r="H16" s="2">
        <f t="shared" si="4"/>
        <v>-1886.2504758333296</v>
      </c>
    </row>
    <row r="17" spans="2:18" x14ac:dyDescent="0.25">
      <c r="B17" s="2">
        <v>543.29999999999995</v>
      </c>
      <c r="C17" s="2">
        <v>515.36</v>
      </c>
      <c r="D17" s="2">
        <f t="shared" si="0"/>
        <v>471.65</v>
      </c>
      <c r="E17" s="2">
        <f t="shared" si="1"/>
        <v>43.710000000000036</v>
      </c>
      <c r="F17" s="2">
        <f t="shared" si="2"/>
        <v>1910.5641000000032</v>
      </c>
      <c r="G17" s="2">
        <f t="shared" si="3"/>
        <v>22.691833333333307</v>
      </c>
      <c r="H17" s="2">
        <f t="shared" si="4"/>
        <v>991.8600349999997</v>
      </c>
    </row>
    <row r="18" spans="2:18" x14ac:dyDescent="0.25">
      <c r="B18" s="2">
        <v>550.85</v>
      </c>
      <c r="C18" s="2">
        <v>474.81</v>
      </c>
      <c r="D18" s="2">
        <f t="shared" si="0"/>
        <v>475.42500000000001</v>
      </c>
      <c r="E18" s="2">
        <f t="shared" si="1"/>
        <v>-0.61500000000000909</v>
      </c>
      <c r="F18" s="2">
        <f t="shared" si="2"/>
        <v>0.37822500000001119</v>
      </c>
      <c r="G18" s="2">
        <f t="shared" si="3"/>
        <v>26.466833333333341</v>
      </c>
      <c r="H18" s="2">
        <f t="shared" si="4"/>
        <v>-16.277102500000247</v>
      </c>
    </row>
    <row r="19" spans="2:18" x14ac:dyDescent="0.25">
      <c r="B19" s="2">
        <v>536.72</v>
      </c>
      <c r="C19" s="2">
        <v>386.66</v>
      </c>
      <c r="D19" s="2">
        <f t="shared" si="0"/>
        <v>468.36</v>
      </c>
      <c r="E19" s="2">
        <f t="shared" si="1"/>
        <v>-81.699999999999989</v>
      </c>
      <c r="F19" s="2">
        <f t="shared" si="2"/>
        <v>6674.8899999999985</v>
      </c>
      <c r="G19" s="2">
        <f t="shared" si="3"/>
        <v>19.401833333333343</v>
      </c>
      <c r="H19" s="2">
        <f t="shared" si="4"/>
        <v>-1585.129783333334</v>
      </c>
    </row>
    <row r="20" spans="2:18" x14ac:dyDescent="0.25">
      <c r="B20" s="2">
        <v>340.18</v>
      </c>
      <c r="C20" s="2">
        <v>368.26</v>
      </c>
      <c r="D20" s="2">
        <f t="shared" si="0"/>
        <v>370.09000000000003</v>
      </c>
      <c r="E20" s="2">
        <f t="shared" si="1"/>
        <v>-1.8300000000000409</v>
      </c>
      <c r="F20" s="2">
        <f t="shared" si="2"/>
        <v>3.3489000000001496</v>
      </c>
      <c r="G20" s="2">
        <f t="shared" si="3"/>
        <v>-78.868166666666639</v>
      </c>
      <c r="H20" s="2">
        <f t="shared" si="4"/>
        <v>144.32874500000318</v>
      </c>
    </row>
    <row r="21" spans="2:18" ht="15.75" thickBot="1" x14ac:dyDescent="0.3">
      <c r="B21" s="2">
        <v>443.93</v>
      </c>
      <c r="C21" s="2">
        <v>495.9</v>
      </c>
      <c r="D21" s="2">
        <f t="shared" si="0"/>
        <v>421.96500000000003</v>
      </c>
      <c r="E21" s="2">
        <f t="shared" si="1"/>
        <v>73.934999999999945</v>
      </c>
      <c r="F21" s="2">
        <f t="shared" si="2"/>
        <v>5466.3842249999916</v>
      </c>
      <c r="G21" s="2">
        <f t="shared" si="3"/>
        <v>-26.993166666666639</v>
      </c>
      <c r="H21" s="2">
        <f t="shared" si="4"/>
        <v>-1995.7397774999965</v>
      </c>
    </row>
    <row r="22" spans="2:18" ht="15.75" thickBot="1" x14ac:dyDescent="0.3">
      <c r="B22" s="2">
        <v>667.33</v>
      </c>
      <c r="C22" s="2">
        <v>686.12</v>
      </c>
      <c r="D22" s="2">
        <f t="shared" si="0"/>
        <v>533.66499999999996</v>
      </c>
      <c r="E22" s="2">
        <f t="shared" si="1"/>
        <v>152.45500000000004</v>
      </c>
      <c r="F22" s="2">
        <f t="shared" si="2"/>
        <v>23242.527025000014</v>
      </c>
      <c r="G22" s="2">
        <f t="shared" si="3"/>
        <v>84.706833333333293</v>
      </c>
      <c r="H22" s="2">
        <f t="shared" si="4"/>
        <v>12913.98027583333</v>
      </c>
      <c r="L22" s="1" t="s">
        <v>28</v>
      </c>
      <c r="M22" s="38">
        <f>COVAR($D$3:$D$32,$E$3:$E$32)</f>
        <v>408.86112913888809</v>
      </c>
      <c r="Q22" s="1" t="s">
        <v>31</v>
      </c>
      <c r="R22" s="2">
        <f>COVAR($B$3:$B$32,$E$3:$E$32)</f>
        <v>817.72225827777743</v>
      </c>
    </row>
    <row r="23" spans="2:18" x14ac:dyDescent="0.25">
      <c r="B23" s="2">
        <v>702.95</v>
      </c>
      <c r="C23" s="2">
        <v>494.56</v>
      </c>
      <c r="D23" s="2">
        <f t="shared" si="0"/>
        <v>551.47500000000002</v>
      </c>
      <c r="E23" s="2">
        <f t="shared" si="1"/>
        <v>-56.91500000000002</v>
      </c>
      <c r="F23" s="2">
        <f t="shared" si="2"/>
        <v>3239.3172250000025</v>
      </c>
      <c r="G23" s="2">
        <f t="shared" si="3"/>
        <v>102.51683333333335</v>
      </c>
      <c r="H23" s="2">
        <f t="shared" si="4"/>
        <v>-5834.7455691666701</v>
      </c>
      <c r="L23" s="1" t="s">
        <v>29</v>
      </c>
      <c r="M23" s="2">
        <f>SLOPE($D$3:$D$32,$E$3:$E$32)</f>
        <v>5.4601495715998725E-2</v>
      </c>
      <c r="Q23" s="1" t="s">
        <v>30</v>
      </c>
      <c r="R23" s="2">
        <f>SLOPE($B$3:$B$32,$E$3:$E$32)</f>
        <v>0.1092029914319976</v>
      </c>
    </row>
    <row r="24" spans="2:18" x14ac:dyDescent="0.25">
      <c r="B24" s="2">
        <v>724.14</v>
      </c>
      <c r="C24" s="2">
        <v>609.66999999999996</v>
      </c>
      <c r="D24" s="2">
        <f t="shared" si="0"/>
        <v>562.06999999999994</v>
      </c>
      <c r="E24" s="2">
        <f t="shared" si="1"/>
        <v>47.600000000000023</v>
      </c>
      <c r="F24" s="2">
        <f t="shared" si="2"/>
        <v>2265.760000000002</v>
      </c>
      <c r="G24" s="2">
        <f t="shared" si="3"/>
        <v>113.11183333333327</v>
      </c>
      <c r="H24" s="2">
        <f t="shared" si="4"/>
        <v>5384.1232666666656</v>
      </c>
    </row>
    <row r="25" spans="2:18" x14ac:dyDescent="0.25">
      <c r="B25" s="2">
        <v>602.73</v>
      </c>
      <c r="C25" s="2">
        <v>592.61</v>
      </c>
      <c r="D25" s="2">
        <f t="shared" si="0"/>
        <v>501.36500000000001</v>
      </c>
      <c r="E25" s="2">
        <f t="shared" si="1"/>
        <v>91.245000000000005</v>
      </c>
      <c r="F25" s="2">
        <f t="shared" si="2"/>
        <v>8325.6500250000008</v>
      </c>
      <c r="G25" s="2">
        <f t="shared" si="3"/>
        <v>52.406833333333338</v>
      </c>
      <c r="H25" s="2">
        <f t="shared" si="4"/>
        <v>4781.8615075000007</v>
      </c>
    </row>
    <row r="26" spans="2:18" x14ac:dyDescent="0.25">
      <c r="B26" s="2">
        <v>458.41</v>
      </c>
      <c r="C26" s="2">
        <v>243.08</v>
      </c>
      <c r="D26" s="2">
        <f t="shared" si="0"/>
        <v>429.20500000000004</v>
      </c>
      <c r="E26" s="2">
        <f t="shared" si="1"/>
        <v>-186.12500000000003</v>
      </c>
      <c r="F26" s="2">
        <f t="shared" si="2"/>
        <v>34642.515625000007</v>
      </c>
      <c r="G26" s="2">
        <f t="shared" si="3"/>
        <v>-19.75316666666663</v>
      </c>
      <c r="H26" s="2">
        <f t="shared" si="4"/>
        <v>3676.5581458333272</v>
      </c>
    </row>
    <row r="27" spans="2:18" x14ac:dyDescent="0.25">
      <c r="B27" s="2">
        <v>538.14</v>
      </c>
      <c r="C27" s="2">
        <v>405.79</v>
      </c>
      <c r="D27" s="2">
        <f t="shared" si="0"/>
        <v>469.07</v>
      </c>
      <c r="E27" s="2">
        <f t="shared" si="1"/>
        <v>-63.279999999999973</v>
      </c>
      <c r="F27" s="2">
        <f t="shared" si="2"/>
        <v>4004.3583999999964</v>
      </c>
      <c r="G27" s="2">
        <f t="shared" si="3"/>
        <v>20.111833333333323</v>
      </c>
      <c r="H27" s="2">
        <f t="shared" si="4"/>
        <v>-1272.6768133333321</v>
      </c>
    </row>
    <row r="28" spans="2:18" x14ac:dyDescent="0.25">
      <c r="B28" s="2">
        <v>539.49</v>
      </c>
      <c r="C28" s="2">
        <v>496.66</v>
      </c>
      <c r="D28" s="2">
        <f t="shared" si="0"/>
        <v>469.745</v>
      </c>
      <c r="E28" s="2">
        <f t="shared" si="1"/>
        <v>26.91500000000002</v>
      </c>
      <c r="F28" s="2">
        <f t="shared" si="2"/>
        <v>724.41722500000105</v>
      </c>
      <c r="G28" s="2">
        <f t="shared" si="3"/>
        <v>20.786833333333334</v>
      </c>
      <c r="H28" s="2">
        <f t="shared" si="4"/>
        <v>559.47761916666707</v>
      </c>
    </row>
    <row r="29" spans="2:18" x14ac:dyDescent="0.25">
      <c r="B29" s="2">
        <v>377.46</v>
      </c>
      <c r="C29" s="2">
        <v>259.73</v>
      </c>
      <c r="D29" s="2">
        <f t="shared" si="0"/>
        <v>388.73</v>
      </c>
      <c r="E29" s="2">
        <f t="shared" si="1"/>
        <v>-129</v>
      </c>
      <c r="F29" s="2">
        <f t="shared" si="2"/>
        <v>16641</v>
      </c>
      <c r="G29" s="2">
        <f t="shared" si="3"/>
        <v>-60.228166666666652</v>
      </c>
      <c r="H29" s="2">
        <f t="shared" si="4"/>
        <v>7769.4334999999983</v>
      </c>
    </row>
    <row r="30" spans="2:18" x14ac:dyDescent="0.25">
      <c r="B30" s="2">
        <v>330.45</v>
      </c>
      <c r="C30" s="2">
        <v>212.49</v>
      </c>
      <c r="D30" s="2">
        <f t="shared" si="0"/>
        <v>365.22500000000002</v>
      </c>
      <c r="E30" s="2">
        <f t="shared" si="1"/>
        <v>-152.73500000000001</v>
      </c>
      <c r="F30" s="2">
        <f t="shared" si="2"/>
        <v>23327.980225000003</v>
      </c>
      <c r="G30" s="2">
        <f t="shared" si="3"/>
        <v>-83.733166666666648</v>
      </c>
      <c r="H30" s="2">
        <f t="shared" si="4"/>
        <v>12788.985210833331</v>
      </c>
    </row>
    <row r="31" spans="2:18" x14ac:dyDescent="0.25">
      <c r="B31" s="2">
        <v>256.17</v>
      </c>
      <c r="C31" s="2">
        <v>280.22000000000003</v>
      </c>
      <c r="D31" s="2">
        <f t="shared" si="0"/>
        <v>328.08500000000004</v>
      </c>
      <c r="E31" s="2">
        <f t="shared" si="1"/>
        <v>-47.865000000000009</v>
      </c>
      <c r="F31" s="2">
        <f t="shared" si="2"/>
        <v>2291.0582250000007</v>
      </c>
      <c r="G31" s="2">
        <f t="shared" si="3"/>
        <v>-120.87316666666663</v>
      </c>
      <c r="H31" s="2">
        <f t="shared" si="4"/>
        <v>5785.5941224999997</v>
      </c>
    </row>
    <row r="32" spans="2:18" x14ac:dyDescent="0.25">
      <c r="B32" s="3">
        <v>608.34</v>
      </c>
      <c r="C32" s="3">
        <v>481.05</v>
      </c>
      <c r="D32" s="3">
        <f t="shared" si="0"/>
        <v>504.17</v>
      </c>
      <c r="E32" s="3">
        <f t="shared" si="1"/>
        <v>-23.120000000000005</v>
      </c>
      <c r="F32" s="3">
        <f t="shared" si="2"/>
        <v>534.53440000000023</v>
      </c>
      <c r="G32" s="3">
        <f t="shared" si="3"/>
        <v>55.211833333333345</v>
      </c>
      <c r="H32" s="3">
        <f t="shared" si="4"/>
        <v>-1276.4975866666673</v>
      </c>
    </row>
    <row r="33" spans="1:8" x14ac:dyDescent="0.25">
      <c r="A33" s="1" t="s">
        <v>3</v>
      </c>
      <c r="B33" s="2">
        <f>AVERAGE(B3:B32)</f>
        <v>497.91633333333334</v>
      </c>
      <c r="C33" s="2">
        <f t="shared" ref="C33:H33" si="5">AVERAGE(C3:C32)</f>
        <v>434.75633333333337</v>
      </c>
      <c r="D33" s="2">
        <f t="shared" si="5"/>
        <v>448.95816666666667</v>
      </c>
      <c r="E33" s="2">
        <f t="shared" si="5"/>
        <v>-14.201833333333331</v>
      </c>
      <c r="F33" s="36">
        <f t="shared" si="5"/>
        <v>7689.7860091666689</v>
      </c>
      <c r="G33" s="36">
        <f t="shared" si="5"/>
        <v>-1.8947806286936005E-15</v>
      </c>
      <c r="H33" s="28">
        <f t="shared" si="5"/>
        <v>408.86112913888815</v>
      </c>
    </row>
    <row r="34" spans="1:8" x14ac:dyDescent="0.25">
      <c r="A34" s="5" t="s">
        <v>4</v>
      </c>
      <c r="B34" s="2">
        <f>STDEVP(B3:B32)</f>
        <v>136.08629280676604</v>
      </c>
      <c r="C34" s="2">
        <f t="shared" ref="C34:E34" si="6">STDEVP(C3:C32)</f>
        <v>113.73515714100397</v>
      </c>
      <c r="D34" s="2">
        <f t="shared" si="6"/>
        <v>68.04314640338302</v>
      </c>
      <c r="E34" s="2">
        <f t="shared" si="6"/>
        <v>86.533773401712295</v>
      </c>
      <c r="F34" s="2"/>
      <c r="G34" s="2"/>
    </row>
    <row r="35" spans="1:8" x14ac:dyDescent="0.25">
      <c r="A35" t="s">
        <v>5</v>
      </c>
      <c r="B35" s="2">
        <f>VARP(B3:B32)</f>
        <v>18519.479089888864</v>
      </c>
      <c r="C35" s="39">
        <f t="shared" ref="C35:E35" si="7">VARP(C3:C32)</f>
        <v>12935.685969888866</v>
      </c>
      <c r="D35" s="36">
        <f t="shared" si="7"/>
        <v>4629.869772472216</v>
      </c>
      <c r="E35" s="36">
        <f t="shared" si="7"/>
        <v>7488.0939391388911</v>
      </c>
      <c r="F35" s="2"/>
    </row>
    <row r="36" spans="1:8" x14ac:dyDescent="0.25">
      <c r="C36" s="40"/>
      <c r="D36" s="41"/>
      <c r="E36" s="37"/>
    </row>
    <row r="37" spans="1:8" x14ac:dyDescent="0.25">
      <c r="C37" s="42"/>
      <c r="D37" s="36"/>
      <c r="E37" s="37"/>
    </row>
    <row r="38" spans="1:8" x14ac:dyDescent="0.25">
      <c r="C38" s="42"/>
      <c r="D38" s="36"/>
      <c r="E38" s="37"/>
    </row>
    <row r="39" spans="1:8" x14ac:dyDescent="0.25">
      <c r="D39" s="18"/>
      <c r="E39" s="37"/>
    </row>
    <row r="40" spans="1:8" x14ac:dyDescent="0.25">
      <c r="A4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2" topLeftCell="A15" activePane="bottomLeft" state="frozen"/>
      <selection pane="bottomLeft"/>
    </sheetView>
  </sheetViews>
  <sheetFormatPr defaultRowHeight="15" x14ac:dyDescent="0.25"/>
  <cols>
    <col min="2" max="2" width="10.42578125" customWidth="1"/>
    <col min="3" max="3" width="9" customWidth="1"/>
    <col min="4" max="4" width="10.7109375" customWidth="1"/>
    <col min="5" max="5" width="9.28515625" bestFit="1" customWidth="1"/>
    <col min="6" max="6" width="11.42578125" customWidth="1"/>
    <col min="7" max="7" width="11.140625" customWidth="1"/>
    <col min="8" max="8" width="10.5703125" customWidth="1"/>
    <col min="9" max="9" width="10" customWidth="1"/>
    <col min="11" max="11" width="12.7109375" customWidth="1"/>
    <col min="12" max="12" width="13" customWidth="1"/>
    <col min="13" max="13" width="10.140625" customWidth="1"/>
  </cols>
  <sheetData>
    <row r="1" spans="2:9" ht="15.75" thickBot="1" x14ac:dyDescent="0.3">
      <c r="D1" s="1"/>
    </row>
    <row r="2" spans="2:9" ht="29.25" customHeight="1" x14ac:dyDescent="0.25">
      <c r="B2" s="26" t="s">
        <v>0</v>
      </c>
      <c r="C2" s="27" t="s">
        <v>1</v>
      </c>
      <c r="D2" s="25" t="s">
        <v>2</v>
      </c>
      <c r="E2" s="24" t="s">
        <v>6</v>
      </c>
      <c r="F2" s="26" t="s">
        <v>0</v>
      </c>
      <c r="G2" s="25" t="s">
        <v>18</v>
      </c>
      <c r="H2" s="55" t="s">
        <v>17</v>
      </c>
      <c r="I2" s="24" t="s">
        <v>6</v>
      </c>
    </row>
    <row r="3" spans="2:9" x14ac:dyDescent="0.25">
      <c r="B3" s="19">
        <v>405.26</v>
      </c>
      <c r="C3" s="18">
        <v>381.42</v>
      </c>
      <c r="D3" s="18">
        <f>M$26 + M$27*B3</f>
        <v>384.33695299001215</v>
      </c>
      <c r="E3" s="20">
        <f>C3-D3</f>
        <v>-2.9169529900121347</v>
      </c>
      <c r="F3" s="19">
        <f>B3</f>
        <v>405.26</v>
      </c>
      <c r="G3" s="18">
        <f>80 + C3/8</f>
        <v>127.67750000000001</v>
      </c>
      <c r="H3" s="18">
        <f>M$31 + M$32*F3</f>
        <v>128.04211912375155</v>
      </c>
      <c r="I3" s="20">
        <f>G3-H3</f>
        <v>-0.36461912375153815</v>
      </c>
    </row>
    <row r="4" spans="2:9" x14ac:dyDescent="0.25">
      <c r="B4" s="19">
        <v>278.36</v>
      </c>
      <c r="C4" s="18">
        <v>287.25</v>
      </c>
      <c r="D4" s="18">
        <f t="shared" ref="D4:D32" si="0">M$26 + M$27*B4</f>
        <v>315.28372008741371</v>
      </c>
      <c r="E4" s="20">
        <f t="shared" ref="E4:E32" si="1">C4-D4</f>
        <v>-28.033720087413712</v>
      </c>
      <c r="F4" s="19">
        <f t="shared" ref="F4:F32" si="2">B4</f>
        <v>278.36</v>
      </c>
      <c r="G4" s="18">
        <f t="shared" ref="G4:G32" si="3">80 + C4/8</f>
        <v>115.90625</v>
      </c>
      <c r="H4" s="18">
        <f t="shared" ref="H4:H32" si="4">M$31 + M$32*F4</f>
        <v>119.41046501092673</v>
      </c>
      <c r="I4" s="20">
        <f t="shared" ref="I4:I32" si="5">G4-H4</f>
        <v>-3.5042150109267283</v>
      </c>
    </row>
    <row r="5" spans="2:9" x14ac:dyDescent="0.25">
      <c r="B5" s="19">
        <v>631.66</v>
      </c>
      <c r="C5" s="18">
        <v>449.61</v>
      </c>
      <c r="D5" s="18">
        <f t="shared" si="0"/>
        <v>507.53357969724851</v>
      </c>
      <c r="E5" s="20">
        <f t="shared" si="1"/>
        <v>-57.923579697248499</v>
      </c>
      <c r="F5" s="19">
        <f t="shared" si="2"/>
        <v>631.66</v>
      </c>
      <c r="G5" s="18">
        <f t="shared" si="3"/>
        <v>136.20125000000002</v>
      </c>
      <c r="H5" s="18">
        <f t="shared" si="4"/>
        <v>143.44169746215607</v>
      </c>
      <c r="I5" s="20">
        <f t="shared" si="5"/>
        <v>-7.2404474621560553</v>
      </c>
    </row>
    <row r="6" spans="2:9" x14ac:dyDescent="0.25">
      <c r="B6" s="19">
        <v>434.27</v>
      </c>
      <c r="C6" s="18">
        <v>352.27</v>
      </c>
      <c r="D6" s="18">
        <f t="shared" si="0"/>
        <v>400.1228811736558</v>
      </c>
      <c r="E6" s="20">
        <f t="shared" si="1"/>
        <v>-47.852881173655817</v>
      </c>
      <c r="F6" s="19">
        <f t="shared" si="2"/>
        <v>434.27</v>
      </c>
      <c r="G6" s="18">
        <f t="shared" si="3"/>
        <v>124.03375</v>
      </c>
      <c r="H6" s="18">
        <f t="shared" si="4"/>
        <v>130.015360146707</v>
      </c>
      <c r="I6" s="20">
        <f t="shared" si="5"/>
        <v>-5.9816101467069984</v>
      </c>
    </row>
    <row r="7" spans="2:9" x14ac:dyDescent="0.25">
      <c r="B7" s="19">
        <v>555.52</v>
      </c>
      <c r="C7" s="18">
        <v>597.98</v>
      </c>
      <c r="D7" s="18">
        <f t="shared" si="0"/>
        <v>466.10163995568939</v>
      </c>
      <c r="E7" s="20">
        <f t="shared" si="1"/>
        <v>131.87836004431063</v>
      </c>
      <c r="F7" s="19">
        <f t="shared" si="2"/>
        <v>555.52</v>
      </c>
      <c r="G7" s="18">
        <f t="shared" si="3"/>
        <v>154.7475</v>
      </c>
      <c r="H7" s="18">
        <f t="shared" si="4"/>
        <v>138.26270499446119</v>
      </c>
      <c r="I7" s="20">
        <f t="shared" si="5"/>
        <v>16.484795005538814</v>
      </c>
    </row>
    <row r="8" spans="2:9" x14ac:dyDescent="0.25">
      <c r="B8" s="19">
        <v>169.07</v>
      </c>
      <c r="C8" s="18">
        <v>422.79</v>
      </c>
      <c r="D8" s="18">
        <f t="shared" si="0"/>
        <v>255.81305165616868</v>
      </c>
      <c r="E8" s="20">
        <f t="shared" si="1"/>
        <v>166.97694834383134</v>
      </c>
      <c r="F8" s="19">
        <f t="shared" si="2"/>
        <v>169.07</v>
      </c>
      <c r="G8" s="18">
        <f t="shared" si="3"/>
        <v>132.84875</v>
      </c>
      <c r="H8" s="18">
        <f t="shared" si="4"/>
        <v>111.9766314570211</v>
      </c>
      <c r="I8" s="20">
        <f t="shared" si="5"/>
        <v>20.872118542978896</v>
      </c>
    </row>
    <row r="9" spans="2:9" x14ac:dyDescent="0.25">
      <c r="B9" s="19">
        <v>631.89</v>
      </c>
      <c r="C9" s="18">
        <v>574.91999999999996</v>
      </c>
      <c r="D9" s="18">
        <f t="shared" si="0"/>
        <v>507.65873528091748</v>
      </c>
      <c r="E9" s="20">
        <f t="shared" si="1"/>
        <v>67.261264719082476</v>
      </c>
      <c r="F9" s="19">
        <f t="shared" si="2"/>
        <v>631.89</v>
      </c>
      <c r="G9" s="18">
        <f t="shared" si="3"/>
        <v>151.86500000000001</v>
      </c>
      <c r="H9" s="18">
        <f t="shared" si="4"/>
        <v>143.45734191011471</v>
      </c>
      <c r="I9" s="20">
        <f t="shared" si="5"/>
        <v>8.4076580898853024</v>
      </c>
    </row>
    <row r="10" spans="2:9" x14ac:dyDescent="0.25">
      <c r="B10" s="19">
        <v>563.64</v>
      </c>
      <c r="C10" s="18">
        <v>385.34</v>
      </c>
      <c r="D10" s="18">
        <f t="shared" si="0"/>
        <v>470.52017621391713</v>
      </c>
      <c r="E10" s="20">
        <f t="shared" si="1"/>
        <v>-85.18017621391715</v>
      </c>
      <c r="F10" s="19">
        <f t="shared" si="2"/>
        <v>563.64</v>
      </c>
      <c r="G10" s="18">
        <f t="shared" si="3"/>
        <v>128.16749999999999</v>
      </c>
      <c r="H10" s="18">
        <f t="shared" si="4"/>
        <v>138.81502202673965</v>
      </c>
      <c r="I10" s="20">
        <f t="shared" si="5"/>
        <v>-10.647522026739665</v>
      </c>
    </row>
    <row r="11" spans="2:9" x14ac:dyDescent="0.25">
      <c r="B11" s="19">
        <v>634.88</v>
      </c>
      <c r="C11" s="18">
        <v>477.12</v>
      </c>
      <c r="D11" s="18">
        <f t="shared" si="0"/>
        <v>509.28575786861467</v>
      </c>
      <c r="E11" s="20">
        <f t="shared" si="1"/>
        <v>-32.165757868614662</v>
      </c>
      <c r="F11" s="19">
        <f t="shared" si="2"/>
        <v>634.88</v>
      </c>
      <c r="G11" s="18">
        <f t="shared" si="3"/>
        <v>139.63999999999999</v>
      </c>
      <c r="H11" s="18">
        <f t="shared" si="4"/>
        <v>143.66071973357685</v>
      </c>
      <c r="I11" s="20">
        <f t="shared" si="5"/>
        <v>-4.0207197335768683</v>
      </c>
    </row>
    <row r="12" spans="2:9" x14ac:dyDescent="0.25">
      <c r="B12" s="19">
        <v>537.69000000000005</v>
      </c>
      <c r="C12" s="18">
        <v>370.06</v>
      </c>
      <c r="D12" s="18">
        <f t="shared" si="0"/>
        <v>456.39936144778301</v>
      </c>
      <c r="E12" s="20">
        <f t="shared" si="1"/>
        <v>-86.339361447783006</v>
      </c>
      <c r="F12" s="19">
        <f t="shared" si="2"/>
        <v>537.69000000000005</v>
      </c>
      <c r="G12" s="18">
        <f t="shared" si="3"/>
        <v>126.25749999999999</v>
      </c>
      <c r="H12" s="18">
        <f t="shared" si="4"/>
        <v>137.04992018097289</v>
      </c>
      <c r="I12" s="20">
        <f t="shared" si="5"/>
        <v>-10.792420180972897</v>
      </c>
    </row>
    <row r="13" spans="2:9" x14ac:dyDescent="0.25">
      <c r="B13" s="19">
        <v>605.44000000000005</v>
      </c>
      <c r="C13" s="18">
        <v>361.17</v>
      </c>
      <c r="D13" s="18">
        <f t="shared" si="0"/>
        <v>493.26584315898117</v>
      </c>
      <c r="E13" s="20">
        <f t="shared" si="1"/>
        <v>-132.09584315898115</v>
      </c>
      <c r="F13" s="19">
        <f t="shared" si="2"/>
        <v>605.44000000000005</v>
      </c>
      <c r="G13" s="18">
        <f t="shared" si="3"/>
        <v>125.14625000000001</v>
      </c>
      <c r="H13" s="18">
        <f t="shared" si="4"/>
        <v>141.65823039487265</v>
      </c>
      <c r="I13" s="20">
        <f t="shared" si="5"/>
        <v>-16.511980394872637</v>
      </c>
    </row>
    <row r="14" spans="2:9" x14ac:dyDescent="0.25">
      <c r="B14" s="19">
        <v>393.98</v>
      </c>
      <c r="C14" s="18">
        <v>440.49</v>
      </c>
      <c r="D14" s="18">
        <f t="shared" si="0"/>
        <v>378.19888784311451</v>
      </c>
      <c r="E14" s="20">
        <f t="shared" si="1"/>
        <v>62.291112156885504</v>
      </c>
      <c r="F14" s="19">
        <f t="shared" si="2"/>
        <v>393.98</v>
      </c>
      <c r="G14" s="18">
        <f t="shared" si="3"/>
        <v>135.06125</v>
      </c>
      <c r="H14" s="18">
        <f t="shared" si="4"/>
        <v>127.27486098038932</v>
      </c>
      <c r="I14" s="20">
        <f t="shared" si="5"/>
        <v>7.7863890196106809</v>
      </c>
    </row>
    <row r="15" spans="2:9" x14ac:dyDescent="0.25">
      <c r="B15" s="19">
        <v>500.83</v>
      </c>
      <c r="C15" s="18">
        <v>521.54999999999995</v>
      </c>
      <c r="D15" s="18">
        <f t="shared" si="0"/>
        <v>436.34181877804474</v>
      </c>
      <c r="E15" s="20">
        <f t="shared" si="1"/>
        <v>85.208181221955215</v>
      </c>
      <c r="F15" s="19">
        <f t="shared" si="2"/>
        <v>500.83</v>
      </c>
      <c r="G15" s="18">
        <f t="shared" si="3"/>
        <v>145.19374999999999</v>
      </c>
      <c r="H15" s="18">
        <f t="shared" si="4"/>
        <v>134.54272734725561</v>
      </c>
      <c r="I15" s="20">
        <f t="shared" si="5"/>
        <v>10.651022652744388</v>
      </c>
    </row>
    <row r="16" spans="2:9" x14ac:dyDescent="0.25">
      <c r="B16" s="19">
        <v>374.41</v>
      </c>
      <c r="C16" s="18">
        <v>417.75</v>
      </c>
      <c r="D16" s="18">
        <f t="shared" si="0"/>
        <v>367.5497801370164</v>
      </c>
      <c r="E16" s="20">
        <f t="shared" si="1"/>
        <v>50.200219862983602</v>
      </c>
      <c r="F16" s="19">
        <f t="shared" si="2"/>
        <v>374.41</v>
      </c>
      <c r="G16" s="18">
        <f t="shared" si="3"/>
        <v>132.21875</v>
      </c>
      <c r="H16" s="18">
        <f t="shared" si="4"/>
        <v>125.94372251712707</v>
      </c>
      <c r="I16" s="20">
        <f t="shared" si="5"/>
        <v>6.2750274828729289</v>
      </c>
    </row>
    <row r="17" spans="2:13" x14ac:dyDescent="0.25">
      <c r="B17" s="19">
        <v>543.29999999999995</v>
      </c>
      <c r="C17" s="18">
        <v>515.36</v>
      </c>
      <c r="D17" s="18">
        <f t="shared" si="0"/>
        <v>459.4520693798836</v>
      </c>
      <c r="E17" s="20">
        <f t="shared" si="1"/>
        <v>55.907930620116417</v>
      </c>
      <c r="F17" s="19">
        <f t="shared" si="2"/>
        <v>543.29999999999995</v>
      </c>
      <c r="G17" s="18">
        <f t="shared" si="3"/>
        <v>144.42000000000002</v>
      </c>
      <c r="H17" s="18">
        <f t="shared" si="4"/>
        <v>137.43150867248545</v>
      </c>
      <c r="I17" s="20">
        <f t="shared" si="5"/>
        <v>6.9884913275145664</v>
      </c>
    </row>
    <row r="18" spans="2:13" x14ac:dyDescent="0.25">
      <c r="B18" s="19">
        <v>550.85</v>
      </c>
      <c r="C18" s="18">
        <v>474.81</v>
      </c>
      <c r="D18" s="18">
        <f t="shared" si="0"/>
        <v>463.5604374524969</v>
      </c>
      <c r="E18" s="20">
        <f t="shared" si="1"/>
        <v>11.249562547503103</v>
      </c>
      <c r="F18" s="19">
        <f t="shared" si="2"/>
        <v>550.85</v>
      </c>
      <c r="G18" s="18">
        <f t="shared" si="3"/>
        <v>139.35124999999999</v>
      </c>
      <c r="H18" s="18">
        <f t="shared" si="4"/>
        <v>137.94505468156211</v>
      </c>
      <c r="I18" s="20">
        <f t="shared" si="5"/>
        <v>1.4061953184378808</v>
      </c>
    </row>
    <row r="19" spans="2:13" x14ac:dyDescent="0.25">
      <c r="B19" s="19">
        <v>536.72</v>
      </c>
      <c r="C19" s="18">
        <v>386.66</v>
      </c>
      <c r="D19" s="18">
        <f t="shared" si="0"/>
        <v>455.87153137752671</v>
      </c>
      <c r="E19" s="20">
        <f t="shared" si="1"/>
        <v>-69.211531377526683</v>
      </c>
      <c r="F19" s="19">
        <f t="shared" si="2"/>
        <v>536.72</v>
      </c>
      <c r="G19" s="18">
        <f t="shared" si="3"/>
        <v>128.33250000000001</v>
      </c>
      <c r="H19" s="18">
        <f t="shared" si="4"/>
        <v>136.98394142219087</v>
      </c>
      <c r="I19" s="20">
        <f t="shared" si="5"/>
        <v>-8.6514414221908567</v>
      </c>
    </row>
    <row r="20" spans="2:13" x14ac:dyDescent="0.25">
      <c r="B20" s="19">
        <v>340.18</v>
      </c>
      <c r="C20" s="18">
        <v>368.26</v>
      </c>
      <c r="D20" s="18">
        <f t="shared" si="0"/>
        <v>348.92336435879776</v>
      </c>
      <c r="E20" s="20">
        <f t="shared" si="1"/>
        <v>19.336635641202236</v>
      </c>
      <c r="F20" s="19">
        <f t="shared" si="2"/>
        <v>340.18</v>
      </c>
      <c r="G20" s="18">
        <f t="shared" si="3"/>
        <v>126.0325</v>
      </c>
      <c r="H20" s="18">
        <f t="shared" si="4"/>
        <v>123.61542054484974</v>
      </c>
      <c r="I20" s="20">
        <f t="shared" si="5"/>
        <v>2.4170794551502581</v>
      </c>
    </row>
    <row r="21" spans="2:13" x14ac:dyDescent="0.25">
      <c r="B21" s="19">
        <v>443.93</v>
      </c>
      <c r="C21" s="18">
        <v>495.9</v>
      </c>
      <c r="D21" s="18">
        <f t="shared" si="0"/>
        <v>405.37941568775432</v>
      </c>
      <c r="E21" s="20">
        <f t="shared" si="1"/>
        <v>90.52058431224566</v>
      </c>
      <c r="F21" s="19">
        <f t="shared" si="2"/>
        <v>443.93</v>
      </c>
      <c r="G21" s="18">
        <f t="shared" si="3"/>
        <v>141.98750000000001</v>
      </c>
      <c r="H21" s="18">
        <f t="shared" si="4"/>
        <v>130.67242696096932</v>
      </c>
      <c r="I21" s="20">
        <f t="shared" si="5"/>
        <v>11.315073039030693</v>
      </c>
    </row>
    <row r="22" spans="2:13" x14ac:dyDescent="0.25">
      <c r="B22" s="19">
        <v>667.33</v>
      </c>
      <c r="C22" s="18">
        <v>686.12</v>
      </c>
      <c r="D22" s="18">
        <f t="shared" si="0"/>
        <v>526.94357826017745</v>
      </c>
      <c r="E22" s="20">
        <f t="shared" si="1"/>
        <v>159.17642173982256</v>
      </c>
      <c r="F22" s="19">
        <f t="shared" si="2"/>
        <v>667.33</v>
      </c>
      <c r="G22" s="18">
        <f t="shared" si="3"/>
        <v>165.76499999999999</v>
      </c>
      <c r="H22" s="18">
        <f t="shared" si="4"/>
        <v>145.86794728252221</v>
      </c>
      <c r="I22" s="20">
        <f t="shared" si="5"/>
        <v>19.897052717477777</v>
      </c>
    </row>
    <row r="23" spans="2:13" x14ac:dyDescent="0.25">
      <c r="B23" s="19">
        <v>702.95</v>
      </c>
      <c r="C23" s="18">
        <v>494.56</v>
      </c>
      <c r="D23" s="18">
        <f t="shared" si="0"/>
        <v>546.32636908752625</v>
      </c>
      <c r="E23" s="20">
        <f t="shared" si="1"/>
        <v>-51.766369087526243</v>
      </c>
      <c r="F23" s="19">
        <f t="shared" si="2"/>
        <v>702.95</v>
      </c>
      <c r="G23" s="18">
        <f t="shared" si="3"/>
        <v>141.82</v>
      </c>
      <c r="H23" s="18">
        <f t="shared" si="4"/>
        <v>148.29079613594081</v>
      </c>
      <c r="I23" s="20">
        <f t="shared" si="5"/>
        <v>-6.4707961359408159</v>
      </c>
      <c r="K23" s="37" t="s">
        <v>49</v>
      </c>
      <c r="L23" s="37"/>
      <c r="M23" s="37"/>
    </row>
    <row r="24" spans="2:13" x14ac:dyDescent="0.25">
      <c r="B24" s="19">
        <v>724.14</v>
      </c>
      <c r="C24" s="18">
        <v>609.66999999999996</v>
      </c>
      <c r="D24" s="18">
        <f t="shared" si="0"/>
        <v>557.85700742642348</v>
      </c>
      <c r="E24" s="20">
        <f t="shared" si="1"/>
        <v>51.81299257357648</v>
      </c>
      <c r="F24" s="19">
        <f t="shared" si="2"/>
        <v>724.14</v>
      </c>
      <c r="G24" s="18">
        <f t="shared" si="3"/>
        <v>156.20875000000001</v>
      </c>
      <c r="H24" s="18">
        <f t="shared" si="4"/>
        <v>149.73212592830293</v>
      </c>
      <c r="I24" s="20">
        <f t="shared" si="5"/>
        <v>6.4766240716970742</v>
      </c>
      <c r="K24" s="54"/>
      <c r="L24" s="37"/>
      <c r="M24" s="37"/>
    </row>
    <row r="25" spans="2:13" x14ac:dyDescent="0.25">
      <c r="B25" s="19">
        <v>602.73</v>
      </c>
      <c r="C25" s="18">
        <v>592.61</v>
      </c>
      <c r="D25" s="18">
        <f t="shared" si="0"/>
        <v>491.7911838905332</v>
      </c>
      <c r="E25" s="20">
        <f t="shared" si="1"/>
        <v>100.81881610946681</v>
      </c>
      <c r="F25" s="19">
        <f t="shared" si="2"/>
        <v>602.73</v>
      </c>
      <c r="G25" s="18">
        <f t="shared" si="3"/>
        <v>154.07625000000002</v>
      </c>
      <c r="H25" s="18">
        <f t="shared" si="4"/>
        <v>141.47389798631667</v>
      </c>
      <c r="I25" s="20">
        <f t="shared" si="5"/>
        <v>12.602352013683344</v>
      </c>
      <c r="K25" s="54" t="s">
        <v>55</v>
      </c>
      <c r="L25" s="37"/>
      <c r="M25" s="37"/>
    </row>
    <row r="26" spans="2:13" x14ac:dyDescent="0.25">
      <c r="B26" s="19">
        <v>458.41</v>
      </c>
      <c r="C26" s="18">
        <v>243.08</v>
      </c>
      <c r="D26" s="18">
        <f t="shared" si="0"/>
        <v>413.25877591178607</v>
      </c>
      <c r="E26" s="20">
        <f t="shared" si="1"/>
        <v>-170.17877591178606</v>
      </c>
      <c r="F26" s="19">
        <f t="shared" si="2"/>
        <v>458.41</v>
      </c>
      <c r="G26" s="18">
        <f t="shared" si="3"/>
        <v>110.38500000000001</v>
      </c>
      <c r="H26" s="18">
        <f t="shared" si="4"/>
        <v>131.65734698897327</v>
      </c>
      <c r="I26" s="20">
        <f t="shared" si="5"/>
        <v>-21.272346988973268</v>
      </c>
      <c r="L26" s="46" t="s">
        <v>41</v>
      </c>
      <c r="M26">
        <f>INTERCEPT(C3:C32,B3:B32)</f>
        <v>163.81281456521265</v>
      </c>
    </row>
    <row r="27" spans="2:13" x14ac:dyDescent="0.25">
      <c r="B27" s="19">
        <v>538.14</v>
      </c>
      <c r="C27" s="18">
        <v>405.79</v>
      </c>
      <c r="D27" s="18">
        <f t="shared" si="0"/>
        <v>456.64423106800496</v>
      </c>
      <c r="E27" s="20">
        <f t="shared" si="1"/>
        <v>-50.854231068004935</v>
      </c>
      <c r="F27" s="19">
        <f t="shared" si="2"/>
        <v>538.14</v>
      </c>
      <c r="G27" s="18">
        <f t="shared" si="3"/>
        <v>130.72375</v>
      </c>
      <c r="H27" s="18">
        <f t="shared" si="4"/>
        <v>137.08052888350062</v>
      </c>
      <c r="I27" s="20">
        <f t="shared" si="5"/>
        <v>-6.356778883500624</v>
      </c>
      <c r="L27" s="46" t="s">
        <v>42</v>
      </c>
      <c r="M27">
        <f>SLOPE(C3:C32,B3:B32)</f>
        <v>0.54415471160440088</v>
      </c>
    </row>
    <row r="28" spans="2:13" x14ac:dyDescent="0.25">
      <c r="B28" s="19">
        <v>539.49</v>
      </c>
      <c r="C28" s="18">
        <v>496.66</v>
      </c>
      <c r="D28" s="18">
        <f t="shared" si="0"/>
        <v>457.37883992867086</v>
      </c>
      <c r="E28" s="20">
        <f t="shared" si="1"/>
        <v>39.281160071329168</v>
      </c>
      <c r="F28" s="19">
        <f t="shared" si="2"/>
        <v>539.49</v>
      </c>
      <c r="G28" s="18">
        <f t="shared" si="3"/>
        <v>142.08250000000001</v>
      </c>
      <c r="H28" s="18">
        <f t="shared" si="4"/>
        <v>137.17235499108386</v>
      </c>
      <c r="I28" s="20">
        <f t="shared" si="5"/>
        <v>4.910145008916146</v>
      </c>
      <c r="L28" s="46"/>
    </row>
    <row r="29" spans="2:13" x14ac:dyDescent="0.25">
      <c r="B29" s="19">
        <v>377.46</v>
      </c>
      <c r="C29" s="18">
        <v>259.73</v>
      </c>
      <c r="D29" s="18">
        <f t="shared" si="0"/>
        <v>369.20945200740982</v>
      </c>
      <c r="E29" s="20">
        <f t="shared" si="1"/>
        <v>-109.4794520074098</v>
      </c>
      <c r="F29" s="19">
        <f t="shared" si="2"/>
        <v>377.46</v>
      </c>
      <c r="G29" s="18">
        <f t="shared" si="3"/>
        <v>112.46625</v>
      </c>
      <c r="H29" s="18">
        <f t="shared" si="4"/>
        <v>126.15118150092624</v>
      </c>
      <c r="I29" s="20">
        <f t="shared" si="5"/>
        <v>-13.68493150092624</v>
      </c>
      <c r="K29" s="46" t="s">
        <v>56</v>
      </c>
      <c r="L29" s="46"/>
    </row>
    <row r="30" spans="2:13" x14ac:dyDescent="0.25">
      <c r="B30" s="19">
        <v>330.45</v>
      </c>
      <c r="C30" s="18">
        <v>212.49</v>
      </c>
      <c r="D30" s="18">
        <f t="shared" si="0"/>
        <v>343.62873901488695</v>
      </c>
      <c r="E30" s="20">
        <f t="shared" si="1"/>
        <v>-131.13873901488694</v>
      </c>
      <c r="F30" s="19">
        <f t="shared" si="2"/>
        <v>330.45</v>
      </c>
      <c r="G30" s="18">
        <f t="shared" si="3"/>
        <v>106.56125</v>
      </c>
      <c r="H30" s="18">
        <f t="shared" si="4"/>
        <v>122.95359237686088</v>
      </c>
      <c r="I30" s="20">
        <f t="shared" si="5"/>
        <v>-16.392342376860881</v>
      </c>
      <c r="K30" s="46" t="s">
        <v>57</v>
      </c>
      <c r="L30" s="46"/>
    </row>
    <row r="31" spans="2:13" x14ac:dyDescent="0.25">
      <c r="B31" s="19">
        <v>256.17</v>
      </c>
      <c r="C31" s="18">
        <v>280.22000000000003</v>
      </c>
      <c r="D31" s="18">
        <f t="shared" si="0"/>
        <v>303.20892703691203</v>
      </c>
      <c r="E31" s="20">
        <f t="shared" si="1"/>
        <v>-22.988927036912003</v>
      </c>
      <c r="F31" s="19">
        <f t="shared" si="2"/>
        <v>256.17</v>
      </c>
      <c r="G31" s="18">
        <f t="shared" si="3"/>
        <v>115.0275</v>
      </c>
      <c r="H31" s="18">
        <f t="shared" si="4"/>
        <v>117.90111587961403</v>
      </c>
      <c r="I31" s="20">
        <f t="shared" si="5"/>
        <v>-2.8736158796140217</v>
      </c>
      <c r="L31" s="46" t="s">
        <v>41</v>
      </c>
      <c r="M31">
        <f>INTERCEPT(G3:G32,F3:F32)</f>
        <v>100.4766018206516</v>
      </c>
    </row>
    <row r="32" spans="2:13" x14ac:dyDescent="0.25">
      <c r="B32" s="23">
        <v>608.34</v>
      </c>
      <c r="C32" s="3">
        <v>481.05</v>
      </c>
      <c r="D32" s="3">
        <f t="shared" si="0"/>
        <v>494.84389182263391</v>
      </c>
      <c r="E32" s="22">
        <f t="shared" si="1"/>
        <v>-13.793891822633896</v>
      </c>
      <c r="F32" s="23">
        <f t="shared" si="2"/>
        <v>608.34</v>
      </c>
      <c r="G32" s="3">
        <f t="shared" si="3"/>
        <v>140.13124999999999</v>
      </c>
      <c r="H32" s="3">
        <f t="shared" si="4"/>
        <v>141.85548647782926</v>
      </c>
      <c r="I32" s="22">
        <f t="shared" si="5"/>
        <v>-1.7242364778292654</v>
      </c>
      <c r="L32" s="46" t="s">
        <v>58</v>
      </c>
      <c r="M32">
        <f>SLOPE(G3:G32,F3:F32)</f>
        <v>6.8019338950550109E-2</v>
      </c>
    </row>
    <row r="33" spans="1:12" x14ac:dyDescent="0.25">
      <c r="A33" s="1" t="s">
        <v>3</v>
      </c>
      <c r="B33" s="19">
        <f>AVERAGE(B3:B32)</f>
        <v>497.91633333333334</v>
      </c>
      <c r="C33" s="18">
        <f t="shared" ref="C33" si="6">AVERAGE(C3:C32)</f>
        <v>434.75633333333337</v>
      </c>
      <c r="D33" s="18">
        <f t="shared" ref="D33" si="7">C$33</f>
        <v>434.75633333333337</v>
      </c>
      <c r="E33" s="20">
        <f>AVERAGE(E3:E32)</f>
        <v>-4.9264296346033615E-14</v>
      </c>
      <c r="F33" s="19">
        <f>AVERAGE(F3:F32)</f>
        <v>497.91633333333334</v>
      </c>
      <c r="G33" s="18">
        <f t="shared" ref="G33:H33" si="8">AVERAGE(G3:G32)</f>
        <v>134.34454166666669</v>
      </c>
      <c r="H33" s="18">
        <f t="shared" si="8"/>
        <v>134.34454166666669</v>
      </c>
      <c r="I33" s="20">
        <f>AVERAGE(I3:I32)</f>
        <v>-2.0368891758456206E-14</v>
      </c>
      <c r="L33" s="46"/>
    </row>
    <row r="34" spans="1:12" x14ac:dyDescent="0.25">
      <c r="A34" s="5" t="s">
        <v>4</v>
      </c>
      <c r="B34" s="19">
        <f t="shared" ref="B34:I34" si="9">STDEV(B3:B32)</f>
        <v>138.41272274298493</v>
      </c>
      <c r="C34" s="18">
        <f t="shared" si="9"/>
        <v>115.67948870383896</v>
      </c>
      <c r="D34" s="18">
        <f t="shared" si="9"/>
        <v>75.317935226588759</v>
      </c>
      <c r="E34" s="20">
        <f t="shared" si="9"/>
        <v>87.800642024901904</v>
      </c>
      <c r="F34" s="19">
        <f t="shared" si="9"/>
        <v>138.41272274298493</v>
      </c>
      <c r="G34" s="17">
        <f t="shared" si="9"/>
        <v>14.459936087979887</v>
      </c>
      <c r="H34" s="17">
        <f t="shared" si="9"/>
        <v>9.4147419033236126</v>
      </c>
      <c r="I34" s="16">
        <f t="shared" si="9"/>
        <v>10.975080253112736</v>
      </c>
    </row>
    <row r="35" spans="1:12" ht="15.75" thickBot="1" x14ac:dyDescent="0.3">
      <c r="A35" t="s">
        <v>5</v>
      </c>
      <c r="B35" s="15">
        <f>B34^2</f>
        <v>19158.081817126418</v>
      </c>
      <c r="C35" s="14">
        <f t="shared" ref="C35:I35" si="10">C34^2</f>
        <v>13381.744106781605</v>
      </c>
      <c r="D35" s="14">
        <f t="shared" si="10"/>
        <v>5672.7913667966195</v>
      </c>
      <c r="E35" s="13">
        <f t="shared" si="10"/>
        <v>7708.9527399849703</v>
      </c>
      <c r="F35" s="15">
        <f t="shared" si="10"/>
        <v>19158.081817126418</v>
      </c>
      <c r="G35" s="12">
        <f t="shared" si="10"/>
        <v>209.08975166846309</v>
      </c>
      <c r="H35" s="12">
        <f t="shared" si="10"/>
        <v>88.637365106197521</v>
      </c>
      <c r="I35" s="11">
        <f t="shared" si="10"/>
        <v>120.45238656226512</v>
      </c>
    </row>
    <row r="37" spans="1:12" x14ac:dyDescent="0.25">
      <c r="C37" s="1" t="s">
        <v>8</v>
      </c>
      <c r="D37" s="2">
        <f>D34+E34</f>
        <v>163.11857725149065</v>
      </c>
      <c r="G37" s="1" t="s">
        <v>16</v>
      </c>
      <c r="H37" s="9">
        <f>H34+I34</f>
        <v>20.389822156436349</v>
      </c>
    </row>
    <row r="38" spans="1:12" x14ac:dyDescent="0.25">
      <c r="C38" s="1" t="s">
        <v>7</v>
      </c>
      <c r="D38" s="7">
        <f>D35+E35</f>
        <v>13381.744106781589</v>
      </c>
      <c r="G38" s="1" t="s">
        <v>15</v>
      </c>
      <c r="H38" s="10">
        <f>H35+I35</f>
        <v>209.08975166846264</v>
      </c>
    </row>
    <row r="40" spans="1:12" ht="75" x14ac:dyDescent="0.25">
      <c r="B40" s="8" t="s">
        <v>13</v>
      </c>
      <c r="C40" t="s">
        <v>14</v>
      </c>
      <c r="D40" s="48">
        <f>D35/C35</f>
        <v>0.42392017972618085</v>
      </c>
      <c r="F40" s="8" t="s">
        <v>13</v>
      </c>
      <c r="G40" t="s">
        <v>19</v>
      </c>
      <c r="H40" s="48">
        <f>H35/G35</f>
        <v>0.42392017972618146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/>
  </sheetViews>
  <sheetFormatPr defaultRowHeight="15" x14ac:dyDescent="0.25"/>
  <cols>
    <col min="2" max="2" width="10.7109375" customWidth="1"/>
    <col min="3" max="3" width="10.28515625" customWidth="1"/>
    <col min="4" max="4" width="10.7109375" customWidth="1"/>
    <col min="5" max="5" width="9.28515625" bestFit="1" customWidth="1"/>
    <col min="6" max="6" width="11.85546875" customWidth="1"/>
    <col min="7" max="7" width="8.85546875" customWidth="1"/>
    <col min="8" max="8" width="10.5703125" customWidth="1"/>
    <col min="9" max="9" width="10" customWidth="1"/>
    <col min="11" max="11" width="16.28515625" customWidth="1"/>
    <col min="12" max="12" width="14.140625" customWidth="1"/>
    <col min="15" max="15" width="12.28515625" customWidth="1"/>
    <col min="16" max="16" width="14.5703125" customWidth="1"/>
    <col min="17" max="17" width="7.140625" customWidth="1"/>
  </cols>
  <sheetData>
    <row r="1" spans="2:11" ht="15.75" thickBot="1" x14ac:dyDescent="0.3">
      <c r="D1" s="1"/>
    </row>
    <row r="2" spans="2:11" ht="29.25" customHeight="1" x14ac:dyDescent="0.25">
      <c r="B2" s="26" t="s">
        <v>0</v>
      </c>
      <c r="C2" s="27" t="s">
        <v>1</v>
      </c>
      <c r="D2" s="25" t="s">
        <v>2</v>
      </c>
      <c r="E2" s="25" t="s">
        <v>6</v>
      </c>
      <c r="F2" s="58" t="s">
        <v>46</v>
      </c>
      <c r="G2" s="25" t="s">
        <v>47</v>
      </c>
      <c r="H2" s="25" t="s">
        <v>48</v>
      </c>
      <c r="I2" s="24" t="s">
        <v>6</v>
      </c>
      <c r="K2" s="70" t="s">
        <v>59</v>
      </c>
    </row>
    <row r="3" spans="2:11" x14ac:dyDescent="0.25">
      <c r="B3" s="19">
        <v>405.26</v>
      </c>
      <c r="C3" s="18">
        <v>381.42</v>
      </c>
      <c r="D3" s="18">
        <f t="shared" ref="D3:D32" si="0">163.80955314755 + 0.544163310967679*B3</f>
        <v>384.3371765503116</v>
      </c>
      <c r="E3" s="18">
        <f>C3-D3</f>
        <v>-2.9171765503115807</v>
      </c>
      <c r="F3" s="59">
        <f>(B3 - B$33)/B$34</f>
        <v>-0.68086455602769269</v>
      </c>
      <c r="G3" s="18">
        <f>(C3 - C$33)/C$34</f>
        <v>-0.46895203448138079</v>
      </c>
      <c r="H3" s="18">
        <f>N$43 + N$44*F3</f>
        <v>-0.44330514513479324</v>
      </c>
      <c r="I3" s="20">
        <f>G3-H3</f>
        <v>-2.5646889346587542E-2</v>
      </c>
      <c r="K3" s="67">
        <f>F3*G3</f>
        <v>0.31929281875544857</v>
      </c>
    </row>
    <row r="4" spans="2:11" x14ac:dyDescent="0.25">
      <c r="B4" s="19">
        <v>278.36</v>
      </c>
      <c r="C4" s="18">
        <v>287.25</v>
      </c>
      <c r="D4" s="18">
        <f t="shared" si="0"/>
        <v>315.28285238851311</v>
      </c>
      <c r="E4" s="18">
        <f t="shared" ref="E4:E32" si="1">C4-D4</f>
        <v>-28.032852388513106</v>
      </c>
      <c r="F4" s="59">
        <f t="shared" ref="F4:F32" si="2">(B4 - B$33)/B$34</f>
        <v>-1.6133611167223836</v>
      </c>
      <c r="G4" s="18">
        <f t="shared" ref="G4:G32" si="3">(C4 - C$33)/C$34</f>
        <v>-1.2969282062050642</v>
      </c>
      <c r="H4" s="18">
        <f t="shared" ref="H4:H32" si="4">N$43 + N$44*F4</f>
        <v>-1.0504457570476886</v>
      </c>
      <c r="I4" s="20">
        <f t="shared" ref="I4:I32" si="5">G4-H4</f>
        <v>-0.2464824491573756</v>
      </c>
      <c r="K4" s="67">
        <f t="shared" ref="K4:K32" si="6">F4*G4</f>
        <v>2.0924135390717602</v>
      </c>
    </row>
    <row r="5" spans="2:11" x14ac:dyDescent="0.25">
      <c r="B5" s="19">
        <v>631.66</v>
      </c>
      <c r="C5" s="18">
        <v>449.61</v>
      </c>
      <c r="D5" s="18">
        <f t="shared" si="0"/>
        <v>507.53575015339408</v>
      </c>
      <c r="E5" s="18">
        <f t="shared" si="1"/>
        <v>-57.925750153394063</v>
      </c>
      <c r="F5" s="59">
        <f t="shared" si="2"/>
        <v>0.98278573034959671</v>
      </c>
      <c r="G5" s="18">
        <f t="shared" si="3"/>
        <v>0.13059872637492118</v>
      </c>
      <c r="H5" s="18">
        <f t="shared" si="4"/>
        <v>0.63988346429845744</v>
      </c>
      <c r="I5" s="20">
        <f t="shared" si="5"/>
        <v>-0.50928473792353623</v>
      </c>
      <c r="K5" s="67">
        <f t="shared" si="6"/>
        <v>0.12835056468310405</v>
      </c>
    </row>
    <row r="6" spans="2:11" x14ac:dyDescent="0.25">
      <c r="B6" s="19">
        <v>434.27</v>
      </c>
      <c r="C6" s="18">
        <v>352.27</v>
      </c>
      <c r="D6" s="18">
        <f t="shared" si="0"/>
        <v>400.12335420148395</v>
      </c>
      <c r="E6" s="18">
        <f t="shared" si="1"/>
        <v>-47.853354201483967</v>
      </c>
      <c r="F6" s="59">
        <f t="shared" si="2"/>
        <v>-0.46769099238897738</v>
      </c>
      <c r="G6" s="18">
        <f t="shared" si="3"/>
        <v>-0.72524921411125653</v>
      </c>
      <c r="H6" s="18">
        <f t="shared" si="4"/>
        <v>-0.30450964354619525</v>
      </c>
      <c r="I6" s="20">
        <f t="shared" si="5"/>
        <v>-0.42073957056506128</v>
      </c>
      <c r="K6" s="67">
        <f t="shared" si="6"/>
        <v>0.33919252467701949</v>
      </c>
    </row>
    <row r="7" spans="2:11" x14ac:dyDescent="0.25">
      <c r="B7" s="19">
        <v>555.52</v>
      </c>
      <c r="C7" s="18">
        <v>597.98</v>
      </c>
      <c r="D7" s="18">
        <f t="shared" si="0"/>
        <v>466.10315565631504</v>
      </c>
      <c r="E7" s="18">
        <f t="shared" si="1"/>
        <v>131.87684434368498</v>
      </c>
      <c r="F7" s="59">
        <f t="shared" si="2"/>
        <v>0.42328779393278215</v>
      </c>
      <c r="G7" s="18">
        <f t="shared" si="3"/>
        <v>1.4351205974447192</v>
      </c>
      <c r="H7" s="18">
        <f t="shared" si="4"/>
        <v>0.27559909715072023</v>
      </c>
      <c r="I7" s="20">
        <f t="shared" si="5"/>
        <v>1.1595215002939989</v>
      </c>
      <c r="K7" s="67">
        <f t="shared" si="6"/>
        <v>0.60746903171987154</v>
      </c>
    </row>
    <row r="8" spans="2:11" x14ac:dyDescent="0.25">
      <c r="B8" s="19">
        <v>169.07</v>
      </c>
      <c r="C8" s="18">
        <v>422.79</v>
      </c>
      <c r="D8" s="18">
        <f t="shared" si="0"/>
        <v>255.81124413285548</v>
      </c>
      <c r="E8" s="18">
        <f t="shared" si="1"/>
        <v>166.97875586714454</v>
      </c>
      <c r="F8" s="59">
        <f t="shared" si="2"/>
        <v>-2.41645449038923</v>
      </c>
      <c r="G8" s="18">
        <f t="shared" si="3"/>
        <v>-0.10521226359671712</v>
      </c>
      <c r="H8" s="18">
        <f t="shared" si="4"/>
        <v>-1.5733330500024592</v>
      </c>
      <c r="I8" s="20">
        <f t="shared" si="5"/>
        <v>1.468120786405742</v>
      </c>
      <c r="K8" s="67">
        <f t="shared" si="6"/>
        <v>0.25424064681230241</v>
      </c>
    </row>
    <row r="9" spans="2:11" x14ac:dyDescent="0.25">
      <c r="B9" s="19">
        <v>631.89</v>
      </c>
      <c r="C9" s="18">
        <v>574.91999999999996</v>
      </c>
      <c r="D9" s="18">
        <f t="shared" si="0"/>
        <v>507.66090771491668</v>
      </c>
      <c r="E9" s="18">
        <f t="shared" si="1"/>
        <v>67.259092285083284</v>
      </c>
      <c r="F9" s="59">
        <f t="shared" si="2"/>
        <v>0.98447583443911435</v>
      </c>
      <c r="G9" s="18">
        <f t="shared" si="3"/>
        <v>1.2323688663207075</v>
      </c>
      <c r="H9" s="18">
        <f t="shared" si="4"/>
        <v>0.64098387675503721</v>
      </c>
      <c r="I9" s="20">
        <f t="shared" si="5"/>
        <v>0.59138498956567032</v>
      </c>
      <c r="K9" s="67">
        <f t="shared" si="6"/>
        <v>1.2132373680078639</v>
      </c>
    </row>
    <row r="10" spans="2:11" x14ac:dyDescent="0.25">
      <c r="B10" s="19">
        <v>563.64</v>
      </c>
      <c r="C10" s="18">
        <v>385.34</v>
      </c>
      <c r="D10" s="18">
        <f t="shared" si="0"/>
        <v>470.52176174137259</v>
      </c>
      <c r="E10" s="18">
        <f t="shared" si="1"/>
        <v>-85.181761741372611</v>
      </c>
      <c r="F10" s="59">
        <f t="shared" si="2"/>
        <v>0.4829558165714023</v>
      </c>
      <c r="G10" s="18">
        <f t="shared" si="3"/>
        <v>-0.43448599866151455</v>
      </c>
      <c r="H10" s="18">
        <f t="shared" si="4"/>
        <v>0.31444844126996935</v>
      </c>
      <c r="I10" s="20">
        <f t="shared" si="5"/>
        <v>-0.7489344399314839</v>
      </c>
      <c r="K10" s="67">
        <f t="shared" si="6"/>
        <v>-0.20983754027241297</v>
      </c>
    </row>
    <row r="11" spans="2:11" x14ac:dyDescent="0.25">
      <c r="B11" s="19">
        <v>634.88</v>
      </c>
      <c r="C11" s="18">
        <v>477.12</v>
      </c>
      <c r="D11" s="18">
        <f t="shared" si="0"/>
        <v>509.28795601471006</v>
      </c>
      <c r="E11" s="18">
        <f t="shared" si="1"/>
        <v>-32.167956014710057</v>
      </c>
      <c r="F11" s="59">
        <f t="shared" si="2"/>
        <v>1.0064471876028427</v>
      </c>
      <c r="G11" s="18">
        <f t="shared" si="3"/>
        <v>0.3724764420393421</v>
      </c>
      <c r="H11" s="18">
        <f t="shared" si="4"/>
        <v>0.65528923869057354</v>
      </c>
      <c r="I11" s="20">
        <f t="shared" si="5"/>
        <v>-0.28281279665123144</v>
      </c>
      <c r="K11" s="67">
        <f t="shared" si="6"/>
        <v>0.37487786753880908</v>
      </c>
    </row>
    <row r="12" spans="2:11" x14ac:dyDescent="0.25">
      <c r="B12" s="19">
        <v>537.69000000000005</v>
      </c>
      <c r="C12" s="18">
        <v>370.06</v>
      </c>
      <c r="D12" s="18">
        <f t="shared" si="0"/>
        <v>456.40072382176135</v>
      </c>
      <c r="E12" s="18">
        <f t="shared" si="1"/>
        <v>-86.340723821761344</v>
      </c>
      <c r="F12" s="59">
        <f t="shared" si="2"/>
        <v>0.29226798560192108</v>
      </c>
      <c r="G12" s="18">
        <f t="shared" si="3"/>
        <v>-0.56883319951038214</v>
      </c>
      <c r="H12" s="18">
        <f t="shared" si="4"/>
        <v>0.19029320975586697</v>
      </c>
      <c r="I12" s="20">
        <f t="shared" si="5"/>
        <v>-0.75912640926624908</v>
      </c>
      <c r="K12" s="67">
        <f t="shared" si="6"/>
        <v>-0.16625173336439505</v>
      </c>
    </row>
    <row r="13" spans="2:11" x14ac:dyDescent="0.25">
      <c r="B13" s="19">
        <v>605.44000000000005</v>
      </c>
      <c r="C13" s="18">
        <v>361.17</v>
      </c>
      <c r="D13" s="18">
        <f t="shared" si="0"/>
        <v>493.26778813982162</v>
      </c>
      <c r="E13" s="18">
        <f t="shared" si="1"/>
        <v>-132.0977881398216</v>
      </c>
      <c r="F13" s="59">
        <f t="shared" si="2"/>
        <v>0.79011386414459495</v>
      </c>
      <c r="G13" s="18">
        <f t="shared" si="3"/>
        <v>-0.64699724503043665</v>
      </c>
      <c r="H13" s="18">
        <f t="shared" si="4"/>
        <v>0.51443644424837021</v>
      </c>
      <c r="I13" s="20">
        <f t="shared" si="5"/>
        <v>-1.1614336892788069</v>
      </c>
      <c r="K13" s="67">
        <f t="shared" si="6"/>
        <v>-0.51120149336190568</v>
      </c>
    </row>
    <row r="14" spans="2:11" x14ac:dyDescent="0.25">
      <c r="B14" s="19">
        <v>393.98</v>
      </c>
      <c r="C14" s="18">
        <v>440.49</v>
      </c>
      <c r="D14" s="18">
        <f t="shared" si="0"/>
        <v>378.19901440259616</v>
      </c>
      <c r="E14" s="18">
        <f t="shared" si="1"/>
        <v>62.290985597403846</v>
      </c>
      <c r="F14" s="59">
        <f t="shared" si="2"/>
        <v>-0.76375313920055388</v>
      </c>
      <c r="G14" s="18">
        <f t="shared" si="3"/>
        <v>5.0412438957272307E-2</v>
      </c>
      <c r="H14" s="18">
        <f t="shared" si="4"/>
        <v>-0.49727319952705046</v>
      </c>
      <c r="I14" s="20">
        <f t="shared" si="5"/>
        <v>0.54768563848432272</v>
      </c>
      <c r="K14" s="67">
        <f t="shared" si="6"/>
        <v>-3.8502658508373019E-2</v>
      </c>
    </row>
    <row r="15" spans="2:11" x14ac:dyDescent="0.25">
      <c r="B15" s="19">
        <v>500.83</v>
      </c>
      <c r="C15" s="18">
        <v>521.54999999999995</v>
      </c>
      <c r="D15" s="18">
        <f t="shared" si="0"/>
        <v>436.34286417949266</v>
      </c>
      <c r="E15" s="18">
        <f t="shared" si="1"/>
        <v>85.20713582050729</v>
      </c>
      <c r="F15" s="59">
        <f t="shared" si="2"/>
        <v>2.1410434560105666E-2</v>
      </c>
      <c r="G15" s="18">
        <f t="shared" si="3"/>
        <v>0.76312082251808488</v>
      </c>
      <c r="H15" s="18">
        <f t="shared" si="4"/>
        <v>1.3940152584004321E-2</v>
      </c>
      <c r="I15" s="20">
        <f t="shared" si="5"/>
        <v>0.74918066993408061</v>
      </c>
      <c r="K15" s="67">
        <f t="shared" si="6"/>
        <v>1.6338748431977468E-2</v>
      </c>
    </row>
    <row r="16" spans="2:11" x14ac:dyDescent="0.25">
      <c r="B16" s="19">
        <v>374.41</v>
      </c>
      <c r="C16" s="18">
        <v>417.75</v>
      </c>
      <c r="D16" s="18">
        <f t="shared" si="0"/>
        <v>367.54973840695868</v>
      </c>
      <c r="E16" s="18">
        <f t="shared" si="1"/>
        <v>50.200261593041319</v>
      </c>
      <c r="F16" s="59">
        <f t="shared" si="2"/>
        <v>-0.90755895238254836</v>
      </c>
      <c r="G16" s="18">
        <f t="shared" si="3"/>
        <v>-0.14952573822226009</v>
      </c>
      <c r="H16" s="18">
        <f t="shared" si="4"/>
        <v>-0.59090394637602883</v>
      </c>
      <c r="I16" s="20">
        <f t="shared" si="5"/>
        <v>0.44137820815376871</v>
      </c>
      <c r="K16" s="67">
        <f t="shared" si="6"/>
        <v>0.13570342233522154</v>
      </c>
    </row>
    <row r="17" spans="2:18" x14ac:dyDescent="0.25">
      <c r="B17" s="19">
        <v>543.29999999999995</v>
      </c>
      <c r="C17" s="18">
        <v>515.36</v>
      </c>
      <c r="D17" s="18">
        <f t="shared" si="0"/>
        <v>459.45347999628996</v>
      </c>
      <c r="E17" s="18">
        <f t="shared" si="1"/>
        <v>55.906520003710057</v>
      </c>
      <c r="F17" s="59">
        <f t="shared" si="2"/>
        <v>0.33349182882884876</v>
      </c>
      <c r="G17" s="18">
        <f t="shared" si="3"/>
        <v>0.70869613840457157</v>
      </c>
      <c r="H17" s="18">
        <f t="shared" si="4"/>
        <v>0.2171337048924413</v>
      </c>
      <c r="I17" s="20">
        <f t="shared" si="5"/>
        <v>0.49156243351213025</v>
      </c>
      <c r="K17" s="67">
        <f t="shared" si="6"/>
        <v>0.2363443712804835</v>
      </c>
    </row>
    <row r="18" spans="2:18" x14ac:dyDescent="0.25">
      <c r="B18" s="19">
        <v>550.85</v>
      </c>
      <c r="C18" s="18">
        <v>474.81</v>
      </c>
      <c r="D18" s="18">
        <f t="shared" si="0"/>
        <v>463.56191299409596</v>
      </c>
      <c r="E18" s="18">
        <f t="shared" si="1"/>
        <v>11.24808700590404</v>
      </c>
      <c r="F18" s="59">
        <f t="shared" si="2"/>
        <v>0.38897133263692585</v>
      </c>
      <c r="G18" s="18">
        <f t="shared" si="3"/>
        <v>0.352166099502635</v>
      </c>
      <c r="H18" s="18">
        <f t="shared" si="4"/>
        <v>0.25325593988016709</v>
      </c>
      <c r="I18" s="20">
        <f t="shared" si="5"/>
        <v>9.8910159622467908E-2</v>
      </c>
      <c r="K18" s="67">
        <f t="shared" si="6"/>
        <v>0.13698251703308817</v>
      </c>
    </row>
    <row r="19" spans="2:18" x14ac:dyDescent="0.25">
      <c r="B19" s="19">
        <v>536.72</v>
      </c>
      <c r="C19" s="18">
        <v>386.66</v>
      </c>
      <c r="D19" s="18">
        <f t="shared" si="0"/>
        <v>455.87288541012271</v>
      </c>
      <c r="E19" s="18">
        <f t="shared" si="1"/>
        <v>-69.212885410122681</v>
      </c>
      <c r="F19" s="59">
        <f t="shared" si="2"/>
        <v>0.28514015531134679</v>
      </c>
      <c r="G19" s="18">
        <f t="shared" si="3"/>
        <v>-0.42288008864053861</v>
      </c>
      <c r="H19" s="18">
        <f t="shared" si="4"/>
        <v>0.1856523398302915</v>
      </c>
      <c r="I19" s="20">
        <f t="shared" si="5"/>
        <v>-0.60853242847083011</v>
      </c>
      <c r="K19" s="67">
        <f t="shared" si="6"/>
        <v>-0.12058009415303927</v>
      </c>
    </row>
    <row r="20" spans="2:18" x14ac:dyDescent="0.25">
      <c r="B20" s="19">
        <v>340.18</v>
      </c>
      <c r="C20" s="18">
        <v>368.26</v>
      </c>
      <c r="D20" s="18">
        <f t="shared" si="0"/>
        <v>348.92302827253502</v>
      </c>
      <c r="E20" s="18">
        <f t="shared" si="1"/>
        <v>19.33697172746497</v>
      </c>
      <c r="F20" s="59">
        <f t="shared" si="2"/>
        <v>-1.1590905305746626</v>
      </c>
      <c r="G20" s="18">
        <f t="shared" si="3"/>
        <v>-0.58465944044807605</v>
      </c>
      <c r="H20" s="18">
        <f t="shared" si="4"/>
        <v>-0.75467402632700153</v>
      </c>
      <c r="I20" s="20">
        <f t="shared" si="5"/>
        <v>0.17001458587892548</v>
      </c>
      <c r="K20" s="67">
        <f t="shared" si="6"/>
        <v>0.67767322103444583</v>
      </c>
    </row>
    <row r="21" spans="2:18" x14ac:dyDescent="0.25">
      <c r="B21" s="19">
        <v>443.93</v>
      </c>
      <c r="C21" s="18">
        <v>495.9</v>
      </c>
      <c r="D21" s="18">
        <f t="shared" si="0"/>
        <v>405.37997178543174</v>
      </c>
      <c r="E21" s="18">
        <f t="shared" si="1"/>
        <v>90.520028214568242</v>
      </c>
      <c r="F21" s="59">
        <f t="shared" si="2"/>
        <v>-0.39670662062923945</v>
      </c>
      <c r="G21" s="18">
        <f t="shared" si="3"/>
        <v>0.53759688915594772</v>
      </c>
      <c r="H21" s="18">
        <f t="shared" si="4"/>
        <v>-0.25829232036984701</v>
      </c>
      <c r="I21" s="20">
        <f t="shared" si="5"/>
        <v>0.79588920952579478</v>
      </c>
      <c r="K21" s="67">
        <f t="shared" si="6"/>
        <v>-0.21326824515784784</v>
      </c>
      <c r="M21" s="44" t="s">
        <v>41</v>
      </c>
      <c r="N21" s="44">
        <f>INTERCEPT(C3:C32,B3:B32)</f>
        <v>163.81281456521265</v>
      </c>
      <c r="O21" s="44"/>
      <c r="P21" s="44"/>
      <c r="Q21" s="44"/>
    </row>
    <row r="22" spans="2:18" x14ac:dyDescent="0.25">
      <c r="B22" s="19">
        <v>667.33</v>
      </c>
      <c r="C22" s="18">
        <v>686.12</v>
      </c>
      <c r="D22" s="18">
        <f t="shared" si="0"/>
        <v>526.94605545561126</v>
      </c>
      <c r="E22" s="18">
        <f t="shared" si="1"/>
        <v>159.17394454438875</v>
      </c>
      <c r="F22" s="59">
        <f t="shared" si="2"/>
        <v>1.2448988297978212</v>
      </c>
      <c r="G22" s="18">
        <f t="shared" si="3"/>
        <v>2.2100788620271281</v>
      </c>
      <c r="H22" s="18">
        <f t="shared" si="4"/>
        <v>0.81054308310801637</v>
      </c>
      <c r="I22" s="20">
        <f t="shared" si="5"/>
        <v>1.3995357789191116</v>
      </c>
      <c r="K22" s="67">
        <f t="shared" si="6"/>
        <v>2.7513245890984721</v>
      </c>
      <c r="M22" s="44" t="s">
        <v>42</v>
      </c>
      <c r="N22" s="66">
        <f>SLOPE(C3:C32,B3:B32)</f>
        <v>0.54415471160440088</v>
      </c>
      <c r="O22" s="44"/>
      <c r="P22" s="65" t="s">
        <v>60</v>
      </c>
      <c r="Q22" s="64">
        <f>N22*B34/C34</f>
        <v>0.65109152945356497</v>
      </c>
      <c r="R22" t="s">
        <v>61</v>
      </c>
    </row>
    <row r="23" spans="2:18" x14ac:dyDescent="0.25">
      <c r="B23" s="19">
        <v>702.95</v>
      </c>
      <c r="C23" s="18">
        <v>494.56</v>
      </c>
      <c r="D23" s="18">
        <f t="shared" si="0"/>
        <v>546.32915259228002</v>
      </c>
      <c r="E23" s="18">
        <f t="shared" si="1"/>
        <v>-51.769152592280022</v>
      </c>
      <c r="F23" s="59">
        <f t="shared" si="2"/>
        <v>1.5066445153135415</v>
      </c>
      <c r="G23" s="18">
        <f t="shared" si="3"/>
        <v>0.52581513201344254</v>
      </c>
      <c r="H23" s="18">
        <f t="shared" si="4"/>
        <v>0.98096348181831849</v>
      </c>
      <c r="I23" s="20">
        <f t="shared" si="5"/>
        <v>-0.45514834980487595</v>
      </c>
      <c r="K23" s="67">
        <f t="shared" si="6"/>
        <v>0.79221648471691897</v>
      </c>
      <c r="M23" s="44"/>
      <c r="N23" s="44"/>
      <c r="O23" s="44"/>
      <c r="P23" s="44"/>
      <c r="Q23" s="44"/>
    </row>
    <row r="24" spans="2:18" x14ac:dyDescent="0.25">
      <c r="B24" s="19">
        <v>724.14</v>
      </c>
      <c r="C24" s="18">
        <v>609.66999999999996</v>
      </c>
      <c r="D24" s="18">
        <f t="shared" si="0"/>
        <v>557.85997315168504</v>
      </c>
      <c r="E24" s="18">
        <f t="shared" si="1"/>
        <v>51.810026848314919</v>
      </c>
      <c r="F24" s="59">
        <f t="shared" si="2"/>
        <v>1.6623545399086592</v>
      </c>
      <c r="G24" s="18">
        <f t="shared" si="3"/>
        <v>1.5379032399789638</v>
      </c>
      <c r="H24" s="18">
        <f t="shared" si="4"/>
        <v>1.0823449598832058</v>
      </c>
      <c r="I24" s="20">
        <f t="shared" si="5"/>
        <v>0.45555828009575805</v>
      </c>
      <c r="K24" s="67">
        <f t="shared" si="6"/>
        <v>2.5565404329192667</v>
      </c>
      <c r="N24" s="44"/>
    </row>
    <row r="25" spans="2:18" x14ac:dyDescent="0.25">
      <c r="B25" s="19">
        <v>602.73</v>
      </c>
      <c r="C25" s="18">
        <v>592.61</v>
      </c>
      <c r="D25" s="18">
        <f t="shared" si="0"/>
        <v>491.79310556709919</v>
      </c>
      <c r="E25" s="18">
        <f t="shared" si="1"/>
        <v>100.81689443290082</v>
      </c>
      <c r="F25" s="59">
        <f t="shared" si="2"/>
        <v>0.77020002900288775</v>
      </c>
      <c r="G25" s="18">
        <f t="shared" si="3"/>
        <v>1.3879056453139327</v>
      </c>
      <c r="H25" s="18">
        <f t="shared" si="4"/>
        <v>0.5014707148686699</v>
      </c>
      <c r="I25" s="20">
        <f t="shared" si="5"/>
        <v>0.88643493044526278</v>
      </c>
      <c r="K25" s="67">
        <f t="shared" si="6"/>
        <v>1.0689649682740625</v>
      </c>
    </row>
    <row r="26" spans="2:18" x14ac:dyDescent="0.25">
      <c r="B26" s="19">
        <v>458.41</v>
      </c>
      <c r="C26" s="18">
        <v>243.08</v>
      </c>
      <c r="D26" s="18">
        <f t="shared" si="0"/>
        <v>413.25945652824373</v>
      </c>
      <c r="E26" s="18">
        <f t="shared" si="1"/>
        <v>-170.17945652824372</v>
      </c>
      <c r="F26" s="59">
        <f t="shared" si="2"/>
        <v>-0.29030354577613354</v>
      </c>
      <c r="G26" s="18">
        <f t="shared" si="3"/>
        <v>-1.6852865741039182</v>
      </c>
      <c r="H26" s="18">
        <f t="shared" si="4"/>
        <v>-0.18901417962517614</v>
      </c>
      <c r="I26" s="20">
        <f t="shared" si="5"/>
        <v>-1.4962723944787422</v>
      </c>
      <c r="K26" s="67">
        <f t="shared" si="6"/>
        <v>0.48924466811128009</v>
      </c>
    </row>
    <row r="27" spans="2:18" x14ac:dyDescent="0.25">
      <c r="B27" s="19">
        <v>538.14</v>
      </c>
      <c r="C27" s="18">
        <v>405.79</v>
      </c>
      <c r="D27" s="18">
        <f t="shared" si="0"/>
        <v>456.64559731169675</v>
      </c>
      <c r="E27" s="18">
        <f t="shared" si="1"/>
        <v>-50.855597311696727</v>
      </c>
      <c r="F27" s="59">
        <f t="shared" si="2"/>
        <v>0.29557471099445493</v>
      </c>
      <c r="G27" s="18">
        <f t="shared" si="3"/>
        <v>-0.25468231689715903</v>
      </c>
      <c r="H27" s="18">
        <f t="shared" si="4"/>
        <v>0.19244619064917476</v>
      </c>
      <c r="I27" s="20">
        <f t="shared" si="5"/>
        <v>-0.44712850754633382</v>
      </c>
      <c r="K27" s="67">
        <f t="shared" si="6"/>
        <v>-7.5277652212275961E-2</v>
      </c>
    </row>
    <row r="28" spans="2:18" x14ac:dyDescent="0.25">
      <c r="B28" s="19">
        <v>539.49</v>
      </c>
      <c r="C28" s="18">
        <v>496.66</v>
      </c>
      <c r="D28" s="18">
        <f t="shared" si="0"/>
        <v>457.38021778150312</v>
      </c>
      <c r="E28" s="18">
        <f t="shared" si="1"/>
        <v>39.279782218496905</v>
      </c>
      <c r="F28" s="59">
        <f t="shared" si="2"/>
        <v>0.30549488717205819</v>
      </c>
      <c r="G28" s="18">
        <f t="shared" si="3"/>
        <v>0.54427907977408552</v>
      </c>
      <c r="H28" s="18">
        <f t="shared" si="4"/>
        <v>0.19890513332909929</v>
      </c>
      <c r="I28" s="20">
        <f t="shared" si="5"/>
        <v>0.3453739464449862</v>
      </c>
      <c r="K28" s="67">
        <f t="shared" si="6"/>
        <v>0.16627447606569593</v>
      </c>
    </row>
    <row r="29" spans="2:18" x14ac:dyDescent="0.25">
      <c r="B29" s="19">
        <v>377.46</v>
      </c>
      <c r="C29" s="18">
        <v>259.73</v>
      </c>
      <c r="D29" s="18">
        <f t="shared" si="0"/>
        <v>369.20943650541011</v>
      </c>
      <c r="E29" s="18">
        <f t="shared" si="1"/>
        <v>-109.47943650541009</v>
      </c>
      <c r="F29" s="59">
        <f t="shared" si="2"/>
        <v>-0.88514670249981575</v>
      </c>
      <c r="G29" s="18">
        <f t="shared" si="3"/>
        <v>-1.5388938454302501</v>
      </c>
      <c r="H29" s="18">
        <f t="shared" si="4"/>
        <v>-0.576311520321385</v>
      </c>
      <c r="I29" s="20">
        <f t="shared" si="5"/>
        <v>-0.9625823251088651</v>
      </c>
      <c r="K29" s="67">
        <f t="shared" si="6"/>
        <v>1.3621468127798471</v>
      </c>
    </row>
    <row r="30" spans="2:18" x14ac:dyDescent="0.25">
      <c r="B30" s="19">
        <v>330.45</v>
      </c>
      <c r="C30" s="18">
        <v>212.49</v>
      </c>
      <c r="D30" s="18">
        <f t="shared" si="0"/>
        <v>343.62831925681951</v>
      </c>
      <c r="E30" s="18">
        <f t="shared" si="1"/>
        <v>-131.1383192568195</v>
      </c>
      <c r="F30" s="59">
        <f t="shared" si="2"/>
        <v>-1.2305892818399058</v>
      </c>
      <c r="G30" s="18">
        <f t="shared" si="3"/>
        <v>-1.9542447464839487</v>
      </c>
      <c r="H30" s="18">
        <f t="shared" si="4"/>
        <v>-0.8012262576423087</v>
      </c>
      <c r="I30" s="20">
        <f t="shared" si="5"/>
        <v>-1.1530184888416399</v>
      </c>
      <c r="K30" s="67">
        <f t="shared" si="6"/>
        <v>2.4048726391150912</v>
      </c>
    </row>
    <row r="31" spans="2:18" x14ac:dyDescent="0.25">
      <c r="B31" s="19">
        <v>256.17</v>
      </c>
      <c r="C31" s="18">
        <v>280.22000000000003</v>
      </c>
      <c r="D31" s="18">
        <f t="shared" si="0"/>
        <v>303.20786851814034</v>
      </c>
      <c r="E31" s="18">
        <f t="shared" si="1"/>
        <v>-22.987868518140317</v>
      </c>
      <c r="F31" s="59">
        <f t="shared" si="2"/>
        <v>-1.776419419967578</v>
      </c>
      <c r="G31" s="18">
        <f t="shared" si="3"/>
        <v>-1.358738469422835</v>
      </c>
      <c r="H31" s="18">
        <f t="shared" si="4"/>
        <v>-1.1566116370977055</v>
      </c>
      <c r="I31" s="20">
        <f t="shared" si="5"/>
        <v>-0.20212683232512951</v>
      </c>
      <c r="K31" s="67">
        <f t="shared" si="6"/>
        <v>2.4136894037397472</v>
      </c>
    </row>
    <row r="32" spans="2:18" x14ac:dyDescent="0.25">
      <c r="B32" s="23">
        <v>608.34</v>
      </c>
      <c r="C32" s="3">
        <v>481.05</v>
      </c>
      <c r="D32" s="3">
        <f t="shared" si="0"/>
        <v>494.84586174162786</v>
      </c>
      <c r="E32" s="3">
        <f t="shared" si="1"/>
        <v>-13.795861741627846</v>
      </c>
      <c r="F32" s="60">
        <f t="shared" si="2"/>
        <v>0.81142387222981627</v>
      </c>
      <c r="G32" s="3">
        <f t="shared" si="3"/>
        <v>0.40703040141997376</v>
      </c>
      <c r="H32" s="18">
        <f t="shared" si="4"/>
        <v>0.52831121000524484</v>
      </c>
      <c r="I32" s="22">
        <f t="shared" si="5"/>
        <v>-0.12128080858527107</v>
      </c>
      <c r="K32" s="67">
        <f t="shared" si="6"/>
        <v>0.33027418443545159</v>
      </c>
    </row>
    <row r="33" spans="1:17" x14ac:dyDescent="0.25">
      <c r="A33" s="1" t="s">
        <v>3</v>
      </c>
      <c r="B33" s="21">
        <f t="shared" ref="B33:I33" si="7">AVERAGE(B3:B32)</f>
        <v>497.91633333333334</v>
      </c>
      <c r="C33" s="17">
        <f t="shared" si="7"/>
        <v>434.75633333333337</v>
      </c>
      <c r="D33" s="18">
        <f t="shared" si="7"/>
        <v>434.75735367910312</v>
      </c>
      <c r="E33" s="18">
        <f t="shared" si="7"/>
        <v>-1.0203457698423791E-3</v>
      </c>
      <c r="F33" s="32">
        <f t="shared" si="7"/>
        <v>0</v>
      </c>
      <c r="G33" s="18">
        <f t="shared" si="7"/>
        <v>-3.3861802251067273E-16</v>
      </c>
      <c r="H33" s="57">
        <f t="shared" si="7"/>
        <v>-3.7007434154171886E-16</v>
      </c>
      <c r="I33" s="20">
        <f t="shared" si="7"/>
        <v>2.0354088784794535E-17</v>
      </c>
      <c r="K33" s="68">
        <f>AVERAGE(K3:K32)</f>
        <v>0.65109152945356596</v>
      </c>
    </row>
    <row r="34" spans="1:17" x14ac:dyDescent="0.25">
      <c r="A34" s="5" t="s">
        <v>4</v>
      </c>
      <c r="B34" s="21">
        <f>_xlfn.STDEV.P(B3:B32)</f>
        <v>136.08629280676604</v>
      </c>
      <c r="C34" s="17">
        <f>_xlfn.STDEV.P(C3:C32)</f>
        <v>113.73515714100397</v>
      </c>
      <c r="D34" s="18">
        <f>_xlfn.STDEV.P(D3:D32)</f>
        <v>74.053167671047277</v>
      </c>
      <c r="E34" s="18"/>
      <c r="F34" s="59">
        <f>_xlfn.STDEV.P(F3:F32)</f>
        <v>1.0000000000000007</v>
      </c>
      <c r="G34" s="18">
        <f>_xlfn.STDEV.P(G3:G32)</f>
        <v>1.0000000000000009</v>
      </c>
      <c r="H34" s="71">
        <f>_xlfn.STDEV.P(H3:H32)</f>
        <v>0.65109152945356541</v>
      </c>
      <c r="I34" s="16">
        <f>_xlfn.STDEV.P(I3:I32)</f>
        <v>0.75899922284137977</v>
      </c>
      <c r="K34" s="69"/>
    </row>
    <row r="35" spans="1:17" ht="15.75" thickBot="1" x14ac:dyDescent="0.3">
      <c r="A35" t="s">
        <v>5</v>
      </c>
      <c r="B35" s="15">
        <f>_xlfn.VAR.P(B3:B32)</f>
        <v>18519.479089888864</v>
      </c>
      <c r="C35" s="14">
        <f>_xlfn.VAR.P(C3:C32)</f>
        <v>12935.685969888866</v>
      </c>
      <c r="D35" s="14">
        <f>_xlfn.VAR.P(D3:D32)</f>
        <v>5483.8716421162417</v>
      </c>
      <c r="E35" s="14"/>
      <c r="F35" s="62">
        <f>_xlfn.VAR.P(F3:F32)</f>
        <v>1.0000000000000013</v>
      </c>
      <c r="G35" s="12">
        <f>_xlfn.VAR.P(G3:G32)</f>
        <v>1.000000000000002</v>
      </c>
      <c r="H35" s="72">
        <f>_xlfn.VAR.P(H3:H32)</f>
        <v>0.42392017972618307</v>
      </c>
      <c r="I35" s="11">
        <f>_xlfn.VAR.P(I3:I32)</f>
        <v>0.57607982027381854</v>
      </c>
      <c r="K35" s="61"/>
    </row>
    <row r="37" spans="1:17" x14ac:dyDescent="0.25">
      <c r="C37" s="1" t="s">
        <v>8</v>
      </c>
      <c r="D37" s="44">
        <f>D34+E34</f>
        <v>74.053167671047277</v>
      </c>
      <c r="G37" s="1" t="s">
        <v>16</v>
      </c>
      <c r="H37" s="44">
        <f>H34+I34</f>
        <v>1.4100907522949453</v>
      </c>
    </row>
    <row r="38" spans="1:17" x14ac:dyDescent="0.25">
      <c r="C38" s="1" t="s">
        <v>7</v>
      </c>
      <c r="D38" s="45">
        <f>D35+E35</f>
        <v>5483.8716421162417</v>
      </c>
      <c r="G38" s="1" t="s">
        <v>15</v>
      </c>
      <c r="H38" s="45">
        <f>H35+I35</f>
        <v>1.0000000000000016</v>
      </c>
    </row>
    <row r="39" spans="1:17" x14ac:dyDescent="0.25">
      <c r="D39" s="44"/>
      <c r="H39" s="44"/>
    </row>
    <row r="40" spans="1:17" ht="60" customHeight="1" x14ac:dyDescent="0.25">
      <c r="B40" s="8" t="s">
        <v>13</v>
      </c>
      <c r="C40" t="s">
        <v>14</v>
      </c>
      <c r="D40" s="63">
        <f>D35/C35</f>
        <v>0.42393357838783058</v>
      </c>
      <c r="F40" s="8" t="s">
        <v>13</v>
      </c>
      <c r="G40" t="s">
        <v>19</v>
      </c>
      <c r="H40" s="63">
        <f>H35/G35</f>
        <v>0.42392017972618223</v>
      </c>
    </row>
    <row r="41" spans="1:17" x14ac:dyDescent="0.25">
      <c r="D41" s="44"/>
      <c r="H41" s="44"/>
    </row>
    <row r="42" spans="1:17" ht="30" x14ac:dyDescent="0.25">
      <c r="B42" s="8" t="s">
        <v>11</v>
      </c>
      <c r="C42" t="s">
        <v>12</v>
      </c>
      <c r="D42" s="49">
        <f>SQRT(D40)</f>
        <v>0.65110181875635287</v>
      </c>
      <c r="F42" s="8" t="s">
        <v>11</v>
      </c>
      <c r="H42" s="49">
        <f>SQRT(H40)</f>
        <v>0.65109152945356474</v>
      </c>
    </row>
    <row r="43" spans="1:17" x14ac:dyDescent="0.25">
      <c r="M43" s="44" t="s">
        <v>41</v>
      </c>
      <c r="N43" s="44">
        <f>INTERCEPT($G3:$G32,$F3:$F32)</f>
        <v>-3.4102754520113191E-16</v>
      </c>
      <c r="O43" s="44"/>
      <c r="P43" s="44"/>
      <c r="Q43" s="44"/>
    </row>
    <row r="44" spans="1:17" x14ac:dyDescent="0.25">
      <c r="B44" t="s">
        <v>10</v>
      </c>
      <c r="M44" s="44" t="s">
        <v>42</v>
      </c>
      <c r="N44" s="64">
        <f>SLOPE($G3:$G32, $F3:$F32)</f>
        <v>0.65109152945356497</v>
      </c>
      <c r="O44" s="44"/>
      <c r="P44" s="44"/>
      <c r="Q44" s="44"/>
    </row>
    <row r="45" spans="1:17" x14ac:dyDescent="0.25">
      <c r="M45" s="44" t="s">
        <v>43</v>
      </c>
      <c r="N45" s="64">
        <f>_xlfn.COVARIANCE.P($G3:$G32, $F3:$F32)</f>
        <v>0.65109152945356596</v>
      </c>
      <c r="O45" s="44"/>
      <c r="P45" s="44"/>
      <c r="Q45" s="44"/>
    </row>
    <row r="68" spans="11:13" x14ac:dyDescent="0.25">
      <c r="K68" s="44" t="s">
        <v>41</v>
      </c>
      <c r="L68" s="44">
        <f>INTERCEPT(G3:G32, F3:F32)</f>
        <v>-3.4102754520113191E-16</v>
      </c>
    </row>
    <row r="69" spans="11:13" x14ac:dyDescent="0.25">
      <c r="K69" s="44" t="s">
        <v>42</v>
      </c>
      <c r="L69" s="44">
        <f>SLOPE(G3:G32, F3:F32)</f>
        <v>0.65109152945356497</v>
      </c>
    </row>
    <row r="70" spans="11:13" x14ac:dyDescent="0.25">
      <c r="K70" s="44" t="s">
        <v>43</v>
      </c>
      <c r="L70" s="44">
        <f>_xlfn.COVARIANCE.P(G3:G32, F3:F32)</f>
        <v>0.65109152945356596</v>
      </c>
    </row>
    <row r="72" spans="11:13" ht="15" customHeight="1" x14ac:dyDescent="0.25">
      <c r="K72" s="56" t="s">
        <v>44</v>
      </c>
      <c r="L72" s="56"/>
      <c r="M72" s="56"/>
    </row>
    <row r="73" spans="11:13" x14ac:dyDescent="0.25">
      <c r="K73" s="56"/>
      <c r="L73" s="56"/>
      <c r="M73" s="56"/>
    </row>
    <row r="74" spans="11:13" x14ac:dyDescent="0.25">
      <c r="K74" s="56"/>
      <c r="L74" s="56"/>
      <c r="M74" s="56"/>
    </row>
    <row r="75" spans="11:13" x14ac:dyDescent="0.25">
      <c r="K75" s="56"/>
      <c r="L75" s="56"/>
      <c r="M75" s="56"/>
    </row>
    <row r="76" spans="11:13" x14ac:dyDescent="0.25">
      <c r="K76" s="56"/>
      <c r="L76" s="56"/>
      <c r="M76" s="56"/>
    </row>
    <row r="77" spans="11:13" x14ac:dyDescent="0.25">
      <c r="K77" s="56"/>
      <c r="L77" s="56"/>
      <c r="M77" s="56"/>
    </row>
    <row r="78" spans="11:13" x14ac:dyDescent="0.25">
      <c r="K78" s="56"/>
      <c r="L78" s="56"/>
      <c r="M78" s="56"/>
    </row>
    <row r="82" spans="12:13" x14ac:dyDescent="0.25">
      <c r="L82" s="46" t="s">
        <v>45</v>
      </c>
      <c r="M82">
        <f>0.004704*138.41272</f>
        <v>0.65109343488000004</v>
      </c>
    </row>
  </sheetData>
  <mergeCells count="1">
    <mergeCell ref="K72:M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 Data</vt:lpstr>
      <vt:lpstr>Covariance</vt:lpstr>
      <vt:lpstr>Linearly transformed</vt:lpstr>
      <vt:lpstr>Standardized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</dc:creator>
  <cp:lastModifiedBy>Yuichi</cp:lastModifiedBy>
  <dcterms:created xsi:type="dcterms:W3CDTF">2013-01-07T12:02:53Z</dcterms:created>
  <dcterms:modified xsi:type="dcterms:W3CDTF">2018-01-16T21:29:54Z</dcterms:modified>
</cp:coreProperties>
</file>