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ingkasan" sheetId="1" r:id="rId1"/>
    <sheet name="Asumsi" sheetId="2" r:id="rId2"/>
    <sheet name="CAPEX" sheetId="3" r:id="rId3"/>
    <sheet name="OPEX" sheetId="4" r:id="rId4"/>
    <sheet name="Arus Kas" sheetId="5" r:id="rId5"/>
    <sheet name="Indikator" sheetId="6" r:id="rId6"/>
    <sheet name="Sensitivitas" sheetId="7" r:id="rId7"/>
    <sheet name="Monte Carlo" sheetId="8" r:id="rId8"/>
    <sheet name="Skala Set" sheetId="9" r:id="rId9"/>
    <sheet name="Armada" sheetId="10" r:id="rId10"/>
    <sheet name="Pasar" sheetId="11" r:id="rId11"/>
    <sheet name="PESTLE" sheetId="12" r:id="rId12"/>
    <sheet name="Porter" sheetId="13" r:id="rId13"/>
    <sheet name="Sumber" sheetId="14" r:id="rId14"/>
    <sheet name="Gambar" sheetId="15" r:id="rId15"/>
  </sheets>
  <definedNames>
    <definedName name="a_allow">Asumsi!$B$40</definedName>
    <definedName name="a_avail">Asumsi!$B$7</definedName>
    <definedName name="a_c_admin">Asumsi!$B$31</definedName>
    <definedName name="a_c_chp">Asumsi!$B$23</definedName>
    <definedName name="a_c_eng_om">Asumsi!$B$26</definedName>
    <definedName name="a_c_fab">Asumsi!$B$21</definedName>
    <definedName name="a_c_ins">Asumsi!$B$28</definedName>
    <definedName name="a_c_maint">Asumsi!$B$27</definedName>
    <definedName name="a_c_mem">Asumsi!$B$22</definedName>
    <definedName name="a_c_mrv">Asumsi!$B$30</definedName>
    <definedName name="a_c_naoh">Asumsi!$B$35</definedName>
    <definedName name="a_cer_ratio">Asumsi!$B$10</definedName>
    <definedName name="a_co2e">Asumsi!$B$9</definedName>
    <definedName name="a_cont">Asumsi!$B$24</definedName>
    <definedName name="a_debt_frac">Asumsi!$B$41</definedName>
    <definedName name="a_dep_life">Asumsi!$B$39</definedName>
    <definedName name="a_E_net_GWh">Asumsi!$B$8</definedName>
    <definedName name="a_eng">Asumsi!$B$25</definedName>
    <definedName name="a_F_loc">Asumsi!$B$13</definedName>
    <definedName name="a_fee_pome">Asumsi!$B$16</definedName>
    <definedName name="a_fx">Asumsi!$B$19</definedName>
    <definedName name="a_heat_util">Asumsi!$B$11</definedName>
    <definedName name="a_infl">Asumsi!$B$20</definedName>
    <definedName name="a_lease">Asumsi!$B$32</definedName>
    <definedName name="a_mem_life">Asumsi!$B$37</definedName>
    <definedName name="a_n_op">Asumsi!$B$5</definedName>
    <definedName name="a_overhaul">Asumsi!$B$36</definedName>
    <definedName name="a_p_ac">Asumsi!$B$34</definedName>
    <definedName name="a_p_cake">Asumsi!$B$18</definedName>
    <definedName name="a_p_carbon">Asumsi!$B$15</definedName>
    <definedName name="a_p_heat">Asumsi!$B$17</definedName>
    <definedName name="a_p_poly">Asumsi!$B$33</definedName>
    <definedName name="a_r_debt">Asumsi!$B$42</definedName>
    <definedName name="a_r_eq">Asumsi!$B$44</definedName>
    <definedName name="a_ramp1">Asumsi!$B$6</definedName>
    <definedName name="a_staff">Asumsi!$B$29</definedName>
    <definedName name="a_tariff1">Asumsi!$B$12</definedName>
    <definedName name="a_tariff2">Asumsi!$B$14</definedName>
    <definedName name="a_tax">Asumsi!$B$38</definedName>
    <definedName name="a_tenor">Asumsi!$B$43</definedName>
    <definedName name="a_wc_months">Asumsi!$B$45</definedName>
    <definedName name="a_year0">Asumsi!$B$4</definedName>
    <definedName name="FCI">CAPEX!$F$28</definedName>
    <definedName name="OPEX_F">OPEX!$B$14</definedName>
    <definedName name="OPEX_V">OPEX!$B$15</definedName>
    <definedName name="PEC">CAPEX!$F$27</definedName>
    <definedName name="t_area_mem">Asumsi!$B$53</definedName>
    <definedName name="t_cake_ty">Asumsi!$B$55</definedName>
    <definedName name="t_chp_kWe">Asumsi!$B$52</definedName>
    <definedName name="t_E_gross">Asumsi!$B$50</definedName>
    <definedName name="t_ffb_ty">Asumsi!$B$56</definedName>
    <definedName name="t_P_gross">Asumsi!$B$48</definedName>
    <definedName name="t_P_net">Asumsi!$B$49</definedName>
    <definedName name="t_plot_m2">Asumsi!$B$57</definedName>
    <definedName name="t_pome_m3y">Asumsi!$B$54</definedName>
    <definedName name="t_Q_heat">Asumsi!$B$51</definedName>
    <definedName name="WACC">Asumsi!$B$59</definedName>
    <definedName name="WC">CAPEX!$F$30</definedName>
  </definedNames>
  <calcPr calcId="124519" fullCalcOnLoad="1"/>
</workbook>
</file>

<file path=xl/sharedStrings.xml><?xml version="1.0" encoding="utf-8"?>
<sst xmlns="http://schemas.openxmlformats.org/spreadsheetml/2006/main" count="837" uniqueCount="668">
  <si>
    <t>ASUMSI MODEL (sel kuning = input; ubah di sini, seluruh model ikut berubah)</t>
  </si>
  <si>
    <t>Nama</t>
  </si>
  <si>
    <t>Nilai</t>
  </si>
  <si>
    <t>Satuan</t>
  </si>
  <si>
    <t>Rendah / Tinggi</t>
  </si>
  <si>
    <t>Sumber / catatan</t>
  </si>
  <si>
    <t>year0</t>
  </si>
  <si>
    <t>tahun</t>
  </si>
  <si>
    <t>Tahun konstruksi (fabrikasi bengkel 8 bln + pasang 3 bln)</t>
  </si>
  <si>
    <t>n_op</t>
  </si>
  <si>
    <t>Umur operasi kontrak BOO (bejana CS + pelapis epoksi 20+ th)</t>
  </si>
  <si>
    <t>ramp1</t>
  </si>
  <si>
    <t>-</t>
  </si>
  <si>
    <t>0.6 / 0.85</t>
  </si>
  <si>
    <t>Faktor tahun operasi pertama (start-up biomassa termofilik ~3 bln) [ASUMSI]</t>
  </si>
  <si>
    <t>avail</t>
  </si>
  <si>
    <t>0.9 / 0.97</t>
  </si>
  <si>
    <t>Ketersediaan pembangkit (2 genset, N+0) [ASUMSI, praktik CHP biogas]</t>
  </si>
  <si>
    <t>E_net_GWh</t>
  </si>
  <si>
    <t>GWh/th</t>
  </si>
  <si>
    <t>5.858479739529605 / 8.421564625573806</t>
  </si>
  <si>
    <t>Neraca energi tahunan (results.json, profil bulanan PKS)</t>
  </si>
  <si>
    <t>co2e</t>
  </si>
  <si>
    <t>tCO2e/th</t>
  </si>
  <si>
    <t>Emisi metana terhindar vs kolam terbuka (results.json, IPCC MCF 0,8)</t>
  </si>
  <si>
    <t>cer_ratio</t>
  </si>
  <si>
    <t>0.75 / 0.95</t>
  </si>
  <si>
    <t>Rasio penerbitan kredit (buffer, ketidakpastian, kebocoran) [ASUMSI, metodologi AMS-III.H]</t>
  </si>
  <si>
    <t>heat_util</t>
  </si>
  <si>
    <t>0.2 / 0.6</t>
  </si>
  <si>
    <t>Fraksi panas CHP terpakai PKS (pemanas air umpan boiler) [ASUMSI]</t>
  </si>
  <si>
    <t>tariff1</t>
  </si>
  <si>
    <t>USc/kWh</t>
  </si>
  <si>
    <t>9.94 / 11.47</t>
  </si>
  <si>
    <t>Perpres 112/2022 Lamp. I, PLTBg &lt;= 1 MW, th 1-10</t>
  </si>
  <si>
    <t>F_loc</t>
  </si>
  <si>
    <t>1.0 / 1.1</t>
  </si>
  <si>
    <t>Faktor lokasi F Sumatera ~1,10 [perlu verifikasi; Kalimantan 1,10]</t>
  </si>
  <si>
    <t>tariff2</t>
  </si>
  <si>
    <t>5.97 / 6.88</t>
  </si>
  <si>
    <t>Perpres 112/2022, th 11-30 (0,6 x harga dasar, tanpa F)</t>
  </si>
  <si>
    <t>p_carbon</t>
  </si>
  <si>
    <t>USD/tCO2e</t>
  </si>
  <si>
    <t>2.2 / 20.0</t>
  </si>
  <si>
    <t>VCM penghindaran metana 10-25 (Carbonmark 2026); IDXCarbon ~2,2; dasar konservatif</t>
  </si>
  <si>
    <t>fee_pome</t>
  </si>
  <si>
    <t>USD/m3 POME</t>
  </si>
  <si>
    <t>0.0 / 0.8</t>
  </si>
  <si>
    <t>Jasa pengolahan POME dibayar PKS (hindari pengurasan kolam, lahan 5-8 ha, kepatuhan ISPO) [ASUMSI]</t>
  </si>
  <si>
    <t>p_heat</t>
  </si>
  <si>
    <t>USD/MWh-th</t>
  </si>
  <si>
    <t>10.0 / 25.0</t>
  </si>
  <si>
    <t>Setara cangkang USD 100/t, LHV 17 MJ/kg, boiler 75%, diskon 35% ke PKS [ASUMSI]</t>
  </si>
  <si>
    <t>p_cake</t>
  </si>
  <si>
    <t>USD/t</t>
  </si>
  <si>
    <t>0.0 / 10.0</t>
  </si>
  <si>
    <t>Kue lumpur ke kebun sebagai pupuk organik [ASUMSI]</t>
  </si>
  <si>
    <t>fx</t>
  </si>
  <si>
    <t>IDR/USD</t>
  </si>
  <si>
    <t>Kurs 22 Sep 2026 (RRI/Bisnis)</t>
  </si>
  <si>
    <t>infl</t>
  </si>
  <si>
    <t>/th</t>
  </si>
  <si>
    <t>0.02 / 0.045</t>
  </si>
  <si>
    <t>Eskalasi OPEX (inflasi CPI 3,19% Agu 2026)</t>
  </si>
  <si>
    <t>c_fab</t>
  </si>
  <si>
    <t>USD/kg</t>
  </si>
  <si>
    <t>2.0 / 3.2</t>
  </si>
  <si>
    <t>Bejana CS difabrikasi + dilapis (estimasi 1,8-4,0; HRC USD 515/t)</t>
  </si>
  <si>
    <t>c_mem</t>
  </si>
  <si>
    <t>USD/m2</t>
  </si>
  <si>
    <t>150.0 / 280.0</t>
  </si>
  <si>
    <t>Membran UF tubular PVDF (100-300) [ASUMSI]</t>
  </si>
  <si>
    <t>c_chp</t>
  </si>
  <si>
    <t>USD/kWe</t>
  </si>
  <si>
    <t>450.0 / 800.0</t>
  </si>
  <si>
    <t>Genset biogas kontainer (Asia 350-600; Eropa 700-1.100)</t>
  </si>
  <si>
    <t>cont</t>
  </si>
  <si>
    <t>0.05 / 0.2</t>
  </si>
  <si>
    <t>Kontingensi atas biaya langsung + tak langsung (produk standar)</t>
  </si>
  <si>
    <t>eng</t>
  </si>
  <si>
    <t>0.05 / 0.12</t>
  </si>
  <si>
    <t>Rekayasa &amp; manajemen proyek (desain standar berulang) [ASUMSI]</t>
  </si>
  <si>
    <t>c_eng_om</t>
  </si>
  <si>
    <t>USD/kWh-gross</t>
  </si>
  <si>
    <t>0.01 / 0.018</t>
  </si>
  <si>
    <t>O&amp;M genset kontrak penuh (tanpa overhaul) [ASUMSI 10-18 USD/MWh]</t>
  </si>
  <si>
    <t>c_maint</t>
  </si>
  <si>
    <t>-/th x PEC non-genset</t>
  </si>
  <si>
    <t>0.015 / 0.03</t>
  </si>
  <si>
    <t>Perawatan peralatan proses [ASUMSI]</t>
  </si>
  <si>
    <t>c_ins</t>
  </si>
  <si>
    <t>-/th x FCI</t>
  </si>
  <si>
    <t>Asuransi all-risk [ASUMSI]</t>
  </si>
  <si>
    <t>staff</t>
  </si>
  <si>
    <t>USD/th</t>
  </si>
  <si>
    <t>65000.0 / 95000.0</t>
  </si>
  <si>
    <t>1 manajer, 6 operator 3 shift, 1 lab/K3; 14 bln gaji + BPJS</t>
  </si>
  <si>
    <t>c_mrv</t>
  </si>
  <si>
    <t>15000.0 / 35000.0</t>
  </si>
  <si>
    <t>Pemantauan, validasi/verifikasi karbon + biaya registri</t>
  </si>
  <si>
    <t>c_admin</t>
  </si>
  <si>
    <t>Administrasi SPV, IT/SCADA jarak jauh, audit</t>
  </si>
  <si>
    <t>lease</t>
  </si>
  <si>
    <t>USD/m2/th</t>
  </si>
  <si>
    <t>Sewa lahan di PKS (0,29 ha) [ASUMSI]</t>
  </si>
  <si>
    <t>p_poly</t>
  </si>
  <si>
    <t>Polimer kationik (dewatering)</t>
  </si>
  <si>
    <t>p_ac</t>
  </si>
  <si>
    <t>Karbon aktif impregnasi KI</t>
  </si>
  <si>
    <t>c_naoh</t>
  </si>
  <si>
    <t>Cadangan NaOH/urea untuk gangguan (P95 dosis) [ASUMSI]</t>
  </si>
  <si>
    <t>overhaul</t>
  </si>
  <si>
    <t>120.0 / 220.0</t>
  </si>
  <si>
    <t>Overhaul besar genset tiap 60.000 jam (~th 8 &amp; 16)</t>
  </si>
  <si>
    <t>mem_life</t>
  </si>
  <si>
    <t>Umur membran tubular (penggantian th 8 &amp; 15)</t>
  </si>
  <si>
    <t>tax</t>
  </si>
  <si>
    <t>PPh badan (UU HPP)</t>
  </si>
  <si>
    <t>dep_life</t>
  </si>
  <si>
    <t>Penyusutan garis lurus, kelompok 3 (PMK 72/2023)</t>
  </si>
  <si>
    <t>allow</t>
  </si>
  <si>
    <t>Tax allowance PP 78/2019: 30% investasi, 5%/th x 6 th (EBT)</t>
  </si>
  <si>
    <t>debt_frac</t>
  </si>
  <si>
    <t>Porsi utang pembiayaan proyek EBT [ASUMSI]</t>
  </si>
  <si>
    <t>r_debt</t>
  </si>
  <si>
    <t>0.065 / 0.1</t>
  </si>
  <si>
    <t>Bunga pinjaman hijau USD (6,5-8,5% + premi)</t>
  </si>
  <si>
    <t>tenor</t>
  </si>
  <si>
    <t>Tenor utang (anuitas, mulai th operasi 1)</t>
  </si>
  <si>
    <t>r_eq</t>
  </si>
  <si>
    <t>Biaya ekuitas (CAPM negara berkembang + premi teknologi)</t>
  </si>
  <si>
    <t>wc_months</t>
  </si>
  <si>
    <t>bulan</t>
  </si>
  <si>
    <t>Modal kerja = 2 bulan OPEX</t>
  </si>
  <si>
    <t>DATA TEKNIS (dari process/outputs/results.json, tidak diubah manual)</t>
  </si>
  <si>
    <t>P_gross</t>
  </si>
  <si>
    <t>kWe</t>
  </si>
  <si>
    <t>Daya kotor genset</t>
  </si>
  <si>
    <t>P_net</t>
  </si>
  <si>
    <t>Daya bersih ekspor</t>
  </si>
  <si>
    <t>E_gross</t>
  </si>
  <si>
    <t>Energi kotor tahunan</t>
  </si>
  <si>
    <t>Q_heat</t>
  </si>
  <si>
    <t>kWth</t>
  </si>
  <si>
    <t>Panas CHP terpulihkan</t>
  </si>
  <si>
    <t>chp_kWe</t>
  </si>
  <si>
    <t>Kapasitas genset terpasang</t>
  </si>
  <si>
    <t>area_mem</t>
  </si>
  <si>
    <t>m2</t>
  </si>
  <si>
    <t>Luas membran</t>
  </si>
  <si>
    <t>pome_m3y</t>
  </si>
  <si>
    <t>m3/th</t>
  </si>
  <si>
    <t>POME diolah</t>
  </si>
  <si>
    <t>cake_ty</t>
  </si>
  <si>
    <t>t/th</t>
  </si>
  <si>
    <t>Kue lumpur</t>
  </si>
  <si>
    <t>ffb_ty</t>
  </si>
  <si>
    <t>t TBS/th</t>
  </si>
  <si>
    <t>TBS diolah PKS</t>
  </si>
  <si>
    <t>plot_m2</t>
  </si>
  <si>
    <t>Luas plot dari GA 3D</t>
  </si>
  <si>
    <t>WACC</t>
  </si>
  <si>
    <t>Biaya modal rata-rata tertimbang</t>
  </si>
  <si>
    <t>CAPEX - Biaya Investasi Tetap (FCI) 1 set standar 45 t TBS/jam (USD 2026)</t>
  </si>
  <si>
    <t>Kelompok</t>
  </si>
  <si>
    <t>Item</t>
  </si>
  <si>
    <t>Jumlah</t>
  </si>
  <si>
    <t>Harga satuan USD</t>
  </si>
  <si>
    <t>Total USD</t>
  </si>
  <si>
    <t>Dasar</t>
  </si>
  <si>
    <t>PEC</t>
  </si>
  <si>
    <t>Reaktor AnMBR standar 194 m³ (bejana 20,9 t)</t>
  </si>
  <si>
    <t>unit</t>
  </si>
  <si>
    <t>Massa dari model 3D x biaya fabrikasi + insulasi + internal + instrumen</t>
  </si>
  <si>
    <t>TK-101 / TK-301 bejana standar</t>
  </si>
  <si>
    <t>Bejana sama tanpa insulasi</t>
  </si>
  <si>
    <t>Membran UF tubular MB-301</t>
  </si>
  <si>
    <t>m²</t>
  </si>
  <si>
    <t>Luas dari neraca membran</t>
  </si>
  <si>
    <t>PM-4 pompa cross-flow, CIP, MCC/VSD, kontainer</t>
  </si>
  <si>
    <t>lot</t>
  </si>
  <si>
    <t>Penawaran tipikal paket [ASUMSI]</t>
  </si>
  <si>
    <t>PM-1 skid praolah (saringan, desander, PHE 812 kW)</t>
  </si>
  <si>
    <t>[ASUMSI] harga katalog</t>
  </si>
  <si>
    <t>PM-5 skid dosing + pompa umpan</t>
  </si>
  <si>
    <t>[ASUMSI]</t>
  </si>
  <si>
    <t>PM-6 BTF + chiller + blower ATEX + karbon aktif + analis</t>
  </si>
  <si>
    <t>PM-7 penampung gas membran ganda 1135 m³ + flare</t>
  </si>
  <si>
    <t>[ASUMSI] ~USD 90/m³ + flare tertutup</t>
  </si>
  <si>
    <t>PM-8 genset biogas kontainer 2 x 800 kWe</t>
  </si>
  <si>
    <t>Riset harga genset</t>
  </si>
  <si>
    <t>PM-9 pemulih panas + menara pendingin</t>
  </si>
  <si>
    <t>PM-10 screw press + skid lumpur</t>
  </si>
  <si>
    <t>Pipe rack + perpipaan antar modul</t>
  </si>
  <si>
    <t>Model 3D: 4 jalur DN100-200</t>
  </si>
  <si>
    <t>Listrik MV (trafo 1,25 MVA, switchgear 20 kV, kabel)</t>
  </si>
  <si>
    <t>Instrumentasi, PLC/SCADA jarak jauh</t>
  </si>
  <si>
    <t>Interkoneksi PLN 20 kV + kWh meter transaksi</t>
  </si>
  <si>
    <t>[ASUMSI] jarak &lt;= 2 km</t>
  </si>
  <si>
    <t>LANGSUNG</t>
  </si>
  <si>
    <t>Sipil &amp; pondasi (16 cincin, pondasi GH, pad)</t>
  </si>
  <si>
    <t>[ASUMSI] 0,29 ha</t>
  </si>
  <si>
    <t>Transportasi Jawa/Batam -&gt; Sumatera (28 muatan)</t>
  </si>
  <si>
    <t>muatan</t>
  </si>
  <si>
    <t>low-bed + truk 40 ft [ASUMSI]</t>
  </si>
  <si>
    <t>Pemasangan, crane &amp; komisioning</t>
  </si>
  <si>
    <t>[ASUMSI] 10 minggu</t>
  </si>
  <si>
    <t>TAK LANGSUNG</t>
  </si>
  <si>
    <t>Rekayasa &amp; manajemen proyek</t>
  </si>
  <si>
    <t>x PEC</t>
  </si>
  <si>
    <t>Desain standar berulang</t>
  </si>
  <si>
    <t>Perizinan (UKL-UPL, PPA, SLO, IUPTL)</t>
  </si>
  <si>
    <t>Start-up: inokulum termofilik, bahan kimia, pelatihan</t>
  </si>
  <si>
    <t>KONTINGENSI</t>
  </si>
  <si>
    <t>Kontingensi</t>
  </si>
  <si>
    <t>x subtotal</t>
  </si>
  <si>
    <t>Produk standar</t>
  </si>
  <si>
    <t>PEC (biaya peralatan terbeli)</t>
  </si>
  <si>
    <t>FCI (biaya investasi tetap)</t>
  </si>
  <si>
    <t>USD per kWe kotor</t>
  </si>
  <si>
    <t>Modal kerja (2 bln OPEX)</t>
  </si>
  <si>
    <t>Total kebutuhan investasi (TCI)</t>
  </si>
  <si>
    <t>Pembanding literatur: PLTBg POME 1-10 MW rata-rata 2.758 USD/kW (2.256-3.669), Energies 15:7265 (2022).</t>
  </si>
  <si>
    <t>OPEX tahun penuh (USD 2026, dieskalasi a_infl di Arus Kas)</t>
  </si>
  <si>
    <t>Komponen</t>
  </si>
  <si>
    <t>Jenis (F/V)</t>
  </si>
  <si>
    <t>Rumus / dasar</t>
  </si>
  <si>
    <t>Staf operasi (8 orang)</t>
  </si>
  <si>
    <t>a_staff</t>
  </si>
  <si>
    <t>F</t>
  </si>
  <si>
    <t>O&amp;M genset (kontrak)</t>
  </si>
  <si>
    <t>a_c_eng_om*t_E_gross*a_avail*1000000</t>
  </si>
  <si>
    <t>V</t>
  </si>
  <si>
    <t>Perawatan peralatan proses</t>
  </si>
  <si>
    <t>a_c_maint*(PEC-a_c_chp*t_chp_kWe)</t>
  </si>
  <si>
    <t>Bahan kimia (polimer, karbon aktif, NaOH)</t>
  </si>
  <si>
    <t>polimer 0.83 kg/jam, karbon aktif 0.147 kg/jam (neraca massa) + cadangan NaOH</t>
  </si>
  <si>
    <t>Asuransi</t>
  </si>
  <si>
    <t>a_c_ins*FCI</t>
  </si>
  <si>
    <t>MRV &amp; registri karbon</t>
  </si>
  <si>
    <t>a_c_mrv</t>
  </si>
  <si>
    <t>Administrasi &amp; SCADA jarak jauh</t>
  </si>
  <si>
    <t>a_c_admin</t>
  </si>
  <si>
    <t>Sewa lahan PKS</t>
  </si>
  <si>
    <t>a_lease*t_plot_m2</t>
  </si>
  <si>
    <t>Cadangan overhaul genset + ganti membran</t>
  </si>
  <si>
    <t>a_overhaul*t_chp_kWe/8+0.8*a_c_mem*t_area_mem/a_mem_life</t>
  </si>
  <si>
    <t>Biaya tetap (F)</t>
  </si>
  <si>
    <t>Biaya variabel (V)</t>
  </si>
  <si>
    <t>Total OPEX</t>
  </si>
  <si>
    <t>MODEL ARUS KAS PROYEK (USD nominal; tanda negatif = keluar). 1 set 45 t TBS/jam, BOO</t>
  </si>
  <si>
    <t>Tahun</t>
  </si>
  <si>
    <t>Tahun operasi ke-</t>
  </si>
  <si>
    <t>Tahun kalender</t>
  </si>
  <si>
    <t>Faktor operasi (ramp-up)</t>
  </si>
  <si>
    <t>Listrik terjual ke PLN (GWh)</t>
  </si>
  <si>
    <t>Tarif (USD/kWh)</t>
  </si>
  <si>
    <t>Pendapatan listrik</t>
  </si>
  <si>
    <t>Kredit karbon terbit (tCO2e)</t>
  </si>
  <si>
    <t>Pendapatan karbon</t>
  </si>
  <si>
    <t>Jasa pengolahan POME (dari PKS)</t>
  </si>
  <si>
    <t>Penjualan air panas ke PKS</t>
  </si>
  <si>
    <t>Kue lumpur (pupuk organik)</t>
  </si>
  <si>
    <t>TOTAL PENDAPATAN</t>
  </si>
  <si>
    <t>OPEX (dieskalasi)</t>
  </si>
  <si>
    <t>EBITDA</t>
  </si>
  <si>
    <t>CAPEX (FCI)</t>
  </si>
  <si>
    <t>Perubahan modal kerja</t>
  </si>
  <si>
    <t>Penyusutan (garis lurus)</t>
  </si>
  <si>
    <t>Tax allowance (30% / 6 th)</t>
  </si>
  <si>
    <t>Laba kena pajak (tanpa utang)</t>
  </si>
  <si>
    <t>Akumulasi rugi fiskal</t>
  </si>
  <si>
    <t>Pajak (tanpa utang)</t>
  </si>
  <si>
    <t>ARUS KAS BERSIH PROYEK (FCFF)</t>
  </si>
  <si>
    <t>Kumulatif FCFF</t>
  </si>
  <si>
    <t>Faktor diskonto (WACC)</t>
  </si>
  <si>
    <t>FCFF terdiskonto</t>
  </si>
  <si>
    <t>Kumulatif terdiskonto</t>
  </si>
  <si>
    <t>Bantu payback (th sejak COD)</t>
  </si>
  <si>
    <t>Bantu payback terdiskonto</t>
  </si>
  <si>
    <t>Saldo utang akhir tahun</t>
  </si>
  <si>
    <t>Bunga</t>
  </si>
  <si>
    <t>Pokok (anuitas)</t>
  </si>
  <si>
    <t>Laba kena pajak (dengan utang)</t>
  </si>
  <si>
    <t>Akumulasi rugi fiskal (dengan utang)</t>
  </si>
  <si>
    <t>Pajak (dengan utang)</t>
  </si>
  <si>
    <t>DSCR</t>
  </si>
  <si>
    <t>ARUS KAS EKUITAS (FCFE)</t>
  </si>
  <si>
    <t>INDIKATOR KELAYAKAN FINANSIAL (rumus hidup)</t>
  </si>
  <si>
    <t>Indikator</t>
  </si>
  <si>
    <t>Hasil</t>
  </si>
  <si>
    <t>Kriteria</t>
  </si>
  <si>
    <t>Keputusan</t>
  </si>
  <si>
    <t>NPV pada WACC (USD)</t>
  </si>
  <si>
    <t>&gt; 0</t>
  </si>
  <si>
    <t>IRR proyek (setelah pajak)</t>
  </si>
  <si>
    <t>&gt; WACC</t>
  </si>
  <si>
    <t>IRR ekuitas (60% utang)</t>
  </si>
  <si>
    <t>&gt; biaya ekuitas</t>
  </si>
  <si>
    <t>Payback period sejak COD (th)</t>
  </si>
  <si>
    <t>&lt; umur proyek</t>
  </si>
  <si>
    <t>Payback terdiskonto sejak COD (th)</t>
  </si>
  <si>
    <t>Indeks profitabilitas</t>
  </si>
  <si>
    <t>&gt; 1,0</t>
  </si>
  <si>
    <t>DSCR minimum</t>
  </si>
  <si>
    <t>&gt; 1,2</t>
  </si>
  <si>
    <t>LCOE (USD/kWh)</t>
  </si>
  <si>
    <t>vs tarif</t>
  </si>
  <si>
    <t>Puncak kebutuhan dana (USD)</t>
  </si>
  <si>
    <t>Struktur pendanaan</t>
  </si>
  <si>
    <t>Total FCFF umur proyek (USD)</t>
  </si>
  <si>
    <t>TITIK IMPAS (BEP)</t>
  </si>
  <si>
    <t>BEP tunai (fraksi kapasitas, th penuh)</t>
  </si>
  <si>
    <t>BEP akuntansi (laba = 0)</t>
  </si>
  <si>
    <t>Titik penutupan (SDP)</t>
  </si>
  <si>
    <t>Tarif impas th 1-10, USc/kWh sebelum F (NPV=0)</t>
  </si>
  <si>
    <t>Harga karbon impas USD/tCO2e (NPV=0)</t>
  </si>
  <si>
    <t>Produksi energi impas (x dasar)</t>
  </si>
  <si>
    <t>CAPEX impas (x dasar)</t>
  </si>
  <si>
    <t>BEP tunai = biaya tetap tunai / (pendapatan - biaya variabel); nilai impas NPV=0 diselesaikan dengan bisection di fin_core.bep().</t>
  </si>
  <si>
    <t>SENSITIVITAS NPV (+/-20%) - dihitung fin_core.tornado()</t>
  </si>
  <si>
    <t>Variabel</t>
  </si>
  <si>
    <t>NPV -20%</t>
  </si>
  <si>
    <t>NPV +20%</t>
  </si>
  <si>
    <t>Rentang</t>
  </si>
  <si>
    <t>NPV dasar</t>
  </si>
  <si>
    <t>Produksi energi (biogas)</t>
  </si>
  <si>
    <t>Pendapatan listrik (tarif x F)</t>
  </si>
  <si>
    <t>OPEX</t>
  </si>
  <si>
    <t>Harga kredit karbon</t>
  </si>
  <si>
    <t>Biaya modal (WACC)</t>
  </si>
  <si>
    <t>Jasa pengolahan POME</t>
  </si>
  <si>
    <t>Pendapatan panas</t>
  </si>
  <si>
    <t>PROFIL NPV vs TINGKAT DISKONTO</t>
  </si>
  <si>
    <t>Tingkat diskonto</t>
  </si>
  <si>
    <t>NPV (USD, rumus NPV Excel)</t>
  </si>
  <si>
    <t>SKENARIO</t>
  </si>
  <si>
    <t>Skenario</t>
  </si>
  <si>
    <t>FCI USD</t>
  </si>
  <si>
    <t>NPV USD</t>
  </si>
  <si>
    <t>IRR</t>
  </si>
  <si>
    <t>Payback th</t>
  </si>
  <si>
    <t>Dasar (45 t/jam)</t>
  </si>
  <si>
    <t>Relokasi th-11 (tarif th 1-10)</t>
  </si>
  <si>
    <t>Tanpa jasa POME</t>
  </si>
  <si>
    <t>Karbon IDX USD 2,2/t</t>
  </si>
  <si>
    <t>Unit ke-10 (kurva belajar)</t>
  </si>
  <si>
    <t>Set 30 t/jam</t>
  </si>
  <si>
    <t>Set 60 t/jam</t>
  </si>
  <si>
    <t>MONTE CARLO (N = 4000) - fin_core.monte_carlo()</t>
  </si>
  <si>
    <t>Statistik</t>
  </si>
  <si>
    <t>Rata-rata</t>
  </si>
  <si>
    <t>P10</t>
  </si>
  <si>
    <t>P50</t>
  </si>
  <si>
    <t>P90</t>
  </si>
  <si>
    <t>Simpangan baku</t>
  </si>
  <si>
    <t>Peluang NPV &gt; 0</t>
  </si>
  <si>
    <t>Peluang IRR &gt; WACC</t>
  </si>
  <si>
    <t>DISTRIBUSI INPUT</t>
  </si>
  <si>
    <t>Input</t>
  </si>
  <si>
    <t>Distribusi</t>
  </si>
  <si>
    <t>Korelasi Spearman ke NPV</t>
  </si>
  <si>
    <t>emult</t>
  </si>
  <si>
    <t>Lognormal median 1, P5-P95 0,76-1,33 (dari MC proses P_net)</t>
  </si>
  <si>
    <t>Segitiga 2,2 / 12 / 20 USD/t</t>
  </si>
  <si>
    <t>capex</t>
  </si>
  <si>
    <t>Segitiga 0,90 / 1,00 / 1,35</t>
  </si>
  <si>
    <t>opex</t>
  </si>
  <si>
    <t>Segitiga 0,85 / 1,00 / 1,25</t>
  </si>
  <si>
    <t>Segitiga 2 / 3 / 5%</t>
  </si>
  <si>
    <t>Segitiga 0,15 / 0,40 / 0,60</t>
  </si>
  <si>
    <t>Segitiga 0,88 / 0,95 / 0,97</t>
  </si>
  <si>
    <t>Segitiga 8 / 18 / 25 USD/MWh</t>
  </si>
  <si>
    <t>Diskrit 1,00 (30%) / 1,10 (70%)</t>
  </si>
  <si>
    <t>Segitiga 6,5 / 8 / 10%</t>
  </si>
  <si>
    <t>Bin NPV (tengah)</t>
  </si>
  <si>
    <t>Frekuensi</t>
  </si>
  <si>
    <t>EKONOMI PER UKURAN PKS (desain bejana sama)</t>
  </si>
  <si>
    <t>30 t/jam</t>
  </si>
  <si>
    <t>45 t/jam</t>
  </si>
  <si>
    <t>60 t/jam</t>
  </si>
  <si>
    <t>Jumlah reaktor</t>
  </si>
  <si>
    <t>Listrik GWh/th (th penuh)</t>
  </si>
  <si>
    <t>Pendapatan th penuh USD</t>
  </si>
  <si>
    <t>LCOE USD/kWh</t>
  </si>
  <si>
    <t>Set &gt; 1 MW (60 t/jam) memakai tarif Perpres 112 &gt;1-3 MW (9,94 USc/kWh x F).</t>
  </si>
  <si>
    <t>MODEL PERUSAHAAN: penggelaran armada BOO, kurva belajar 90%%, unit-1 FOAK +20%%, overhead korporat</t>
  </si>
  <si>
    <t>Set baru</t>
  </si>
  <si>
    <t>Set beroperasi</t>
  </si>
  <si>
    <t>Listrik GWh</t>
  </si>
  <si>
    <t>Kredit karbon tCO2e</t>
  </si>
  <si>
    <t>Pendapatan USD</t>
  </si>
  <si>
    <t>OPEX USD</t>
  </si>
  <si>
    <t>EBITDA USD</t>
  </si>
  <si>
    <t>CAPEX + sustaining USD</t>
  </si>
  <si>
    <t>Overhead korporat USD</t>
  </si>
  <si>
    <t>FCFF perusahaan USD</t>
  </si>
  <si>
    <t>NPV perusahaan @WACC</t>
  </si>
  <si>
    <t>IRR perusahaan</t>
  </si>
  <si>
    <t>Puncak kebutuhan dana</t>
  </si>
  <si>
    <t>Biaya CAPEX per unit (relatif unit-1 harga dasar)</t>
  </si>
  <si>
    <t>Unit ke-</t>
  </si>
  <si>
    <t>Faktor CAPEX</t>
  </si>
  <si>
    <t>NPV unit USD</t>
  </si>
  <si>
    <t>IRR unit</t>
  </si>
  <si>
    <t>UKURAN PASAR (TAM-SAM-SOM)</t>
  </si>
  <si>
    <t>Parameter</t>
  </si>
  <si>
    <t>Sumber</t>
  </si>
  <si>
    <t>Jumlah PKS Indonesia</t>
  </si>
  <si>
    <t>PKS</t>
  </si>
  <si>
    <t>Universal Mill List (2023 data, publ. 2025)</t>
  </si>
  <si>
    <t>POME nasional</t>
  </si>
  <si>
    <t>PASPI/BRIN 2026 (125-170 juta)</t>
  </si>
  <si>
    <t>Pendapatan per m3 POME (model)</t>
  </si>
  <si>
    <t>USD/m3</t>
  </si>
  <si>
    <t>Arus Kas th penuh / POME diolah</t>
  </si>
  <si>
    <t>Porsi PKS 30-60 t/jam</t>
  </si>
  <si>
    <t>[UNVERIFIED] estimasi</t>
  </si>
  <si>
    <t>Porsi tanpa penangkap metana</t>
  </si>
  <si>
    <t>T&amp;E 2025: ~10% sudah menangkap</t>
  </si>
  <si>
    <t>Porsi Sumatera + Kalimantan</t>
  </si>
  <si>
    <t>Sebaran PKS</t>
  </si>
  <si>
    <t>Set SOM s/d 2034</t>
  </si>
  <si>
    <t>set</t>
  </si>
  <si>
    <t>Rencana penggelaran (Armada)</t>
  </si>
  <si>
    <t>TAM (USD/th)</t>
  </si>
  <si>
    <t>SAM (USD/th)</t>
  </si>
  <si>
    <t>SOM (USD/th, 2034)</t>
  </si>
  <si>
    <t>Pangsa SOM / SAM</t>
  </si>
  <si>
    <t>PKS sasaran (SAM)</t>
  </si>
  <si>
    <t>PEMBANDING TEKNOLOGI</t>
  </si>
  <si>
    <t>Teknologi</t>
  </si>
  <si>
    <t>CAPEX USD juta/MW</t>
  </si>
  <si>
    <t>Lahan ha</t>
  </si>
  <si>
    <t>Waktu bangun bln</t>
  </si>
  <si>
    <t>Portabel</t>
  </si>
  <si>
    <t>Mutu efluen</t>
  </si>
  <si>
    <t>Pemain</t>
  </si>
  <si>
    <t>Kolam tertutup (covered lagoon)</t>
  </si>
  <si>
    <t>1,5-2,5</t>
  </si>
  <si>
    <t>5-8</t>
  </si>
  <si>
    <t>12-18</t>
  </si>
  <si>
    <t>Tidak</t>
  </si>
  <si>
    <t>Rendah-sedang</t>
  </si>
  <si>
    <t>Asian Agri, grup besar</t>
  </si>
  <si>
    <t>CSTR tangki beton/baja</t>
  </si>
  <si>
    <t>2,5-4,0</t>
  </si>
  <si>
    <t>1-2</t>
  </si>
  <si>
    <t>18-24</t>
  </si>
  <si>
    <t>Sedang</t>
  </si>
  <si>
    <t>Weltec, Biotec, EPC lokal</t>
  </si>
  <si>
    <t>Biometana / CNG</t>
  </si>
  <si>
    <t>&gt; 4</t>
  </si>
  <si>
    <t>24</t>
  </si>
  <si>
    <t>Tinggi</t>
  </si>
  <si>
    <t>reNIKOLA-Pertagas, KIS-Toyota Tsusho</t>
  </si>
  <si>
    <t>AnMBR termofilik portabel (produk ini)</t>
  </si>
  <si>
    <t>4,9 (unit-1) -&gt; 3,5 (unit-10)</t>
  </si>
  <si>
    <t>0,29</t>
  </si>
  <si>
    <t>11</t>
  </si>
  <si>
    <t>Ya (28 muatan truk)</t>
  </si>
  <si>
    <t>Tinggi (BOD efluen rendah)</t>
  </si>
  <si>
    <t>ANALISIS PESTLE (skor = tanda x dampak x peluang)</t>
  </si>
  <si>
    <t>Kode</t>
  </si>
  <si>
    <t>Kategori</t>
  </si>
  <si>
    <t>Faktor</t>
  </si>
  <si>
    <t>Tanda</t>
  </si>
  <si>
    <t>Dampak 1-5</t>
  </si>
  <si>
    <t>Peluang 1-5</t>
  </si>
  <si>
    <t>Skor</t>
  </si>
  <si>
    <t>Keterangan</t>
  </si>
  <si>
    <t>P1</t>
  </si>
  <si>
    <t>Politik</t>
  </si>
  <si>
    <t>Target bauran EBT &amp; NZE 2060 (RUEN, KEN)</t>
  </si>
  <si>
    <t>Bioenergi di bawah target 5,5 GW; dorongan PLTBg</t>
  </si>
  <si>
    <t>P2</t>
  </si>
  <si>
    <t>Harga patokan PLTBg Perpres 112/2022</t>
  </si>
  <si>
    <t>11,47 USc/kWh x F untuk &lt;= 1 MW (th 1-10)</t>
  </si>
  <si>
    <t>P3</t>
  </si>
  <si>
    <t>Prioritas PLN &amp; pengadaan lambat (RUPTL)</t>
  </si>
  <si>
    <t>PPA skala kecil sering tertunda</t>
  </si>
  <si>
    <t>P4</t>
  </si>
  <si>
    <t>ISPO wajib hilir &amp; bioenergi (Perpres 16/2025)</t>
  </si>
  <si>
    <t>Tenggat 19 Mar 2027 mendorong kepatuhan PKS</t>
  </si>
  <si>
    <t>E1</t>
  </si>
  <si>
    <t>Ekonomi</t>
  </si>
  <si>
    <t>Rupiah melemah (Rp17.855/USD, 2026)</t>
  </si>
  <si>
    <t>Peralatan impor (genset, membran) dalam USD</t>
  </si>
  <si>
    <t>E2</t>
  </si>
  <si>
    <t>Suku bunga tinggi (BI rate 5,75%)</t>
  </si>
  <si>
    <t>Biaya utang 8-11%</t>
  </si>
  <si>
    <t>E3</t>
  </si>
  <si>
    <t>Harga solar non-subsidi tinggi (Rp23.700/L)</t>
  </si>
  <si>
    <t>Nilai listrik pengganti genset diesel PKS/kebun</t>
  </si>
  <si>
    <t>E4</t>
  </si>
  <si>
    <t>Harga karbon domestik rendah (IDXCarbon ~USD 2,2)</t>
  </si>
  <si>
    <t>Ketergantungan pada pasar sukarela USD 10-25</t>
  </si>
  <si>
    <t>E5</t>
  </si>
  <si>
    <t>Produksi CPO naik (51,7 Mt 2025)</t>
  </si>
  <si>
    <t>POME bertambah, pasokan umpan aman</t>
  </si>
  <si>
    <t>S1</t>
  </si>
  <si>
    <t>Sosial</t>
  </si>
  <si>
    <t>Keluhan bau &amp; air dari kolam POME</t>
  </si>
  <si>
    <t>Reaktor tertutup menghilangkan bau</t>
  </si>
  <si>
    <t>S2</t>
  </si>
  <si>
    <t>Lapangan kerja lokal (8 orang/set)</t>
  </si>
  <si>
    <t>Operator dari desa sekitar PKS</t>
  </si>
  <si>
    <t>S3</t>
  </si>
  <si>
    <t>Kelangkaan teknisi biogas/membran</t>
  </si>
  <si>
    <t>Butuh pelatihan &amp; SCADA jarak jauh</t>
  </si>
  <si>
    <t>T1</t>
  </si>
  <si>
    <t>AnMBR termofilik POME belum banyak skala penuh</t>
  </si>
  <si>
    <t>Perlu pilot &amp; garansi kinerja</t>
  </si>
  <si>
    <t>T2</t>
  </si>
  <si>
    <t>Genset biogas kontainer sudah matang</t>
  </si>
  <si>
    <t>Rantai pasok &amp; layanan tersedia</t>
  </si>
  <si>
    <t>T3</t>
  </si>
  <si>
    <t>Fouling membran &amp; H2S tinggi</t>
  </si>
  <si>
    <t>CIP, cross-flow 4 m/s, BTF + karbon aktif</t>
  </si>
  <si>
    <t>T4</t>
  </si>
  <si>
    <t>Produksi seri bejana standar &amp; kontainer</t>
  </si>
  <si>
    <t>Kurva belajar biaya 10%/penggandaan</t>
  </si>
  <si>
    <t>H1</t>
  </si>
  <si>
    <t>Hukum</t>
  </si>
  <si>
    <t>Baku mutu efluen POME diperketat (revisi 2026)</t>
  </si>
  <si>
    <t>BOD 100 mg/L mendorong pengolahan lanjut</t>
  </si>
  <si>
    <t>H2</t>
  </si>
  <si>
    <t>Perizinan PPA, IUPTL, SLO panjang</t>
  </si>
  <si>
    <t>6-12 bulan sebelum COD</t>
  </si>
  <si>
    <t>H3</t>
  </si>
  <si>
    <t>Kepastian status Perpres 112/2022</t>
  </si>
  <si>
    <t>Satu basis data mencatat 'dicabut' - perlu konfirmasi</t>
  </si>
  <si>
    <t>L1</t>
  </si>
  <si>
    <t>Lingkungan</t>
  </si>
  <si>
    <t>Metana POME ~ sumber GRK terbesar PKS; EUDR/RSPO</t>
  </si>
  <si>
    <t>36.800 tCO2e/th terhindar per set</t>
  </si>
  <si>
    <t>L2</t>
  </si>
  <si>
    <t>Pengurangan lahan kolam 5-8 ha per PKS</t>
  </si>
  <si>
    <t>Plot set hanya 0,29 ha</t>
  </si>
  <si>
    <t>Skor bersih</t>
  </si>
  <si>
    <t>Total</t>
  </si>
  <si>
    <t>LIMA KEKUATAN PORTER (tekanan 1 rendah - 5 tinggi)</t>
  </si>
  <si>
    <t>Kekuatan</t>
  </si>
  <si>
    <t>Sub-faktor</t>
  </si>
  <si>
    <t>Alasan</t>
  </si>
  <si>
    <t>Pendatang baru</t>
  </si>
  <si>
    <t>Kebutuhan modal per set USD 5,4 juta</t>
  </si>
  <si>
    <t>Penghalang sedang</t>
  </si>
  <si>
    <t>Know-how AnMBR termofilik</t>
  </si>
  <si>
    <t>Hambatan teknologi &amp; data operasi</t>
  </si>
  <si>
    <t>Kontraktor kolam tertutup mudah masuk</t>
  </si>
  <si>
    <t>Teknologi lama, banyak EPC lokal</t>
  </si>
  <si>
    <t>Pemasok</t>
  </si>
  <si>
    <t>Genset biogas (Jenbacher, MWM, Weichai)</t>
  </si>
  <si>
    <t>Sedikit merek, waktu kirim 6-9 bln</t>
  </si>
  <si>
    <t>Membran UF tubular</t>
  </si>
  <si>
    <t>Pemasok global terbatas</t>
  </si>
  <si>
    <t>Fabrikasi bejana CS (Batam, Cilegon)</t>
  </si>
  <si>
    <t>Banyak bengkel lokal</t>
  </si>
  <si>
    <t>Persaingan</t>
  </si>
  <si>
    <t>Kolam tertutup (Asian Agri, grup besar)</t>
  </si>
  <si>
    <t>Capex/kW lebih murah</t>
  </si>
  <si>
    <t>Biometana/CNG (reNIKOLA-Pertagas, KIS)</t>
  </si>
  <si>
    <t>Kontrak 15 th, skala besar</t>
  </si>
  <si>
    <t>CSTR tangki Eropa (Weltec, Biotec)</t>
  </si>
  <si>
    <t>Tidak portabel, mahal</t>
  </si>
  <si>
    <t>Pembeli</t>
  </si>
  <si>
    <t>PLN pembeli tunggal listrik</t>
  </si>
  <si>
    <t>Monopsoni, harga patokan</t>
  </si>
  <si>
    <t>PKS pemilik lahan &amp; POME</t>
  </si>
  <si>
    <t>Menegosiasi jasa &amp; sewa</t>
  </si>
  <si>
    <t>Pembeli kredit karbon</t>
  </si>
  <si>
    <t>Harga volatil, preferensi metodologi</t>
  </si>
  <si>
    <t>Produk substitusi</t>
  </si>
  <si>
    <t>Penutupan kolam + flare saja</t>
  </si>
  <si>
    <t>Murah, cukup untuk ISPO</t>
  </si>
  <si>
    <t>Land application &amp; kompos</t>
  </si>
  <si>
    <t>Tanpa pendapatan energi</t>
  </si>
  <si>
    <t>Co-firing biogas di boiler PKS</t>
  </si>
  <si>
    <t>Mengurangi kebutuhan listrik ekspor</t>
  </si>
  <si>
    <t>Skor rata-rata</t>
  </si>
  <si>
    <t>SUMBER DATA (lihat finance/research/market_data.md untuk tabel lengkap + URL)</t>
  </si>
  <si>
    <t># Market &amp; price data: portable POME AnMBR biogas CHP (Indonesia)</t>
  </si>
  <si>
    <t>Compiled 2026-10-15 from web search only. The sandbox blocked opening full pages (gapki.id, jdih and others), so figures come from search-indexed snippets. [UNVERIFIED] = analyst estimate or recalled figure without a confirmed 2024-26 source. FX used: IDR 17,855/USD.</t>
  </si>
  <si>
    <t>## 1. Market size</t>
  </si>
  <si>
    <t>| Item | Value | Range | Unit | Source | URL | Year |</t>
  </si>
  <si>
    <t>|---|---|---|---|---|---|---|</t>
  </si>
  <si>
    <t>| Palm oil mills, Indonesia | 1,231 | 1,100-1,300 | mills | Universal Mill List, cited in IOP/EarthArXiv 2025 | https://eartharxiv.org/repository/object/7300/download/14614/ | 2023 data, publ. 2025 |</t>
  </si>
  <si>
    <t>| Palm plantation companies (not mills) | 2,285 (Kalbar 352, Sumut 327) | - | companies | BPS Direktori 2024, via GoodStats | https://goodstats.id/article/sebaran-perusahaan-perkebunan-kelapa-sawit-indonesia-2024-AJPBu | 2025 |</t>
  </si>
  <si>
    <t>| Mills: Kaltim / Kalsel | 99 (5,662 t/h installed) / 46 | - | mills | Disbun Kaltim; GAPKI Kalsel | https://disbun.kaltimprov.go.id/artikel/kaltim-miliki-99-pabrik-pengolahan-kelapa-sawit ; https://kalsel.gapki.id/news/2024/03/27/gapki-427-000-ha-luas-perkebunan-kelapa-sawit-di-kalimantan-selatan/ | 2024 |</t>
  </si>
  <si>
    <t>| Mills: Riau / Sumut / Kalbar / Kalteng / Jambi / Sumsel | ~260 / ~180 / ~120 / ~130 / ~90 / ~110 [UNVERIFIED] | ±20% | mills | analyst estimate (Riau was 153 of 601 in 2014) | https://repository.unri.ac.id | - |</t>
  </si>
  <si>
    <t>| Capacity mix | &lt;30: ~25%; 30: ~25%; 45: ~25%; 60: ~20%; &gt;60: ~5% [UNVERIFIED] | - | % of mills | no public dataset found. Avg Kaltim 57 t/h; Astra 32 mills at avg 49 t/h | https://sawitindonesia.com/5-emiten-sawit-dengan-jumlah-pabrik-sawit-terbanyak/ | 2024 |</t>
  </si>
  <si>
    <t>## 2. Methane capture penetration</t>
  </si>
  <si>
    <t>| Mills with biogas capture | ~10% | &lt;10-15% | % of mills | Transport &amp; Environment "Palm oil in disguise?" | https://uploads.transportenvironment.org/production/files/202504_POME_fraud_Report.pdf | 2025 |</t>
  </si>
  <si>
    <t>| Share of biogas potential used | &lt;15% | - | % | PASPI/BRIN via Bioenergy Insight | https://www.bioenergy-news.com/news/indonesias-palm-oil-waste-could-generate-3-6-billion-cubic-metres-of-biogas-annually/ | 2026 |</t>
  </si>
  <si>
    <t>| Installed PLTBg (all biogas) | 164.1 | 120 (2021)-164 | MW | EBTKE dashboard (LKj 2025) | https://ebtke.esdm.go.id/ | Apr 2026 |</t>
  </si>
  <si>
    <t>| Malaysia installed biogas (benchmark) | ~165 of 400-500 potential | - | MW | The Edge Malaysia | https://theedgemalaysia.com/node/816417 | 2026 |</t>
  </si>
  <si>
    <t>| RUEN bioenergy power target | 5.5 by 2025 (missed; 1.9 GW bioenergy in 2021) | - | GW | Kontan/ESDM | https://www.esdm.go.id/id/berita-unit/direktorat-jenderal-ebtke/strategi-pengembangan-biogas-kejar-target-bauran-energi | 2022 |</t>
  </si>
  <si>
    <t>| Mandatory capture | none binding. PASPI is proposing it | - | - | energynews.pro; UkrAgroConsult | https://energynews.pro/en/indonesia-weighs-turning-palm-oil-mill-effluent-into-biogas | 2026 |</t>
  </si>
  <si>
    <t>## 3. Production &amp; POME</t>
  </si>
  <si>
    <t>| CPO production 2025 | 51.66 | - | Mt | GAPKI via Kontan | https://industri.kontan.co.id/news/gapki-produksi-ekspor-dan-konsumsi-sepanjang-2025-meningkat-tapi-stok-menurun | 2026 |</t>
  </si>
  <si>
    <t>| CPO production 2024 | 48.16 | 45.4 (Ditjenbun)-48.2 | Mt | GAPKI; BCA Sekuritas | https://bcasekuritas.co.id/latest-news/news/gapki-produksi-cpo-tumbuh-13-persen | 2025 |</t>
  </si>
  <si>
    <t>| FFB processed (derived, OER ~20%) | ~258 (2025) / ~241 (2024) | 230-270 | Mt FFB/yr | calculation | - | - |</t>
  </si>
  <si>
    <t>| POME per t FFB | 0.65 | 0.60-0.70 | m3/t | literature, Pelakar CDM PDD | https://cdm.unfccc.int/Projects/Validation/DB/6O7QO5B3Y0DYNWPZ5G2NV9DEM7F99B/view.html | - |</t>
  </si>
  <si>
    <t>| National POME | 125 (PASPI) | 125-170 | Mt/yr | PASPI/BRIN | https://www.bioenergy-news.com/news/indonesias-palm-oil-waste-could-generate-3-6-billion-cubic-metres-of-biogas-annually/ | 2026 |</t>
  </si>
  <si>
    <t>| Methane from open ponds | 137-163 | 137-215 | kg CO2e/t FFB | literature. ~270 kt FFB/yr x 137 = ~37 kt, which matches the 36,800 t case | (search snippet) | - |</t>
  </si>
  <si>
    <t>## 4. Costs</t>
  </si>
  <si>
    <t>| POME biogas plant CAPEX, 1-10 MW | 2,758 | 2,256-3,669 | USD/kW | Energies 15(19):7265 | https://doi.org/10.3390/EN15197265 | 2022 |</t>
  </si>
  <si>
    <t>| O&amp;M | 6.2 | 4-7 | % CAPEX/yr | same | same | 2022 |</t>
  </si>
  <si>
    <t>| Malaysia example (Felda/Concord, 5.6 MW, 4 mills) | ~RM8.9M/MW (~USD 2.0M/MW) | - | per MW | Biofuels News | https://biofuels-news.com/news/felda-to-install-pome-to-biogas-plant/ | older |</t>
  </si>
  <si>
    <t>| Covered lagoon vs tank/CSTR | lagoon ~1.5-2.5; CSTR/tank ~2.5-4 [UNVERIFIED] | - | USD M/MW | no split found | - | - |</t>
  </si>
  <si>
    <t>| Biogas genset, containerised | Chinese 350-600; Jenbacher/MWM 700-1,100 [UNVERIFIED] | 350-1,100 | USD/kWe | listings are "price on request" | https://www.exapro.com/bfmp-1mw-30mw-p260428222/ | 2026 |</t>
  </si>
  <si>
    <t>| UF membrane | 15-40 (HF/flat-sheet). Tubular 100-300 [UNVERIFIED] | - | USD/m2 | MBR vendor guide | https://www.studiomatrx.org/guides/mbr-stp-cost | 2025 |</t>
  </si>
  <si>
    <t>| Steel input (HRC FOB Indonesia) | 515 | 455-515 | USD/t | SMM | https://news.metal.com/newscontent/104154979-smm-steel-indonesian-hrc-flat-at-515mt-fob-as-weak-demand-leaves-mills-with-little-pricing-power | Oct 2026 |</t>
  </si>
  <si>
    <t>| Carbon-steel tank, fabricated + coated | 2.5 [UNVERIFIED] | 1.8-4.0 | USD/kg | estimate (steel ~0.5 + fabrication/NDT/coating) | - | - |</t>
  </si>
  <si>
    <t>## 5. Competitors / suppliers</t>
  </si>
  <si>
    <t>| Player | Technology | Source/status |</t>
  </si>
  <si>
    <t>|---|---|---|</t>
  </si>
  <si>
    <t>| Asian Agri (RGE) | Own covered-lagoon PLTBg. 7 running in 2017, target 20 | https://www.asianagri.com/en/?p=1622 (2017) |</t>
  </si>
  <si>
    <t>| reNIKOLA (MY) + Pertagas | Compressed biomethane from 8 mills, 15-year offtake. Plans 40 projects, &gt;USD 240M | https://www.gasworld.com/story/pertagas-and-renikola-move-ahead-with-indonesias-first-biomethane-to-grid-project/2257776.article/ |</t>
  </si>
  <si>
    <t>| Toyota Tsusho + KIS Biofuels / PGN | Biomethane, South Sumatra, 150k MMBtu/yr, groundbreaking Oct 2026 | https://sirkularium.com/en/insight/pgn-south-sumatra-biomethane-plant-toyota-industry |</t>
  </si>
  <si>
    <t>| KIS Group, Biotec (BE), Weltec (DE, steel CSTR), Kubota (submerged AnMBR), Wilmar/Musim Mas/Sinar Mas in-house, PTPN | lagoon / CSTR / AnMBR [UNVERIFIED: no 2024-26 counts found] | - |</t>
  </si>
  <si>
    <t>## 6-7. Tariffs &amp; energy prices</t>
  </si>
  <si>
    <t>| Perpres 112/2022 PLTBg ceiling, yr 1-10 | ≤1 MW 11.47xF; &gt;1-3 MW 9.94xF; &gt;3-5 MW 8.77xF; &gt;5-10 MW 8.26xF | - | USc/kWh | Lampiran I (OCR) | https://stream-asset.stockbit.com/666bead2-8e72-4e2a-8586-30f783dad49b_stream.pdf | 2022 |</t>
  </si>
  <si>
    <t>| PLTBg ceiling, yr 11-30 (0.6 x base, no F) | 6.88 / 5.97 / 5.26 / 4.96 | - | USc/kWh | same | same | 2022 |</t>
  </si>
  <si>
    <t>| Location factor F | Jamali 1.00; Kalimantan 1.10; Nusa Tenggara 1.20; Papua 1.50; Sumatra ~1.10 [UNVERIFIED] | 1.0-1.5 | - | Perpres 112 socialisation slides | https://id.scribd.com/document/609079033/Materi-Sosialisasi-Perpres-112-2022 | 2022 |</t>
  </si>
  <si>
    <t>| PLN regional BPP | not found for 2024-25 (national 2016: Rp983 = 7.39 USc) | - | Rp/kWh | ESDM | https://www.esdm.go.id/id/media-center/arsip-berita/bpp-pembangkitan-pt-pln-persero-turun-penyediaan-listrik-semakin-efisien | 2017 |</t>
  </si>
  <si>
    <t>| PLN I-3 (TM &gt;200 kVA) | 1,114.74 | - | Rp/kWh | Fortune IDN | https://www.fortuneidn.com/news/tarif-listrik-per-1-oktober-2026-d7w02-00-lflgw-zwfyxs | Q4 2026 |</t>
  </si>
  <si>
    <t>| PLN I-4 (TT ≥30 MVA) | 996.74 | - | Rp/kWh | same | same | Q4 2026 |</t>
  </si>
  <si>
    <t>| Dexlite (non-subsidised diesel) | 23,700 | 19,700-26,000 (2026) | Rp/L | Pasardana / BCA Sekuritas | https://pasardana.id/news/2026/9/1/awal-september-pertamina-naikan-harga-dexlite-jadi-rp23-700-per-liter | Sep 2026 |</t>
  </si>
  <si>
    <t>| Solar industri (HSD B40, B2B) | ~Dexlite -5-10% [UNVERIFIED] | - | Rp/L | Pertamina B2B lists not indexed | - | - |</t>
  </si>
  <si>
    <t>## 8. Carbon</t>
  </si>
  <si>
    <t>| IDXCarbon realised average | ~40,000 (~USD 2.2) | 38,900-49,000 | Rp/tCO2e | IDXCarbon monthly data via KabarBursa (calculated) | https://www.kabarbursa.com/carbon-trading/perdagangan-karbon-indonesia-januari-2026-turun-nilai-transaksi-rp47-miliar | Jan 2026 |</t>
  </si>
  <si>
    <t>| IDTBS / IDTBS-RE quoted | 96,000 / 144,000 | 59,200-144,000 | Rp/tCO2e | Kontan / Detik | https://finance.detik.com/bursa-dan-valas/d-7740762/perdagangan-di-bursa-karbon-ditargetkan-750-ribu-ton-hingga-akhir-2025 | 2025 |</t>
  </si>
  <si>
    <t>| VCM methane capture / avoidance | 15 | 10-25 (legacy 5-15) | USD/tCO2e | Carbonmark; EFI | https://www.carbonmark.com/post/understanding-carbon-credit-pricing | 2026 |</t>
  </si>
  <si>
    <t>| Carbon tax | Rp30/kg (Rp30,000/t), coal PLTU only. Not yet applied in 2026 [UNVERIFIED] | - | Rp/kgCO2e | UU HPP 7/2021 | https://www.mallesons.com/au/en/insights/latest-thinking/indonesias-harmonized-tax-law | 2021 |</t>
  </si>
  <si>
    <t>## 9. Regulation &amp; tax</t>
  </si>
  <si>
    <t>| Item | Value | Source | URL | Year |</t>
  </si>
  <si>
    <t>|---|---|---|---|---|</t>
  </si>
  <si>
    <t>| ISPO (Perpres 16/2025) | Replaces Perpres 44/2020. Downstream incl. biogas/biomass certify by 19 Mar 2027; smallholders by 2029. No methane-capture clause found | InfoSAWIT | https://en.infosawit.com/news/15717/ispo-now-mandatory-for-downstream-and-bioenergy-industries--independent-farmers-encouraged-to-receive-incentives | 2025 |</t>
  </si>
  <si>
    <t>| Effluent to water (PermenLH 5/2014) | BOD 100, COD 350, TSS 250, O&amp;G 25 mg/L. KLH drafting revision (2026) | journals; Warta Ekonomi | https://wartaekonomi.co.id/read608561/punya-manfaat-sebagai-pupuk-peneliti-kritik-rencana-baku-mutu-limbah-cair-pabrik-kelapa-sawit-di-bawah-100-mgl | 2026 |</t>
  </si>
  <si>
    <t>| Land application | BOD ≤5,000 mg/L (KepMenLH 28/2003) [UNVERIFIED] | - | - | 2003 |</t>
  </si>
  <si>
    <t>| Tax holiday | PMK 130/2020 jo. 69/2024 to Dec 2025. Extended to Dec 2026 under the 15% global minimum tax | Kontan | https://nasional.kontan.co.id/news/kemenkeu-perpanjang-insentif-tax-holiday-hingga-desember-2026 | 2025 |</t>
  </si>
  <si>
    <t>| Tax allowance (PP 78/2019: 30% investment deduction over 6 yr), import-duty exemption on RE machinery | available [UNVERIFIED current] | ThinkGeoEnergy | https://www.thinkgeoenergy.com/indonesia-offering-tax-incentives-for-renewable-energy-projects/ | old |</t>
  </si>
  <si>
    <t>| Corporate tax / VAT | 22% / 12% nominal (effective 11% on non-luxury goods) [VAT UNVERIFIED] | UU HPP | - | 2025 |</t>
  </si>
  <si>
    <t>## 10. Finance</t>
  </si>
  <si>
    <t>| BI Rate | 5.75 (raised from 4.75 in Apr 2026) | 5.75-6.25 by end-2026 | % | Bisnis / RRI | https://finansial.bisnis.com/read/20260923/11/2006495/breaking-bank-indonesia-tahan-bi-rate-575-di-era-suku-bunga-tinggi | Sep 2026 |</t>
  </si>
  <si>
    <t>| IDR/USD | 17,855 | 16,300 (2025)-18,000 | IDR/USD | RRI / Bisnis | https://rri.co.id/en/business/2664084/bi-holds-bi-rate-at-575-percent-due-to-pressure-on-rupiah-and-global-uncertainty | Sep 2026 |</t>
  </si>
  <si>
    <t>| CPI inflation | 3.19 y/y | 2.5±1 target | % | BPS via Bisnis | https://finansial.bisnis.com/read/20260928/90/2007780/konsisten-bi-pertahankan-suku-bunga-demi-redam-tekanan-eksternal | Aug 2026 |</t>
  </si>
  <si>
    <t>| RE project WACC (solar PV, nominal post-tax, IDR) | 9.4 | 9-12 (biogas higher) | % | IEA Cost of Capital Observatory | https://www.iea.org/reports/cost-of-capital-observatory/dashboard | 2025 |</t>
  </si>
  <si>
    <t>| Investment-loan rate | IDR 9-11; USD 6.5-8.5 [UNVERIFIED] | - | % | estimate (BI rate + 3-5%) | - | - |</t>
  </si>
  <si>
    <t>## 11. By-products</t>
  </si>
  <si>
    <t>| Palm kernel shell, FOB export | ~120 (seller asking price) | 100-150 [range UNVERIFIED] | USD/t | Freshdi listing; Argus (PKS export tax USD 10/t + levy) | https://www.argusmedia.com/en/news-and-insights/latest-market-news/2770870-indonesia-maintains-pks-export-tax-for-january-2026 | 2026 |</t>
  </si>
  <si>
    <t>| Shell credit in FFB price formula | 18-21 | - | Rp/kg FFB | Disbun Sumsel/Jambi via InfoSAWIT | https://www.en.infosawit.com/news/18205/south-sumatra-sets-palm-oil-ffb-prices-at-up-to-rp3-910-50-kg-for-august-1-15--2026 | 2026 |</t>
  </si>
  <si>
    <t>| EFB | 0-10 (mostly mulch) [UNVERIFIED] | - | USD/t | none found | - | - |</t>
  </si>
  <si>
    <t>| Digestate / compost | 20-50 [UNVERIFIED] | - | USD/t compost | none found | - | - |</t>
  </si>
  <si>
    <t>MODEL KEUANGAN - GENERATOR BIOGAS PORTABEL AnMBR TERMOFILIK (1 set PKS 45 t TBS/jam, BOO)</t>
  </si>
  <si>
    <t>Semua angka mengalir dari lembar Asumsi -&gt; CAPEX/OPEX -&gt; Arus Kas -&gt; Indikator. Sel kuning = input.</t>
  </si>
  <si>
    <t>FCI (USD)</t>
  </si>
  <si>
    <t>Pendapatan th penuh (USD)</t>
  </si>
  <si>
    <t>EBITDA th penuh (USD)</t>
  </si>
  <si>
    <t>NPV @WACC (USD)</t>
  </si>
  <si>
    <t>IRR proyek</t>
  </si>
  <si>
    <t>IRR ekuitas</t>
  </si>
  <si>
    <t>Payback sejak COD (th)</t>
  </si>
  <si>
    <t>Payback terdiskonto (th)</t>
  </si>
  <si>
    <t>Peluang NPV &gt; 0 (Monte Carlo)</t>
  </si>
  <si>
    <t>NPV perusahaan (armada 40 set)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</si>
</sst>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%"/>
    <numFmt numFmtId="166" formatCode="#,##0.00"/>
    <numFmt numFmtId="167" formatCode="#,##0.00##"/>
    <numFmt numFmtId="168" formatCode="0.0000"/>
    <numFmt numFmtId="169" formatCode="#,##0;[Red]-#,##0"/>
  </numFmts>
  <fonts count="5">
    <font>
      <sz val="11"/>
      <color theme="1"/>
      <name val="Calibri"/>
      <family val="2"/>
      <scheme val="minor"/>
    </font>
    <font>
      <b/>
      <sz val="14"/>
      <color rgb="FF1F4E4A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1F4E4A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64" fontId="3" fillId="2" borderId="1" xfId="0" applyNumberFormat="1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0" fontId="4" fillId="3" borderId="1" xfId="0" applyFont="1" applyFill="1" applyBorder="1" applyAlignment="1">
      <alignment vertical="center" wrapText="1"/>
    </xf>
    <xf numFmtId="167" fontId="0" fillId="4" borderId="1" xfId="0" applyNumberFormat="1" applyFill="1" applyBorder="1"/>
    <xf numFmtId="0" fontId="0" fillId="0" borderId="1" xfId="0" applyBorder="1" applyAlignment="1">
      <alignment vertical="top" wrapText="1"/>
    </xf>
    <xf numFmtId="0" fontId="3" fillId="0" borderId="0" xfId="0" applyFont="1"/>
    <xf numFmtId="166" fontId="0" fillId="0" borderId="1" xfId="0" applyNumberFormat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9" fontId="3" fillId="2" borderId="1" xfId="0" applyNumberFormat="1" applyFont="1" applyFill="1" applyBorder="1"/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Kurva payback (USD)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Kumulatif FCFF</c:v>
          </c:tx>
          <c:spPr>
            <a:ln w="28575">
              <a:solidFill>
                <a:srgbClr val="3D8B7D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Kas'!$C$26:$W$26</c:f>
              <c:numCache>
                <c:formatCode>General</c:formatCode>
                <c:ptCount val="21"/>
                <c:pt idx="0">
                  <c:v>-5386505.44374557</c:v>
                </c:pt>
                <c:pt idx="1">
                  <c:v>-4798376.913505203</c:v>
                </c:pt>
                <c:pt idx="2">
                  <c:v>-3893775.4237773214</c:v>
                </c:pt>
                <c:pt idx="3">
                  <c:v>-2997776.3218008233</c:v>
                </c:pt>
                <c:pt idx="4">
                  <c:v>-2110637.6792082503</c:v>
                </c:pt>
                <c:pt idx="5">
                  <c:v>-1232625.3097811197</c:v>
                </c:pt>
                <c:pt idx="6">
                  <c:v>-364013.00171439524</c:v>
                </c:pt>
                <c:pt idx="7">
                  <c:v>435665.6832699096</c:v>
                </c:pt>
                <c:pt idx="8">
                  <c:v>1225371.8431569596</c:v>
                </c:pt>
                <c:pt idx="9">
                  <c:v>2004806.3021938372</c:v>
                </c:pt>
                <c:pt idx="10">
                  <c:v>2773660.9093550374</c:v>
                </c:pt>
                <c:pt idx="11">
                  <c:v>3220304.733898416</c:v>
                </c:pt>
                <c:pt idx="12">
                  <c:v>3655724.393586889</c:v>
                </c:pt>
                <c:pt idx="13">
                  <c:v>4079583.1634748075</c:v>
                </c:pt>
                <c:pt idx="14">
                  <c:v>4491534.216868157</c:v>
                </c:pt>
                <c:pt idx="15">
                  <c:v>4891220.322272098</c:v>
                </c:pt>
                <c:pt idx="16">
                  <c:v>5278273.53124695</c:v>
                </c:pt>
                <c:pt idx="17">
                  <c:v>5578250.407048338</c:v>
                </c:pt>
                <c:pt idx="18">
                  <c:v>5864825.043028105</c:v>
                </c:pt>
                <c:pt idx="19">
                  <c:v>6137595.371991603</c:v>
                </c:pt>
                <c:pt idx="20">
                  <c:v>6468045.783106786</c:v>
                </c:pt>
              </c:numCache>
            </c:numRef>
          </c:val>
        </c:ser>
        <c:ser>
          <c:idx val="1"/>
          <c:order val="1"/>
          <c:tx>
            <c:v>Kumulatif terdiskonto</c:v>
          </c:tx>
          <c:spPr>
            <a:ln w="28575">
              <a:solidFill>
                <a:srgbClr val="B2472F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Kas'!$C$29:$W$29</c:f>
              <c:numCache>
                <c:formatCode>General</c:formatCode>
                <c:ptCount val="21"/>
                <c:pt idx="0">
                  <c:v>-5386505.44374557</c:v>
                </c:pt>
                <c:pt idx="1">
                  <c:v>-4850595.935945265</c:v>
                </c:pt>
                <c:pt idx="2">
                  <c:v>-4099499.4543532766</c:v>
                </c:pt>
                <c:pt idx="3">
                  <c:v>-3421600.103799799</c:v>
                </c:pt>
                <c:pt idx="4">
                  <c:v>-2809998.867125172</c:v>
                </c:pt>
                <c:pt idx="5">
                  <c:v>-2258433.8584391493</c:v>
                </c:pt>
                <c:pt idx="6">
                  <c:v>-1761222.2428384032</c:v>
                </c:pt>
                <c:pt idx="7">
                  <c:v>-1344112.8001577668</c:v>
                </c:pt>
                <c:pt idx="8">
                  <c:v>-968777.6469870384</c:v>
                </c:pt>
                <c:pt idx="9">
                  <c:v>-631216.4388645627</c:v>
                </c:pt>
                <c:pt idx="10">
                  <c:v>-327801.9148753477</c:v>
                </c:pt>
                <c:pt idx="11">
                  <c:v>-167191.87386280956</c:v>
                </c:pt>
                <c:pt idx="12">
                  <c:v>-24519.920327070286</c:v>
                </c:pt>
                <c:pt idx="13">
                  <c:v>102032.64750879742</c:v>
                </c:pt>
                <c:pt idx="14">
                  <c:v>214109.16311407683</c:v>
                </c:pt>
                <c:pt idx="15">
                  <c:v>313194.01581429545</c:v>
                </c:pt>
                <c:pt idx="16">
                  <c:v>400627.56423067243</c:v>
                </c:pt>
                <c:pt idx="17">
                  <c:v>462374.3597632604</c:v>
                </c:pt>
                <c:pt idx="18">
                  <c:v>516124.9961083621</c:v>
                </c:pt>
                <c:pt idx="19">
                  <c:v>562743.9155178266</c:v>
                </c:pt>
                <c:pt idx="20">
                  <c:v>614206.380705992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Arus kas tahunan (USD)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FCFF</c:v>
          </c:tx>
          <c:spPr>
            <a:solidFill>
              <a:srgbClr val="3D8B7D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Kas'!$C$25:$W$25</c:f>
              <c:numCache>
                <c:formatCode>General</c:formatCode>
                <c:ptCount val="21"/>
                <c:pt idx="0">
                  <c:v>-5386505.44374557</c:v>
                </c:pt>
                <c:pt idx="1">
                  <c:v>588128.5302403669</c:v>
                </c:pt>
                <c:pt idx="2">
                  <c:v>904601.4897278817</c:v>
                </c:pt>
                <c:pt idx="3">
                  <c:v>895999.101976498</c:v>
                </c:pt>
                <c:pt idx="4">
                  <c:v>887138.6425925731</c:v>
                </c:pt>
                <c:pt idx="5">
                  <c:v>878012.3694271304</c:v>
                </c:pt>
                <c:pt idx="6">
                  <c:v>868612.3080667245</c:v>
                </c:pt>
                <c:pt idx="7">
                  <c:v>799678.6849843048</c:v>
                </c:pt>
                <c:pt idx="8">
                  <c:v>789706.15988705</c:v>
                </c:pt>
                <c:pt idx="9">
                  <c:v>779434.4590368777</c:v>
                </c:pt>
                <c:pt idx="10">
                  <c:v>768854.6071612</c:v>
                </c:pt>
                <c:pt idx="11">
                  <c:v>446643.8245433788</c:v>
                </c:pt>
                <c:pt idx="12">
                  <c:v>435419.65968847263</c:v>
                </c:pt>
                <c:pt idx="13">
                  <c:v>423858.76988791884</c:v>
                </c:pt>
                <c:pt idx="14">
                  <c:v>411951.0533933489</c:v>
                </c:pt>
                <c:pt idx="15">
                  <c:v>399686.1054039415</c:v>
                </c:pt>
                <c:pt idx="16">
                  <c:v>387053.20897485217</c:v>
                </c:pt>
                <c:pt idx="17">
                  <c:v>299976.87580138823</c:v>
                </c:pt>
                <c:pt idx="18">
                  <c:v>286574.6359797673</c:v>
                </c:pt>
                <c:pt idx="19">
                  <c:v>272770.3289634976</c:v>
                </c:pt>
                <c:pt idx="20">
                  <c:v>330450.41111518344</c:v>
                </c:pt>
              </c:numCache>
            </c:numRef>
          </c:val>
        </c:ser>
        <c:ser>
          <c:idx val="1"/>
          <c:order val="1"/>
          <c:tx>
            <c:v>EBITDA</c:v>
          </c:tx>
          <c:spPr>
            <a:solidFill>
              <a:srgbClr val="CFE3DF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Kas'!$C$17:$W$17</c:f>
              <c:numCache>
                <c:formatCode>General</c:formatCode>
                <c:ptCount val="21"/>
                <c:pt idx="0">
                  <c:v>0.0</c:v>
                </c:pt>
                <c:pt idx="1">
                  <c:v>675270.5626744971</c:v>
                </c:pt>
                <c:pt idx="2">
                  <c:v>988827.5384553575</c:v>
                </c:pt>
                <c:pt idx="3">
                  <c:v>977798.8362099938</c:v>
                </c:pt>
                <c:pt idx="4">
                  <c:v>966439.2728972696</c:v>
                </c:pt>
                <c:pt idx="5">
                  <c:v>954738.9226851636</c:v>
                </c:pt>
                <c:pt idx="6">
                  <c:v>942687.5619666943</c:v>
                </c:pt>
                <c:pt idx="7">
                  <c:v>930274.6604266708</c:v>
                </c:pt>
                <c:pt idx="8">
                  <c:v>917489.3718404467</c:v>
                </c:pt>
                <c:pt idx="9">
                  <c:v>904320.5245966361</c:v>
                </c:pt>
                <c:pt idx="10">
                  <c:v>890756.6119355108</c:v>
                </c:pt>
                <c:pt idx="11">
                  <c:v>477665.8649895862</c:v>
                </c:pt>
                <c:pt idx="12">
                  <c:v>463275.91004739876</c:v>
                </c:pt>
                <c:pt idx="13">
                  <c:v>448454.2564569452</c:v>
                </c:pt>
                <c:pt idx="14">
                  <c:v>433187.95325877855</c:v>
                </c:pt>
                <c:pt idx="15">
                  <c:v>417463.6609646665</c:v>
                </c:pt>
                <c:pt idx="16">
                  <c:v>401267.6399017315</c:v>
                </c:pt>
                <c:pt idx="17">
                  <c:v>384585.738206908</c:v>
                </c:pt>
                <c:pt idx="18">
                  <c:v>367403.37946124014</c:v>
                </c:pt>
                <c:pt idx="19">
                  <c:v>349705.549953202</c:v>
                </c:pt>
                <c:pt idx="20">
                  <c:v>331476.7855599228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NPV vs tingkat diskonto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NPV</c:v>
          </c:tx>
          <c:spPr>
            <a:ln>
              <a:solidFill>
                <a:srgbClr val="1F4E4A"/>
              </a:solidFill>
            </a:ln>
          </c:spPr>
          <c:marker>
            <c:symbol val="none"/>
          </c:marker>
          <c:xVal>
            <c:numRef>
              <c:f>Sensitivitas!$A$16:$A$56</c:f>
              <c:numCache>
                <c:formatCode>General</c:formatCode>
                <c:ptCount val="41"/>
                <c:pt idx="0">
                  <c:v>0.04</c:v>
                </c:pt>
                <c:pt idx="1">
                  <c:v>0.045</c:v>
                </c:pt>
                <c:pt idx="2">
                  <c:v>0.05</c:v>
                </c:pt>
                <c:pt idx="3">
                  <c:v>0.055</c:v>
                </c:pt>
                <c:pt idx="4">
                  <c:v>0.06</c:v>
                </c:pt>
                <c:pt idx="5">
                  <c:v>0.065</c:v>
                </c:pt>
                <c:pt idx="6">
                  <c:v>0.06999999999999999</c:v>
                </c:pt>
                <c:pt idx="7">
                  <c:v>0.075</c:v>
                </c:pt>
                <c:pt idx="8">
                  <c:v>0.07999999999999999</c:v>
                </c:pt>
                <c:pt idx="9">
                  <c:v>0.08499999999999999</c:v>
                </c:pt>
                <c:pt idx="10">
                  <c:v>0.09</c:v>
                </c:pt>
                <c:pt idx="11">
                  <c:v>0.095</c:v>
                </c:pt>
                <c:pt idx="12">
                  <c:v>0.09999999999999999</c:v>
                </c:pt>
                <c:pt idx="13">
                  <c:v>0.105</c:v>
                </c:pt>
                <c:pt idx="14">
                  <c:v>0.11</c:v>
                </c:pt>
                <c:pt idx="15">
                  <c:v>0.115</c:v>
                </c:pt>
                <c:pt idx="16">
                  <c:v>0.12</c:v>
                </c:pt>
                <c:pt idx="17">
                  <c:v>0.125</c:v>
                </c:pt>
                <c:pt idx="18">
                  <c:v>0.13</c:v>
                </c:pt>
                <c:pt idx="19">
                  <c:v>0.135</c:v>
                </c:pt>
                <c:pt idx="20">
                  <c:v>0.14</c:v>
                </c:pt>
                <c:pt idx="21">
                  <c:v>0.145</c:v>
                </c:pt>
                <c:pt idx="22">
                  <c:v>0.15</c:v>
                </c:pt>
                <c:pt idx="23">
                  <c:v>0.155</c:v>
                </c:pt>
                <c:pt idx="24">
                  <c:v>0.16</c:v>
                </c:pt>
                <c:pt idx="25">
                  <c:v>0.165</c:v>
                </c:pt>
                <c:pt idx="26">
                  <c:v>0.17</c:v>
                </c:pt>
                <c:pt idx="27">
                  <c:v>0.175</c:v>
                </c:pt>
                <c:pt idx="28">
                  <c:v>0.18</c:v>
                </c:pt>
                <c:pt idx="29">
                  <c:v>0.185</c:v>
                </c:pt>
                <c:pt idx="30">
                  <c:v>0.19</c:v>
                </c:pt>
                <c:pt idx="31">
                  <c:v>0.195</c:v>
                </c:pt>
                <c:pt idx="32">
                  <c:v>0.2</c:v>
                </c:pt>
                <c:pt idx="33">
                  <c:v>0.205</c:v>
                </c:pt>
                <c:pt idx="34">
                  <c:v>0.21</c:v>
                </c:pt>
                <c:pt idx="35">
                  <c:v>0.215</c:v>
                </c:pt>
                <c:pt idx="36">
                  <c:v>0.22</c:v>
                </c:pt>
                <c:pt idx="37">
                  <c:v>0.225</c:v>
                </c:pt>
                <c:pt idx="38">
                  <c:v>0.23</c:v>
                </c:pt>
                <c:pt idx="39">
                  <c:v>0.235</c:v>
                </c:pt>
                <c:pt idx="40">
                  <c:v>0.24</c:v>
                </c:pt>
              </c:numCache>
            </c:numRef>
          </c:xVal>
          <c:yVal>
            <c:numRef>
              <c:f>Sensitivitas!$B$16:$B$56</c:f>
              <c:numCache>
                <c:formatCode>General</c:formatCode>
                <c:ptCount val="41"/>
                <c:pt idx="0">
                  <c:v>3288986.7281520586</c:v>
                </c:pt>
                <c:pt idx="1">
                  <c:v>2986234.6194793168</c:v>
                </c:pt>
                <c:pt idx="2">
                  <c:v>2699804.689539751</c:v>
                </c:pt>
                <c:pt idx="3">
                  <c:v>2428588.5774095645</c:v>
                </c:pt>
                <c:pt idx="4">
                  <c:v>2171565.24305492</c:v>
                </c:pt>
                <c:pt idx="5">
                  <c:v>1927793.317012338</c:v>
                </c:pt>
                <c:pt idx="6">
                  <c:v>1696404.1773552552</c:v>
                </c:pt>
                <c:pt idx="7">
                  <c:v>1476595.6800653008</c:v>
                </c:pt>
                <c:pt idx="8">
                  <c:v>1267626.4768649794</c:v>
                </c:pt>
                <c:pt idx="9">
                  <c:v>1068810.861612061</c:v>
                </c:pt>
                <c:pt idx="10">
                  <c:v>879514.0926079557</c:v>
                </c:pt>
                <c:pt idx="11">
                  <c:v>699148.1437279762</c:v>
                </c:pt>
                <c:pt idx="12">
                  <c:v>527167.8422195632</c:v>
                </c:pt>
                <c:pt idx="13">
                  <c:v>363067.3554090785</c:v>
                </c:pt>
                <c:pt idx="14">
                  <c:v>206376.9924693421</c:v>
                </c:pt>
                <c:pt idx="15">
                  <c:v>56660.290885976654</c:v>
                </c:pt>
                <c:pt idx="16">
                  <c:v>-86488.6396321342</c:v>
                </c:pt>
                <c:pt idx="17">
                  <c:v>-223447.54028039792</c:v>
                </c:pt>
                <c:pt idx="18">
                  <c:v>-354568.2153308456</c:v>
                </c:pt>
                <c:pt idx="19">
                  <c:v>-480178.5531446179</c:v>
                </c:pt>
                <c:pt idx="20">
                  <c:v>-600584.373842878</c:v>
                </c:pt>
                <c:pt idx="21">
                  <c:v>-716071.1196857764</c:v>
                </c:pt>
                <c:pt idx="22">
                  <c:v>-826905.4026254114</c:v>
                </c:pt>
                <c:pt idx="23">
                  <c:v>-933336.4220806344</c:v>
                </c:pt>
                <c:pt idx="24">
                  <c:v>-1035597.264709626</c:v>
                </c:pt>
                <c:pt idx="25">
                  <c:v>-1133906.0968159393</c:v>
                </c:pt>
                <c:pt idx="26">
                  <c:v>-1228467.2589996275</c:v>
                </c:pt>
                <c:pt idx="27">
                  <c:v>-1319472.2717458252</c:v>
                </c:pt>
                <c:pt idx="28">
                  <c:v>-1407100.759816406</c:v>
                </c:pt>
                <c:pt idx="29">
                  <c:v>-1491521.302567397</c:v>
                </c:pt>
                <c:pt idx="30">
                  <c:v>-1572892.2166456762</c:v>
                </c:pt>
                <c:pt idx="31">
                  <c:v>-1651362.276916399</c:v>
                </c:pt>
                <c:pt idx="32">
                  <c:v>-1727071.380929709</c:v>
                </c:pt>
                <c:pt idx="33">
                  <c:v>-1800151.1617461136</c:v>
                </c:pt>
                <c:pt idx="34">
                  <c:v>-1870725.553498269</c:v>
                </c:pt>
                <c:pt idx="35">
                  <c:v>-1938911.3136685842</c:v>
                </c:pt>
                <c:pt idx="36">
                  <c:v>-2004818.5057018613</c:v>
                </c:pt>
                <c:pt idx="37">
                  <c:v>-2068550.9452468895</c:v>
                </c:pt>
                <c:pt idx="38">
                  <c:v>-2130206.6130266744</c:v>
                </c:pt>
                <c:pt idx="39">
                  <c:v>-2189878.0370705137</c:v>
                </c:pt>
                <c:pt idx="40">
                  <c:v>-2247652.6468000887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tingkat diskonto</a:t>
                </a:r>
              </a:p>
            </c:rich>
          </c:tx>
          <c:layout/>
        </c:title>
        <c:numFmt formatCode="0%" sourceLinked="0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Histogram NPV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Frekuensi</c:v>
          </c:tx>
          <c:spPr>
            <a:solidFill>
              <a:srgbClr val="3D8B7D"/>
            </a:solidFill>
          </c:spPr>
          <c:cat>
            <c:numRef>
              <c:f>'Monte Carlo'!$A$28:$A$57</c:f>
              <c:numCache>
                <c:formatCode>General</c:formatCode>
                <c:ptCount val="30"/>
                <c:pt idx="0">
                  <c:v>-5679999.684392571</c:v>
                </c:pt>
                <c:pt idx="1">
                  <c:v>-5313259.350895194</c:v>
                </c:pt>
                <c:pt idx="2">
                  <c:v>-4946519.017397817</c:v>
                </c:pt>
                <c:pt idx="3">
                  <c:v>-4579778.683900439</c:v>
                </c:pt>
                <c:pt idx="4">
                  <c:v>-4213038.350403062</c:v>
                </c:pt>
                <c:pt idx="5">
                  <c:v>-3846298.016905685</c:v>
                </c:pt>
                <c:pt idx="6">
                  <c:v>-3479557.683408308</c:v>
                </c:pt>
                <c:pt idx="7">
                  <c:v>-3112817.349910931</c:v>
                </c:pt>
                <c:pt idx="8">
                  <c:v>-2746077.016413554</c:v>
                </c:pt>
                <c:pt idx="9">
                  <c:v>-2379336.682916177</c:v>
                </c:pt>
                <c:pt idx="10">
                  <c:v>-2012596.349418799</c:v>
                </c:pt>
                <c:pt idx="11">
                  <c:v>-1645856.015921422</c:v>
                </c:pt>
                <c:pt idx="12">
                  <c:v>-1279115.682424044</c:v>
                </c:pt>
                <c:pt idx="13">
                  <c:v>-912375.3489266671</c:v>
                </c:pt>
                <c:pt idx="14">
                  <c:v>-545635.01542929</c:v>
                </c:pt>
                <c:pt idx="15">
                  <c:v>-178894.6819319129</c:v>
                </c:pt>
                <c:pt idx="16">
                  <c:v>187845.6515654642</c:v>
                </c:pt>
                <c:pt idx="17">
                  <c:v>554585.9850628413</c:v>
                </c:pt>
                <c:pt idx="18">
                  <c:v>921326.3185602184</c:v>
                </c:pt>
                <c:pt idx="19">
                  <c:v>1288066.652057596</c:v>
                </c:pt>
                <c:pt idx="20">
                  <c:v>1654806.985554973</c:v>
                </c:pt>
                <c:pt idx="21">
                  <c:v>2021547.319052351</c:v>
                </c:pt>
                <c:pt idx="22">
                  <c:v>2388287.652549727</c:v>
                </c:pt>
                <c:pt idx="23">
                  <c:v>2755027.986047105</c:v>
                </c:pt>
                <c:pt idx="24">
                  <c:v>3121768.319544483</c:v>
                </c:pt>
                <c:pt idx="25">
                  <c:v>3488508.65304186</c:v>
                </c:pt>
                <c:pt idx="26">
                  <c:v>3855248.986539237</c:v>
                </c:pt>
                <c:pt idx="27">
                  <c:v>4221989.320036614</c:v>
                </c:pt>
                <c:pt idx="28">
                  <c:v>4588729.653533991</c:v>
                </c:pt>
                <c:pt idx="29">
                  <c:v>4955469.987031369</c:v>
                </c:pt>
              </c:numCache>
            </c:numRef>
          </c:cat>
          <c:val>
            <c:numRef>
              <c:f>'Monte Carlo'!$B$28:$B$57</c:f>
              <c:numCache>
                <c:formatCode>General</c:formatCode>
                <c:ptCount val="30"/>
                <c:pt idx="0">
                  <c:v>1</c:v>
                </c:pt>
                <c:pt idx="1">
                  <c:v>0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25</c:v>
                </c:pt>
                <c:pt idx="6">
                  <c:v>24</c:v>
                </c:pt>
                <c:pt idx="7">
                  <c:v>63</c:v>
                </c:pt>
                <c:pt idx="8">
                  <c:v>97</c:v>
                </c:pt>
                <c:pt idx="9">
                  <c:v>148</c:v>
                </c:pt>
                <c:pt idx="10">
                  <c:v>198</c:v>
                </c:pt>
                <c:pt idx="11">
                  <c:v>252</c:v>
                </c:pt>
                <c:pt idx="12">
                  <c:v>324</c:v>
                </c:pt>
                <c:pt idx="13">
                  <c:v>416</c:v>
                </c:pt>
                <c:pt idx="14">
                  <c:v>425</c:v>
                </c:pt>
                <c:pt idx="15">
                  <c:v>428</c:v>
                </c:pt>
                <c:pt idx="16">
                  <c:v>390</c:v>
                </c:pt>
                <c:pt idx="17">
                  <c:v>322</c:v>
                </c:pt>
                <c:pt idx="18">
                  <c:v>247</c:v>
                </c:pt>
                <c:pt idx="19">
                  <c:v>217</c:v>
                </c:pt>
                <c:pt idx="20">
                  <c:v>177</c:v>
                </c:pt>
                <c:pt idx="21">
                  <c:v>97</c:v>
                </c:pt>
                <c:pt idx="22">
                  <c:v>49</c:v>
                </c:pt>
                <c:pt idx="23">
                  <c:v>44</c:v>
                </c:pt>
                <c:pt idx="24">
                  <c:v>22</c:v>
                </c:pt>
                <c:pt idx="25">
                  <c:v>5</c:v>
                </c:pt>
                <c:pt idx="26">
                  <c:v>6</c:v>
                </c:pt>
                <c:pt idx="27">
                  <c:v>2</c:v>
                </c:pt>
                <c:pt idx="28">
                  <c:v>3</c:v>
                </c:pt>
                <c:pt idx="29">
                  <c:v>1</c:v>
                </c:pt>
              </c:numCache>
            </c:numRef>
          </c:val>
        </c:ser>
        <c:gapWidth val="10"/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1.png"/><Relationship Id="rId5" Type="http://schemas.openxmlformats.org/officeDocument/2006/relationships/image" Target="../media/image3.png"/><Relationship Id="rId6" Type="http://schemas.openxmlformats.org/officeDocument/2006/relationships/image" Target="../media/image2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8</xdr:col>
      <xdr:colOff>508107</xdr:colOff>
      <xdr:row>9</xdr:row>
      <xdr:rowOff>169597</xdr:rowOff>
    </xdr:to>
    <xdr:pic>
      <xdr:nvPicPr>
        <xdr:cNvPr id="2" name="Picture 1" descr="g04_arus_ka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3425" y="381000"/>
          <a:ext cx="3556107" cy="1503097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8</xdr:col>
      <xdr:colOff>330039</xdr:colOff>
      <xdr:row>29</xdr:row>
      <xdr:rowOff>19249</xdr:rowOff>
    </xdr:to>
    <xdr:pic>
      <xdr:nvPicPr>
        <xdr:cNvPr id="3" name="Picture 2" descr="g06_payback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43425" y="4000500"/>
          <a:ext cx="3378039" cy="1543249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9</xdr:col>
      <xdr:colOff>337689</xdr:colOff>
      <xdr:row>47</xdr:row>
      <xdr:rowOff>176164</xdr:rowOff>
    </xdr:to>
    <xdr:pic>
      <xdr:nvPicPr>
        <xdr:cNvPr id="4" name="Picture 3" descr="g05_npv_tornado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43425" y="7620000"/>
          <a:ext cx="3995289" cy="15096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2706422</xdr:colOff>
      <xdr:row>25</xdr:row>
      <xdr:rowOff>143798</xdr:rowOff>
    </xdr:to>
    <xdr:pic>
      <xdr:nvPicPr>
        <xdr:cNvPr id="5" name="Picture 4" descr="g03_capex_opex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000500"/>
          <a:ext cx="2706422" cy="9057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16</xdr:col>
      <xdr:colOff>152400</xdr:colOff>
      <xdr:row>36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13</xdr:col>
      <xdr:colOff>285750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563846</xdr:colOff>
      <xdr:row>8</xdr:row>
      <xdr:rowOff>88331</xdr:rowOff>
    </xdr:to>
    <xdr:pic>
      <xdr:nvPicPr>
        <xdr:cNvPr id="2" name="Picture 1" descr="g01_pasar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611846" cy="16123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7</xdr:col>
      <xdr:colOff>197573</xdr:colOff>
      <xdr:row>43</xdr:row>
      <xdr:rowOff>105871</xdr:rowOff>
    </xdr:to>
    <xdr:pic>
      <xdr:nvPicPr>
        <xdr:cNvPr id="3" name="Picture 2" descr="g02_porter_pestle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953000"/>
          <a:ext cx="4464773" cy="33443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8</xdr:col>
      <xdr:colOff>197741</xdr:colOff>
      <xdr:row>82</xdr:row>
      <xdr:rowOff>174372</xdr:rowOff>
    </xdr:to>
    <xdr:pic>
      <xdr:nvPicPr>
        <xdr:cNvPr id="4" name="Picture 3" descr="g03_capex_opex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4097000"/>
          <a:ext cx="507454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6</xdr:col>
      <xdr:colOff>152514</xdr:colOff>
      <xdr:row>108</xdr:row>
      <xdr:rowOff>86461</xdr:rowOff>
    </xdr:to>
    <xdr:pic>
      <xdr:nvPicPr>
        <xdr:cNvPr id="5" name="Picture 4" descr="g04_arus_ka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9050000"/>
          <a:ext cx="3810114" cy="16104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7</xdr:col>
      <xdr:colOff>227500</xdr:colOff>
      <xdr:row>134</xdr:row>
      <xdr:rowOff>174372</xdr:rowOff>
    </xdr:to>
    <xdr:pic>
      <xdr:nvPicPr>
        <xdr:cNvPr id="6" name="Picture 5" descr="g05_npv_tornado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4003000"/>
          <a:ext cx="4494700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5</xdr:col>
      <xdr:colOff>571328</xdr:colOff>
      <xdr:row>160</xdr:row>
      <xdr:rowOff>129481</xdr:rowOff>
    </xdr:to>
    <xdr:pic>
      <xdr:nvPicPr>
        <xdr:cNvPr id="7" name="Picture 6" descr="g06_payback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8956000"/>
          <a:ext cx="3619328" cy="1653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7</xdr:col>
      <xdr:colOff>229371</xdr:colOff>
      <xdr:row>186</xdr:row>
      <xdr:rowOff>174372</xdr:rowOff>
    </xdr:to>
    <xdr:pic>
      <xdr:nvPicPr>
        <xdr:cNvPr id="8" name="Picture 7" descr="g07_bep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3909000"/>
          <a:ext cx="449657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8</xdr:col>
      <xdr:colOff>31271</xdr:colOff>
      <xdr:row>212</xdr:row>
      <xdr:rowOff>50922</xdr:rowOff>
    </xdr:to>
    <xdr:pic>
      <xdr:nvPicPr>
        <xdr:cNvPr id="9" name="Picture 8" descr="g08_monte_carlo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38862000"/>
          <a:ext cx="4908071" cy="15749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7</xdr:col>
      <xdr:colOff>229371</xdr:colOff>
      <xdr:row>238</xdr:row>
      <xdr:rowOff>92072</xdr:rowOff>
    </xdr:to>
    <xdr:pic>
      <xdr:nvPicPr>
        <xdr:cNvPr id="10" name="Picture 9" descr="g09_armada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43815000"/>
          <a:ext cx="4496571" cy="16160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5</xdr:col>
      <xdr:colOff>142994</xdr:colOff>
      <xdr:row>263</xdr:row>
      <xdr:rowOff>114231</xdr:rowOff>
    </xdr:to>
    <xdr:pic>
      <xdr:nvPicPr>
        <xdr:cNvPr id="11" name="Picture 10" descr="g10_skenario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48768000"/>
          <a:ext cx="3190994" cy="14477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tabSelected="1" workbookViewId="0"/>
  </sheetViews>
  <sheetFormatPr defaultRowHeight="15"/>
  <cols>
    <col min="1" max="1" width="44.7109375" customWidth="1"/>
    <col min="2" max="2" width="18.7109375" customWidth="1"/>
    <col min="3" max="3" width="4.7109375" customWidth="1"/>
  </cols>
  <sheetData>
    <row r="1" spans="1:2">
      <c r="A1" s="1" t="s">
        <v>656</v>
      </c>
    </row>
    <row r="2" spans="1:2">
      <c r="A2" s="2" t="s">
        <v>657</v>
      </c>
    </row>
    <row r="4" spans="1:2">
      <c r="A4" t="s">
        <v>658</v>
      </c>
      <c r="B4" s="3">
        <f>FCI</f>
        <v>5386505.44374557</v>
      </c>
    </row>
    <row r="5" spans="1:2">
      <c r="A5" t="s">
        <v>219</v>
      </c>
      <c r="B5" s="3">
        <f>FCI/t_P_gross</f>
        <v>4949.797973898401</v>
      </c>
    </row>
    <row r="6" spans="1:2">
      <c r="A6" t="s">
        <v>659</v>
      </c>
      <c r="B6" s="3">
        <f>'Arus Kas'!E15</f>
        <v>1433160.3820341395</v>
      </c>
    </row>
    <row r="7" spans="1:2">
      <c r="A7" t="s">
        <v>660</v>
      </c>
      <c r="B7" s="3">
        <f>'Arus Kas'!E17</f>
        <v>988827.5384553575</v>
      </c>
    </row>
    <row r="8" spans="1:2">
      <c r="A8" t="s">
        <v>661</v>
      </c>
      <c r="B8" s="3">
        <f>Indikator!B4</f>
        <v>614206.3807059919</v>
      </c>
    </row>
    <row r="9" spans="1:2">
      <c r="A9" t="s">
        <v>662</v>
      </c>
      <c r="B9" s="4">
        <f>Indikator!B5</f>
        <v>0.11695251643687354</v>
      </c>
    </row>
    <row r="10" spans="1:2">
      <c r="A10" t="s">
        <v>663</v>
      </c>
      <c r="B10" s="4">
        <f>Indikator!B6</f>
        <v>0.16523029166122305</v>
      </c>
    </row>
    <row r="11" spans="1:2">
      <c r="A11" t="s">
        <v>161</v>
      </c>
      <c r="B11" s="4">
        <f>WACC</f>
        <v>0.09744</v>
      </c>
    </row>
    <row r="12" spans="1:2">
      <c r="A12" t="s">
        <v>664</v>
      </c>
      <c r="B12" s="5">
        <f>Indikator!B8</f>
        <v>6.45519908001742</v>
      </c>
    </row>
    <row r="13" spans="1:2">
      <c r="A13" t="s">
        <v>665</v>
      </c>
      <c r="B13" s="5">
        <f>Indikator!B9</f>
        <v>12.193752847108337</v>
      </c>
    </row>
    <row r="14" spans="1:2">
      <c r="A14" t="s">
        <v>304</v>
      </c>
      <c r="B14" s="5">
        <f>Indikator!B11</f>
        <v>1.2527217548108303</v>
      </c>
    </row>
    <row r="15" spans="1:2">
      <c r="A15" t="s">
        <v>306</v>
      </c>
      <c r="B15" s="5">
        <f>Indikator!B12</f>
        <v>0.16958400033533946</v>
      </c>
    </row>
    <row r="16" spans="1:2">
      <c r="A16" t="s">
        <v>666</v>
      </c>
      <c r="B16" s="4">
        <f>'Monte Carlo'!B10</f>
        <v>0.39725</v>
      </c>
    </row>
    <row r="17" spans="1:2">
      <c r="A17" t="s">
        <v>667</v>
      </c>
      <c r="B17" s="3">
        <f>Armada!B16</f>
        <v>28730558.65496606</v>
      </c>
    </row>
    <row r="18" spans="1:2">
      <c r="A18" t="s">
        <v>398</v>
      </c>
      <c r="B18" s="4">
        <f>Armada!B17</f>
        <v>0.1515935846960642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9"/>
  <sheetViews>
    <sheetView workbookViewId="0"/>
  </sheetViews>
  <sheetFormatPr defaultRowHeight="15"/>
  <cols>
    <col min="1" max="1" width="14.7109375" customWidth="1"/>
    <col min="2" max="2" width="12.7109375" customWidth="1"/>
    <col min="3" max="4" width="14.7109375" customWidth="1"/>
    <col min="5" max="5" width="90.7109375" customWidth="1"/>
  </cols>
  <sheetData>
    <row r="1" spans="1:5">
      <c r="A1" s="1" t="s">
        <v>0</v>
      </c>
    </row>
    <row r="3" spans="1:5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</row>
    <row r="4" spans="1:5">
      <c r="A4" t="s">
        <v>6</v>
      </c>
      <c r="B4" s="7">
        <v>2027</v>
      </c>
      <c r="C4" s="8" t="s">
        <v>7</v>
      </c>
      <c r="D4" s="8"/>
      <c r="E4" s="8" t="s">
        <v>8</v>
      </c>
    </row>
    <row r="5" spans="1:5">
      <c r="A5" t="s">
        <v>9</v>
      </c>
      <c r="B5" s="7">
        <v>20</v>
      </c>
      <c r="C5" s="8" t="s">
        <v>7</v>
      </c>
      <c r="D5" s="8"/>
      <c r="E5" s="8" t="s">
        <v>10</v>
      </c>
    </row>
    <row r="6" spans="1:5">
      <c r="A6" t="s">
        <v>11</v>
      </c>
      <c r="B6" s="7">
        <v>0.75</v>
      </c>
      <c r="C6" s="8" t="s">
        <v>12</v>
      </c>
      <c r="D6" s="8" t="s">
        <v>13</v>
      </c>
      <c r="E6" s="8" t="s">
        <v>14</v>
      </c>
    </row>
    <row r="7" spans="1:5">
      <c r="A7" t="s">
        <v>15</v>
      </c>
      <c r="B7" s="7">
        <v>0.95</v>
      </c>
      <c r="C7" s="8" t="s">
        <v>12</v>
      </c>
      <c r="D7" s="8" t="s">
        <v>16</v>
      </c>
      <c r="E7" s="8" t="s">
        <v>17</v>
      </c>
    </row>
    <row r="8" spans="1:5">
      <c r="A8" t="s">
        <v>18</v>
      </c>
      <c r="B8" s="7">
        <v>7.323099674412005</v>
      </c>
      <c r="C8" s="8" t="s">
        <v>19</v>
      </c>
      <c r="D8" s="8" t="s">
        <v>20</v>
      </c>
      <c r="E8" s="8" t="s">
        <v>21</v>
      </c>
    </row>
    <row r="9" spans="1:5">
      <c r="A9" t="s">
        <v>22</v>
      </c>
      <c r="B9" s="7">
        <v>36777.28946241044</v>
      </c>
      <c r="C9" s="8" t="s">
        <v>23</v>
      </c>
      <c r="D9" s="8"/>
      <c r="E9" s="8" t="s">
        <v>24</v>
      </c>
    </row>
    <row r="10" spans="1:5">
      <c r="A10" t="s">
        <v>25</v>
      </c>
      <c r="B10" s="7">
        <v>0.85</v>
      </c>
      <c r="C10" s="8" t="s">
        <v>12</v>
      </c>
      <c r="D10" s="8" t="s">
        <v>26</v>
      </c>
      <c r="E10" s="8" t="s">
        <v>27</v>
      </c>
    </row>
    <row r="11" spans="1:5">
      <c r="A11" t="s">
        <v>28</v>
      </c>
      <c r="B11" s="7">
        <v>0.4</v>
      </c>
      <c r="C11" s="8" t="s">
        <v>12</v>
      </c>
      <c r="D11" s="8" t="s">
        <v>29</v>
      </c>
      <c r="E11" s="8" t="s">
        <v>30</v>
      </c>
    </row>
    <row r="12" spans="1:5">
      <c r="A12" t="s">
        <v>31</v>
      </c>
      <c r="B12" s="7">
        <v>11.47</v>
      </c>
      <c r="C12" s="8" t="s">
        <v>32</v>
      </c>
      <c r="D12" s="8" t="s">
        <v>33</v>
      </c>
      <c r="E12" s="8" t="s">
        <v>34</v>
      </c>
    </row>
    <row r="13" spans="1:5">
      <c r="A13" t="s">
        <v>35</v>
      </c>
      <c r="B13" s="7">
        <v>1.1</v>
      </c>
      <c r="C13" s="8" t="s">
        <v>12</v>
      </c>
      <c r="D13" s="8" t="s">
        <v>36</v>
      </c>
      <c r="E13" s="8" t="s">
        <v>37</v>
      </c>
    </row>
    <row r="14" spans="1:5">
      <c r="A14" t="s">
        <v>38</v>
      </c>
      <c r="B14" s="7">
        <v>6.88</v>
      </c>
      <c r="C14" s="8" t="s">
        <v>32</v>
      </c>
      <c r="D14" s="8" t="s">
        <v>39</v>
      </c>
      <c r="E14" s="8" t="s">
        <v>40</v>
      </c>
    </row>
    <row r="15" spans="1:5">
      <c r="A15" t="s">
        <v>41</v>
      </c>
      <c r="B15" s="7">
        <v>12</v>
      </c>
      <c r="C15" s="8" t="s">
        <v>42</v>
      </c>
      <c r="D15" s="8" t="s">
        <v>43</v>
      </c>
      <c r="E15" s="8" t="s">
        <v>44</v>
      </c>
    </row>
    <row r="16" spans="1:5">
      <c r="A16" t="s">
        <v>45</v>
      </c>
      <c r="B16" s="7">
        <v>0.4</v>
      </c>
      <c r="C16" s="8" t="s">
        <v>46</v>
      </c>
      <c r="D16" s="8" t="s">
        <v>47</v>
      </c>
      <c r="E16" s="8" t="s">
        <v>48</v>
      </c>
    </row>
    <row r="17" spans="1:5">
      <c r="A17" t="s">
        <v>49</v>
      </c>
      <c r="B17" s="7">
        <v>18</v>
      </c>
      <c r="C17" s="8" t="s">
        <v>50</v>
      </c>
      <c r="D17" s="8" t="s">
        <v>51</v>
      </c>
      <c r="E17" s="8" t="s">
        <v>52</v>
      </c>
    </row>
    <row r="18" spans="1:5">
      <c r="A18" t="s">
        <v>53</v>
      </c>
      <c r="B18" s="7">
        <v>5</v>
      </c>
      <c r="C18" s="8" t="s">
        <v>54</v>
      </c>
      <c r="D18" s="8" t="s">
        <v>55</v>
      </c>
      <c r="E18" s="8" t="s">
        <v>56</v>
      </c>
    </row>
    <row r="19" spans="1:5">
      <c r="A19" t="s">
        <v>57</v>
      </c>
      <c r="B19" s="7">
        <v>17855</v>
      </c>
      <c r="C19" s="8" t="s">
        <v>58</v>
      </c>
      <c r="D19" s="8"/>
      <c r="E19" s="8" t="s">
        <v>59</v>
      </c>
    </row>
    <row r="20" spans="1:5">
      <c r="A20" t="s">
        <v>60</v>
      </c>
      <c r="B20" s="7">
        <v>0.03</v>
      </c>
      <c r="C20" s="8" t="s">
        <v>61</v>
      </c>
      <c r="D20" s="8" t="s">
        <v>62</v>
      </c>
      <c r="E20" s="8" t="s">
        <v>63</v>
      </c>
    </row>
    <row r="21" spans="1:5">
      <c r="A21" t="s">
        <v>64</v>
      </c>
      <c r="B21" s="7">
        <v>2.5</v>
      </c>
      <c r="C21" s="8" t="s">
        <v>65</v>
      </c>
      <c r="D21" s="8" t="s">
        <v>66</v>
      </c>
      <c r="E21" s="8" t="s">
        <v>67</v>
      </c>
    </row>
    <row r="22" spans="1:5">
      <c r="A22" t="s">
        <v>68</v>
      </c>
      <c r="B22" s="7">
        <v>200</v>
      </c>
      <c r="C22" s="8" t="s">
        <v>69</v>
      </c>
      <c r="D22" s="8" t="s">
        <v>70</v>
      </c>
      <c r="E22" s="8" t="s">
        <v>71</v>
      </c>
    </row>
    <row r="23" spans="1:5">
      <c r="A23" t="s">
        <v>72</v>
      </c>
      <c r="B23" s="7">
        <v>550</v>
      </c>
      <c r="C23" s="8" t="s">
        <v>73</v>
      </c>
      <c r="D23" s="8" t="s">
        <v>74</v>
      </c>
      <c r="E23" s="8" t="s">
        <v>75</v>
      </c>
    </row>
    <row r="24" spans="1:5">
      <c r="A24" t="s">
        <v>76</v>
      </c>
      <c r="B24" s="7">
        <v>0.1</v>
      </c>
      <c r="C24" s="8" t="s">
        <v>12</v>
      </c>
      <c r="D24" s="8" t="s">
        <v>77</v>
      </c>
      <c r="E24" s="8" t="s">
        <v>78</v>
      </c>
    </row>
    <row r="25" spans="1:5">
      <c r="A25" t="s">
        <v>79</v>
      </c>
      <c r="B25" s="7">
        <v>0.05</v>
      </c>
      <c r="C25" s="8" t="s">
        <v>12</v>
      </c>
      <c r="D25" s="8" t="s">
        <v>80</v>
      </c>
      <c r="E25" s="8" t="s">
        <v>81</v>
      </c>
    </row>
    <row r="26" spans="1:5">
      <c r="A26" t="s">
        <v>82</v>
      </c>
      <c r="B26" s="7">
        <v>0.012</v>
      </c>
      <c r="C26" s="8" t="s">
        <v>83</v>
      </c>
      <c r="D26" s="8" t="s">
        <v>84</v>
      </c>
      <c r="E26" s="8" t="s">
        <v>85</v>
      </c>
    </row>
    <row r="27" spans="1:5">
      <c r="A27" t="s">
        <v>86</v>
      </c>
      <c r="B27" s="7">
        <v>0.02</v>
      </c>
      <c r="C27" s="8" t="s">
        <v>87</v>
      </c>
      <c r="D27" s="8" t="s">
        <v>88</v>
      </c>
      <c r="E27" s="8" t="s">
        <v>89</v>
      </c>
    </row>
    <row r="28" spans="1:5">
      <c r="A28" t="s">
        <v>90</v>
      </c>
      <c r="B28" s="7">
        <v>0.005</v>
      </c>
      <c r="C28" s="8" t="s">
        <v>91</v>
      </c>
      <c r="D28" s="8"/>
      <c r="E28" s="8" t="s">
        <v>92</v>
      </c>
    </row>
    <row r="29" spans="1:5">
      <c r="A29" t="s">
        <v>93</v>
      </c>
      <c r="B29" s="7">
        <v>78000</v>
      </c>
      <c r="C29" s="8" t="s">
        <v>94</v>
      </c>
      <c r="D29" s="8" t="s">
        <v>95</v>
      </c>
      <c r="E29" s="8" t="s">
        <v>96</v>
      </c>
    </row>
    <row r="30" spans="1:5">
      <c r="A30" t="s">
        <v>97</v>
      </c>
      <c r="B30" s="7">
        <v>25000</v>
      </c>
      <c r="C30" s="8" t="s">
        <v>94</v>
      </c>
      <c r="D30" s="8" t="s">
        <v>98</v>
      </c>
      <c r="E30" s="8" t="s">
        <v>99</v>
      </c>
    </row>
    <row r="31" spans="1:5">
      <c r="A31" t="s">
        <v>100</v>
      </c>
      <c r="B31" s="7">
        <v>30000</v>
      </c>
      <c r="C31" s="8" t="s">
        <v>94</v>
      </c>
      <c r="D31" s="8"/>
      <c r="E31" s="8" t="s">
        <v>101</v>
      </c>
    </row>
    <row r="32" spans="1:5">
      <c r="A32" t="s">
        <v>102</v>
      </c>
      <c r="B32" s="7">
        <v>2</v>
      </c>
      <c r="C32" s="8" t="s">
        <v>103</v>
      </c>
      <c r="D32" s="8"/>
      <c r="E32" s="8" t="s">
        <v>104</v>
      </c>
    </row>
    <row r="33" spans="1:5">
      <c r="A33" t="s">
        <v>105</v>
      </c>
      <c r="B33" s="7">
        <v>4000</v>
      </c>
      <c r="C33" s="8" t="s">
        <v>54</v>
      </c>
      <c r="D33" s="8"/>
      <c r="E33" s="8" t="s">
        <v>106</v>
      </c>
    </row>
    <row r="34" spans="1:5">
      <c r="A34" t="s">
        <v>107</v>
      </c>
      <c r="B34" s="7">
        <v>3000</v>
      </c>
      <c r="C34" s="8" t="s">
        <v>54</v>
      </c>
      <c r="D34" s="8"/>
      <c r="E34" s="8" t="s">
        <v>108</v>
      </c>
    </row>
    <row r="35" spans="1:5">
      <c r="A35" t="s">
        <v>109</v>
      </c>
      <c r="B35" s="7">
        <v>8000</v>
      </c>
      <c r="C35" s="8" t="s">
        <v>94</v>
      </c>
      <c r="D35" s="8"/>
      <c r="E35" s="8" t="s">
        <v>110</v>
      </c>
    </row>
    <row r="36" spans="1:5">
      <c r="A36" t="s">
        <v>111</v>
      </c>
      <c r="B36" s="7">
        <v>150</v>
      </c>
      <c r="C36" s="8" t="s">
        <v>73</v>
      </c>
      <c r="D36" s="8" t="s">
        <v>112</v>
      </c>
      <c r="E36" s="8" t="s">
        <v>113</v>
      </c>
    </row>
    <row r="37" spans="1:5">
      <c r="A37" t="s">
        <v>114</v>
      </c>
      <c r="B37" s="7">
        <v>7</v>
      </c>
      <c r="C37" s="8" t="s">
        <v>7</v>
      </c>
      <c r="D37" s="8"/>
      <c r="E37" s="8" t="s">
        <v>115</v>
      </c>
    </row>
    <row r="38" spans="1:5">
      <c r="A38" t="s">
        <v>116</v>
      </c>
      <c r="B38" s="7">
        <v>0.22</v>
      </c>
      <c r="C38" s="8" t="s">
        <v>12</v>
      </c>
      <c r="D38" s="8"/>
      <c r="E38" s="8" t="s">
        <v>117</v>
      </c>
    </row>
    <row r="39" spans="1:5">
      <c r="A39" t="s">
        <v>118</v>
      </c>
      <c r="B39" s="7">
        <v>16</v>
      </c>
      <c r="C39" s="8" t="s">
        <v>7</v>
      </c>
      <c r="D39" s="8"/>
      <c r="E39" s="8" t="s">
        <v>119</v>
      </c>
    </row>
    <row r="40" spans="1:5">
      <c r="A40" t="s">
        <v>120</v>
      </c>
      <c r="B40" s="7">
        <v>0.3</v>
      </c>
      <c r="C40" s="8" t="s">
        <v>12</v>
      </c>
      <c r="D40" s="8"/>
      <c r="E40" s="8" t="s">
        <v>121</v>
      </c>
    </row>
    <row r="41" spans="1:5">
      <c r="A41" t="s">
        <v>122</v>
      </c>
      <c r="B41" s="7">
        <v>0.6</v>
      </c>
      <c r="C41" s="8" t="s">
        <v>12</v>
      </c>
      <c r="D41" s="8"/>
      <c r="E41" s="8" t="s">
        <v>123</v>
      </c>
    </row>
    <row r="42" spans="1:5">
      <c r="A42" t="s">
        <v>124</v>
      </c>
      <c r="B42" s="7">
        <v>0.08</v>
      </c>
      <c r="C42" s="8" t="s">
        <v>61</v>
      </c>
      <c r="D42" s="8" t="s">
        <v>125</v>
      </c>
      <c r="E42" s="8" t="s">
        <v>126</v>
      </c>
    </row>
    <row r="43" spans="1:5">
      <c r="A43" t="s">
        <v>127</v>
      </c>
      <c r="B43" s="7">
        <v>10</v>
      </c>
      <c r="C43" s="8" t="s">
        <v>7</v>
      </c>
      <c r="D43" s="8"/>
      <c r="E43" s="8" t="s">
        <v>128</v>
      </c>
    </row>
    <row r="44" spans="1:5">
      <c r="A44" t="s">
        <v>129</v>
      </c>
      <c r="B44" s="7">
        <v>0.15</v>
      </c>
      <c r="C44" s="8" t="s">
        <v>61</v>
      </c>
      <c r="D44" s="8"/>
      <c r="E44" s="8" t="s">
        <v>130</v>
      </c>
    </row>
    <row r="45" spans="1:5">
      <c r="A45" t="s">
        <v>131</v>
      </c>
      <c r="B45" s="7">
        <v>2</v>
      </c>
      <c r="C45" s="8" t="s">
        <v>132</v>
      </c>
      <c r="D45" s="8"/>
      <c r="E45" s="8" t="s">
        <v>133</v>
      </c>
    </row>
    <row r="47" spans="1:5">
      <c r="A47" s="9" t="s">
        <v>134</v>
      </c>
    </row>
    <row r="48" spans="1:5">
      <c r="A48" t="s">
        <v>135</v>
      </c>
      <c r="B48" s="10">
        <v>1088.227332135583</v>
      </c>
      <c r="C48" t="s">
        <v>136</v>
      </c>
      <c r="E48" t="s">
        <v>137</v>
      </c>
    </row>
    <row r="49" spans="1:5">
      <c r="A49" t="s">
        <v>138</v>
      </c>
      <c r="B49" s="10">
        <v>960.7811315767999</v>
      </c>
      <c r="C49" t="s">
        <v>136</v>
      </c>
      <c r="E49" t="s">
        <v>139</v>
      </c>
    </row>
    <row r="50" spans="1:5">
      <c r="A50" t="s">
        <v>140</v>
      </c>
      <c r="B50" s="10">
        <v>8.294498049279515</v>
      </c>
      <c r="C50" t="s">
        <v>19</v>
      </c>
      <c r="E50" t="s">
        <v>141</v>
      </c>
    </row>
    <row r="51" spans="1:5">
      <c r="A51" t="s">
        <v>142</v>
      </c>
      <c r="B51" s="10">
        <v>1439.068750945199</v>
      </c>
      <c r="C51" t="s">
        <v>143</v>
      </c>
      <c r="E51" t="s">
        <v>144</v>
      </c>
    </row>
    <row r="52" spans="1:5">
      <c r="A52" t="s">
        <v>145</v>
      </c>
      <c r="B52" s="10">
        <v>1600</v>
      </c>
      <c r="C52" t="s">
        <v>136</v>
      </c>
      <c r="E52" t="s">
        <v>146</v>
      </c>
    </row>
    <row r="53" spans="1:5">
      <c r="A53" t="s">
        <v>147</v>
      </c>
      <c r="B53" s="10">
        <v>996.419669894242</v>
      </c>
      <c r="C53" t="s">
        <v>148</v>
      </c>
      <c r="E53" t="s">
        <v>149</v>
      </c>
    </row>
    <row r="54" spans="1:5">
      <c r="A54" t="s">
        <v>150</v>
      </c>
      <c r="B54" s="10">
        <v>175500</v>
      </c>
      <c r="C54" t="s">
        <v>151</v>
      </c>
      <c r="E54" t="s">
        <v>152</v>
      </c>
    </row>
    <row r="55" spans="1:5">
      <c r="A55" t="s">
        <v>153</v>
      </c>
      <c r="B55" s="10">
        <v>5707.903247845243</v>
      </c>
      <c r="C55" t="s">
        <v>154</v>
      </c>
      <c r="E55" t="s">
        <v>155</v>
      </c>
    </row>
    <row r="56" spans="1:5">
      <c r="A56" t="s">
        <v>156</v>
      </c>
      <c r="B56" s="10">
        <v>270000</v>
      </c>
      <c r="C56" t="s">
        <v>157</v>
      </c>
      <c r="E56" t="s">
        <v>158</v>
      </c>
    </row>
    <row r="57" spans="1:5">
      <c r="A57" t="s">
        <v>159</v>
      </c>
      <c r="B57" s="10">
        <v>2860.13</v>
      </c>
      <c r="C57" t="s">
        <v>148</v>
      </c>
      <c r="E57" t="s">
        <v>160</v>
      </c>
    </row>
    <row r="59" spans="1:5">
      <c r="A59" t="s">
        <v>161</v>
      </c>
      <c r="B59" s="4">
        <f>a_debt_frac*a_r_debt*(1-a_tax)+(1-a_debt_frac)*a_r_eq</f>
        <v>0.09744</v>
      </c>
      <c r="E59" t="s">
        <v>162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3"/>
  <sheetViews>
    <sheetView workbookViewId="0"/>
  </sheetViews>
  <sheetFormatPr defaultRowHeight="15"/>
  <cols>
    <col min="1" max="1" width="14.7109375" customWidth="1"/>
    <col min="2" max="2" width="56.7109375" customWidth="1"/>
    <col min="3" max="6" width="14.7109375" customWidth="1"/>
    <col min="7" max="7" width="60.7109375" customWidth="1"/>
  </cols>
  <sheetData>
    <row r="1" spans="1:7">
      <c r="A1" s="1" t="s">
        <v>163</v>
      </c>
    </row>
    <row r="3" spans="1:7">
      <c r="A3" s="6" t="s">
        <v>164</v>
      </c>
      <c r="B3" s="6" t="s">
        <v>165</v>
      </c>
      <c r="C3" s="6" t="s">
        <v>166</v>
      </c>
      <c r="D3" s="6" t="s">
        <v>3</v>
      </c>
      <c r="E3" s="6" t="s">
        <v>167</v>
      </c>
      <c r="F3" s="6" t="s">
        <v>168</v>
      </c>
      <c r="G3" s="6" t="s">
        <v>169</v>
      </c>
    </row>
    <row r="4" spans="1:7">
      <c r="A4" s="8" t="s">
        <v>170</v>
      </c>
      <c r="B4" s="8" t="s">
        <v>171</v>
      </c>
      <c r="C4" s="10">
        <v>14</v>
      </c>
      <c r="D4" s="8" t="s">
        <v>172</v>
      </c>
      <c r="E4" s="11">
        <f>a_c_fab*20.9*1000+12000+7500+10000</f>
        <v>81750.0</v>
      </c>
      <c r="F4" s="11">
        <f>C4*E4</f>
        <v>1144500.0</v>
      </c>
      <c r="G4" s="8" t="s">
        <v>173</v>
      </c>
    </row>
    <row r="5" spans="1:7">
      <c r="A5" s="8" t="s">
        <v>170</v>
      </c>
      <c r="B5" s="8" t="s">
        <v>174</v>
      </c>
      <c r="C5" s="10">
        <v>2</v>
      </c>
      <c r="D5" s="8" t="s">
        <v>172</v>
      </c>
      <c r="E5" s="11">
        <f>a_c_fab*20.0*1000+6000</f>
        <v>56000.0</v>
      </c>
      <c r="F5" s="11">
        <f>C5*E5</f>
        <v>112000.0</v>
      </c>
      <c r="G5" s="8" t="s">
        <v>175</v>
      </c>
    </row>
    <row r="6" spans="1:7">
      <c r="A6" s="8" t="s">
        <v>170</v>
      </c>
      <c r="B6" s="8" t="s">
        <v>176</v>
      </c>
      <c r="C6" s="10">
        <v>996.419669894242</v>
      </c>
      <c r="D6" s="8" t="s">
        <v>177</v>
      </c>
      <c r="E6" s="11">
        <f>a_c_mem</f>
        <v>200.0</v>
      </c>
      <c r="F6" s="11">
        <f>C6*E6</f>
        <v>199283.9339788484</v>
      </c>
      <c r="G6" s="8" t="s">
        <v>178</v>
      </c>
    </row>
    <row r="7" spans="1:7">
      <c r="A7" s="8" t="s">
        <v>170</v>
      </c>
      <c r="B7" s="8" t="s">
        <v>179</v>
      </c>
      <c r="C7" s="10">
        <v>1</v>
      </c>
      <c r="D7" s="8" t="s">
        <v>180</v>
      </c>
      <c r="E7" s="7">
        <v>180000</v>
      </c>
      <c r="F7" s="11">
        <f>C7*E7</f>
        <v>180000.0</v>
      </c>
      <c r="G7" s="8" t="s">
        <v>181</v>
      </c>
    </row>
    <row r="8" spans="1:7">
      <c r="A8" s="8" t="s">
        <v>170</v>
      </c>
      <c r="B8" s="8" t="s">
        <v>182</v>
      </c>
      <c r="C8" s="10">
        <v>1</v>
      </c>
      <c r="D8" s="8" t="s">
        <v>180</v>
      </c>
      <c r="E8" s="7">
        <v>170000</v>
      </c>
      <c r="F8" s="11">
        <f>C8*E8</f>
        <v>170000.0</v>
      </c>
      <c r="G8" s="8" t="s">
        <v>183</v>
      </c>
    </row>
    <row r="9" spans="1:7">
      <c r="A9" s="8" t="s">
        <v>170</v>
      </c>
      <c r="B9" s="8" t="s">
        <v>184</v>
      </c>
      <c r="C9" s="10">
        <v>1</v>
      </c>
      <c r="D9" s="8" t="s">
        <v>180</v>
      </c>
      <c r="E9" s="7">
        <v>60000</v>
      </c>
      <c r="F9" s="11">
        <f>C9*E9</f>
        <v>60000.0</v>
      </c>
      <c r="G9" s="8" t="s">
        <v>185</v>
      </c>
    </row>
    <row r="10" spans="1:7">
      <c r="A10" s="8" t="s">
        <v>170</v>
      </c>
      <c r="B10" s="8" t="s">
        <v>186</v>
      </c>
      <c r="C10" s="10">
        <v>1</v>
      </c>
      <c r="D10" s="8" t="s">
        <v>180</v>
      </c>
      <c r="E10" s="7">
        <v>280000</v>
      </c>
      <c r="F10" s="11">
        <f>C10*E10</f>
        <v>280000.0</v>
      </c>
      <c r="G10" s="8" t="s">
        <v>185</v>
      </c>
    </row>
    <row r="11" spans="1:7">
      <c r="A11" s="8" t="s">
        <v>170</v>
      </c>
      <c r="B11" s="8" t="s">
        <v>187</v>
      </c>
      <c r="C11" s="10">
        <v>1</v>
      </c>
      <c r="D11" s="8" t="s">
        <v>180</v>
      </c>
      <c r="E11" s="7">
        <v>190000</v>
      </c>
      <c r="F11" s="11">
        <f>C11*E11</f>
        <v>190000.0</v>
      </c>
      <c r="G11" s="8" t="s">
        <v>188</v>
      </c>
    </row>
    <row r="12" spans="1:7">
      <c r="A12" s="8" t="s">
        <v>170</v>
      </c>
      <c r="B12" s="8" t="s">
        <v>189</v>
      </c>
      <c r="C12" s="10">
        <v>1600</v>
      </c>
      <c r="D12" s="8" t="s">
        <v>136</v>
      </c>
      <c r="E12" s="11">
        <f>a_c_chp</f>
        <v>550.0</v>
      </c>
      <c r="F12" s="11">
        <f>C12*E12</f>
        <v>880000.0</v>
      </c>
      <c r="G12" s="8" t="s">
        <v>190</v>
      </c>
    </row>
    <row r="13" spans="1:7">
      <c r="A13" s="8" t="s">
        <v>170</v>
      </c>
      <c r="B13" s="8" t="s">
        <v>191</v>
      </c>
      <c r="C13" s="10">
        <v>1</v>
      </c>
      <c r="D13" s="8" t="s">
        <v>180</v>
      </c>
      <c r="E13" s="7">
        <v>100000</v>
      </c>
      <c r="F13" s="11">
        <f>C13*E13</f>
        <v>100000.0</v>
      </c>
      <c r="G13" s="8" t="s">
        <v>185</v>
      </c>
    </row>
    <row r="14" spans="1:7">
      <c r="A14" s="8" t="s">
        <v>170</v>
      </c>
      <c r="B14" s="8" t="s">
        <v>192</v>
      </c>
      <c r="C14" s="10">
        <v>1</v>
      </c>
      <c r="D14" s="8" t="s">
        <v>180</v>
      </c>
      <c r="E14" s="7">
        <v>115000</v>
      </c>
      <c r="F14" s="11">
        <f>C14*E14</f>
        <v>115000.0</v>
      </c>
      <c r="G14" s="8" t="s">
        <v>185</v>
      </c>
    </row>
    <row r="15" spans="1:7">
      <c r="A15" s="8" t="s">
        <v>170</v>
      </c>
      <c r="B15" s="8" t="s">
        <v>193</v>
      </c>
      <c r="C15" s="10">
        <v>1</v>
      </c>
      <c r="D15" s="8" t="s">
        <v>180</v>
      </c>
      <c r="E15" s="7">
        <v>110000</v>
      </c>
      <c r="F15" s="11">
        <f>C15*E15</f>
        <v>110000.0</v>
      </c>
      <c r="G15" s="8" t="s">
        <v>194</v>
      </c>
    </row>
    <row r="16" spans="1:7">
      <c r="A16" s="8" t="s">
        <v>170</v>
      </c>
      <c r="B16" s="8" t="s">
        <v>195</v>
      </c>
      <c r="C16" s="10">
        <v>1</v>
      </c>
      <c r="D16" s="8" t="s">
        <v>180</v>
      </c>
      <c r="E16" s="7">
        <v>200000</v>
      </c>
      <c r="F16" s="11">
        <f>C16*E16</f>
        <v>200000.0</v>
      </c>
      <c r="G16" s="8" t="s">
        <v>185</v>
      </c>
    </row>
    <row r="17" spans="1:7">
      <c r="A17" s="8" t="s">
        <v>170</v>
      </c>
      <c r="B17" s="8" t="s">
        <v>196</v>
      </c>
      <c r="C17" s="10">
        <v>1</v>
      </c>
      <c r="D17" s="8" t="s">
        <v>180</v>
      </c>
      <c r="E17" s="7">
        <v>90000</v>
      </c>
      <c r="F17" s="11">
        <f>C17*E17</f>
        <v>90000.0</v>
      </c>
      <c r="G17" s="8" t="s">
        <v>185</v>
      </c>
    </row>
    <row r="18" spans="1:7">
      <c r="A18" s="8" t="s">
        <v>170</v>
      </c>
      <c r="B18" s="8" t="s">
        <v>197</v>
      </c>
      <c r="C18" s="10">
        <v>1</v>
      </c>
      <c r="D18" s="8" t="s">
        <v>180</v>
      </c>
      <c r="E18" s="7">
        <v>150000</v>
      </c>
      <c r="F18" s="11">
        <f>C18*E18</f>
        <v>150000.0</v>
      </c>
      <c r="G18" s="8" t="s">
        <v>198</v>
      </c>
    </row>
    <row r="19" spans="1:7">
      <c r="A19" s="8" t="s">
        <v>199</v>
      </c>
      <c r="B19" s="8" t="s">
        <v>200</v>
      </c>
      <c r="C19" s="10">
        <v>1</v>
      </c>
      <c r="D19" s="8" t="s">
        <v>180</v>
      </c>
      <c r="E19" s="7">
        <v>240000</v>
      </c>
      <c r="F19" s="11">
        <f>C19*E19</f>
        <v>240000.0</v>
      </c>
      <c r="G19" s="8" t="s">
        <v>201</v>
      </c>
    </row>
    <row r="20" spans="1:7">
      <c r="A20" s="8" t="s">
        <v>199</v>
      </c>
      <c r="B20" s="8" t="s">
        <v>202</v>
      </c>
      <c r="C20" s="10">
        <v>28</v>
      </c>
      <c r="D20" s="8" t="s">
        <v>203</v>
      </c>
      <c r="E20" s="7">
        <v>6500</v>
      </c>
      <c r="F20" s="11">
        <f>C20*E20</f>
        <v>182000</v>
      </c>
      <c r="G20" s="8" t="s">
        <v>204</v>
      </c>
    </row>
    <row r="21" spans="1:7">
      <c r="A21" s="8" t="s">
        <v>199</v>
      </c>
      <c r="B21" s="8" t="s">
        <v>205</v>
      </c>
      <c r="C21" s="10">
        <v>1</v>
      </c>
      <c r="D21" s="8" t="s">
        <v>180</v>
      </c>
      <c r="E21" s="7">
        <v>200000</v>
      </c>
      <c r="F21" s="11">
        <f>C21*E21</f>
        <v>200000.0</v>
      </c>
      <c r="G21" s="8" t="s">
        <v>206</v>
      </c>
    </row>
    <row r="22" spans="1:7">
      <c r="A22" s="8" t="s">
        <v>207</v>
      </c>
      <c r="B22" s="8" t="s">
        <v>208</v>
      </c>
      <c r="C22" s="12">
        <f>a_eng</f>
        <v>0.05</v>
      </c>
      <c r="D22" s="8" t="s">
        <v>209</v>
      </c>
      <c r="E22" s="11">
        <f>PEC</f>
        <v>3980783.933978848</v>
      </c>
      <c r="F22" s="11">
        <f>C22*E22</f>
        <v>199039.19669894243</v>
      </c>
      <c r="G22" s="8" t="s">
        <v>210</v>
      </c>
    </row>
    <row r="23" spans="1:7">
      <c r="A23" s="8" t="s">
        <v>207</v>
      </c>
      <c r="B23" s="8" t="s">
        <v>211</v>
      </c>
      <c r="C23" s="10">
        <v>1</v>
      </c>
      <c r="D23" s="8" t="s">
        <v>180</v>
      </c>
      <c r="E23" s="7">
        <v>50000</v>
      </c>
      <c r="F23" s="11">
        <f>C23*E23</f>
        <v>50000</v>
      </c>
      <c r="G23" s="8" t="s">
        <v>185</v>
      </c>
    </row>
    <row r="24" spans="1:7">
      <c r="A24" s="8" t="s">
        <v>207</v>
      </c>
      <c r="B24" s="8" t="s">
        <v>212</v>
      </c>
      <c r="C24" s="10">
        <v>1</v>
      </c>
      <c r="D24" s="8" t="s">
        <v>180</v>
      </c>
      <c r="E24" s="7">
        <v>45000</v>
      </c>
      <c r="F24" s="11">
        <f>C24*E24</f>
        <v>45000</v>
      </c>
      <c r="G24" s="8" t="s">
        <v>185</v>
      </c>
    </row>
    <row r="25" spans="1:7">
      <c r="A25" s="8" t="s">
        <v>213</v>
      </c>
      <c r="B25" s="8" t="s">
        <v>214</v>
      </c>
      <c r="C25" s="12">
        <f>a_cont</f>
        <v>0.1</v>
      </c>
      <c r="D25" s="8" t="s">
        <v>215</v>
      </c>
      <c r="E25" s="11">
        <f>SUM(F4:F24)</f>
        <v>4896823.13067779</v>
      </c>
      <c r="F25" s="11">
        <f>C25*E25</f>
        <v>489682.31306777906</v>
      </c>
      <c r="G25" s="8" t="s">
        <v>216</v>
      </c>
    </row>
    <row r="27" spans="1:7">
      <c r="B27" s="9" t="s">
        <v>217</v>
      </c>
      <c r="F27" s="3">
        <f>SUM(F4:F18)</f>
        <v>3980783.933978848</v>
      </c>
    </row>
    <row r="28" spans="1:7">
      <c r="B28" s="9" t="s">
        <v>218</v>
      </c>
      <c r="F28" s="3">
        <f>SUM(F4:F25)</f>
        <v>5386505.44374557</v>
      </c>
    </row>
    <row r="29" spans="1:7">
      <c r="B29" t="s">
        <v>219</v>
      </c>
      <c r="F29" s="3">
        <f>FCI/t_P_gross</f>
        <v>4949.797973898401</v>
      </c>
    </row>
    <row r="30" spans="1:7">
      <c r="B30" t="s">
        <v>220</v>
      </c>
      <c r="F30" s="3">
        <f>a_wc_months/12*(OPEX_F+OPEX_V)</f>
        <v>67771.24929629905</v>
      </c>
    </row>
    <row r="31" spans="1:7">
      <c r="B31" s="9" t="s">
        <v>221</v>
      </c>
      <c r="F31" s="3">
        <f>F28+F30</f>
        <v>5454276.693041869</v>
      </c>
    </row>
    <row r="33" spans="2:2">
      <c r="B33" s="2" t="s">
        <v>222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cols>
    <col min="1" max="1" width="46.7109375" customWidth="1"/>
    <col min="2" max="3" width="16.7109375" customWidth="1"/>
    <col min="4" max="4" width="70.7109375" customWidth="1"/>
  </cols>
  <sheetData>
    <row r="1" spans="1:4">
      <c r="A1" s="1" t="s">
        <v>223</v>
      </c>
    </row>
    <row r="3" spans="1:4">
      <c r="A3" s="6" t="s">
        <v>224</v>
      </c>
      <c r="B3" s="6" t="s">
        <v>94</v>
      </c>
      <c r="C3" s="6" t="s">
        <v>225</v>
      </c>
      <c r="D3" s="6" t="s">
        <v>226</v>
      </c>
    </row>
    <row r="4" spans="1:4">
      <c r="A4" s="8" t="s">
        <v>227</v>
      </c>
      <c r="B4" s="11">
        <f>a_staff</f>
        <v>78000.0</v>
      </c>
      <c r="C4" s="8" t="s">
        <v>229</v>
      </c>
      <c r="D4" s="8" t="s">
        <v>228</v>
      </c>
    </row>
    <row r="5" spans="1:4">
      <c r="A5" s="8" t="s">
        <v>230</v>
      </c>
      <c r="B5" s="11">
        <f>a_c_eng_om*t_E_gross*a_avail*1000000</f>
        <v>94557.27776178646</v>
      </c>
      <c r="C5" s="8" t="s">
        <v>232</v>
      </c>
      <c r="D5" s="8" t="s">
        <v>231</v>
      </c>
    </row>
    <row r="6" spans="1:4">
      <c r="A6" s="8" t="s">
        <v>233</v>
      </c>
      <c r="B6" s="11">
        <f>a_c_maint*(PEC-a_c_chp*t_chp_kWe)</f>
        <v>62015.678679576966</v>
      </c>
      <c r="C6" s="8" t="s">
        <v>229</v>
      </c>
      <c r="D6" s="8" t="s">
        <v>234</v>
      </c>
    </row>
    <row r="7" spans="1:4">
      <c r="A7" s="8" t="s">
        <v>235</v>
      </c>
      <c r="B7" s="7">
        <v>31626.44537726322</v>
      </c>
      <c r="C7" s="8" t="s">
        <v>232</v>
      </c>
      <c r="D7" s="8" t="s">
        <v>236</v>
      </c>
    </row>
    <row r="8" spans="1:4">
      <c r="A8" s="8" t="s">
        <v>237</v>
      </c>
      <c r="B8" s="11">
        <f>a_c_ins*FCI</f>
        <v>26932.527218727853</v>
      </c>
      <c r="C8" s="8" t="s">
        <v>229</v>
      </c>
      <c r="D8" s="8" t="s">
        <v>238</v>
      </c>
    </row>
    <row r="9" spans="1:4">
      <c r="A9" s="8" t="s">
        <v>239</v>
      </c>
      <c r="B9" s="11">
        <f>a_c_mrv</f>
        <v>25000.0</v>
      </c>
      <c r="C9" s="8" t="s">
        <v>229</v>
      </c>
      <c r="D9" s="8" t="s">
        <v>240</v>
      </c>
    </row>
    <row r="10" spans="1:4">
      <c r="A10" s="8" t="s">
        <v>241</v>
      </c>
      <c r="B10" s="11">
        <f>a_c_admin</f>
        <v>30000.0</v>
      </c>
      <c r="C10" s="8" t="s">
        <v>229</v>
      </c>
      <c r="D10" s="8" t="s">
        <v>242</v>
      </c>
    </row>
    <row r="11" spans="1:4">
      <c r="A11" s="8" t="s">
        <v>243</v>
      </c>
      <c r="B11" s="11">
        <f>a_lease*t_plot_m2</f>
        <v>5720.26</v>
      </c>
      <c r="C11" s="8" t="s">
        <v>229</v>
      </c>
      <c r="D11" s="8" t="s">
        <v>244</v>
      </c>
    </row>
    <row r="12" spans="1:4">
      <c r="A12" s="8" t="s">
        <v>245</v>
      </c>
      <c r="B12" s="11">
        <f>a_overhaul*t_chp_kWe/8+0.8*a_c_mem*t_area_mem/a_mem_life</f>
        <v>52775.30674043982</v>
      </c>
      <c r="C12" s="8" t="s">
        <v>229</v>
      </c>
      <c r="D12" s="8" t="s">
        <v>246</v>
      </c>
    </row>
    <row r="14" spans="1:4">
      <c r="A14" s="9" t="s">
        <v>247</v>
      </c>
      <c r="B14" s="3">
        <f>B4+B6+B8+B9+B10+B11+B12</f>
        <v>280443.7726387447</v>
      </c>
    </row>
    <row r="15" spans="1:4">
      <c r="A15" s="9" t="s">
        <v>248</v>
      </c>
      <c r="B15" s="3">
        <f>B5+B7</f>
        <v>126183.72313904969</v>
      </c>
    </row>
    <row r="16" spans="1:4">
      <c r="A16" s="9" t="s">
        <v>249</v>
      </c>
      <c r="B16" s="3">
        <f>B14+B15</f>
        <v>406627.49577779433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40.7109375" customWidth="1"/>
    <col min="2" max="2" width="3.7109375" customWidth="1"/>
    <col min="3" max="23" width="12.28515625" customWidth="1"/>
  </cols>
  <sheetData>
    <row r="1" spans="1:23">
      <c r="A1" s="1" t="s">
        <v>250</v>
      </c>
    </row>
    <row r="3" spans="1:23">
      <c r="A3" s="6" t="s">
        <v>251</v>
      </c>
      <c r="B3" s="6"/>
      <c r="C3" s="6">
        <v>2027</v>
      </c>
      <c r="D3" s="6">
        <v>2028</v>
      </c>
      <c r="E3" s="6">
        <v>2029</v>
      </c>
      <c r="F3" s="6">
        <v>2030</v>
      </c>
      <c r="G3" s="6">
        <v>2031</v>
      </c>
      <c r="H3" s="6">
        <v>2032</v>
      </c>
      <c r="I3" s="6">
        <v>2033</v>
      </c>
      <c r="J3" s="6">
        <v>2034</v>
      </c>
      <c r="K3" s="6">
        <v>2035</v>
      </c>
      <c r="L3" s="6">
        <v>2036</v>
      </c>
      <c r="M3" s="6">
        <v>2037</v>
      </c>
      <c r="N3" s="6">
        <v>2038</v>
      </c>
      <c r="O3" s="6">
        <v>2039</v>
      </c>
      <c r="P3" s="6">
        <v>2040</v>
      </c>
      <c r="Q3" s="6">
        <v>2041</v>
      </c>
      <c r="R3" s="6">
        <v>2042</v>
      </c>
      <c r="S3" s="6">
        <v>2043</v>
      </c>
      <c r="T3" s="6">
        <v>2044</v>
      </c>
      <c r="U3" s="6">
        <v>2045</v>
      </c>
      <c r="V3" s="6">
        <v>2046</v>
      </c>
      <c r="W3" s="6">
        <v>2047</v>
      </c>
    </row>
    <row r="4" spans="1:23">
      <c r="A4" t="s">
        <v>252</v>
      </c>
      <c r="C4" s="11">
        <v>0</v>
      </c>
      <c r="D4" s="11">
        <v>1</v>
      </c>
      <c r="E4" s="11">
        <v>2</v>
      </c>
      <c r="F4" s="11">
        <v>3</v>
      </c>
      <c r="G4" s="11">
        <v>4</v>
      </c>
      <c r="H4" s="11">
        <v>5</v>
      </c>
      <c r="I4" s="11">
        <v>6</v>
      </c>
      <c r="J4" s="11">
        <v>7</v>
      </c>
      <c r="K4" s="11">
        <v>8</v>
      </c>
      <c r="L4" s="11">
        <v>9</v>
      </c>
      <c r="M4" s="11">
        <v>10</v>
      </c>
      <c r="N4" s="11">
        <v>11</v>
      </c>
      <c r="O4" s="11">
        <v>12</v>
      </c>
      <c r="P4" s="11">
        <v>13</v>
      </c>
      <c r="Q4" s="11">
        <v>14</v>
      </c>
      <c r="R4" s="11">
        <v>15</v>
      </c>
      <c r="S4" s="11">
        <v>16</v>
      </c>
      <c r="T4" s="11">
        <v>17</v>
      </c>
      <c r="U4" s="11">
        <v>18</v>
      </c>
      <c r="V4" s="11">
        <v>19</v>
      </c>
      <c r="W4" s="11">
        <v>20</v>
      </c>
    </row>
    <row r="5" spans="1:23">
      <c r="A5" t="s">
        <v>253</v>
      </c>
      <c r="C5" s="11">
        <v>2027</v>
      </c>
      <c r="D5" s="11">
        <v>2028</v>
      </c>
      <c r="E5" s="11">
        <v>2029</v>
      </c>
      <c r="F5" s="11">
        <v>2030</v>
      </c>
      <c r="G5" s="11">
        <v>2031</v>
      </c>
      <c r="H5" s="11">
        <v>2032</v>
      </c>
      <c r="I5" s="11">
        <v>2033</v>
      </c>
      <c r="J5" s="11">
        <v>2034</v>
      </c>
      <c r="K5" s="11">
        <v>2035</v>
      </c>
      <c r="L5" s="11">
        <v>2036</v>
      </c>
      <c r="M5" s="11">
        <v>2037</v>
      </c>
      <c r="N5" s="11">
        <v>2038</v>
      </c>
      <c r="O5" s="11">
        <v>2039</v>
      </c>
      <c r="P5" s="11">
        <v>2040</v>
      </c>
      <c r="Q5" s="11">
        <v>2041</v>
      </c>
      <c r="R5" s="11">
        <v>2042</v>
      </c>
      <c r="S5" s="11">
        <v>2043</v>
      </c>
      <c r="T5" s="11">
        <v>2044</v>
      </c>
      <c r="U5" s="11">
        <v>2045</v>
      </c>
      <c r="V5" s="11">
        <v>2046</v>
      </c>
      <c r="W5" s="11">
        <v>2047</v>
      </c>
    </row>
    <row r="6" spans="1:23">
      <c r="A6" t="s">
        <v>254</v>
      </c>
      <c r="C6" s="10">
        <f>IF(C4=0,0,IF(C4=1,a_ramp1,1))</f>
        <v>0.0</v>
      </c>
      <c r="D6" s="10">
        <f>IF(D4=0,0,IF(D4=1,a_ramp1,1))</f>
        <v>0.75</v>
      </c>
      <c r="E6" s="10">
        <f>IF(E4=0,0,IF(E4=1,a_ramp1,1))</f>
        <v>1.0</v>
      </c>
      <c r="F6" s="10">
        <f>IF(F4=0,0,IF(F4=1,a_ramp1,1))</f>
        <v>1.0</v>
      </c>
      <c r="G6" s="10">
        <f>IF(G4=0,0,IF(G4=1,a_ramp1,1))</f>
        <v>1.0</v>
      </c>
      <c r="H6" s="10">
        <f>IF(H4=0,0,IF(H4=1,a_ramp1,1))</f>
        <v>1.0</v>
      </c>
      <c r="I6" s="10">
        <f>IF(I4=0,0,IF(I4=1,a_ramp1,1))</f>
        <v>1.0</v>
      </c>
      <c r="J6" s="10">
        <f>IF(J4=0,0,IF(J4=1,a_ramp1,1))</f>
        <v>1.0</v>
      </c>
      <c r="K6" s="10">
        <f>IF(K4=0,0,IF(K4=1,a_ramp1,1))</f>
        <v>1.0</v>
      </c>
      <c r="L6" s="10">
        <f>IF(L4=0,0,IF(L4=1,a_ramp1,1))</f>
        <v>1.0</v>
      </c>
      <c r="M6" s="10">
        <f>IF(M4=0,0,IF(M4=1,a_ramp1,1))</f>
        <v>1.0</v>
      </c>
      <c r="N6" s="10">
        <f>IF(N4=0,0,IF(N4=1,a_ramp1,1))</f>
        <v>1.0</v>
      </c>
      <c r="O6" s="10">
        <f>IF(O4=0,0,IF(O4=1,a_ramp1,1))</f>
        <v>1.0</v>
      </c>
      <c r="P6" s="10">
        <f>IF(P4=0,0,IF(P4=1,a_ramp1,1))</f>
        <v>1.0</v>
      </c>
      <c r="Q6" s="10">
        <f>IF(Q4=0,0,IF(Q4=1,a_ramp1,1))</f>
        <v>1.0</v>
      </c>
      <c r="R6" s="10">
        <f>IF(R4=0,0,IF(R4=1,a_ramp1,1))</f>
        <v>1.0</v>
      </c>
      <c r="S6" s="10">
        <f>IF(S4=0,0,IF(S4=1,a_ramp1,1))</f>
        <v>1.0</v>
      </c>
      <c r="T6" s="10">
        <f>IF(T4=0,0,IF(T4=1,a_ramp1,1))</f>
        <v>1.0</v>
      </c>
      <c r="U6" s="10">
        <f>IF(U4=0,0,IF(U4=1,a_ramp1,1))</f>
        <v>1.0</v>
      </c>
      <c r="V6" s="10">
        <f>IF(V4=0,0,IF(V4=1,a_ramp1,1))</f>
        <v>1.0</v>
      </c>
      <c r="W6" s="10">
        <f>IF(W4=0,0,IF(W4=1,a_ramp1,1))</f>
        <v>1.0</v>
      </c>
    </row>
    <row r="7" spans="1:23">
      <c r="A7" t="s">
        <v>255</v>
      </c>
      <c r="C7" s="10">
        <f>a_E_net_GWh*a_avail*C6</f>
        <v>0.0</v>
      </c>
      <c r="D7" s="10">
        <f>a_E_net_GWh*a_avail*D6</f>
        <v>5.217708518018553</v>
      </c>
      <c r="E7" s="10">
        <f>a_E_net_GWh*a_avail*E6</f>
        <v>6.9569446906914045</v>
      </c>
      <c r="F7" s="10">
        <f>a_E_net_GWh*a_avail*F6</f>
        <v>6.9569446906914045</v>
      </c>
      <c r="G7" s="10">
        <f>a_E_net_GWh*a_avail*G6</f>
        <v>6.9569446906914045</v>
      </c>
      <c r="H7" s="10">
        <f>a_E_net_GWh*a_avail*H6</f>
        <v>6.9569446906914045</v>
      </c>
      <c r="I7" s="10">
        <f>a_E_net_GWh*a_avail*I6</f>
        <v>6.9569446906914045</v>
      </c>
      <c r="J7" s="10">
        <f>a_E_net_GWh*a_avail*J6</f>
        <v>6.9569446906914045</v>
      </c>
      <c r="K7" s="10">
        <f>a_E_net_GWh*a_avail*K6</f>
        <v>6.9569446906914045</v>
      </c>
      <c r="L7" s="10">
        <f>a_E_net_GWh*a_avail*L6</f>
        <v>6.9569446906914045</v>
      </c>
      <c r="M7" s="10">
        <f>a_E_net_GWh*a_avail*M6</f>
        <v>6.9569446906914045</v>
      </c>
      <c r="N7" s="10">
        <f>a_E_net_GWh*a_avail*N6</f>
        <v>6.9569446906914045</v>
      </c>
      <c r="O7" s="10">
        <f>a_E_net_GWh*a_avail*O6</f>
        <v>6.9569446906914045</v>
      </c>
      <c r="P7" s="10">
        <f>a_E_net_GWh*a_avail*P6</f>
        <v>6.9569446906914045</v>
      </c>
      <c r="Q7" s="10">
        <f>a_E_net_GWh*a_avail*Q6</f>
        <v>6.9569446906914045</v>
      </c>
      <c r="R7" s="10">
        <f>a_E_net_GWh*a_avail*R6</f>
        <v>6.9569446906914045</v>
      </c>
      <c r="S7" s="10">
        <f>a_E_net_GWh*a_avail*S6</f>
        <v>6.9569446906914045</v>
      </c>
      <c r="T7" s="10">
        <f>a_E_net_GWh*a_avail*T6</f>
        <v>6.9569446906914045</v>
      </c>
      <c r="U7" s="10">
        <f>a_E_net_GWh*a_avail*U6</f>
        <v>6.9569446906914045</v>
      </c>
      <c r="V7" s="10">
        <f>a_E_net_GWh*a_avail*V6</f>
        <v>6.9569446906914045</v>
      </c>
      <c r="W7" s="10">
        <f>a_E_net_GWh*a_avail*W6</f>
        <v>6.9569446906914045</v>
      </c>
    </row>
    <row r="8" spans="1:23">
      <c r="A8" t="s">
        <v>256</v>
      </c>
      <c r="C8" s="12">
        <f>IF(C4=0,0,IF(C4&lt;=10,a_tariff1*a_F_loc,a_tariff2)/100)</f>
        <v>0.0</v>
      </c>
      <c r="D8" s="12">
        <f>IF(D4=0,0,IF(D4&lt;=10,a_tariff1*a_F_loc,a_tariff2)/100)</f>
        <v>0.12617</v>
      </c>
      <c r="E8" s="12">
        <f>IF(E4=0,0,IF(E4&lt;=10,a_tariff1*a_F_loc,a_tariff2)/100)</f>
        <v>0.12617</v>
      </c>
      <c r="F8" s="12">
        <f>IF(F4=0,0,IF(F4&lt;=10,a_tariff1*a_F_loc,a_tariff2)/100)</f>
        <v>0.12617</v>
      </c>
      <c r="G8" s="12">
        <f>IF(G4=0,0,IF(G4&lt;=10,a_tariff1*a_F_loc,a_tariff2)/100)</f>
        <v>0.12617</v>
      </c>
      <c r="H8" s="12">
        <f>IF(H4=0,0,IF(H4&lt;=10,a_tariff1*a_F_loc,a_tariff2)/100)</f>
        <v>0.12617</v>
      </c>
      <c r="I8" s="12">
        <f>IF(I4=0,0,IF(I4&lt;=10,a_tariff1*a_F_loc,a_tariff2)/100)</f>
        <v>0.12617</v>
      </c>
      <c r="J8" s="12">
        <f>IF(J4=0,0,IF(J4&lt;=10,a_tariff1*a_F_loc,a_tariff2)/100)</f>
        <v>0.12617</v>
      </c>
      <c r="K8" s="12">
        <f>IF(K4=0,0,IF(K4&lt;=10,a_tariff1*a_F_loc,a_tariff2)/100)</f>
        <v>0.12617</v>
      </c>
      <c r="L8" s="12">
        <f>IF(L4=0,0,IF(L4&lt;=10,a_tariff1*a_F_loc,a_tariff2)/100)</f>
        <v>0.12617</v>
      </c>
      <c r="M8" s="12">
        <f>IF(M4=0,0,IF(M4&lt;=10,a_tariff1*a_F_loc,a_tariff2)/100)</f>
        <v>0.12617</v>
      </c>
      <c r="N8" s="12">
        <f>IF(N4=0,0,IF(N4&lt;=10,a_tariff1*a_F_loc,a_tariff2)/100)</f>
        <v>0.0688</v>
      </c>
      <c r="O8" s="12">
        <f>IF(O4=0,0,IF(O4&lt;=10,a_tariff1*a_F_loc,a_tariff2)/100)</f>
        <v>0.0688</v>
      </c>
      <c r="P8" s="12">
        <f>IF(P4=0,0,IF(P4&lt;=10,a_tariff1*a_F_loc,a_tariff2)/100)</f>
        <v>0.0688</v>
      </c>
      <c r="Q8" s="12">
        <f>IF(Q4=0,0,IF(Q4&lt;=10,a_tariff1*a_F_loc,a_tariff2)/100)</f>
        <v>0.0688</v>
      </c>
      <c r="R8" s="12">
        <f>IF(R4=0,0,IF(R4&lt;=10,a_tariff1*a_F_loc,a_tariff2)/100)</f>
        <v>0.0688</v>
      </c>
      <c r="S8" s="12">
        <f>IF(S4=0,0,IF(S4&lt;=10,a_tariff1*a_F_loc,a_tariff2)/100)</f>
        <v>0.0688</v>
      </c>
      <c r="T8" s="12">
        <f>IF(T4=0,0,IF(T4&lt;=10,a_tariff1*a_F_loc,a_tariff2)/100)</f>
        <v>0.0688</v>
      </c>
      <c r="U8" s="12">
        <f>IF(U4=0,0,IF(U4&lt;=10,a_tariff1*a_F_loc,a_tariff2)/100)</f>
        <v>0.0688</v>
      </c>
      <c r="V8" s="12">
        <f>IF(V4=0,0,IF(V4&lt;=10,a_tariff1*a_F_loc,a_tariff2)/100)</f>
        <v>0.0688</v>
      </c>
      <c r="W8" s="12">
        <f>IF(W4=0,0,IF(W4&lt;=10,a_tariff1*a_F_loc,a_tariff2)/100)</f>
        <v>0.0688</v>
      </c>
    </row>
    <row r="9" spans="1:23">
      <c r="A9" t="s">
        <v>257</v>
      </c>
      <c r="C9" s="13">
        <f>C7*1000000*C8</f>
        <v>0.0</v>
      </c>
      <c r="D9" s="13">
        <f>D7*1000000*D8</f>
        <v>658318.2837184009</v>
      </c>
      <c r="E9" s="13">
        <f>E7*1000000*E8</f>
        <v>877757.7116245346</v>
      </c>
      <c r="F9" s="13">
        <f>F7*1000000*F8</f>
        <v>877757.7116245346</v>
      </c>
      <c r="G9" s="13">
        <f>G7*1000000*G8</f>
        <v>877757.7116245346</v>
      </c>
      <c r="H9" s="13">
        <f>H7*1000000*H8</f>
        <v>877757.7116245346</v>
      </c>
      <c r="I9" s="13">
        <f>I7*1000000*I8</f>
        <v>877757.7116245346</v>
      </c>
      <c r="J9" s="13">
        <f>J7*1000000*J8</f>
        <v>877757.7116245346</v>
      </c>
      <c r="K9" s="13">
        <f>K7*1000000*K8</f>
        <v>877757.7116245346</v>
      </c>
      <c r="L9" s="13">
        <f>L7*1000000*L8</f>
        <v>877757.7116245346</v>
      </c>
      <c r="M9" s="13">
        <f>M7*1000000*M8</f>
        <v>877757.7116245346</v>
      </c>
      <c r="N9" s="13">
        <f>N7*1000000*N8</f>
        <v>478637.7947195687</v>
      </c>
      <c r="O9" s="13">
        <f>O7*1000000*O8</f>
        <v>478637.7947195687</v>
      </c>
      <c r="P9" s="13">
        <f>P7*1000000*P8</f>
        <v>478637.7947195687</v>
      </c>
      <c r="Q9" s="13">
        <f>Q7*1000000*Q8</f>
        <v>478637.7947195687</v>
      </c>
      <c r="R9" s="13">
        <f>R7*1000000*R8</f>
        <v>478637.7947195687</v>
      </c>
      <c r="S9" s="13">
        <f>S7*1000000*S8</f>
        <v>478637.7947195687</v>
      </c>
      <c r="T9" s="13">
        <f>T7*1000000*T8</f>
        <v>478637.7947195687</v>
      </c>
      <c r="U9" s="13">
        <f>U7*1000000*U8</f>
        <v>478637.7947195687</v>
      </c>
      <c r="V9" s="13">
        <f>V7*1000000*V8</f>
        <v>478637.7947195687</v>
      </c>
      <c r="W9" s="13">
        <f>W7*1000000*W8</f>
        <v>478637.7947195687</v>
      </c>
    </row>
    <row r="10" spans="1:23">
      <c r="A10" t="s">
        <v>258</v>
      </c>
      <c r="C10" s="11">
        <f>a_co2e*a_cer_ratio*C6</f>
        <v>0.0</v>
      </c>
      <c r="D10" s="11">
        <f>a_co2e*a_cer_ratio*D6</f>
        <v>23445.522032286655</v>
      </c>
      <c r="E10" s="11">
        <f>a_co2e*a_cer_ratio*E6</f>
        <v>31260.696043048873</v>
      </c>
      <c r="F10" s="11">
        <f>a_co2e*a_cer_ratio*F6</f>
        <v>31260.696043048873</v>
      </c>
      <c r="G10" s="11">
        <f>a_co2e*a_cer_ratio*G6</f>
        <v>31260.696043048873</v>
      </c>
      <c r="H10" s="11">
        <f>a_co2e*a_cer_ratio*H6</f>
        <v>31260.696043048873</v>
      </c>
      <c r="I10" s="11">
        <f>a_co2e*a_cer_ratio*I6</f>
        <v>31260.696043048873</v>
      </c>
      <c r="J10" s="11">
        <f>a_co2e*a_cer_ratio*J6</f>
        <v>31260.696043048873</v>
      </c>
      <c r="K10" s="11">
        <f>a_co2e*a_cer_ratio*K6</f>
        <v>31260.696043048873</v>
      </c>
      <c r="L10" s="11">
        <f>a_co2e*a_cer_ratio*L6</f>
        <v>31260.696043048873</v>
      </c>
      <c r="M10" s="11">
        <f>a_co2e*a_cer_ratio*M6</f>
        <v>31260.696043048873</v>
      </c>
      <c r="N10" s="11">
        <f>a_co2e*a_cer_ratio*N6</f>
        <v>31260.696043048873</v>
      </c>
      <c r="O10" s="11">
        <f>a_co2e*a_cer_ratio*O6</f>
        <v>31260.696043048873</v>
      </c>
      <c r="P10" s="11">
        <f>a_co2e*a_cer_ratio*P6</f>
        <v>31260.696043048873</v>
      </c>
      <c r="Q10" s="11">
        <f>a_co2e*a_cer_ratio*Q6</f>
        <v>31260.696043048873</v>
      </c>
      <c r="R10" s="11">
        <f>a_co2e*a_cer_ratio*R6</f>
        <v>31260.696043048873</v>
      </c>
      <c r="S10" s="11">
        <f>a_co2e*a_cer_ratio*S6</f>
        <v>31260.696043048873</v>
      </c>
      <c r="T10" s="11">
        <f>a_co2e*a_cer_ratio*T6</f>
        <v>31260.696043048873</v>
      </c>
      <c r="U10" s="11">
        <f>a_co2e*a_cer_ratio*U6</f>
        <v>31260.696043048873</v>
      </c>
      <c r="V10" s="11">
        <f>a_co2e*a_cer_ratio*V6</f>
        <v>31260.696043048873</v>
      </c>
      <c r="W10" s="11">
        <f>a_co2e*a_cer_ratio*W6</f>
        <v>31260.696043048873</v>
      </c>
    </row>
    <row r="11" spans="1:23">
      <c r="A11" t="s">
        <v>259</v>
      </c>
      <c r="C11" s="13">
        <f>C10*a_p_carbon</f>
        <v>0.0</v>
      </c>
      <c r="D11" s="13">
        <f>D10*a_p_carbon</f>
        <v>281346.2643874399</v>
      </c>
      <c r="E11" s="13">
        <f>E10*a_p_carbon</f>
        <v>375128.3525165865</v>
      </c>
      <c r="F11" s="13">
        <f>F10*a_p_carbon</f>
        <v>375128.3525165865</v>
      </c>
      <c r="G11" s="13">
        <f>G10*a_p_carbon</f>
        <v>375128.3525165865</v>
      </c>
      <c r="H11" s="13">
        <f>H10*a_p_carbon</f>
        <v>375128.3525165865</v>
      </c>
      <c r="I11" s="13">
        <f>I10*a_p_carbon</f>
        <v>375128.3525165865</v>
      </c>
      <c r="J11" s="13">
        <f>J10*a_p_carbon</f>
        <v>375128.3525165865</v>
      </c>
      <c r="K11" s="13">
        <f>K10*a_p_carbon</f>
        <v>375128.3525165865</v>
      </c>
      <c r="L11" s="13">
        <f>L10*a_p_carbon</f>
        <v>375128.3525165865</v>
      </c>
      <c r="M11" s="13">
        <f>M10*a_p_carbon</f>
        <v>375128.3525165865</v>
      </c>
      <c r="N11" s="13">
        <f>N10*a_p_carbon</f>
        <v>375128.3525165865</v>
      </c>
      <c r="O11" s="13">
        <f>O10*a_p_carbon</f>
        <v>375128.3525165865</v>
      </c>
      <c r="P11" s="13">
        <f>P10*a_p_carbon</f>
        <v>375128.3525165865</v>
      </c>
      <c r="Q11" s="13">
        <f>Q10*a_p_carbon</f>
        <v>375128.3525165865</v>
      </c>
      <c r="R11" s="13">
        <f>R10*a_p_carbon</f>
        <v>375128.3525165865</v>
      </c>
      <c r="S11" s="13">
        <f>S10*a_p_carbon</f>
        <v>375128.3525165865</v>
      </c>
      <c r="T11" s="13">
        <f>T10*a_p_carbon</f>
        <v>375128.3525165865</v>
      </c>
      <c r="U11" s="13">
        <f>U10*a_p_carbon</f>
        <v>375128.3525165865</v>
      </c>
      <c r="V11" s="13">
        <f>V10*a_p_carbon</f>
        <v>375128.3525165865</v>
      </c>
      <c r="W11" s="13">
        <f>W10*a_p_carbon</f>
        <v>375128.3525165865</v>
      </c>
    </row>
    <row r="12" spans="1:23">
      <c r="A12" t="s">
        <v>260</v>
      </c>
      <c r="C12" s="13">
        <f>t_pome_m3y*a_fee_pome*C6*(1+a_infl)^(C5-2026)</f>
        <v>0.0</v>
      </c>
      <c r="D12" s="13">
        <f>t_pome_m3y*a_fee_pome*D6*(1+a_infl)^(D5-2026)</f>
        <v>55856.384999999995</v>
      </c>
      <c r="E12" s="13">
        <f>t_pome_m3y*a_fee_pome*E6*(1+a_infl)^(E5-2026)</f>
        <v>76709.4354</v>
      </c>
      <c r="F12" s="13">
        <f>t_pome_m3y*a_fee_pome*F6*(1+a_infl)^(F5-2026)</f>
        <v>79010.718462</v>
      </c>
      <c r="G12" s="13">
        <f>t_pome_m3y*a_fee_pome*G6*(1+a_infl)^(G5-2026)</f>
        <v>81381.04001586001</v>
      </c>
      <c r="H12" s="13">
        <f>t_pome_m3y*a_fee_pome*H6*(1+a_infl)^(H5-2026)</f>
        <v>83822.4712163358</v>
      </c>
      <c r="I12" s="13">
        <f>t_pome_m3y*a_fee_pome*I6*(1+a_infl)^(I5-2026)</f>
        <v>86337.14535282589</v>
      </c>
      <c r="J12" s="13">
        <f>t_pome_m3y*a_fee_pome*J6*(1+a_infl)^(J5-2026)</f>
        <v>88927.25971341068</v>
      </c>
      <c r="K12" s="13">
        <f>t_pome_m3y*a_fee_pome*K6*(1+a_infl)^(K5-2026)</f>
        <v>91595.07750481299</v>
      </c>
      <c r="L12" s="13">
        <f>t_pome_m3y*a_fee_pome*L6*(1+a_infl)^(L5-2026)</f>
        <v>94342.92982995739</v>
      </c>
      <c r="M12" s="13">
        <f>t_pome_m3y*a_fee_pome*M6*(1+a_infl)^(M5-2026)</f>
        <v>97173.2177248561</v>
      </c>
      <c r="N12" s="13">
        <f>t_pome_m3y*a_fee_pome*N6*(1+a_infl)^(N5-2026)</f>
        <v>100088.41425660178</v>
      </c>
      <c r="O12" s="13">
        <f>t_pome_m3y*a_fee_pome*O6*(1+a_infl)^(O5-2026)</f>
        <v>103091.06668429985</v>
      </c>
      <c r="P12" s="13">
        <f>t_pome_m3y*a_fee_pome*P6*(1+a_infl)^(P5-2026)</f>
        <v>106183.79868482886</v>
      </c>
      <c r="Q12" s="13">
        <f>t_pome_m3y*a_fee_pome*Q6*(1+a_infl)^(Q5-2026)</f>
        <v>109369.3126453737</v>
      </c>
      <c r="R12" s="13">
        <f>t_pome_m3y*a_fee_pome*R6*(1+a_infl)^(R5-2026)</f>
        <v>112650.39202473493</v>
      </c>
      <c r="S12" s="13">
        <f>t_pome_m3y*a_fee_pome*S6*(1+a_infl)^(S5-2026)</f>
        <v>116029.90378547697</v>
      </c>
      <c r="T12" s="13">
        <f>t_pome_m3y*a_fee_pome*T6*(1+a_infl)^(T5-2026)</f>
        <v>119510.8008990413</v>
      </c>
      <c r="U12" s="13">
        <f>t_pome_m3y*a_fee_pome*U6*(1+a_infl)^(U5-2026)</f>
        <v>123096.12492601253</v>
      </c>
      <c r="V12" s="13">
        <f>t_pome_m3y*a_fee_pome*V6*(1+a_infl)^(V5-2026)</f>
        <v>126789.00867379292</v>
      </c>
      <c r="W12" s="13">
        <f>t_pome_m3y*a_fee_pome*W6*(1+a_infl)^(W5-2026)</f>
        <v>130592.6789340067</v>
      </c>
    </row>
    <row r="13" spans="1:23">
      <c r="A13" t="s">
        <v>261</v>
      </c>
      <c r="C13" s="13">
        <f>t_Q_heat/t_P_net*C7*1000*a_heat_util*a_p_heat</f>
        <v>0.0</v>
      </c>
      <c r="D13" s="13">
        <f>t_Q_heat/t_P_net*D7*1000*a_heat_util*a_p_heat</f>
        <v>56269.0246903442</v>
      </c>
      <c r="E13" s="13">
        <f>t_Q_heat/t_P_net*E7*1000*a_heat_util*a_p_heat</f>
        <v>75025.36625379228</v>
      </c>
      <c r="F13" s="13">
        <f>t_Q_heat/t_P_net*F7*1000*a_heat_util*a_p_heat</f>
        <v>75025.36625379228</v>
      </c>
      <c r="G13" s="13">
        <f>t_Q_heat/t_P_net*G7*1000*a_heat_util*a_p_heat</f>
        <v>75025.36625379228</v>
      </c>
      <c r="H13" s="13">
        <f>t_Q_heat/t_P_net*H7*1000*a_heat_util*a_p_heat</f>
        <v>75025.36625379228</v>
      </c>
      <c r="I13" s="13">
        <f>t_Q_heat/t_P_net*I7*1000*a_heat_util*a_p_heat</f>
        <v>75025.36625379228</v>
      </c>
      <c r="J13" s="13">
        <f>t_Q_heat/t_P_net*J7*1000*a_heat_util*a_p_heat</f>
        <v>75025.36625379228</v>
      </c>
      <c r="K13" s="13">
        <f>t_Q_heat/t_P_net*K7*1000*a_heat_util*a_p_heat</f>
        <v>75025.36625379228</v>
      </c>
      <c r="L13" s="13">
        <f>t_Q_heat/t_P_net*L7*1000*a_heat_util*a_p_heat</f>
        <v>75025.36625379228</v>
      </c>
      <c r="M13" s="13">
        <f>t_Q_heat/t_P_net*M7*1000*a_heat_util*a_p_heat</f>
        <v>75025.36625379228</v>
      </c>
      <c r="N13" s="13">
        <f>t_Q_heat/t_P_net*N7*1000*a_heat_util*a_p_heat</f>
        <v>75025.36625379228</v>
      </c>
      <c r="O13" s="13">
        <f>t_Q_heat/t_P_net*O7*1000*a_heat_util*a_p_heat</f>
        <v>75025.36625379228</v>
      </c>
      <c r="P13" s="13">
        <f>t_Q_heat/t_P_net*P7*1000*a_heat_util*a_p_heat</f>
        <v>75025.36625379228</v>
      </c>
      <c r="Q13" s="13">
        <f>t_Q_heat/t_P_net*Q7*1000*a_heat_util*a_p_heat</f>
        <v>75025.36625379228</v>
      </c>
      <c r="R13" s="13">
        <f>t_Q_heat/t_P_net*R7*1000*a_heat_util*a_p_heat</f>
        <v>75025.36625379228</v>
      </c>
      <c r="S13" s="13">
        <f>t_Q_heat/t_P_net*S7*1000*a_heat_util*a_p_heat</f>
        <v>75025.36625379228</v>
      </c>
      <c r="T13" s="13">
        <f>t_Q_heat/t_P_net*T7*1000*a_heat_util*a_p_heat</f>
        <v>75025.36625379228</v>
      </c>
      <c r="U13" s="13">
        <f>t_Q_heat/t_P_net*U7*1000*a_heat_util*a_p_heat</f>
        <v>75025.36625379228</v>
      </c>
      <c r="V13" s="13">
        <f>t_Q_heat/t_P_net*V7*1000*a_heat_util*a_p_heat</f>
        <v>75025.36625379228</v>
      </c>
      <c r="W13" s="13">
        <f>t_Q_heat/t_P_net*W7*1000*a_heat_util*a_p_heat</f>
        <v>75025.36625379228</v>
      </c>
    </row>
    <row r="14" spans="1:23">
      <c r="A14" t="s">
        <v>262</v>
      </c>
      <c r="C14" s="13">
        <f>t_cake_ty*C6*a_p_cake</f>
        <v>0.0</v>
      </c>
      <c r="D14" s="13">
        <f>t_cake_ty*D6*a_p_cake</f>
        <v>21404.63717941966</v>
      </c>
      <c r="E14" s="13">
        <f>t_cake_ty*E6*a_p_cake</f>
        <v>28539.516239226214</v>
      </c>
      <c r="F14" s="13">
        <f>t_cake_ty*F6*a_p_cake</f>
        <v>28539.516239226214</v>
      </c>
      <c r="G14" s="13">
        <f>t_cake_ty*G6*a_p_cake</f>
        <v>28539.516239226214</v>
      </c>
      <c r="H14" s="13">
        <f>t_cake_ty*H6*a_p_cake</f>
        <v>28539.516239226214</v>
      </c>
      <c r="I14" s="13">
        <f>t_cake_ty*I6*a_p_cake</f>
        <v>28539.516239226214</v>
      </c>
      <c r="J14" s="13">
        <f>t_cake_ty*J6*a_p_cake</f>
        <v>28539.516239226214</v>
      </c>
      <c r="K14" s="13">
        <f>t_cake_ty*K6*a_p_cake</f>
        <v>28539.516239226214</v>
      </c>
      <c r="L14" s="13">
        <f>t_cake_ty*L6*a_p_cake</f>
        <v>28539.516239226214</v>
      </c>
      <c r="M14" s="13">
        <f>t_cake_ty*M6*a_p_cake</f>
        <v>28539.516239226214</v>
      </c>
      <c r="N14" s="13">
        <f>t_cake_ty*N6*a_p_cake</f>
        <v>28539.516239226214</v>
      </c>
      <c r="O14" s="13">
        <f>t_cake_ty*O6*a_p_cake</f>
        <v>28539.516239226214</v>
      </c>
      <c r="P14" s="13">
        <f>t_cake_ty*P6*a_p_cake</f>
        <v>28539.516239226214</v>
      </c>
      <c r="Q14" s="13">
        <f>t_cake_ty*Q6*a_p_cake</f>
        <v>28539.516239226214</v>
      </c>
      <c r="R14" s="13">
        <f>t_cake_ty*R6*a_p_cake</f>
        <v>28539.516239226214</v>
      </c>
      <c r="S14" s="13">
        <f>t_cake_ty*S6*a_p_cake</f>
        <v>28539.516239226214</v>
      </c>
      <c r="T14" s="13">
        <f>t_cake_ty*T6*a_p_cake</f>
        <v>28539.516239226214</v>
      </c>
      <c r="U14" s="13">
        <f>t_cake_ty*U6*a_p_cake</f>
        <v>28539.516239226214</v>
      </c>
      <c r="V14" s="13">
        <f>t_cake_ty*V6*a_p_cake</f>
        <v>28539.516239226214</v>
      </c>
      <c r="W14" s="13">
        <f>t_cake_ty*W6*a_p_cake</f>
        <v>28539.516239226214</v>
      </c>
    </row>
    <row r="15" spans="1:23">
      <c r="A15" s="9" t="s">
        <v>263</v>
      </c>
      <c r="C15" s="14">
        <f>C9+C11+C12+C13+C14</f>
        <v>0.0</v>
      </c>
      <c r="D15" s="14">
        <f>D9+D11+D12+D13+D14</f>
        <v>1073194.5949756047</v>
      </c>
      <c r="E15" s="14">
        <f>E9+E11+E12+E13+E14</f>
        <v>1433160.3820341395</v>
      </c>
      <c r="F15" s="14">
        <f>F9+F11+F12+F13+F14</f>
        <v>1435461.6650961393</v>
      </c>
      <c r="G15" s="14">
        <f>G9+G11+G12+G13+G14</f>
        <v>1437831.9866499994</v>
      </c>
      <c r="H15" s="14">
        <f>H9+H11+H12+H13+H14</f>
        <v>1440273.4178504753</v>
      </c>
      <c r="I15" s="14">
        <f>I9+I11+I12+I13+I14</f>
        <v>1442788.0919869654</v>
      </c>
      <c r="J15" s="14">
        <f>J9+J11+J12+J13+J14</f>
        <v>1445378.20634755</v>
      </c>
      <c r="K15" s="14">
        <f>K9+K11+K12+K13+K14</f>
        <v>1448046.0241389524</v>
      </c>
      <c r="L15" s="14">
        <f>L9+L11+L12+L13+L14</f>
        <v>1450793.8764640968</v>
      </c>
      <c r="M15" s="14">
        <f>M9+M11+M12+M13+M14</f>
        <v>1453624.1643589954</v>
      </c>
      <c r="N15" s="14">
        <f>N9+N11+N12+N13+N14</f>
        <v>1057419.4439857753</v>
      </c>
      <c r="O15" s="14">
        <f>O9+O11+O12+O13+O14</f>
        <v>1060422.0964134736</v>
      </c>
      <c r="P15" s="14">
        <f>P9+P11+P12+P13+P14</f>
        <v>1063514.8284140024</v>
      </c>
      <c r="Q15" s="14">
        <f>Q9+Q11+Q12+Q13+Q14</f>
        <v>1066700.3423745474</v>
      </c>
      <c r="R15" s="14">
        <f>R9+R11+R12+R13+R14</f>
        <v>1069981.4217539085</v>
      </c>
      <c r="S15" s="14">
        <f>S9+S11+S12+S13+S14</f>
        <v>1073360.9335146507</v>
      </c>
      <c r="T15" s="14">
        <f>T9+T11+T12+T13+T14</f>
        <v>1076841.8306282149</v>
      </c>
      <c r="U15" s="14">
        <f>U9+U11+U12+U13+U14</f>
        <v>1080427.1546551862</v>
      </c>
      <c r="V15" s="14">
        <f>V9+V11+V12+V13+V14</f>
        <v>1084120.0384029665</v>
      </c>
      <c r="W15" s="14">
        <f>W9+W11+W12+W13+W14</f>
        <v>1087923.7086631802</v>
      </c>
    </row>
    <row r="16" spans="1:23">
      <c r="A16" t="s">
        <v>264</v>
      </c>
      <c r="C16" s="13">
        <f>IF(C4=0,0,-(OPEX_F+OPEX_V*C6)*(1+a_infl)^(C5-2026))</f>
        <v>-0.0</v>
      </c>
      <c r="D16" s="13">
        <f>IF(D4=0,0,-(OPEX_F+OPEX_V*D6)*(1+a_infl)^(D5-2026))</f>
        <v>-397924.03230110754</v>
      </c>
      <c r="E16" s="13">
        <f>IF(E4=0,0,-(OPEX_F+OPEX_V*E6)*(1+a_infl)^(E5-2026))</f>
        <v>-444332.84357878193</v>
      </c>
      <c r="F16" s="13">
        <f>IF(F4=0,0,-(OPEX_F+OPEX_V*F6)*(1+a_infl)^(F5-2026))</f>
        <v>-457662.82888614543</v>
      </c>
      <c r="G16" s="13">
        <f>IF(G4=0,0,-(OPEX_F+OPEX_V*G6)*(1+a_infl)^(G5-2026))</f>
        <v>-471392.71375272976</v>
      </c>
      <c r="H16" s="13">
        <f>IF(H4=0,0,-(OPEX_F+OPEX_V*H6)*(1+a_infl)^(H5-2026))</f>
        <v>-485534.4951653117</v>
      </c>
      <c r="I16" s="13">
        <f>IF(I4=0,0,-(OPEX_F+OPEX_V*I6)*(1+a_infl)^(I5-2026))</f>
        <v>-500100.5300202711</v>
      </c>
      <c r="J16" s="13">
        <f>IF(J4=0,0,-(OPEX_F+OPEX_V*J6)*(1+a_infl)^(J5-2026))</f>
        <v>-515103.54592087923</v>
      </c>
      <c r="K16" s="13">
        <f>IF(K4=0,0,-(OPEX_F+OPEX_V*K6)*(1+a_infl)^(K5-2026))</f>
        <v>-530556.6522985057</v>
      </c>
      <c r="L16" s="13">
        <f>IF(L4=0,0,-(OPEX_F+OPEX_V*L6)*(1+a_infl)^(L5-2026))</f>
        <v>-546473.3518674608</v>
      </c>
      <c r="M16" s="13">
        <f>IF(M4=0,0,-(OPEX_F+OPEX_V*M6)*(1+a_infl)^(M5-2026))</f>
        <v>-562867.5524234846</v>
      </c>
      <c r="N16" s="13">
        <f>IF(N4=0,0,-(OPEX_F+OPEX_V*N6)*(1+a_infl)^(N5-2026))</f>
        <v>-579753.5789961892</v>
      </c>
      <c r="O16" s="13">
        <f>IF(O4=0,0,-(OPEX_F+OPEX_V*O6)*(1+a_infl)^(O5-2026))</f>
        <v>-597146.1863660748</v>
      </c>
      <c r="P16" s="13">
        <f>IF(P4=0,0,-(OPEX_F+OPEX_V*P6)*(1+a_infl)^(P5-2026))</f>
        <v>-615060.5719570572</v>
      </c>
      <c r="Q16" s="13">
        <f>IF(Q4=0,0,-(OPEX_F+OPEX_V*Q6)*(1+a_infl)^(Q5-2026))</f>
        <v>-633512.3891157688</v>
      </c>
      <c r="R16" s="13">
        <f>IF(R4=0,0,-(OPEX_F+OPEX_V*R6)*(1+a_infl)^(R5-2026))</f>
        <v>-652517.760789242</v>
      </c>
      <c r="S16" s="13">
        <f>IF(S4=0,0,-(OPEX_F+OPEX_V*S6)*(1+a_infl)^(S5-2026))</f>
        <v>-672093.2936129192</v>
      </c>
      <c r="T16" s="13">
        <f>IF(T4=0,0,-(OPEX_F+OPEX_V*T6)*(1+a_infl)^(T5-2026))</f>
        <v>-692256.0924213069</v>
      </c>
      <c r="U16" s="13">
        <f>IF(U4=0,0,-(OPEX_F+OPEX_V*U6)*(1+a_infl)^(U5-2026))</f>
        <v>-713023.7751939461</v>
      </c>
      <c r="V16" s="13">
        <f>IF(V4=0,0,-(OPEX_F+OPEX_V*V6)*(1+a_infl)^(V5-2026))</f>
        <v>-734414.4884497644</v>
      </c>
      <c r="W16" s="13">
        <f>IF(W4=0,0,-(OPEX_F+OPEX_V*W6)*(1+a_infl)^(W5-2026))</f>
        <v>-756446.9231032574</v>
      </c>
    </row>
    <row r="17" spans="1:23">
      <c r="A17" s="9" t="s">
        <v>265</v>
      </c>
      <c r="C17" s="14">
        <f>C15+C16</f>
        <v>0.0</v>
      </c>
      <c r="D17" s="14">
        <f>D15+D16</f>
        <v>675270.5626744971</v>
      </c>
      <c r="E17" s="14">
        <f>E15+E16</f>
        <v>988827.5384553575</v>
      </c>
      <c r="F17" s="14">
        <f>F15+F16</f>
        <v>977798.8362099938</v>
      </c>
      <c r="G17" s="14">
        <f>G15+G16</f>
        <v>966439.2728972696</v>
      </c>
      <c r="H17" s="14">
        <f>H15+H16</f>
        <v>954738.9226851636</v>
      </c>
      <c r="I17" s="14">
        <f>I15+I16</f>
        <v>942687.5619666943</v>
      </c>
      <c r="J17" s="14">
        <f>J15+J16</f>
        <v>930274.6604266708</v>
      </c>
      <c r="K17" s="14">
        <f>K15+K16</f>
        <v>917489.3718404467</v>
      </c>
      <c r="L17" s="14">
        <f>L15+L16</f>
        <v>904320.5245966361</v>
      </c>
      <c r="M17" s="14">
        <f>M15+M16</f>
        <v>890756.6119355108</v>
      </c>
      <c r="N17" s="14">
        <f>N15+N16</f>
        <v>477665.8649895862</v>
      </c>
      <c r="O17" s="14">
        <f>O15+O16</f>
        <v>463275.91004739876</v>
      </c>
      <c r="P17" s="14">
        <f>P15+P16</f>
        <v>448454.2564569452</v>
      </c>
      <c r="Q17" s="14">
        <f>Q15+Q16</f>
        <v>433187.95325877855</v>
      </c>
      <c r="R17" s="14">
        <f>R15+R16</f>
        <v>417463.6609646665</v>
      </c>
      <c r="S17" s="14">
        <f>S15+S16</f>
        <v>401267.6399017315</v>
      </c>
      <c r="T17" s="14">
        <f>T15+T16</f>
        <v>384585.738206908</v>
      </c>
      <c r="U17" s="14">
        <f>U15+U16</f>
        <v>367403.37946124014</v>
      </c>
      <c r="V17" s="14">
        <f>V15+V16</f>
        <v>349705.549953202</v>
      </c>
      <c r="W17" s="14">
        <f>W15+W16</f>
        <v>331476.7855599228</v>
      </c>
    </row>
    <row r="18" spans="1:23">
      <c r="A18" t="s">
        <v>266</v>
      </c>
      <c r="C18" s="13">
        <f>IF(C4=0,-FCI,0)</f>
        <v>-5386505.44374557</v>
      </c>
      <c r="D18" s="13">
        <f>IF(D4=0,-FCI,0)</f>
        <v>-0.0</v>
      </c>
      <c r="E18" s="13">
        <f>IF(E4=0,-FCI,0)</f>
        <v>-0.0</v>
      </c>
      <c r="F18" s="13">
        <f>IF(F4=0,-FCI,0)</f>
        <v>-0.0</v>
      </c>
      <c r="G18" s="13">
        <f>IF(G4=0,-FCI,0)</f>
        <v>-0.0</v>
      </c>
      <c r="H18" s="13">
        <f>IF(H4=0,-FCI,0)</f>
        <v>-0.0</v>
      </c>
      <c r="I18" s="13">
        <f>IF(I4=0,-FCI,0)</f>
        <v>-0.0</v>
      </c>
      <c r="J18" s="13">
        <f>IF(J4=0,-FCI,0)</f>
        <v>-0.0</v>
      </c>
      <c r="K18" s="13">
        <f>IF(K4=0,-FCI,0)</f>
        <v>-0.0</v>
      </c>
      <c r="L18" s="13">
        <f>IF(L4=0,-FCI,0)</f>
        <v>-0.0</v>
      </c>
      <c r="M18" s="13">
        <f>IF(M4=0,-FCI,0)</f>
        <v>-0.0</v>
      </c>
      <c r="N18" s="13">
        <f>IF(N4=0,-FCI,0)</f>
        <v>-0.0</v>
      </c>
      <c r="O18" s="13">
        <f>IF(O4=0,-FCI,0)</f>
        <v>-0.0</v>
      </c>
      <c r="P18" s="13">
        <f>IF(P4=0,-FCI,0)</f>
        <v>-0.0</v>
      </c>
      <c r="Q18" s="13">
        <f>IF(Q4=0,-FCI,0)</f>
        <v>-0.0</v>
      </c>
      <c r="R18" s="13">
        <f>IF(R4=0,-FCI,0)</f>
        <v>-0.0</v>
      </c>
      <c r="S18" s="13">
        <f>IF(S4=0,-FCI,0)</f>
        <v>-0.0</v>
      </c>
      <c r="T18" s="13">
        <f>IF(T4=0,-FCI,0)</f>
        <v>-0.0</v>
      </c>
      <c r="U18" s="13">
        <f>IF(U4=0,-FCI,0)</f>
        <v>-0.0</v>
      </c>
      <c r="V18" s="13">
        <f>IF(V4=0,-FCI,0)</f>
        <v>-0.0</v>
      </c>
      <c r="W18" s="13">
        <f>IF(W4=0,-FCI,0)</f>
        <v>-0.0</v>
      </c>
    </row>
    <row r="19" spans="1:23">
      <c r="A19" t="s">
        <v>267</v>
      </c>
      <c r="C19" s="13">
        <f>IF(C4=1,-WC*(1+a_infl)^(C5-2026),IF(C4=a_n_op,WC*(1+a_infl)^(2028-2026),0))</f>
        <v>-0.0</v>
      </c>
      <c r="D19" s="13">
        <f>IF(D4=1,-WC*(1+a_infl)^(D5-2026),IF(D4=a_n_op,WC*(1+a_infl)^(2028-2026),0))</f>
        <v>-71898.51837844367</v>
      </c>
      <c r="E19" s="13">
        <f>IF(E4=1,-WC*(1+a_infl)^(E5-2026),IF(E4=a_n_op,WC*(1+a_infl)^(2028-2026),0))</f>
        <v>-0.0</v>
      </c>
      <c r="F19" s="13">
        <f>IF(F4=1,-WC*(1+a_infl)^(F5-2026),IF(F4=a_n_op,WC*(1+a_infl)^(2028-2026),0))</f>
        <v>-0.0</v>
      </c>
      <c r="G19" s="13">
        <f>IF(G4=1,-WC*(1+a_infl)^(G5-2026),IF(G4=a_n_op,WC*(1+a_infl)^(2028-2026),0))</f>
        <v>-0.0</v>
      </c>
      <c r="H19" s="13">
        <f>IF(H4=1,-WC*(1+a_infl)^(H5-2026),IF(H4=a_n_op,WC*(1+a_infl)^(2028-2026),0))</f>
        <v>-0.0</v>
      </c>
      <c r="I19" s="13">
        <f>IF(I4=1,-WC*(1+a_infl)^(I5-2026),IF(I4=a_n_op,WC*(1+a_infl)^(2028-2026),0))</f>
        <v>-0.0</v>
      </c>
      <c r="J19" s="13">
        <f>IF(J4=1,-WC*(1+a_infl)^(J5-2026),IF(J4=a_n_op,WC*(1+a_infl)^(2028-2026),0))</f>
        <v>-0.0</v>
      </c>
      <c r="K19" s="13">
        <f>IF(K4=1,-WC*(1+a_infl)^(K5-2026),IF(K4=a_n_op,WC*(1+a_infl)^(2028-2026),0))</f>
        <v>-0.0</v>
      </c>
      <c r="L19" s="13">
        <f>IF(L4=1,-WC*(1+a_infl)^(L5-2026),IF(L4=a_n_op,WC*(1+a_infl)^(2028-2026),0))</f>
        <v>-0.0</v>
      </c>
      <c r="M19" s="13">
        <f>IF(M4=1,-WC*(1+a_infl)^(M5-2026),IF(M4=a_n_op,WC*(1+a_infl)^(2028-2026),0))</f>
        <v>-0.0</v>
      </c>
      <c r="N19" s="13">
        <f>IF(N4=1,-WC*(1+a_infl)^(N5-2026),IF(N4=a_n_op,WC*(1+a_infl)^(2028-2026),0))</f>
        <v>-0.0</v>
      </c>
      <c r="O19" s="13">
        <f>IF(O4=1,-WC*(1+a_infl)^(O5-2026),IF(O4=a_n_op,WC*(1+a_infl)^(2028-2026),0))</f>
        <v>-0.0</v>
      </c>
      <c r="P19" s="13">
        <f>IF(P4=1,-WC*(1+a_infl)^(P5-2026),IF(P4=a_n_op,WC*(1+a_infl)^(2028-2026),0))</f>
        <v>-0.0</v>
      </c>
      <c r="Q19" s="13">
        <f>IF(Q4=1,-WC*(1+a_infl)^(Q5-2026),IF(Q4=a_n_op,WC*(1+a_infl)^(2028-2026),0))</f>
        <v>-0.0</v>
      </c>
      <c r="R19" s="13">
        <f>IF(R4=1,-WC*(1+a_infl)^(R5-2026),IF(R4=a_n_op,WC*(1+a_infl)^(2028-2026),0))</f>
        <v>-0.0</v>
      </c>
      <c r="S19" s="13">
        <f>IF(S4=1,-WC*(1+a_infl)^(S5-2026),IF(S4=a_n_op,WC*(1+a_infl)^(2028-2026),0))</f>
        <v>-0.0</v>
      </c>
      <c r="T19" s="13">
        <f>IF(T4=1,-WC*(1+a_infl)^(T5-2026),IF(T4=a_n_op,WC*(1+a_infl)^(2028-2026),0))</f>
        <v>-0.0</v>
      </c>
      <c r="U19" s="13">
        <f>IF(U4=1,-WC*(1+a_infl)^(U5-2026),IF(U4=a_n_op,WC*(1+a_infl)^(2028-2026),0))</f>
        <v>-0.0</v>
      </c>
      <c r="V19" s="13">
        <f>IF(V4=1,-WC*(1+a_infl)^(V5-2026),IF(V4=a_n_op,WC*(1+a_infl)^(2028-2026),0))</f>
        <v>-0.0</v>
      </c>
      <c r="W19" s="13">
        <f>IF(W4=1,-WC*(1+a_infl)^(W5-2026),IF(W4=a_n_op,WC*(1+a_infl)^(2028-2026),0))</f>
        <v>71898.51837844367</v>
      </c>
    </row>
    <row r="20" spans="1:23">
      <c r="A20" t="s">
        <v>268</v>
      </c>
      <c r="C20" s="13">
        <f>IF(AND(C4&gt;=1,C4&lt;=a_dep_life),FCI/a_dep_life,0)</f>
        <v>0.0</v>
      </c>
      <c r="D20" s="13">
        <f>IF(AND(D4&gt;=1,D4&lt;=a_dep_life),FCI/a_dep_life,0)</f>
        <v>336656.59023409814</v>
      </c>
      <c r="E20" s="13">
        <f>IF(AND(E4&gt;=1,E4&lt;=a_dep_life),FCI/a_dep_life,0)</f>
        <v>336656.59023409814</v>
      </c>
      <c r="F20" s="13">
        <f>IF(AND(F4&gt;=1,F4&lt;=a_dep_life),FCI/a_dep_life,0)</f>
        <v>336656.59023409814</v>
      </c>
      <c r="G20" s="13">
        <f>IF(AND(G4&gt;=1,G4&lt;=a_dep_life),FCI/a_dep_life,0)</f>
        <v>336656.59023409814</v>
      </c>
      <c r="H20" s="13">
        <f>IF(AND(H4&gt;=1,H4&lt;=a_dep_life),FCI/a_dep_life,0)</f>
        <v>336656.59023409814</v>
      </c>
      <c r="I20" s="13">
        <f>IF(AND(I4&gt;=1,I4&lt;=a_dep_life),FCI/a_dep_life,0)</f>
        <v>336656.59023409814</v>
      </c>
      <c r="J20" s="13">
        <f>IF(AND(J4&gt;=1,J4&lt;=a_dep_life),FCI/a_dep_life,0)</f>
        <v>336656.59023409814</v>
      </c>
      <c r="K20" s="13">
        <f>IF(AND(K4&gt;=1,K4&lt;=a_dep_life),FCI/a_dep_life,0)</f>
        <v>336656.59023409814</v>
      </c>
      <c r="L20" s="13">
        <f>IF(AND(L4&gt;=1,L4&lt;=a_dep_life),FCI/a_dep_life,0)</f>
        <v>336656.59023409814</v>
      </c>
      <c r="M20" s="13">
        <f>IF(AND(M4&gt;=1,M4&lt;=a_dep_life),FCI/a_dep_life,0)</f>
        <v>336656.59023409814</v>
      </c>
      <c r="N20" s="13">
        <f>IF(AND(N4&gt;=1,N4&lt;=a_dep_life),FCI/a_dep_life,0)</f>
        <v>336656.59023409814</v>
      </c>
      <c r="O20" s="13">
        <f>IF(AND(O4&gt;=1,O4&lt;=a_dep_life),FCI/a_dep_life,0)</f>
        <v>336656.59023409814</v>
      </c>
      <c r="P20" s="13">
        <f>IF(AND(P4&gt;=1,P4&lt;=a_dep_life),FCI/a_dep_life,0)</f>
        <v>336656.59023409814</v>
      </c>
      <c r="Q20" s="13">
        <f>IF(AND(Q4&gt;=1,Q4&lt;=a_dep_life),FCI/a_dep_life,0)</f>
        <v>336656.59023409814</v>
      </c>
      <c r="R20" s="13">
        <f>IF(AND(R4&gt;=1,R4&lt;=a_dep_life),FCI/a_dep_life,0)</f>
        <v>336656.59023409814</v>
      </c>
      <c r="S20" s="13">
        <f>IF(AND(S4&gt;=1,S4&lt;=a_dep_life),FCI/a_dep_life,0)</f>
        <v>336656.59023409814</v>
      </c>
      <c r="T20" s="13">
        <f>IF(AND(T4&gt;=1,T4&lt;=a_dep_life),FCI/a_dep_life,0)</f>
        <v>0.0</v>
      </c>
      <c r="U20" s="13">
        <f>IF(AND(U4&gt;=1,U4&lt;=a_dep_life),FCI/a_dep_life,0)</f>
        <v>0.0</v>
      </c>
      <c r="V20" s="13">
        <f>IF(AND(V4&gt;=1,V4&lt;=a_dep_life),FCI/a_dep_life,0)</f>
        <v>0.0</v>
      </c>
      <c r="W20" s="13">
        <f>IF(AND(W4&gt;=1,W4&lt;=a_dep_life),FCI/a_dep_life,0)</f>
        <v>0.0</v>
      </c>
    </row>
    <row r="21" spans="1:23">
      <c r="A21" t="s">
        <v>269</v>
      </c>
      <c r="C21" s="13">
        <f>IF(AND(C4&gt;=1,C4&lt;=6),a_allow*FCI/6,0)</f>
        <v>0.0</v>
      </c>
      <c r="D21" s="13">
        <f>IF(AND(D4&gt;=1,D4&lt;=6),a_allow*FCI/6,0)</f>
        <v>269325.2721872785</v>
      </c>
      <c r="E21" s="13">
        <f>IF(AND(E4&gt;=1,E4&lt;=6),a_allow*FCI/6,0)</f>
        <v>269325.2721872785</v>
      </c>
      <c r="F21" s="13">
        <f>IF(AND(F4&gt;=1,F4&lt;=6),a_allow*FCI/6,0)</f>
        <v>269325.2721872785</v>
      </c>
      <c r="G21" s="13">
        <f>IF(AND(G4&gt;=1,G4&lt;=6),a_allow*FCI/6,0)</f>
        <v>269325.2721872785</v>
      </c>
      <c r="H21" s="13">
        <f>IF(AND(H4&gt;=1,H4&lt;=6),a_allow*FCI/6,0)</f>
        <v>269325.2721872785</v>
      </c>
      <c r="I21" s="13">
        <f>IF(AND(I4&gt;=1,I4&lt;=6),a_allow*FCI/6,0)</f>
        <v>269325.2721872785</v>
      </c>
      <c r="J21" s="13">
        <f>IF(AND(J4&gt;=1,J4&lt;=6),a_allow*FCI/6,0)</f>
        <v>0.0</v>
      </c>
      <c r="K21" s="13">
        <f>IF(AND(K4&gt;=1,K4&lt;=6),a_allow*FCI/6,0)</f>
        <v>0.0</v>
      </c>
      <c r="L21" s="13">
        <f>IF(AND(L4&gt;=1,L4&lt;=6),a_allow*FCI/6,0)</f>
        <v>0.0</v>
      </c>
      <c r="M21" s="13">
        <f>IF(AND(M4&gt;=1,M4&lt;=6),a_allow*FCI/6,0)</f>
        <v>0.0</v>
      </c>
      <c r="N21" s="13">
        <f>IF(AND(N4&gt;=1,N4&lt;=6),a_allow*FCI/6,0)</f>
        <v>0.0</v>
      </c>
      <c r="O21" s="13">
        <f>IF(AND(O4&gt;=1,O4&lt;=6),a_allow*FCI/6,0)</f>
        <v>0.0</v>
      </c>
      <c r="P21" s="13">
        <f>IF(AND(P4&gt;=1,P4&lt;=6),a_allow*FCI/6,0)</f>
        <v>0.0</v>
      </c>
      <c r="Q21" s="13">
        <f>IF(AND(Q4&gt;=1,Q4&lt;=6),a_allow*FCI/6,0)</f>
        <v>0.0</v>
      </c>
      <c r="R21" s="13">
        <f>IF(AND(R4&gt;=1,R4&lt;=6),a_allow*FCI/6,0)</f>
        <v>0.0</v>
      </c>
      <c r="S21" s="13">
        <f>IF(AND(S4&gt;=1,S4&lt;=6),a_allow*FCI/6,0)</f>
        <v>0.0</v>
      </c>
      <c r="T21" s="13">
        <f>IF(AND(T4&gt;=1,T4&lt;=6),a_allow*FCI/6,0)</f>
        <v>0.0</v>
      </c>
      <c r="U21" s="13">
        <f>IF(AND(U4&gt;=1,U4&lt;=6),a_allow*FCI/6,0)</f>
        <v>0.0</v>
      </c>
      <c r="V21" s="13">
        <f>IF(AND(V4&gt;=1,V4&lt;=6),a_allow*FCI/6,0)</f>
        <v>0.0</v>
      </c>
      <c r="W21" s="13">
        <f>IF(AND(W4&gt;=1,W4&lt;=6),a_allow*FCI/6,0)</f>
        <v>0.0</v>
      </c>
    </row>
    <row r="22" spans="1:23">
      <c r="A22" t="s">
        <v>270</v>
      </c>
      <c r="C22" s="13">
        <f>C17-C20-C21</f>
        <v>0.0</v>
      </c>
      <c r="D22" s="13">
        <f>D17-D20-D21</f>
        <v>69288.7002531205</v>
      </c>
      <c r="E22" s="13">
        <f>E17-E20-E21</f>
        <v>382845.6760339809</v>
      </c>
      <c r="F22" s="13">
        <f>F17-F20-F21</f>
        <v>371816.9737886172</v>
      </c>
      <c r="G22" s="13">
        <f>G17-G20-G21</f>
        <v>360457.41047589295</v>
      </c>
      <c r="H22" s="13">
        <f>H17-H20-H21</f>
        <v>348757.06026378693</v>
      </c>
      <c r="I22" s="13">
        <f>I17-I20-I21</f>
        <v>336705.6995453177</v>
      </c>
      <c r="J22" s="13">
        <f>J17-J20-J21</f>
        <v>593618.0701925727</v>
      </c>
      <c r="K22" s="13">
        <f>K17-K20-K21</f>
        <v>580832.7816063486</v>
      </c>
      <c r="L22" s="13">
        <f>L17-L20-L21</f>
        <v>567663.9343625379</v>
      </c>
      <c r="M22" s="13">
        <f>M17-M20-M21</f>
        <v>554100.0217014126</v>
      </c>
      <c r="N22" s="13">
        <f>N17-N20-N21</f>
        <v>141009.27475548803</v>
      </c>
      <c r="O22" s="13">
        <f>O17-O20-O21</f>
        <v>126619.31981330062</v>
      </c>
      <c r="P22" s="13">
        <f>P17-P20-P21</f>
        <v>111797.66622284707</v>
      </c>
      <c r="Q22" s="13">
        <f>Q17-Q20-Q21</f>
        <v>96531.36302468041</v>
      </c>
      <c r="R22" s="13">
        <f>R17-R20-R21</f>
        <v>80807.07073056838</v>
      </c>
      <c r="S22" s="13">
        <f>S17-S20-S21</f>
        <v>64611.04966763337</v>
      </c>
      <c r="T22" s="13">
        <f>T17-T20-T21</f>
        <v>384585.738206908</v>
      </c>
      <c r="U22" s="13">
        <f>U17-U20-U21</f>
        <v>367403.37946124014</v>
      </c>
      <c r="V22" s="13">
        <f>V17-V20-V21</f>
        <v>349705.549953202</v>
      </c>
      <c r="W22" s="13">
        <f>W17-W20-W21</f>
        <v>331476.7855599228</v>
      </c>
    </row>
    <row r="23" spans="1:23">
      <c r="A23" t="s">
        <v>271</v>
      </c>
      <c r="C23" s="13">
        <f>MAX(0,-C22)</f>
        <v>0</v>
      </c>
      <c r="D23" s="13">
        <f>MAX(0,C23-D22)</f>
        <v>0</v>
      </c>
      <c r="E23" s="13">
        <f>MAX(0,D23-E22)</f>
        <v>0</v>
      </c>
      <c r="F23" s="13">
        <f>MAX(0,E23-F22)</f>
        <v>0</v>
      </c>
      <c r="G23" s="13">
        <f>MAX(0,F23-G22)</f>
        <v>0</v>
      </c>
      <c r="H23" s="13">
        <f>MAX(0,G23-H22)</f>
        <v>0</v>
      </c>
      <c r="I23" s="13">
        <f>MAX(0,H23-I22)</f>
        <v>0</v>
      </c>
      <c r="J23" s="13">
        <f>MAX(0,I23-J22)</f>
        <v>0</v>
      </c>
      <c r="K23" s="13">
        <f>MAX(0,J23-K22)</f>
        <v>0</v>
      </c>
      <c r="L23" s="13">
        <f>MAX(0,K23-L22)</f>
        <v>0</v>
      </c>
      <c r="M23" s="13">
        <f>MAX(0,L23-M22)</f>
        <v>0</v>
      </c>
      <c r="N23" s="13">
        <f>MAX(0,M23-N22)</f>
        <v>0</v>
      </c>
      <c r="O23" s="13">
        <f>MAX(0,N23-O22)</f>
        <v>0</v>
      </c>
      <c r="P23" s="13">
        <f>MAX(0,O23-P22)</f>
        <v>0</v>
      </c>
      <c r="Q23" s="13">
        <f>MAX(0,P23-Q22)</f>
        <v>0</v>
      </c>
      <c r="R23" s="13">
        <f>MAX(0,Q23-R22)</f>
        <v>0</v>
      </c>
      <c r="S23" s="13">
        <f>MAX(0,R23-S22)</f>
        <v>0</v>
      </c>
      <c r="T23" s="13">
        <f>MAX(0,S23-T22)</f>
        <v>0</v>
      </c>
      <c r="U23" s="13">
        <f>MAX(0,T23-U22)</f>
        <v>0</v>
      </c>
      <c r="V23" s="13">
        <f>MAX(0,U23-V22)</f>
        <v>0</v>
      </c>
      <c r="W23" s="13">
        <f>MAX(0,V23-W22)</f>
        <v>0</v>
      </c>
    </row>
    <row r="24" spans="1:23">
      <c r="A24" t="s">
        <v>272</v>
      </c>
      <c r="C24" s="13">
        <f>-a_tax*MAX(0,C22)</f>
        <v>-0.0</v>
      </c>
      <c r="D24" s="13">
        <f>-a_tax*MAX(0,D22-C23)</f>
        <v>-15243.514055686512</v>
      </c>
      <c r="E24" s="13">
        <f>-a_tax*MAX(0,E22-D23)</f>
        <v>-84226.0487274758</v>
      </c>
      <c r="F24" s="13">
        <f>-a_tax*MAX(0,F22-E23)</f>
        <v>-81799.73423349578</v>
      </c>
      <c r="G24" s="13">
        <f>-a_tax*MAX(0,G22-F23)</f>
        <v>-79300.63030469645</v>
      </c>
      <c r="H24" s="13">
        <f>-a_tax*MAX(0,H22-G23)</f>
        <v>-76726.55325803312</v>
      </c>
      <c r="I24" s="13">
        <f>-a_tax*MAX(0,I22-H23)</f>
        <v>-74075.25389996989</v>
      </c>
      <c r="J24" s="13">
        <f>-a_tax*MAX(0,J22-I23)</f>
        <v>-130595.97544236599</v>
      </c>
      <c r="K24" s="13">
        <f>-a_tax*MAX(0,K22-J23)</f>
        <v>-127783.21195339669</v>
      </c>
      <c r="L24" s="13">
        <f>-a_tax*MAX(0,L22-K23)</f>
        <v>-124886.06555975834</v>
      </c>
      <c r="M24" s="13">
        <f>-a_tax*MAX(0,M22-L23)</f>
        <v>-121902.00477431077</v>
      </c>
      <c r="N24" s="13">
        <f>-a_tax*MAX(0,N22-M23)</f>
        <v>-31022.040446207367</v>
      </c>
      <c r="O24" s="13">
        <f>-a_tax*MAX(0,O22-N23)</f>
        <v>-27856.250358926136</v>
      </c>
      <c r="P24" s="13">
        <f>-a_tax*MAX(0,P22-O23)</f>
        <v>-24595.486569026354</v>
      </c>
      <c r="Q24" s="13">
        <f>-a_tax*MAX(0,Q22-P23)</f>
        <v>-21236.899865429692</v>
      </c>
      <c r="R24" s="13">
        <f>-a_tax*MAX(0,R22-Q23)</f>
        <v>-17777.555560725043</v>
      </c>
      <c r="S24" s="13">
        <f>-a_tax*MAX(0,S22-R23)</f>
        <v>-14214.430926879342</v>
      </c>
      <c r="T24" s="13">
        <f>-a_tax*MAX(0,T22-S23)</f>
        <v>-84608.86240551976</v>
      </c>
      <c r="U24" s="13">
        <f>-a_tax*MAX(0,U22-T23)</f>
        <v>-80828.74348147283</v>
      </c>
      <c r="V24" s="13">
        <f>-a_tax*MAX(0,V22-U23)</f>
        <v>-76935.22098970444</v>
      </c>
      <c r="W24" s="13">
        <f>-a_tax*MAX(0,W22-V23)</f>
        <v>-72924.89282318302</v>
      </c>
    </row>
    <row r="25" spans="1:23">
      <c r="A25" s="9" t="s">
        <v>273</v>
      </c>
      <c r="C25" s="14">
        <f>C17+C24+C18+C19</f>
        <v>-5386505.44374557</v>
      </c>
      <c r="D25" s="14">
        <f>D17+D24+D18+D19</f>
        <v>588128.5302403669</v>
      </c>
      <c r="E25" s="14">
        <f>E17+E24+E18+E19</f>
        <v>904601.4897278817</v>
      </c>
      <c r="F25" s="14">
        <f>F17+F24+F18+F19</f>
        <v>895999.101976498</v>
      </c>
      <c r="G25" s="14">
        <f>G17+G24+G18+G19</f>
        <v>887138.6425925731</v>
      </c>
      <c r="H25" s="14">
        <f>H17+H24+H18+H19</f>
        <v>878012.3694271304</v>
      </c>
      <c r="I25" s="14">
        <f>I17+I24+I18+I19</f>
        <v>868612.3080667245</v>
      </c>
      <c r="J25" s="14">
        <f>J17+J24+J18+J19</f>
        <v>799678.6849843048</v>
      </c>
      <c r="K25" s="14">
        <f>K17+K24+K18+K19</f>
        <v>789706.15988705</v>
      </c>
      <c r="L25" s="14">
        <f>L17+L24+L18+L19</f>
        <v>779434.4590368777</v>
      </c>
      <c r="M25" s="14">
        <f>M17+M24+M18+M19</f>
        <v>768854.6071612</v>
      </c>
      <c r="N25" s="14">
        <f>N17+N24+N18+N19</f>
        <v>446643.8245433788</v>
      </c>
      <c r="O25" s="14">
        <f>O17+O24+O18+O19</f>
        <v>435419.65968847263</v>
      </c>
      <c r="P25" s="14">
        <f>P17+P24+P18+P19</f>
        <v>423858.76988791884</v>
      </c>
      <c r="Q25" s="14">
        <f>Q17+Q24+Q18+Q19</f>
        <v>411951.0533933489</v>
      </c>
      <c r="R25" s="14">
        <f>R17+R24+R18+R19</f>
        <v>399686.1054039415</v>
      </c>
      <c r="S25" s="14">
        <f>S17+S24+S18+S19</f>
        <v>387053.20897485217</v>
      </c>
      <c r="T25" s="14">
        <f>T17+T24+T18+T19</f>
        <v>299976.87580138823</v>
      </c>
      <c r="U25" s="14">
        <f>U17+U24+U18+U19</f>
        <v>286574.6359797673</v>
      </c>
      <c r="V25" s="14">
        <f>V17+V24+V18+V19</f>
        <v>272770.3289634976</v>
      </c>
      <c r="W25" s="14">
        <f>W17+W24+W18+W19</f>
        <v>330450.41111518344</v>
      </c>
    </row>
    <row r="26" spans="1:23">
      <c r="A26" t="s">
        <v>274</v>
      </c>
      <c r="C26" s="13">
        <f>C25</f>
        <v>-5386505.44374557</v>
      </c>
      <c r="D26" s="13">
        <f>C26+D25</f>
        <v>-4798376.913505203</v>
      </c>
      <c r="E26" s="13">
        <f>D26+E25</f>
        <v>-3893775.4237773214</v>
      </c>
      <c r="F26" s="13">
        <f>E26+F25</f>
        <v>-2997776.3218008233</v>
      </c>
      <c r="G26" s="13">
        <f>F26+G25</f>
        <v>-2110637.6792082503</v>
      </c>
      <c r="H26" s="13">
        <f>G26+H25</f>
        <v>-1232625.3097811197</v>
      </c>
      <c r="I26" s="13">
        <f>H26+I25</f>
        <v>-364013.00171439524</v>
      </c>
      <c r="J26" s="13">
        <f>I26+J25</f>
        <v>435665.6832699096</v>
      </c>
      <c r="K26" s="13">
        <f>J26+K25</f>
        <v>1225371.8431569596</v>
      </c>
      <c r="L26" s="13">
        <f>K26+L25</f>
        <v>2004806.3021938372</v>
      </c>
      <c r="M26" s="13">
        <f>L26+M25</f>
        <v>2773660.9093550374</v>
      </c>
      <c r="N26" s="13">
        <f>M26+N25</f>
        <v>3220304.733898416</v>
      </c>
      <c r="O26" s="13">
        <f>N26+O25</f>
        <v>3655724.393586889</v>
      </c>
      <c r="P26" s="13">
        <f>O26+P25</f>
        <v>4079583.1634748075</v>
      </c>
      <c r="Q26" s="13">
        <f>P26+Q25</f>
        <v>4491534.216868157</v>
      </c>
      <c r="R26" s="13">
        <f>Q26+R25</f>
        <v>4891220.322272098</v>
      </c>
      <c r="S26" s="13">
        <f>R26+S25</f>
        <v>5278273.53124695</v>
      </c>
      <c r="T26" s="13">
        <f>S26+T25</f>
        <v>5578250.407048338</v>
      </c>
      <c r="U26" s="13">
        <f>T26+U25</f>
        <v>5864825.043028105</v>
      </c>
      <c r="V26" s="13">
        <f>U26+V25</f>
        <v>6137595.371991603</v>
      </c>
      <c r="W26" s="13">
        <f>V26+W25</f>
        <v>6468045.783106786</v>
      </c>
    </row>
    <row r="27" spans="1:23">
      <c r="A27" t="s">
        <v>275</v>
      </c>
      <c r="C27" s="12">
        <f>1/(1+WACC)^0</f>
        <v>1.0</v>
      </c>
      <c r="D27" s="12">
        <f>1/(1+WACC)^1</f>
        <v>0.911211546872722</v>
      </c>
      <c r="E27" s="12">
        <f>1/(1+WACC)^2</f>
        <v>0.8303064831541789</v>
      </c>
      <c r="F27" s="12">
        <f>1/(1+WACC)^3</f>
        <v>0.756584854893369</v>
      </c>
      <c r="G27" s="12">
        <f>1/(1+WACC)^4</f>
        <v>0.6894088559678606</v>
      </c>
      <c r="H27" s="12">
        <f>1/(1+WACC)^5</f>
        <v>0.6281973100742279</v>
      </c>
      <c r="I27" s="12">
        <f>1/(1+WACC)^6</f>
        <v>0.5724206426540202</v>
      </c>
      <c r="J27" s="12">
        <f>1/(1+WACC)^7</f>
        <v>0.5215962992546473</v>
      </c>
      <c r="K27" s="12">
        <f>1/(1+WACC)^8</f>
        <v>0.47528457068691443</v>
      </c>
      <c r="L27" s="12">
        <f>1/(1+WACC)^9</f>
        <v>0.4330847888603609</v>
      </c>
      <c r="M27" s="12">
        <f>1/(1+WACC)^10</f>
        <v>0.39463186038449566</v>
      </c>
      <c r="N27" s="12">
        <f>1/(1+WACC)^11</f>
        <v>0.35959310794621635</v>
      </c>
      <c r="O27" s="12">
        <f>1/(1+WACC)^12</f>
        <v>0.32766539213644147</v>
      </c>
      <c r="P27" s="12">
        <f>1/(1+WACC)^13</f>
        <v>0.2985724888253039</v>
      </c>
      <c r="Q27" s="12">
        <f>1/(1+WACC)^14</f>
        <v>0.27206269939614364</v>
      </c>
      <c r="R27" s="12">
        <f>1/(1+WACC)^15</f>
        <v>0.24790667316312842</v>
      </c>
      <c r="S27" s="12">
        <f>1/(1+WACC)^16</f>
        <v>0.22589542313304456</v>
      </c>
      <c r="T27" s="12">
        <f>1/(1+WACC)^17</f>
        <v>0.20583851794452962</v>
      </c>
      <c r="U27" s="12">
        <f>1/(1+WACC)^18</f>
        <v>0.18756243434222336</v>
      </c>
      <c r="V27" s="12">
        <f>1/(1+WACC)^19</f>
        <v>0.17090905593219072</v>
      </c>
      <c r="W27" s="12">
        <f>1/(1+WACC)^20</f>
        <v>0.15573430523052806</v>
      </c>
    </row>
    <row r="28" spans="1:23">
      <c r="A28" t="s">
        <v>276</v>
      </c>
      <c r="C28" s="13">
        <f>C25*C27</f>
        <v>-5386505.44374557</v>
      </c>
      <c r="D28" s="13">
        <f>D25*D27</f>
        <v>535909.5078003053</v>
      </c>
      <c r="E28" s="13">
        <f>E25*E27</f>
        <v>751096.4815919886</v>
      </c>
      <c r="F28" s="13">
        <f>F25*F27</f>
        <v>677899.3505534778</v>
      </c>
      <c r="G28" s="13">
        <f>G25*G27</f>
        <v>611601.2366746266</v>
      </c>
      <c r="H28" s="13">
        <f>H25*H27</f>
        <v>551565.0086860226</v>
      </c>
      <c r="I28" s="13">
        <f>I25*I27</f>
        <v>497211.6156007461</v>
      </c>
      <c r="J28" s="13">
        <f>J25*J27</f>
        <v>417109.4426806363</v>
      </c>
      <c r="K28" s="13">
        <f>K25*K27</f>
        <v>375335.1531707284</v>
      </c>
      <c r="L28" s="13">
        <f>L25*L27</f>
        <v>337561.20812247583</v>
      </c>
      <c r="M28" s="13">
        <f>M25*M27</f>
        <v>303414.52398921497</v>
      </c>
      <c r="N28" s="13">
        <f>N25*N27</f>
        <v>160610.04101253813</v>
      </c>
      <c r="O28" s="13">
        <f>O25*O27</f>
        <v>142671.95353573927</v>
      </c>
      <c r="P28" s="13">
        <f>P25*P27</f>
        <v>126552.56783586771</v>
      </c>
      <c r="Q28" s="13">
        <f>Q25*Q27</f>
        <v>112076.51560527939</v>
      </c>
      <c r="R28" s="13">
        <f>R25*R27</f>
        <v>99084.85270021862</v>
      </c>
      <c r="S28" s="13">
        <f>S25*S27</f>
        <v>87433.54841637696</v>
      </c>
      <c r="T28" s="13">
        <f>T25*T27</f>
        <v>61746.79553258798</v>
      </c>
      <c r="U28" s="13">
        <f>U25*U27</f>
        <v>53750.636345101666</v>
      </c>
      <c r="V28" s="13">
        <f>V25*V27</f>
        <v>46618.91940946447</v>
      </c>
      <c r="W28" s="13">
        <f>W25*W27</f>
        <v>51462.46518816546</v>
      </c>
    </row>
    <row r="29" spans="1:23">
      <c r="A29" t="s">
        <v>277</v>
      </c>
      <c r="C29" s="13">
        <f>C28</f>
        <v>-5386505.44374557</v>
      </c>
      <c r="D29" s="13">
        <f>C29+D28</f>
        <v>-4850595.935945265</v>
      </c>
      <c r="E29" s="13">
        <f>D29+E28</f>
        <v>-4099499.4543532766</v>
      </c>
      <c r="F29" s="13">
        <f>E29+F28</f>
        <v>-3421600.103799799</v>
      </c>
      <c r="G29" s="13">
        <f>F29+G28</f>
        <v>-2809998.867125172</v>
      </c>
      <c r="H29" s="13">
        <f>G29+H28</f>
        <v>-2258433.8584391493</v>
      </c>
      <c r="I29" s="13">
        <f>H29+I28</f>
        <v>-1761222.2428384032</v>
      </c>
      <c r="J29" s="13">
        <f>I29+J28</f>
        <v>-1344112.8001577668</v>
      </c>
      <c r="K29" s="13">
        <f>J29+K28</f>
        <v>-968777.6469870384</v>
      </c>
      <c r="L29" s="13">
        <f>K29+L28</f>
        <v>-631216.4388645627</v>
      </c>
      <c r="M29" s="13">
        <f>L29+M28</f>
        <v>-327801.9148753477</v>
      </c>
      <c r="N29" s="13">
        <f>M29+N28</f>
        <v>-167191.87386280956</v>
      </c>
      <c r="O29" s="13">
        <f>N29+O28</f>
        <v>-24519.920327070286</v>
      </c>
      <c r="P29" s="13">
        <f>O29+P28</f>
        <v>102032.64750879742</v>
      </c>
      <c r="Q29" s="13">
        <f>P29+Q28</f>
        <v>214109.16311407683</v>
      </c>
      <c r="R29" s="13">
        <f>Q29+R28</f>
        <v>313194.01581429545</v>
      </c>
      <c r="S29" s="13">
        <f>R29+S28</f>
        <v>400627.56423067243</v>
      </c>
      <c r="T29" s="13">
        <f>S29+T28</f>
        <v>462374.3597632604</v>
      </c>
      <c r="U29" s="13">
        <f>T29+U28</f>
        <v>516124.9961083621</v>
      </c>
      <c r="V29" s="13">
        <f>U29+V28</f>
        <v>562743.9155178266</v>
      </c>
      <c r="W29" s="13">
        <f>V29+W28</f>
        <v>614206.380705992</v>
      </c>
    </row>
    <row r="30" spans="1:23">
      <c r="A30" t="s">
        <v>278</v>
      </c>
      <c r="C30" s="10">
        <f>""</f>
        <v>0</v>
      </c>
      <c r="D30" s="10">
        <f>IF(AND(C26&lt;0,D26&gt;=0),0+(-C26/D25),"")</f>
        <v>0</v>
      </c>
      <c r="E30" s="10">
        <f>IF(AND(D26&lt;0,E26&gt;=0),1+(-D26/E25),"")</f>
        <v>0</v>
      </c>
      <c r="F30" s="10">
        <f>IF(AND(E26&lt;0,F26&gt;=0),2+(-E26/F25),"")</f>
        <v>0</v>
      </c>
      <c r="G30" s="10">
        <f>IF(AND(F26&lt;0,G26&gt;=0),3+(-F26/G25),"")</f>
        <v>0</v>
      </c>
      <c r="H30" s="10">
        <f>IF(AND(G26&lt;0,H26&gt;=0),4+(-G26/H25),"")</f>
        <v>0</v>
      </c>
      <c r="I30" s="10">
        <f>IF(AND(H26&lt;0,I26&gt;=0),5+(-H26/I25),"")</f>
        <v>0</v>
      </c>
      <c r="J30" s="10">
        <f>IF(AND(I26&lt;0,J26&gt;=0),6+(-I26/J25),"")</f>
        <v>0</v>
      </c>
      <c r="K30" s="10">
        <f>IF(AND(J26&lt;0,K26&gt;=0),7+(-J26/K25),"")</f>
        <v>0</v>
      </c>
      <c r="L30" s="10">
        <f>IF(AND(K26&lt;0,L26&gt;=0),8+(-K26/L25),"")</f>
        <v>0</v>
      </c>
      <c r="M30" s="10">
        <f>IF(AND(L26&lt;0,M26&gt;=0),9+(-L26/M25),"")</f>
        <v>0</v>
      </c>
      <c r="N30" s="10">
        <f>IF(AND(M26&lt;0,N26&gt;=0),10+(-M26/N25),"")</f>
        <v>0</v>
      </c>
      <c r="O30" s="10">
        <f>IF(AND(N26&lt;0,O26&gt;=0),11+(-N26/O25),"")</f>
        <v>0</v>
      </c>
      <c r="P30" s="10">
        <f>IF(AND(O26&lt;0,P26&gt;=0),12+(-O26/P25),"")</f>
        <v>0</v>
      </c>
      <c r="Q30" s="10">
        <f>IF(AND(P26&lt;0,Q26&gt;=0),13+(-P26/Q25),"")</f>
        <v>0</v>
      </c>
      <c r="R30" s="10">
        <f>IF(AND(Q26&lt;0,R26&gt;=0),14+(-Q26/R25),"")</f>
        <v>0</v>
      </c>
      <c r="S30" s="10">
        <f>IF(AND(R26&lt;0,S26&gt;=0),15+(-R26/S25),"")</f>
        <v>0</v>
      </c>
      <c r="T30" s="10">
        <f>IF(AND(S26&lt;0,T26&gt;=0),16+(-S26/T25),"")</f>
        <v>0</v>
      </c>
      <c r="U30" s="10">
        <f>IF(AND(T26&lt;0,U26&gt;=0),17+(-T26/U25),"")</f>
        <v>0</v>
      </c>
      <c r="V30" s="10">
        <f>IF(AND(U26&lt;0,V26&gt;=0),18+(-U26/V25),"")</f>
        <v>0</v>
      </c>
      <c r="W30" s="10">
        <f>IF(AND(V26&lt;0,W26&gt;=0),19+(-V26/W25),"")</f>
        <v>0</v>
      </c>
    </row>
    <row r="31" spans="1:23">
      <c r="A31" t="s">
        <v>279</v>
      </c>
      <c r="C31" s="10">
        <f>""</f>
        <v>0</v>
      </c>
      <c r="D31" s="10">
        <f>IF(AND(C29&lt;0,D29&gt;=0),0+(-C29/D28),"")</f>
        <v>0</v>
      </c>
      <c r="E31" s="10">
        <f>IF(AND(D29&lt;0,E29&gt;=0),1+(-D29/E28),"")</f>
        <v>0</v>
      </c>
      <c r="F31" s="10">
        <f>IF(AND(E29&lt;0,F29&gt;=0),2+(-E29/F28),"")</f>
        <v>0</v>
      </c>
      <c r="G31" s="10">
        <f>IF(AND(F29&lt;0,G29&gt;=0),3+(-F29/G28),"")</f>
        <v>0</v>
      </c>
      <c r="H31" s="10">
        <f>IF(AND(G29&lt;0,H29&gt;=0),4+(-G29/H28),"")</f>
        <v>0</v>
      </c>
      <c r="I31" s="10">
        <f>IF(AND(H29&lt;0,I29&gt;=0),5+(-H29/I28),"")</f>
        <v>0</v>
      </c>
      <c r="J31" s="10">
        <f>IF(AND(I29&lt;0,J29&gt;=0),6+(-I29/J28),"")</f>
        <v>0</v>
      </c>
      <c r="K31" s="10">
        <f>IF(AND(J29&lt;0,K29&gt;=0),7+(-J29/K28),"")</f>
        <v>0</v>
      </c>
      <c r="L31" s="10">
        <f>IF(AND(K29&lt;0,L29&gt;=0),8+(-K29/L28),"")</f>
        <v>0</v>
      </c>
      <c r="M31" s="10">
        <f>IF(AND(L29&lt;0,M29&gt;=0),9+(-L29/M28),"")</f>
        <v>0</v>
      </c>
      <c r="N31" s="10">
        <f>IF(AND(M29&lt;0,N29&gt;=0),10+(-M29/N28),"")</f>
        <v>0</v>
      </c>
      <c r="O31" s="10">
        <f>IF(AND(N29&lt;0,O29&gt;=0),11+(-N29/O28),"")</f>
        <v>0</v>
      </c>
      <c r="P31" s="10">
        <f>IF(AND(O29&lt;0,P29&gt;=0),12+(-O29/P28),"")</f>
        <v>0</v>
      </c>
      <c r="Q31" s="10">
        <f>IF(AND(P29&lt;0,Q29&gt;=0),13+(-P29/Q28),"")</f>
        <v>0</v>
      </c>
      <c r="R31" s="10">
        <f>IF(AND(Q29&lt;0,R29&gt;=0),14+(-Q29/R28),"")</f>
        <v>0</v>
      </c>
      <c r="S31" s="10">
        <f>IF(AND(R29&lt;0,S29&gt;=0),15+(-R29/S28),"")</f>
        <v>0</v>
      </c>
      <c r="T31" s="10">
        <f>IF(AND(S29&lt;0,T29&gt;=0),16+(-S29/T28),"")</f>
        <v>0</v>
      </c>
      <c r="U31" s="10">
        <f>IF(AND(T29&lt;0,U29&gt;=0),17+(-T29/U28),"")</f>
        <v>0</v>
      </c>
      <c r="V31" s="10">
        <f>IF(AND(U29&lt;0,V29&gt;=0),18+(-U29/V28),"")</f>
        <v>0</v>
      </c>
      <c r="W31" s="10">
        <f>IF(AND(V29&lt;0,W29&gt;=0),19+(-V29/W28),"")</f>
        <v>0</v>
      </c>
    </row>
    <row r="32" spans="1:23">
      <c r="A32" t="s">
        <v>280</v>
      </c>
      <c r="C32" s="13">
        <f>a_debt_frac*FCI</f>
        <v>3231903.266247342</v>
      </c>
      <c r="D32" s="13">
        <f>C32-D34</f>
        <v>3008806.63625988</v>
      </c>
      <c r="E32" s="13">
        <f>D32-E34</f>
        <v>2767862.275873421</v>
      </c>
      <c r="F32" s="13">
        <f>E32-F34</f>
        <v>2507642.366656046</v>
      </c>
      <c r="G32" s="13">
        <f>F32-G34</f>
        <v>2226604.8647012804</v>
      </c>
      <c r="H32" s="13">
        <f>G32-H34</f>
        <v>1923084.3625901337</v>
      </c>
      <c r="I32" s="13">
        <f>H32-I34</f>
        <v>1595282.2203100952</v>
      </c>
      <c r="J32" s="13">
        <f>I32-J34</f>
        <v>1241255.9066476538</v>
      </c>
      <c r="K32" s="13">
        <f>J32-K34</f>
        <v>858907.487892217</v>
      </c>
      <c r="L32" s="13">
        <f>K32-L34</f>
        <v>445971.19563634525</v>
      </c>
      <c r="M32" s="13">
        <f>L32-M34</f>
        <v>3.7834979593753815e-09</v>
      </c>
      <c r="N32" s="13">
        <f>M32-N34</f>
        <v>3.7834979593753815e-09</v>
      </c>
      <c r="O32" s="13">
        <f>N32-O34</f>
        <v>3.7834979593753815e-09</v>
      </c>
      <c r="P32" s="13">
        <f>O32-P34</f>
        <v>3.7834979593753815e-09</v>
      </c>
      <c r="Q32" s="13">
        <f>P32-Q34</f>
        <v>3.7834979593753815e-09</v>
      </c>
      <c r="R32" s="13">
        <f>Q32-R34</f>
        <v>3.7834979593753815e-09</v>
      </c>
      <c r="S32" s="13">
        <f>R32-S34</f>
        <v>3.7834979593753815e-09</v>
      </c>
      <c r="T32" s="13">
        <f>S32-T34</f>
        <v>3.7834979593753815e-09</v>
      </c>
      <c r="U32" s="13">
        <f>T32-U34</f>
        <v>3.7834979593753815e-09</v>
      </c>
      <c r="V32" s="13">
        <f>U32-V34</f>
        <v>3.7834979593753815e-09</v>
      </c>
      <c r="W32" s="13">
        <f>V32-W34</f>
        <v>3.7834979593753815e-09</v>
      </c>
    </row>
    <row r="33" spans="1:23">
      <c r="A33" t="s">
        <v>281</v>
      </c>
      <c r="C33" s="13">
        <v>0</v>
      </c>
      <c r="D33" s="13">
        <f>IF(D4&lt;=a_tenor,C32*a_r_debt,0)</f>
        <v>258552.26129978735</v>
      </c>
      <c r="E33" s="13">
        <f>IF(E4&lt;=a_tenor,D32*a_r_debt,0)</f>
        <v>240704.53090079039</v>
      </c>
      <c r="F33" s="13">
        <f>IF(F4&lt;=a_tenor,E32*a_r_debt,0)</f>
        <v>221428.98206987372</v>
      </c>
      <c r="G33" s="13">
        <f>IF(G4&lt;=a_tenor,F32*a_r_debt,0)</f>
        <v>200611.38933248367</v>
      </c>
      <c r="H33" s="13">
        <f>IF(H4&lt;=a_tenor,G32*a_r_debt,0)</f>
        <v>178128.38917610244</v>
      </c>
      <c r="I33" s="13">
        <f>IF(I4&lt;=a_tenor,H32*a_r_debt,0)</f>
        <v>153846.7490072107</v>
      </c>
      <c r="J33" s="13">
        <f>IF(J4&lt;=a_tenor,I32*a_r_debt,0)</f>
        <v>127622.57762480761</v>
      </c>
      <c r="K33" s="13">
        <f>IF(K4&lt;=a_tenor,J32*a_r_debt,0)</f>
        <v>99300.47253181231</v>
      </c>
      <c r="L33" s="13">
        <f>IF(L4&lt;=a_tenor,K32*a_r_debt,0)</f>
        <v>68712.59903137737</v>
      </c>
      <c r="M33" s="13">
        <f>IF(M4&lt;=a_tenor,L32*a_r_debt,0)</f>
        <v>35677.69565090762</v>
      </c>
      <c r="N33" s="13">
        <f>IF(N4&lt;=a_tenor,M32*a_r_debt,0)</f>
        <v>0.0</v>
      </c>
      <c r="O33" s="13">
        <f>IF(O4&lt;=a_tenor,N32*a_r_debt,0)</f>
        <v>0.0</v>
      </c>
      <c r="P33" s="13">
        <f>IF(P4&lt;=a_tenor,O32*a_r_debt,0)</f>
        <v>0.0</v>
      </c>
      <c r="Q33" s="13">
        <f>IF(Q4&lt;=a_tenor,P32*a_r_debt,0)</f>
        <v>0.0</v>
      </c>
      <c r="R33" s="13">
        <f>IF(R4&lt;=a_tenor,Q32*a_r_debt,0)</f>
        <v>0.0</v>
      </c>
      <c r="S33" s="13">
        <f>IF(S4&lt;=a_tenor,R32*a_r_debt,0)</f>
        <v>0.0</v>
      </c>
      <c r="T33" s="13">
        <f>IF(T4&lt;=a_tenor,S32*a_r_debt,0)</f>
        <v>0.0</v>
      </c>
      <c r="U33" s="13">
        <f>IF(U4&lt;=a_tenor,T32*a_r_debt,0)</f>
        <v>0.0</v>
      </c>
      <c r="V33" s="13">
        <f>IF(V4&lt;=a_tenor,U32*a_r_debt,0)</f>
        <v>0.0</v>
      </c>
      <c r="W33" s="13">
        <f>IF(W4&lt;=a_tenor,V32*a_r_debt,0)</f>
        <v>0.0</v>
      </c>
    </row>
    <row r="34" spans="1:23">
      <c r="A34" t="s">
        <v>282</v>
      </c>
      <c r="C34" s="13">
        <v>0</v>
      </c>
      <c r="D34" s="13">
        <f>IF(D4&lt;=a_tenor,a_debt_frac*FCI*a_r_debt/(1-(1+a_r_debt)^-a_tenor)-D33,0)</f>
        <v>223096.62998746175</v>
      </c>
      <c r="E34" s="13">
        <f>IF(E4&lt;=a_tenor,a_debt_frac*FCI*a_r_debt/(1-(1+a_r_debt)^-a_tenor)-E33,0)</f>
        <v>240944.36038645872</v>
      </c>
      <c r="F34" s="13">
        <f>IF(F4&lt;=a_tenor,a_debt_frac*FCI*a_r_debt/(1-(1+a_r_debt)^-a_tenor)-F33,0)</f>
        <v>260219.9092173754</v>
      </c>
      <c r="G34" s="13">
        <f>IF(G4&lt;=a_tenor,a_debt_frac*FCI*a_r_debt/(1-(1+a_r_debt)^-a_tenor)-G33,0)</f>
        <v>281037.5019547654</v>
      </c>
      <c r="H34" s="13">
        <f>IF(H4&lt;=a_tenor,a_debt_frac*FCI*a_r_debt/(1-(1+a_r_debt)^-a_tenor)-H33,0)</f>
        <v>303520.5021111467</v>
      </c>
      <c r="I34" s="13">
        <f>IF(I4&lt;=a_tenor,a_debt_frac*FCI*a_r_debt/(1-(1+a_r_debt)^-a_tenor)-I33,0)</f>
        <v>327802.14228003845</v>
      </c>
      <c r="J34" s="13">
        <f>IF(J4&lt;=a_tenor,a_debt_frac*FCI*a_r_debt/(1-(1+a_r_debt)^-a_tenor)-J33,0)</f>
        <v>354026.3136624415</v>
      </c>
      <c r="K34" s="13">
        <f>IF(K4&lt;=a_tenor,a_debt_frac*FCI*a_r_debt/(1-(1+a_r_debt)^-a_tenor)-K33,0)</f>
        <v>382348.4187554368</v>
      </c>
      <c r="L34" s="13">
        <f>IF(L4&lt;=a_tenor,a_debt_frac*FCI*a_r_debt/(1-(1+a_r_debt)^-a_tenor)-L33,0)</f>
        <v>412936.29225587175</v>
      </c>
      <c r="M34" s="13">
        <f>IF(M4&lt;=a_tenor,a_debt_frac*FCI*a_r_debt/(1-(1+a_r_debt)^-a_tenor)-M33,0)</f>
        <v>445971.19563634146</v>
      </c>
      <c r="N34" s="13">
        <f>IF(N4&lt;=a_tenor,a_debt_frac*FCI*a_r_debt/(1-(1+a_r_debt)^-a_tenor)-N33,0)</f>
        <v>0.0</v>
      </c>
      <c r="O34" s="13">
        <f>IF(O4&lt;=a_tenor,a_debt_frac*FCI*a_r_debt/(1-(1+a_r_debt)^-a_tenor)-O33,0)</f>
        <v>0.0</v>
      </c>
      <c r="P34" s="13">
        <f>IF(P4&lt;=a_tenor,a_debt_frac*FCI*a_r_debt/(1-(1+a_r_debt)^-a_tenor)-P33,0)</f>
        <v>0.0</v>
      </c>
      <c r="Q34" s="13">
        <f>IF(Q4&lt;=a_tenor,a_debt_frac*FCI*a_r_debt/(1-(1+a_r_debt)^-a_tenor)-Q33,0)</f>
        <v>0.0</v>
      </c>
      <c r="R34" s="13">
        <f>IF(R4&lt;=a_tenor,a_debt_frac*FCI*a_r_debt/(1-(1+a_r_debt)^-a_tenor)-R33,0)</f>
        <v>0.0</v>
      </c>
      <c r="S34" s="13">
        <f>IF(S4&lt;=a_tenor,a_debt_frac*FCI*a_r_debt/(1-(1+a_r_debt)^-a_tenor)-S33,0)</f>
        <v>0.0</v>
      </c>
      <c r="T34" s="13">
        <f>IF(T4&lt;=a_tenor,a_debt_frac*FCI*a_r_debt/(1-(1+a_r_debt)^-a_tenor)-T33,0)</f>
        <v>0.0</v>
      </c>
      <c r="U34" s="13">
        <f>IF(U4&lt;=a_tenor,a_debt_frac*FCI*a_r_debt/(1-(1+a_r_debt)^-a_tenor)-U33,0)</f>
        <v>0.0</v>
      </c>
      <c r="V34" s="13">
        <f>IF(V4&lt;=a_tenor,a_debt_frac*FCI*a_r_debt/(1-(1+a_r_debt)^-a_tenor)-V33,0)</f>
        <v>0.0</v>
      </c>
      <c r="W34" s="13">
        <f>IF(W4&lt;=a_tenor,a_debt_frac*FCI*a_r_debt/(1-(1+a_r_debt)^-a_tenor)-W33,0)</f>
        <v>0.0</v>
      </c>
    </row>
    <row r="35" spans="1:23">
      <c r="A35" t="s">
        <v>283</v>
      </c>
      <c r="C35" s="13">
        <f>C22-C33</f>
        <v>0.0</v>
      </c>
      <c r="D35" s="13">
        <f>D22-D33</f>
        <v>-189263.56104666684</v>
      </c>
      <c r="E35" s="13">
        <f>E22-E33</f>
        <v>142141.14513319053</v>
      </c>
      <c r="F35" s="13">
        <f>F22-F33</f>
        <v>150387.99171874346</v>
      </c>
      <c r="G35" s="13">
        <f>G22-G33</f>
        <v>159846.02114340928</v>
      </c>
      <c r="H35" s="13">
        <f>H22-H33</f>
        <v>170628.6710876845</v>
      </c>
      <c r="I35" s="13">
        <f>I22-I33</f>
        <v>182858.950538107</v>
      </c>
      <c r="J35" s="13">
        <f>J22-J33</f>
        <v>465995.49256776506</v>
      </c>
      <c r="K35" s="13">
        <f>K22-K33</f>
        <v>481532.30907453626</v>
      </c>
      <c r="L35" s="13">
        <f>L22-L33</f>
        <v>498951.3353311606</v>
      </c>
      <c r="M35" s="13">
        <f>M22-M33</f>
        <v>518422.326050505</v>
      </c>
      <c r="N35" s="13">
        <f>N22-N33</f>
        <v>141009.27475548803</v>
      </c>
      <c r="O35" s="13">
        <f>O22-O33</f>
        <v>126619.31981330062</v>
      </c>
      <c r="P35" s="13">
        <f>P22-P33</f>
        <v>111797.66622284707</v>
      </c>
      <c r="Q35" s="13">
        <f>Q22-Q33</f>
        <v>96531.36302468041</v>
      </c>
      <c r="R35" s="13">
        <f>R22-R33</f>
        <v>80807.07073056838</v>
      </c>
      <c r="S35" s="13">
        <f>S22-S33</f>
        <v>64611.04966763337</v>
      </c>
      <c r="T35" s="13">
        <f>T22-T33</f>
        <v>384585.738206908</v>
      </c>
      <c r="U35" s="13">
        <f>U22-U33</f>
        <v>367403.37946124014</v>
      </c>
      <c r="V35" s="13">
        <f>V22-V33</f>
        <v>349705.549953202</v>
      </c>
      <c r="W35" s="13">
        <f>W22-W33</f>
        <v>331476.7855599228</v>
      </c>
    </row>
    <row r="36" spans="1:23">
      <c r="A36" t="s">
        <v>284</v>
      </c>
      <c r="C36" s="13">
        <f>MAX(0,-C35)</f>
        <v>0</v>
      </c>
      <c r="D36" s="13">
        <f>MAX(0,C36-D35)</f>
        <v>0</v>
      </c>
      <c r="E36" s="13">
        <f>MAX(0,D36-E35)</f>
        <v>0</v>
      </c>
      <c r="F36" s="13">
        <f>MAX(0,E36-F35)</f>
        <v>0</v>
      </c>
      <c r="G36" s="13">
        <f>MAX(0,F36-G35)</f>
        <v>0</v>
      </c>
      <c r="H36" s="13">
        <f>MAX(0,G36-H35)</f>
        <v>0</v>
      </c>
      <c r="I36" s="13">
        <f>MAX(0,H36-I35)</f>
        <v>0</v>
      </c>
      <c r="J36" s="13">
        <f>MAX(0,I36-J35)</f>
        <v>0</v>
      </c>
      <c r="K36" s="13">
        <f>MAX(0,J36-K35)</f>
        <v>0</v>
      </c>
      <c r="L36" s="13">
        <f>MAX(0,K36-L35)</f>
        <v>0</v>
      </c>
      <c r="M36" s="13">
        <f>MAX(0,L36-M35)</f>
        <v>0</v>
      </c>
      <c r="N36" s="13">
        <f>MAX(0,M36-N35)</f>
        <v>0</v>
      </c>
      <c r="O36" s="13">
        <f>MAX(0,N36-O35)</f>
        <v>0</v>
      </c>
      <c r="P36" s="13">
        <f>MAX(0,O36-P35)</f>
        <v>0</v>
      </c>
      <c r="Q36" s="13">
        <f>MAX(0,P36-Q35)</f>
        <v>0</v>
      </c>
      <c r="R36" s="13">
        <f>MAX(0,Q36-R35)</f>
        <v>0</v>
      </c>
      <c r="S36" s="13">
        <f>MAX(0,R36-S35)</f>
        <v>0</v>
      </c>
      <c r="T36" s="13">
        <f>MAX(0,S36-T35)</f>
        <v>0</v>
      </c>
      <c r="U36" s="13">
        <f>MAX(0,T36-U35)</f>
        <v>0</v>
      </c>
      <c r="V36" s="13">
        <f>MAX(0,U36-V35)</f>
        <v>0</v>
      </c>
      <c r="W36" s="13">
        <f>MAX(0,V36-W35)</f>
        <v>0</v>
      </c>
    </row>
    <row r="37" spans="1:23">
      <c r="A37" t="s">
        <v>285</v>
      </c>
      <c r="C37" s="13">
        <f>-a_tax*MAX(0,C35)</f>
        <v>-0.0</v>
      </c>
      <c r="D37" s="13">
        <f>-a_tax*MAX(0,D35-C36)</f>
        <v>-0.0</v>
      </c>
      <c r="E37" s="13">
        <f>-a_tax*MAX(0,E35-D36)</f>
        <v>-0.0</v>
      </c>
      <c r="F37" s="13">
        <f>-a_tax*MAX(0,F35-E36)</f>
        <v>-22718.42667715877</v>
      </c>
      <c r="G37" s="13">
        <f>-a_tax*MAX(0,G35-F36)</f>
        <v>-35166.12465155004</v>
      </c>
      <c r="H37" s="13">
        <f>-a_tax*MAX(0,H35-G36)</f>
        <v>-37538.307639290586</v>
      </c>
      <c r="I37" s="13">
        <f>-a_tax*MAX(0,I35-H36)</f>
        <v>-40228.96911838354</v>
      </c>
      <c r="J37" s="13">
        <f>-a_tax*MAX(0,J35-I36)</f>
        <v>-102519.00836490831</v>
      </c>
      <c r="K37" s="13">
        <f>-a_tax*MAX(0,K35-J36)</f>
        <v>-105937.10799639797</v>
      </c>
      <c r="L37" s="13">
        <f>-a_tax*MAX(0,L35-K36)</f>
        <v>-109769.29377285532</v>
      </c>
      <c r="M37" s="13">
        <f>-a_tax*MAX(0,M35-L36)</f>
        <v>-114052.9117311111</v>
      </c>
      <c r="N37" s="13">
        <f>-a_tax*MAX(0,N35-M36)</f>
        <v>-31022.040446207367</v>
      </c>
      <c r="O37" s="13">
        <f>-a_tax*MAX(0,O35-N36)</f>
        <v>-27856.250358926136</v>
      </c>
      <c r="P37" s="13">
        <f>-a_tax*MAX(0,P35-O36)</f>
        <v>-24595.486569026354</v>
      </c>
      <c r="Q37" s="13">
        <f>-a_tax*MAX(0,Q35-P36)</f>
        <v>-21236.899865429692</v>
      </c>
      <c r="R37" s="13">
        <f>-a_tax*MAX(0,R35-Q36)</f>
        <v>-17777.555560725043</v>
      </c>
      <c r="S37" s="13">
        <f>-a_tax*MAX(0,S35-R36)</f>
        <v>-14214.430926879342</v>
      </c>
      <c r="T37" s="13">
        <f>-a_tax*MAX(0,T35-S36)</f>
        <v>-84608.86240551976</v>
      </c>
      <c r="U37" s="13">
        <f>-a_tax*MAX(0,U35-T36)</f>
        <v>-80828.74348147283</v>
      </c>
      <c r="V37" s="13">
        <f>-a_tax*MAX(0,V35-U36)</f>
        <v>-76935.22098970444</v>
      </c>
      <c r="W37" s="13">
        <f>-a_tax*MAX(0,W35-V36)</f>
        <v>-72924.89282318302</v>
      </c>
    </row>
    <row r="38" spans="1:23">
      <c r="A38" t="s">
        <v>286</v>
      </c>
      <c r="C38" s="10">
        <f>""</f>
        <v>0</v>
      </c>
      <c r="D38" s="10">
        <f>IF(D33+D34&gt;0,(D17+D37+D19)/(D33+D34),"")</f>
        <v>0</v>
      </c>
      <c r="E38" s="10">
        <f>IF(E33+E34&gt;0,(E17+E37+E19)/(E33+E34),"")</f>
        <v>0</v>
      </c>
      <c r="F38" s="10">
        <f>IF(F33+F34&gt;0,(F17+F37+F19)/(F33+F34),"")</f>
        <v>0</v>
      </c>
      <c r="G38" s="10">
        <f>IF(G33+G34&gt;0,(G17+G37+G19)/(G33+G34),"")</f>
        <v>0</v>
      </c>
      <c r="H38" s="10">
        <f>IF(H33+H34&gt;0,(H17+H37+H19)/(H33+H34),"")</f>
        <v>0</v>
      </c>
      <c r="I38" s="10">
        <f>IF(I33+I34&gt;0,(I17+I37+I19)/(I33+I34),"")</f>
        <v>0</v>
      </c>
      <c r="J38" s="10">
        <f>IF(J33+J34&gt;0,(J17+J37+J19)/(J33+J34),"")</f>
        <v>0</v>
      </c>
      <c r="K38" s="10">
        <f>IF(K33+K34&gt;0,(K17+K37+K19)/(K33+K34),"")</f>
        <v>0</v>
      </c>
      <c r="L38" s="10">
        <f>IF(L33+L34&gt;0,(L17+L37+L19)/(L33+L34),"")</f>
        <v>0</v>
      </c>
      <c r="M38" s="10">
        <f>IF(M33+M34&gt;0,(M17+M37+M19)/(M33+M34),"")</f>
        <v>0</v>
      </c>
      <c r="N38" s="10">
        <f>IF(N33+N34&gt;0,(N17+N37+N19)/(N33+N34),"")</f>
        <v>0</v>
      </c>
      <c r="O38" s="10">
        <f>IF(O33+O34&gt;0,(O17+O37+O19)/(O33+O34),"")</f>
        <v>0</v>
      </c>
      <c r="P38" s="10">
        <f>IF(P33+P34&gt;0,(P17+P37+P19)/(P33+P34),"")</f>
        <v>0</v>
      </c>
      <c r="Q38" s="10">
        <f>IF(Q33+Q34&gt;0,(Q17+Q37+Q19)/(Q33+Q34),"")</f>
        <v>0</v>
      </c>
      <c r="R38" s="10">
        <f>IF(R33+R34&gt;0,(R17+R37+R19)/(R33+R34),"")</f>
        <v>0</v>
      </c>
      <c r="S38" s="10">
        <f>IF(S33+S34&gt;0,(S17+S37+S19)/(S33+S34),"")</f>
        <v>0</v>
      </c>
      <c r="T38" s="10">
        <f>IF(T33+T34&gt;0,(T17+T37+T19)/(T33+T34),"")</f>
        <v>0</v>
      </c>
      <c r="U38" s="10">
        <f>IF(U33+U34&gt;0,(U17+U37+U19)/(U33+U34),"")</f>
        <v>0</v>
      </c>
      <c r="V38" s="10">
        <f>IF(V33+V34&gt;0,(V17+V37+V19)/(V33+V34),"")</f>
        <v>0</v>
      </c>
      <c r="W38" s="10">
        <f>IF(W33+W34&gt;0,(W17+W37+W19)/(W33+W34),"")</f>
        <v>0</v>
      </c>
    </row>
    <row r="39" spans="1:23">
      <c r="A39" s="9" t="s">
        <v>287</v>
      </c>
      <c r="C39" s="14">
        <f>C17+C37+C18*(1-a_debt_frac)+C19-C33-C34</f>
        <v>-2154602.1774982284</v>
      </c>
      <c r="D39" s="14">
        <f>D17+D37+D18*(1-a_debt_frac)+D19-D33-D34</f>
        <v>121723.1530088044</v>
      </c>
      <c r="E39" s="14">
        <f>E17+E37+E18*(1-a_debt_frac)+E19-E33-E34</f>
        <v>507178.6471681085</v>
      </c>
      <c r="F39" s="14">
        <f>F17+F37+F18*(1-a_debt_frac)+F19-F33-F34</f>
        <v>473431.5182455859</v>
      </c>
      <c r="G39" s="14">
        <f>G17+G37+G18*(1-a_debt_frac)+G19-G33-G34</f>
        <v>449624.25695847045</v>
      </c>
      <c r="H39" s="14">
        <f>H17+H37+H18*(1-a_debt_frac)+H19-H33-H34</f>
        <v>435551.7237586238</v>
      </c>
      <c r="I39" s="14">
        <f>I17+I37+I18*(1-a_debt_frac)+I19-I33-I34</f>
        <v>420809.70156106155</v>
      </c>
      <c r="J39" s="14">
        <f>J17+J37+J18*(1-a_debt_frac)+J19-J33-J34</f>
        <v>346106.7607745134</v>
      </c>
      <c r="K39" s="14">
        <f>K17+K37+K18*(1-a_debt_frac)+K19-K33-K34</f>
        <v>329903.3725567997</v>
      </c>
      <c r="L39" s="14">
        <f>L17+L37+L18*(1-a_debt_frac)+L19-L33-L34</f>
        <v>312902.33953653165</v>
      </c>
      <c r="M39" s="14">
        <f>M17+M37+M18*(1-a_debt_frac)+M19-M33-M34</f>
        <v>295054.8089171506</v>
      </c>
      <c r="N39" s="14">
        <f>N17+N37+N18*(1-a_debt_frac)+N19-N33-N34</f>
        <v>446643.8245433788</v>
      </c>
      <c r="O39" s="14">
        <f>O17+O37+O18*(1-a_debt_frac)+O19-O33-O34</f>
        <v>435419.65968847263</v>
      </c>
      <c r="P39" s="14">
        <f>P17+P37+P18*(1-a_debt_frac)+P19-P33-P34</f>
        <v>423858.76988791884</v>
      </c>
      <c r="Q39" s="14">
        <f>Q17+Q37+Q18*(1-a_debt_frac)+Q19-Q33-Q34</f>
        <v>411951.0533933489</v>
      </c>
      <c r="R39" s="14">
        <f>R17+R37+R18*(1-a_debt_frac)+R19-R33-R34</f>
        <v>399686.1054039415</v>
      </c>
      <c r="S39" s="14">
        <f>S17+S37+S18*(1-a_debt_frac)+S19-S33-S34</f>
        <v>387053.20897485217</v>
      </c>
      <c r="T39" s="14">
        <f>T17+T37+T18*(1-a_debt_frac)+T19-T33-T34</f>
        <v>299976.87580138823</v>
      </c>
      <c r="U39" s="14">
        <f>U17+U37+U18*(1-a_debt_frac)+U19-U33-U34</f>
        <v>286574.6359797673</v>
      </c>
      <c r="V39" s="14">
        <f>V17+V37+V18*(1-a_debt_frac)+V19-V33-V34</f>
        <v>272770.3289634976</v>
      </c>
      <c r="W39" s="14">
        <f>W17+W37+W18*(1-a_debt_frac)+W19-W33-W34</f>
        <v>330450.41111518344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48.7109375" customWidth="1"/>
    <col min="2" max="2" width="16.7109375" customWidth="1"/>
    <col min="3" max="3" width="22.7109375" customWidth="1"/>
    <col min="4" max="4" width="14.7109375" customWidth="1"/>
  </cols>
  <sheetData>
    <row r="1" spans="1:4">
      <c r="A1" s="1" t="s">
        <v>288</v>
      </c>
    </row>
    <row r="3" spans="1:4">
      <c r="A3" s="6" t="s">
        <v>289</v>
      </c>
      <c r="B3" s="6" t="s">
        <v>290</v>
      </c>
      <c r="C3" s="6" t="s">
        <v>291</v>
      </c>
      <c r="D3" s="6" t="s">
        <v>292</v>
      </c>
    </row>
    <row r="4" spans="1:4">
      <c r="A4" s="8" t="s">
        <v>293</v>
      </c>
      <c r="B4" s="3">
        <f>SUMPRODUCT('Arus Kas'!$C$25:$W$25,'Arus Kas'!$C$27:$W$27)</f>
        <v>614206.3807059919</v>
      </c>
      <c r="C4" s="8" t="s">
        <v>294</v>
      </c>
      <c r="D4" s="8">
        <f>IF(B4&gt;0,"Layak","Tidak layak")</f>
        <v>0</v>
      </c>
    </row>
    <row r="5" spans="1:4">
      <c r="A5" s="8" t="s">
        <v>295</v>
      </c>
      <c r="B5" s="4">
        <f>IRR('Arus Kas'!$C$25:$W$25)</f>
        <v>0.11695251643687354</v>
      </c>
      <c r="C5" s="8" t="s">
        <v>296</v>
      </c>
      <c r="D5" s="8">
        <f>IF(B5&gt;WACC,"Layak","Tidak layak")</f>
        <v>0</v>
      </c>
    </row>
    <row r="6" spans="1:4">
      <c r="A6" s="8" t="s">
        <v>297</v>
      </c>
      <c r="B6" s="4">
        <f>IRR('Arus Kas'!$C$39:$W$39)</f>
        <v>0.16523029166122305</v>
      </c>
      <c r="C6" s="8" t="s">
        <v>298</v>
      </c>
      <c r="D6" s="8">
        <f>IF(B6&gt;a_r_eq,"Layak","Tidak layak")</f>
        <v>0</v>
      </c>
    </row>
    <row r="7" spans="1:4">
      <c r="A7" s="8" t="s">
        <v>161</v>
      </c>
      <c r="B7" s="4">
        <f>WACC</f>
        <v>0.09744</v>
      </c>
      <c r="C7" s="8" t="s">
        <v>12</v>
      </c>
      <c r="D7" s="8">
        <f>"Informasi"</f>
        <v>0</v>
      </c>
    </row>
    <row r="8" spans="1:4">
      <c r="A8" s="8" t="s">
        <v>299</v>
      </c>
      <c r="B8" s="5">
        <f>SUM('Arus Kas'!$C$30:$W$30)</f>
        <v>6.45519908001742</v>
      </c>
      <c r="C8" s="8" t="s">
        <v>300</v>
      </c>
      <c r="D8" s="8">
        <f>IF(B8&lt;a_n_op,"Layak","Tidak layak")</f>
        <v>0</v>
      </c>
    </row>
    <row r="9" spans="1:4">
      <c r="A9" s="8" t="s">
        <v>301</v>
      </c>
      <c r="B9" s="5">
        <f>IF(SUM('Arus Kas'!$C$31:$W$31)=0,"&gt; umur",SUM('Arus Kas'!$C$31:$W$31))</f>
        <v>12.193752847108337</v>
      </c>
      <c r="C9" s="8" t="s">
        <v>300</v>
      </c>
      <c r="D9" s="8">
        <f>IF(ISNUMBER(B9),IF(B9&lt;a_n_op,"Layak","Tidak layak"),"Tidak layak")</f>
        <v>0</v>
      </c>
    </row>
    <row r="10" spans="1:4">
      <c r="A10" s="8" t="s">
        <v>302</v>
      </c>
      <c r="B10" s="5">
        <f>SUMPRODUCT('Arus Kas'!$D$25:$W$25,'Arus Kas'!$D$27:$W$27)/FCI</f>
        <v>1.1140268745888233</v>
      </c>
      <c r="C10" s="8" t="s">
        <v>303</v>
      </c>
      <c r="D10" s="8">
        <f>IF(B10&gt;1,"Layak","Tidak layak")</f>
        <v>0</v>
      </c>
    </row>
    <row r="11" spans="1:4">
      <c r="A11" s="8" t="s">
        <v>304</v>
      </c>
      <c r="B11" s="5">
        <f>MIN('Arus Kas'!$C$38:$W$38)</f>
        <v>1.2527217548108303</v>
      </c>
      <c r="C11" s="8" t="s">
        <v>305</v>
      </c>
      <c r="D11" s="8">
        <f>IF(B11&gt;1.2,"Layak","Tidak layak")</f>
        <v>0</v>
      </c>
    </row>
    <row r="12" spans="1:4">
      <c r="A12" s="8" t="s">
        <v>306</v>
      </c>
      <c r="B12" s="12">
        <f>(FCI-SUMPRODUCT('Arus Kas'!$C$16:$W$16,'Arus Kas'!$C$27:$W$27))/(SUMPRODUCT('Arus Kas'!$C$7:$W$7,'Arus Kas'!$C$27:$W$27)*1000000)</f>
        <v>0.16958400033533946</v>
      </c>
      <c r="C12" s="8" t="s">
        <v>307</v>
      </c>
      <c r="D12" s="8">
        <f>"Informasi"</f>
        <v>0</v>
      </c>
    </row>
    <row r="13" spans="1:4">
      <c r="A13" s="8" t="s">
        <v>308</v>
      </c>
      <c r="B13" s="3">
        <f>-MIN('Arus Kas'!$C$26:$W$26)</f>
        <v>5386505.44374557</v>
      </c>
      <c r="C13" s="8" t="s">
        <v>309</v>
      </c>
      <c r="D13" s="8">
        <f>"Informasi"</f>
        <v>0</v>
      </c>
    </row>
    <row r="14" spans="1:4">
      <c r="A14" s="8" t="s">
        <v>310</v>
      </c>
      <c r="B14" s="3">
        <f>SUM('Arus Kas'!$C$25:$W$25)</f>
        <v>6468045.783106786</v>
      </c>
      <c r="C14" s="8" t="s">
        <v>12</v>
      </c>
      <c r="D14" s="8">
        <f>"Informasi"</f>
        <v>0</v>
      </c>
    </row>
    <row r="16" spans="1:4">
      <c r="A16" s="9" t="s">
        <v>311</v>
      </c>
    </row>
    <row r="17" spans="1:2">
      <c r="A17" s="8" t="s">
        <v>312</v>
      </c>
      <c r="B17" s="15">
        <v>0.2365893272347053</v>
      </c>
    </row>
    <row r="18" spans="1:2">
      <c r="A18" s="8" t="s">
        <v>313</v>
      </c>
      <c r="B18" s="15">
        <v>0.6823330234535876</v>
      </c>
    </row>
    <row r="19" spans="1:2">
      <c r="A19" s="8" t="s">
        <v>314</v>
      </c>
      <c r="B19" s="15">
        <v>0.1419535963408232</v>
      </c>
    </row>
    <row r="20" spans="1:2">
      <c r="A20" s="8" t="s">
        <v>315</v>
      </c>
      <c r="B20" s="10">
        <v>9.752167413285779</v>
      </c>
    </row>
    <row r="21" spans="1:2">
      <c r="A21" s="8" t="s">
        <v>316</v>
      </c>
      <c r="B21" s="10">
        <v>9.01550802640373</v>
      </c>
    </row>
    <row r="22" spans="1:2">
      <c r="A22" s="8" t="s">
        <v>317</v>
      </c>
      <c r="B22" s="10">
        <v>0.896402676801868</v>
      </c>
    </row>
    <row r="23" spans="1:2">
      <c r="A23" s="8" t="s">
        <v>318</v>
      </c>
      <c r="B23" s="10">
        <v>1.128470580480175</v>
      </c>
    </row>
    <row r="25" spans="1:2">
      <c r="A25" s="2" t="s">
        <v>319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E67"/>
  <sheetViews>
    <sheetView workbookViewId="0"/>
  </sheetViews>
  <sheetFormatPr defaultRowHeight="15"/>
  <cols>
    <col min="1" max="1" width="36.7109375" customWidth="1"/>
    <col min="2" max="5" width="15.7109375" customWidth="1"/>
  </cols>
  <sheetData>
    <row r="1" spans="1:5">
      <c r="A1" s="1" t="s">
        <v>320</v>
      </c>
    </row>
    <row r="3" spans="1:5">
      <c r="A3" s="6" t="s">
        <v>321</v>
      </c>
      <c r="B3" s="6" t="s">
        <v>322</v>
      </c>
      <c r="C3" s="6" t="s">
        <v>323</v>
      </c>
      <c r="D3" s="6" t="s">
        <v>324</v>
      </c>
      <c r="E3" s="6" t="s">
        <v>325</v>
      </c>
    </row>
    <row r="4" spans="1:5">
      <c r="A4" s="8" t="s">
        <v>326</v>
      </c>
      <c r="B4" s="13">
        <v>-580801.9956723606</v>
      </c>
      <c r="C4" s="13">
        <v>1781553.041456837</v>
      </c>
      <c r="D4" s="11">
        <f>ABS(C4-B4)</f>
        <v>2362355.0371291973</v>
      </c>
      <c r="E4" s="11">
        <v>614206.3807059919</v>
      </c>
    </row>
    <row r="5" spans="1:5">
      <c r="A5" s="8" t="s">
        <v>327</v>
      </c>
      <c r="B5" s="13">
        <v>-389761.4263770679</v>
      </c>
      <c r="C5" s="13">
        <v>1616788.577602706</v>
      </c>
      <c r="D5" s="11">
        <f>ABS(C5-B5)</f>
        <v>2006550.0039797742</v>
      </c>
      <c r="E5" s="11">
        <v>614206.3807059919</v>
      </c>
    </row>
    <row r="6" spans="1:5">
      <c r="A6" s="8" t="s">
        <v>266</v>
      </c>
      <c r="B6" s="13">
        <v>1570049.568644052</v>
      </c>
      <c r="C6" s="13">
        <v>-342713.7198373731</v>
      </c>
      <c r="D6" s="11">
        <f>ABS(C6-B6)</f>
        <v>1912763.2884814248</v>
      </c>
      <c r="E6" s="11">
        <v>614206.3807059919</v>
      </c>
    </row>
    <row r="7" spans="1:5">
      <c r="A7" s="8" t="s">
        <v>328</v>
      </c>
      <c r="B7" s="13">
        <v>1337515.280159895</v>
      </c>
      <c r="C7" s="13">
        <v>-110722.1122642007</v>
      </c>
      <c r="D7" s="11">
        <f>ABS(C7-B7)</f>
        <v>1448237.392424096</v>
      </c>
      <c r="E7" s="11">
        <v>614206.3807059919</v>
      </c>
    </row>
    <row r="8" spans="1:5">
      <c r="A8" s="8" t="s">
        <v>329</v>
      </c>
      <c r="B8" s="13">
        <v>120446.6299111164</v>
      </c>
      <c r="C8" s="13">
        <v>1107920.176787079</v>
      </c>
      <c r="D8" s="11">
        <f>ABS(C8-B8)</f>
        <v>987473.546875963</v>
      </c>
      <c r="E8" s="11">
        <v>614206.3807059919</v>
      </c>
    </row>
    <row r="9" spans="1:5">
      <c r="A9" s="8" t="s">
        <v>330</v>
      </c>
      <c r="B9" s="13">
        <v>1051779.644504431</v>
      </c>
      <c r="C9" s="13">
        <v>223571.7570995584</v>
      </c>
      <c r="D9" s="11">
        <f>ABS(C9-B9)</f>
        <v>828207.8874048726</v>
      </c>
      <c r="E9" s="11">
        <v>614206.3807059919</v>
      </c>
    </row>
    <row r="10" spans="1:5">
      <c r="A10" s="8" t="s">
        <v>331</v>
      </c>
      <c r="B10" s="13">
        <v>493035.4558552764</v>
      </c>
      <c r="C10" s="13">
        <v>735377.3055567067</v>
      </c>
      <c r="D10" s="11">
        <f>ABS(C10-B10)</f>
        <v>242341.8497014303</v>
      </c>
      <c r="E10" s="11">
        <v>614206.3807059919</v>
      </c>
    </row>
    <row r="11" spans="1:5">
      <c r="A11" s="8" t="s">
        <v>332</v>
      </c>
      <c r="B11" s="13">
        <v>515464.0219185528</v>
      </c>
      <c r="C11" s="13">
        <v>712948.7394934305</v>
      </c>
      <c r="D11" s="11">
        <f>ABS(C11-B11)</f>
        <v>197484.71757487766</v>
      </c>
      <c r="E11" s="11">
        <v>614206.3807059919</v>
      </c>
    </row>
    <row r="14" spans="1:5">
      <c r="A14" s="9" t="s">
        <v>333</v>
      </c>
    </row>
    <row r="15" spans="1:5">
      <c r="A15" s="6" t="s">
        <v>334</v>
      </c>
      <c r="B15" s="6" t="s">
        <v>335</v>
      </c>
    </row>
    <row r="16" spans="1:5">
      <c r="A16" s="15">
        <v>0.04</v>
      </c>
      <c r="B16" s="13">
        <f>'Arus Kas'!$C$25+NPV(A16,'Arus Kas'!$D$25:$W$25)</f>
        <v>3288986.7281520586</v>
      </c>
    </row>
    <row r="17" spans="1:2">
      <c r="A17" s="15">
        <v>0.045</v>
      </c>
      <c r="B17" s="13">
        <f>'Arus Kas'!$C$25+NPV(A17,'Arus Kas'!$D$25:$W$25)</f>
        <v>2986234.6194793168</v>
      </c>
    </row>
    <row r="18" spans="1:2">
      <c r="A18" s="15">
        <v>0.05</v>
      </c>
      <c r="B18" s="13">
        <f>'Arus Kas'!$C$25+NPV(A18,'Arus Kas'!$D$25:$W$25)</f>
        <v>2699804.689539751</v>
      </c>
    </row>
    <row r="19" spans="1:2">
      <c r="A19" s="15">
        <v>0.055</v>
      </c>
      <c r="B19" s="13">
        <f>'Arus Kas'!$C$25+NPV(A19,'Arus Kas'!$D$25:$W$25)</f>
        <v>2428588.5774095645</v>
      </c>
    </row>
    <row r="20" spans="1:2">
      <c r="A20" s="15">
        <v>0.06</v>
      </c>
      <c r="B20" s="13">
        <f>'Arus Kas'!$C$25+NPV(A20,'Arus Kas'!$D$25:$W$25)</f>
        <v>2171565.24305492</v>
      </c>
    </row>
    <row r="21" spans="1:2">
      <c r="A21" s="15">
        <v>0.065</v>
      </c>
      <c r="B21" s="13">
        <f>'Arus Kas'!$C$25+NPV(A21,'Arus Kas'!$D$25:$W$25)</f>
        <v>1927793.317012338</v>
      </c>
    </row>
    <row r="22" spans="1:2">
      <c r="A22" s="15">
        <v>0.06999999999999999</v>
      </c>
      <c r="B22" s="13">
        <f>'Arus Kas'!$C$25+NPV(A22,'Arus Kas'!$D$25:$W$25)</f>
        <v>1696404.1773552552</v>
      </c>
    </row>
    <row r="23" spans="1:2">
      <c r="A23" s="15">
        <v>0.075</v>
      </c>
      <c r="B23" s="13">
        <f>'Arus Kas'!$C$25+NPV(A23,'Arus Kas'!$D$25:$W$25)</f>
        <v>1476595.6800653008</v>
      </c>
    </row>
    <row r="24" spans="1:2">
      <c r="A24" s="15">
        <v>0.07999999999999999</v>
      </c>
      <c r="B24" s="13">
        <f>'Arus Kas'!$C$25+NPV(A24,'Arus Kas'!$D$25:$W$25)</f>
        <v>1267626.4768649794</v>
      </c>
    </row>
    <row r="25" spans="1:2">
      <c r="A25" s="15">
        <v>0.08499999999999999</v>
      </c>
      <c r="B25" s="13">
        <f>'Arus Kas'!$C$25+NPV(A25,'Arus Kas'!$D$25:$W$25)</f>
        <v>1068810.861612061</v>
      </c>
    </row>
    <row r="26" spans="1:2">
      <c r="A26" s="15">
        <v>0.09</v>
      </c>
      <c r="B26" s="13">
        <f>'Arus Kas'!$C$25+NPV(A26,'Arus Kas'!$D$25:$W$25)</f>
        <v>879514.0926079557</v>
      </c>
    </row>
    <row r="27" spans="1:2">
      <c r="A27" s="15">
        <v>0.095</v>
      </c>
      <c r="B27" s="13">
        <f>'Arus Kas'!$C$25+NPV(A27,'Arus Kas'!$D$25:$W$25)</f>
        <v>699148.1437279762</v>
      </c>
    </row>
    <row r="28" spans="1:2">
      <c r="A28" s="15">
        <v>0.09999999999999999</v>
      </c>
      <c r="B28" s="13">
        <f>'Arus Kas'!$C$25+NPV(A28,'Arus Kas'!$D$25:$W$25)</f>
        <v>527167.8422195632</v>
      </c>
    </row>
    <row r="29" spans="1:2">
      <c r="A29" s="15">
        <v>0.105</v>
      </c>
      <c r="B29" s="13">
        <f>'Arus Kas'!$C$25+NPV(A29,'Arus Kas'!$D$25:$W$25)</f>
        <v>363067.3554090785</v>
      </c>
    </row>
    <row r="30" spans="1:2">
      <c r="A30" s="15">
        <v>0.11</v>
      </c>
      <c r="B30" s="13">
        <f>'Arus Kas'!$C$25+NPV(A30,'Arus Kas'!$D$25:$W$25)</f>
        <v>206376.9924693421</v>
      </c>
    </row>
    <row r="31" spans="1:2">
      <c r="A31" s="15">
        <v>0.115</v>
      </c>
      <c r="B31" s="13">
        <f>'Arus Kas'!$C$25+NPV(A31,'Arus Kas'!$D$25:$W$25)</f>
        <v>56660.290885976654</v>
      </c>
    </row>
    <row r="32" spans="1:2">
      <c r="A32" s="15">
        <v>0.12</v>
      </c>
      <c r="B32" s="13">
        <f>'Arus Kas'!$C$25+NPV(A32,'Arus Kas'!$D$25:$W$25)</f>
        <v>-86488.6396321342</v>
      </c>
    </row>
    <row r="33" spans="1:2">
      <c r="A33" s="15">
        <v>0.125</v>
      </c>
      <c r="B33" s="13">
        <f>'Arus Kas'!$C$25+NPV(A33,'Arus Kas'!$D$25:$W$25)</f>
        <v>-223447.54028039792</v>
      </c>
    </row>
    <row r="34" spans="1:2">
      <c r="A34" s="15">
        <v>0.13</v>
      </c>
      <c r="B34" s="13">
        <f>'Arus Kas'!$C$25+NPV(A34,'Arus Kas'!$D$25:$W$25)</f>
        <v>-354568.2153308456</v>
      </c>
    </row>
    <row r="35" spans="1:2">
      <c r="A35" s="15">
        <v>0.135</v>
      </c>
      <c r="B35" s="13">
        <f>'Arus Kas'!$C$25+NPV(A35,'Arus Kas'!$D$25:$W$25)</f>
        <v>-480178.5531446179</v>
      </c>
    </row>
    <row r="36" spans="1:2">
      <c r="A36" s="15">
        <v>0.14</v>
      </c>
      <c r="B36" s="13">
        <f>'Arus Kas'!$C$25+NPV(A36,'Arus Kas'!$D$25:$W$25)</f>
        <v>-600584.373842878</v>
      </c>
    </row>
    <row r="37" spans="1:2">
      <c r="A37" s="15">
        <v>0.145</v>
      </c>
      <c r="B37" s="13">
        <f>'Arus Kas'!$C$25+NPV(A37,'Arus Kas'!$D$25:$W$25)</f>
        <v>-716071.1196857764</v>
      </c>
    </row>
    <row r="38" spans="1:2">
      <c r="A38" s="15">
        <v>0.15</v>
      </c>
      <c r="B38" s="13">
        <f>'Arus Kas'!$C$25+NPV(A38,'Arus Kas'!$D$25:$W$25)</f>
        <v>-826905.4026254114</v>
      </c>
    </row>
    <row r="39" spans="1:2">
      <c r="A39" s="15">
        <v>0.155</v>
      </c>
      <c r="B39" s="13">
        <f>'Arus Kas'!$C$25+NPV(A39,'Arus Kas'!$D$25:$W$25)</f>
        <v>-933336.4220806344</v>
      </c>
    </row>
    <row r="40" spans="1:2">
      <c r="A40" s="15">
        <v>0.16</v>
      </c>
      <c r="B40" s="13">
        <f>'Arus Kas'!$C$25+NPV(A40,'Arus Kas'!$D$25:$W$25)</f>
        <v>-1035597.264709626</v>
      </c>
    </row>
    <row r="41" spans="1:2">
      <c r="A41" s="15">
        <v>0.165</v>
      </c>
      <c r="B41" s="13">
        <f>'Arus Kas'!$C$25+NPV(A41,'Arus Kas'!$D$25:$W$25)</f>
        <v>-1133906.0968159393</v>
      </c>
    </row>
    <row r="42" spans="1:2">
      <c r="A42" s="15">
        <v>0.17</v>
      </c>
      <c r="B42" s="13">
        <f>'Arus Kas'!$C$25+NPV(A42,'Arus Kas'!$D$25:$W$25)</f>
        <v>-1228467.2589996275</v>
      </c>
    </row>
    <row r="43" spans="1:2">
      <c r="A43" s="15">
        <v>0.175</v>
      </c>
      <c r="B43" s="13">
        <f>'Arus Kas'!$C$25+NPV(A43,'Arus Kas'!$D$25:$W$25)</f>
        <v>-1319472.2717458252</v>
      </c>
    </row>
    <row r="44" spans="1:2">
      <c r="A44" s="15">
        <v>0.18</v>
      </c>
      <c r="B44" s="13">
        <f>'Arus Kas'!$C$25+NPV(A44,'Arus Kas'!$D$25:$W$25)</f>
        <v>-1407100.759816406</v>
      </c>
    </row>
    <row r="45" spans="1:2">
      <c r="A45" s="15">
        <v>0.185</v>
      </c>
      <c r="B45" s="13">
        <f>'Arus Kas'!$C$25+NPV(A45,'Arus Kas'!$D$25:$W$25)</f>
        <v>-1491521.302567397</v>
      </c>
    </row>
    <row r="46" spans="1:2">
      <c r="A46" s="15">
        <v>0.19</v>
      </c>
      <c r="B46" s="13">
        <f>'Arus Kas'!$C$25+NPV(A46,'Arus Kas'!$D$25:$W$25)</f>
        <v>-1572892.2166456762</v>
      </c>
    </row>
    <row r="47" spans="1:2">
      <c r="A47" s="15">
        <v>0.195</v>
      </c>
      <c r="B47" s="13">
        <f>'Arus Kas'!$C$25+NPV(A47,'Arus Kas'!$D$25:$W$25)</f>
        <v>-1651362.276916399</v>
      </c>
    </row>
    <row r="48" spans="1:2">
      <c r="A48" s="15">
        <v>0.2</v>
      </c>
      <c r="B48" s="13">
        <f>'Arus Kas'!$C$25+NPV(A48,'Arus Kas'!$D$25:$W$25)</f>
        <v>-1727071.380929709</v>
      </c>
    </row>
    <row r="49" spans="1:5">
      <c r="A49" s="15">
        <v>0.205</v>
      </c>
      <c r="B49" s="13">
        <f>'Arus Kas'!$C$25+NPV(A49,'Arus Kas'!$D$25:$W$25)</f>
        <v>-1800151.1617461136</v>
      </c>
    </row>
    <row r="50" spans="1:5">
      <c r="A50" s="15">
        <v>0.21</v>
      </c>
      <c r="B50" s="13">
        <f>'Arus Kas'!$C$25+NPV(A50,'Arus Kas'!$D$25:$W$25)</f>
        <v>-1870725.553498269</v>
      </c>
    </row>
    <row r="51" spans="1:5">
      <c r="A51" s="15">
        <v>0.215</v>
      </c>
      <c r="B51" s="13">
        <f>'Arus Kas'!$C$25+NPV(A51,'Arus Kas'!$D$25:$W$25)</f>
        <v>-1938911.3136685842</v>
      </c>
    </row>
    <row r="52" spans="1:5">
      <c r="A52" s="15">
        <v>0.22</v>
      </c>
      <c r="B52" s="13">
        <f>'Arus Kas'!$C$25+NPV(A52,'Arus Kas'!$D$25:$W$25)</f>
        <v>-2004818.5057018613</v>
      </c>
    </row>
    <row r="53" spans="1:5">
      <c r="A53" s="15">
        <v>0.225</v>
      </c>
      <c r="B53" s="13">
        <f>'Arus Kas'!$C$25+NPV(A53,'Arus Kas'!$D$25:$W$25)</f>
        <v>-2068550.9452468895</v>
      </c>
    </row>
    <row r="54" spans="1:5">
      <c r="A54" s="15">
        <v>0.23</v>
      </c>
      <c r="B54" s="13">
        <f>'Arus Kas'!$C$25+NPV(A54,'Arus Kas'!$D$25:$W$25)</f>
        <v>-2130206.6130266744</v>
      </c>
    </row>
    <row r="55" spans="1:5">
      <c r="A55" s="15">
        <v>0.235</v>
      </c>
      <c r="B55" s="13">
        <f>'Arus Kas'!$C$25+NPV(A55,'Arus Kas'!$D$25:$W$25)</f>
        <v>-2189878.0370705137</v>
      </c>
    </row>
    <row r="56" spans="1:5">
      <c r="A56" s="15">
        <v>0.24</v>
      </c>
      <c r="B56" s="13">
        <f>'Arus Kas'!$C$25+NPV(A56,'Arus Kas'!$D$25:$W$25)</f>
        <v>-2247652.6468000887</v>
      </c>
    </row>
    <row r="59" spans="1:5">
      <c r="A59" s="9" t="s">
        <v>336</v>
      </c>
    </row>
    <row r="60" spans="1:5">
      <c r="A60" s="6" t="s">
        <v>337</v>
      </c>
      <c r="B60" s="6" t="s">
        <v>338</v>
      </c>
      <c r="C60" s="6" t="s">
        <v>339</v>
      </c>
      <c r="D60" s="6" t="s">
        <v>340</v>
      </c>
      <c r="E60" s="6" t="s">
        <v>341</v>
      </c>
    </row>
    <row r="61" spans="1:5">
      <c r="A61" s="8" t="s">
        <v>342</v>
      </c>
      <c r="B61" s="11">
        <v>5386505.44374557</v>
      </c>
      <c r="C61" s="13">
        <v>614206.3807059919</v>
      </c>
      <c r="D61" s="15">
        <v>0.1169525164368735</v>
      </c>
      <c r="E61" s="10">
        <v>6.45519908001742</v>
      </c>
    </row>
    <row r="62" spans="1:5">
      <c r="A62" s="8" t="s">
        <v>343</v>
      </c>
      <c r="B62" s="11">
        <v>5386505.44374557</v>
      </c>
      <c r="C62" s="13">
        <v>1046070.912066244</v>
      </c>
      <c r="D62" s="15">
        <v>0.1267801964082852</v>
      </c>
      <c r="E62" s="10">
        <v>6.45519908001742</v>
      </c>
    </row>
    <row r="63" spans="1:5">
      <c r="A63" s="8" t="s">
        <v>344</v>
      </c>
      <c r="B63" s="11">
        <v>5386505.44374557</v>
      </c>
      <c r="C63" s="13">
        <v>7643.119827022932</v>
      </c>
      <c r="D63" s="15">
        <v>0.09769803081148376</v>
      </c>
      <c r="E63" s="10">
        <v>6.993056413586266</v>
      </c>
    </row>
    <row r="64" spans="1:5">
      <c r="A64" s="8" t="s">
        <v>345</v>
      </c>
      <c r="B64" s="11">
        <v>5386505.44374557</v>
      </c>
      <c r="C64" s="13">
        <v>-1473422.101548591</v>
      </c>
      <c r="D64" s="15">
        <v>0.03883894749682393</v>
      </c>
      <c r="E64" s="10">
        <v>9.162418762779257</v>
      </c>
    </row>
    <row r="65" spans="1:5">
      <c r="A65" s="8" t="s">
        <v>346</v>
      </c>
      <c r="B65" s="11">
        <v>3795806.0148407</v>
      </c>
      <c r="C65" s="13">
        <v>2025565.96165762</v>
      </c>
      <c r="D65" s="15">
        <v>0.1831161890049707</v>
      </c>
      <c r="E65" s="10">
        <v>4.766475259821203</v>
      </c>
    </row>
    <row r="66" spans="1:5">
      <c r="A66" s="8" t="s">
        <v>347</v>
      </c>
      <c r="B66" s="11">
        <v>4127668.737348056</v>
      </c>
      <c r="C66" s="13">
        <v>-478698.7829963372</v>
      </c>
      <c r="D66" s="15">
        <v>0.07612331685143892</v>
      </c>
      <c r="E66" s="10">
        <v>8.023749516115362</v>
      </c>
    </row>
    <row r="67" spans="1:5">
      <c r="A67" s="8" t="s">
        <v>348</v>
      </c>
      <c r="B67" s="11">
        <v>6543823.61299818</v>
      </c>
      <c r="C67" s="13">
        <v>1297405.483216111</v>
      </c>
      <c r="D67" s="15">
        <v>0.1295988969920737</v>
      </c>
      <c r="E67" s="10">
        <v>6.188238126359581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57"/>
  <sheetViews>
    <sheetView workbookViewId="0"/>
  </sheetViews>
  <sheetFormatPr defaultRowHeight="15"/>
  <cols>
    <col min="1" max="1" width="34.7109375" customWidth="1"/>
    <col min="2" max="7" width="14.7109375" customWidth="1"/>
  </cols>
  <sheetData>
    <row r="1" spans="1:4">
      <c r="A1" s="1" t="s">
        <v>349</v>
      </c>
    </row>
    <row r="3" spans="1:4">
      <c r="A3" s="6" t="s">
        <v>350</v>
      </c>
      <c r="B3" s="6" t="s">
        <v>339</v>
      </c>
      <c r="C3" s="6" t="s">
        <v>340</v>
      </c>
      <c r="D3" s="6" t="s">
        <v>341</v>
      </c>
    </row>
    <row r="4" spans="1:4">
      <c r="A4" t="s">
        <v>351</v>
      </c>
      <c r="B4" s="13">
        <v>-341198.4121826911</v>
      </c>
      <c r="C4" s="15">
        <v>0.08764433133639427</v>
      </c>
      <c r="D4" s="10">
        <v>7.740936025107144</v>
      </c>
    </row>
    <row r="5" spans="1:4">
      <c r="A5" t="s">
        <v>352</v>
      </c>
      <c r="B5" s="13">
        <v>-2145924.843936387</v>
      </c>
      <c r="C5" s="15">
        <v>0.03492150858619299</v>
      </c>
      <c r="D5" s="10">
        <v>5.72616245482829</v>
      </c>
    </row>
    <row r="6" spans="1:4">
      <c r="A6" t="s">
        <v>353</v>
      </c>
      <c r="B6" s="13">
        <v>-351252.4280985746</v>
      </c>
      <c r="C6" s="15">
        <v>0.09003632819136065</v>
      </c>
      <c r="D6" s="10">
        <v>7.422011485936599</v>
      </c>
    </row>
    <row r="7" spans="1:4">
      <c r="A7" t="s">
        <v>354</v>
      </c>
      <c r="B7" s="13">
        <v>1486217.926375193</v>
      </c>
      <c r="C7" s="15">
        <v>0.1416825128360575</v>
      </c>
      <c r="D7" s="10">
        <v>9.883581253139431</v>
      </c>
    </row>
    <row r="8" spans="1:4">
      <c r="A8" t="s">
        <v>355</v>
      </c>
      <c r="B8" s="13">
        <v>1405716.127653816</v>
      </c>
      <c r="C8" s="15">
        <v>0.05728203590193947</v>
      </c>
      <c r="D8" s="10">
        <v>1.97419869868922</v>
      </c>
    </row>
    <row r="10" spans="1:4">
      <c r="A10" s="9" t="s">
        <v>356</v>
      </c>
      <c r="B10" s="4">
        <v>0.39725</v>
      </c>
    </row>
    <row r="11" spans="1:4">
      <c r="A11" s="9" t="s">
        <v>357</v>
      </c>
      <c r="B11" s="4">
        <v>0.4231274638633377</v>
      </c>
    </row>
    <row r="13" spans="1:4">
      <c r="A13" s="9" t="s">
        <v>358</v>
      </c>
    </row>
    <row r="14" spans="1:4">
      <c r="A14" s="6" t="s">
        <v>359</v>
      </c>
      <c r="B14" s="6" t="s">
        <v>360</v>
      </c>
      <c r="C14" s="6" t="s">
        <v>361</v>
      </c>
    </row>
    <row r="15" spans="1:4">
      <c r="A15" t="s">
        <v>362</v>
      </c>
      <c r="B15" s="8" t="s">
        <v>363</v>
      </c>
      <c r="C15" s="10">
        <v>0.6462485063280315</v>
      </c>
    </row>
    <row r="16" spans="1:4">
      <c r="A16" t="s">
        <v>41</v>
      </c>
      <c r="B16" s="8" t="s">
        <v>364</v>
      </c>
      <c r="C16" s="10">
        <v>0.5643091320193208</v>
      </c>
    </row>
    <row r="17" spans="1:3">
      <c r="A17" t="s">
        <v>365</v>
      </c>
      <c r="B17" s="8" t="s">
        <v>366</v>
      </c>
      <c r="C17" s="10">
        <v>-0.3411623198851449</v>
      </c>
    </row>
    <row r="18" spans="1:3">
      <c r="A18" t="s">
        <v>367</v>
      </c>
      <c r="B18" s="8" t="s">
        <v>368</v>
      </c>
      <c r="C18" s="10">
        <v>-0.2100857829428614</v>
      </c>
    </row>
    <row r="19" spans="1:3">
      <c r="A19" t="s">
        <v>60</v>
      </c>
      <c r="B19" s="8" t="s">
        <v>369</v>
      </c>
      <c r="C19" s="10">
        <v>-0.1411767575735473</v>
      </c>
    </row>
    <row r="20" spans="1:3">
      <c r="A20" t="s">
        <v>28</v>
      </c>
      <c r="B20" s="8" t="s">
        <v>370</v>
      </c>
      <c r="C20" s="10">
        <v>0.08009802369362648</v>
      </c>
    </row>
    <row r="21" spans="1:3">
      <c r="A21" t="s">
        <v>15</v>
      </c>
      <c r="B21" s="8" t="s">
        <v>371</v>
      </c>
      <c r="C21" s="10">
        <v>0.07181127092570443</v>
      </c>
    </row>
    <row r="22" spans="1:3">
      <c r="A22" t="s">
        <v>49</v>
      </c>
      <c r="B22" s="8" t="s">
        <v>372</v>
      </c>
      <c r="C22" s="10">
        <v>0.07022539582658724</v>
      </c>
    </row>
    <row r="23" spans="1:3">
      <c r="A23" t="s">
        <v>35</v>
      </c>
      <c r="B23" s="8" t="s">
        <v>373</v>
      </c>
      <c r="C23" s="10">
        <v>0.0700505953781622</v>
      </c>
    </row>
    <row r="24" spans="1:3">
      <c r="A24" t="s">
        <v>124</v>
      </c>
      <c r="B24" s="8" t="s">
        <v>374</v>
      </c>
      <c r="C24" s="10">
        <v>-0.06307082194192637</v>
      </c>
    </row>
    <row r="27" spans="1:3">
      <c r="A27" s="6" t="s">
        <v>375</v>
      </c>
      <c r="B27" s="6" t="s">
        <v>376</v>
      </c>
    </row>
    <row r="28" spans="1:3">
      <c r="A28" s="11">
        <v>-5679999.684392571</v>
      </c>
      <c r="B28" s="11">
        <v>1</v>
      </c>
    </row>
    <row r="29" spans="1:3">
      <c r="A29" s="11">
        <v>-5313259.350895194</v>
      </c>
      <c r="B29" s="11">
        <v>0</v>
      </c>
    </row>
    <row r="30" spans="1:3">
      <c r="A30" s="11">
        <v>-4946519.017397817</v>
      </c>
      <c r="B30" s="11">
        <v>5</v>
      </c>
    </row>
    <row r="31" spans="1:3">
      <c r="A31" s="11">
        <v>-4579778.683900439</v>
      </c>
      <c r="B31" s="11">
        <v>6</v>
      </c>
    </row>
    <row r="32" spans="1:3">
      <c r="A32" s="11">
        <v>-4213038.350403062</v>
      </c>
      <c r="B32" s="11">
        <v>6</v>
      </c>
    </row>
    <row r="33" spans="1:2">
      <c r="A33" s="11">
        <v>-3846298.016905685</v>
      </c>
      <c r="B33" s="11">
        <v>25</v>
      </c>
    </row>
    <row r="34" spans="1:2">
      <c r="A34" s="11">
        <v>-3479557.683408308</v>
      </c>
      <c r="B34" s="11">
        <v>24</v>
      </c>
    </row>
    <row r="35" spans="1:2">
      <c r="A35" s="11">
        <v>-3112817.349910931</v>
      </c>
      <c r="B35" s="11">
        <v>63</v>
      </c>
    </row>
    <row r="36" spans="1:2">
      <c r="A36" s="11">
        <v>-2746077.016413554</v>
      </c>
      <c r="B36" s="11">
        <v>97</v>
      </c>
    </row>
    <row r="37" spans="1:2">
      <c r="A37" s="11">
        <v>-2379336.682916177</v>
      </c>
      <c r="B37" s="11">
        <v>148</v>
      </c>
    </row>
    <row r="38" spans="1:2">
      <c r="A38" s="11">
        <v>-2012596.349418799</v>
      </c>
      <c r="B38" s="11">
        <v>198</v>
      </c>
    </row>
    <row r="39" spans="1:2">
      <c r="A39" s="11">
        <v>-1645856.015921422</v>
      </c>
      <c r="B39" s="11">
        <v>252</v>
      </c>
    </row>
    <row r="40" spans="1:2">
      <c r="A40" s="11">
        <v>-1279115.682424044</v>
      </c>
      <c r="B40" s="11">
        <v>324</v>
      </c>
    </row>
    <row r="41" spans="1:2">
      <c r="A41" s="11">
        <v>-912375.3489266671</v>
      </c>
      <c r="B41" s="11">
        <v>416</v>
      </c>
    </row>
    <row r="42" spans="1:2">
      <c r="A42" s="11">
        <v>-545635.01542929</v>
      </c>
      <c r="B42" s="11">
        <v>425</v>
      </c>
    </row>
    <row r="43" spans="1:2">
      <c r="A43" s="11">
        <v>-178894.6819319129</v>
      </c>
      <c r="B43" s="11">
        <v>428</v>
      </c>
    </row>
    <row r="44" spans="1:2">
      <c r="A44" s="11">
        <v>187845.6515654642</v>
      </c>
      <c r="B44" s="11">
        <v>390</v>
      </c>
    </row>
    <row r="45" spans="1:2">
      <c r="A45" s="11">
        <v>554585.9850628413</v>
      </c>
      <c r="B45" s="11">
        <v>322</v>
      </c>
    </row>
    <row r="46" spans="1:2">
      <c r="A46" s="11">
        <v>921326.3185602184</v>
      </c>
      <c r="B46" s="11">
        <v>247</v>
      </c>
    </row>
    <row r="47" spans="1:2">
      <c r="A47" s="11">
        <v>1288066.652057596</v>
      </c>
      <c r="B47" s="11">
        <v>217</v>
      </c>
    </row>
    <row r="48" spans="1:2">
      <c r="A48" s="11">
        <v>1654806.985554973</v>
      </c>
      <c r="B48" s="11">
        <v>177</v>
      </c>
    </row>
    <row r="49" spans="1:2">
      <c r="A49" s="11">
        <v>2021547.319052351</v>
      </c>
      <c r="B49" s="11">
        <v>97</v>
      </c>
    </row>
    <row r="50" spans="1:2">
      <c r="A50" s="11">
        <v>2388287.652549727</v>
      </c>
      <c r="B50" s="11">
        <v>49</v>
      </c>
    </row>
    <row r="51" spans="1:2">
      <c r="A51" s="11">
        <v>2755027.986047105</v>
      </c>
      <c r="B51" s="11">
        <v>44</v>
      </c>
    </row>
    <row r="52" spans="1:2">
      <c r="A52" s="11">
        <v>3121768.319544483</v>
      </c>
      <c r="B52" s="11">
        <v>22</v>
      </c>
    </row>
    <row r="53" spans="1:2">
      <c r="A53" s="11">
        <v>3488508.65304186</v>
      </c>
      <c r="B53" s="11">
        <v>5</v>
      </c>
    </row>
    <row r="54" spans="1:2">
      <c r="A54" s="11">
        <v>3855248.986539237</v>
      </c>
      <c r="B54" s="11">
        <v>6</v>
      </c>
    </row>
    <row r="55" spans="1:2">
      <c r="A55" s="11">
        <v>4221989.320036614</v>
      </c>
      <c r="B55" s="11">
        <v>2</v>
      </c>
    </row>
    <row r="56" spans="1:2">
      <c r="A56" s="11">
        <v>4588729.653533991</v>
      </c>
      <c r="B56" s="11">
        <v>3</v>
      </c>
    </row>
    <row r="57" spans="1:2">
      <c r="A57" s="11">
        <v>4955469.987031369</v>
      </c>
      <c r="B57" s="11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30.7109375" customWidth="1"/>
    <col min="2" max="4" width="16.7109375" customWidth="1"/>
  </cols>
  <sheetData>
    <row r="1" spans="1:4">
      <c r="A1" s="1" t="s">
        <v>377</v>
      </c>
    </row>
    <row r="3" spans="1:4">
      <c r="A3" s="6" t="s">
        <v>289</v>
      </c>
      <c r="B3" s="6" t="s">
        <v>378</v>
      </c>
      <c r="C3" s="6" t="s">
        <v>379</v>
      </c>
      <c r="D3" s="6" t="s">
        <v>380</v>
      </c>
    </row>
    <row r="4" spans="1:4">
      <c r="A4" t="s">
        <v>381</v>
      </c>
      <c r="B4" s="11">
        <v>10</v>
      </c>
      <c r="C4" s="11">
        <v>14</v>
      </c>
      <c r="D4" s="11">
        <v>19</v>
      </c>
    </row>
    <row r="5" spans="1:4">
      <c r="A5" t="s">
        <v>338</v>
      </c>
      <c r="B5" s="11">
        <v>4127668.737348056</v>
      </c>
      <c r="C5" s="11">
        <v>5386505.44374557</v>
      </c>
      <c r="D5" s="11">
        <v>6543823.61299818</v>
      </c>
    </row>
    <row r="6" spans="1:4">
      <c r="A6" t="s">
        <v>382</v>
      </c>
      <c r="B6" s="10">
        <v>4.541701633930867</v>
      </c>
      <c r="C6" s="10">
        <v>6.956944690691405</v>
      </c>
      <c r="D6" s="10">
        <v>9.496021725365946</v>
      </c>
    </row>
    <row r="7" spans="1:4">
      <c r="A7" t="s">
        <v>383</v>
      </c>
      <c r="B7" s="11">
        <v>960335.843567308</v>
      </c>
      <c r="C7" s="11">
        <v>1433160.382034139</v>
      </c>
      <c r="D7" s="11">
        <v>1783498.124714154</v>
      </c>
    </row>
    <row r="8" spans="1:4">
      <c r="A8" t="s">
        <v>339</v>
      </c>
      <c r="B8" s="13">
        <v>-478698.7829963372</v>
      </c>
      <c r="C8" s="13">
        <v>614206.3807059919</v>
      </c>
      <c r="D8" s="13">
        <v>1297405.483216111</v>
      </c>
    </row>
    <row r="9" spans="1:4">
      <c r="A9" t="s">
        <v>340</v>
      </c>
      <c r="B9" s="15">
        <v>0.07612331685143892</v>
      </c>
      <c r="C9" s="15">
        <v>0.1169525164368735</v>
      </c>
      <c r="D9" s="15">
        <v>0.1295988969920737</v>
      </c>
    </row>
    <row r="10" spans="1:4">
      <c r="A10" t="s">
        <v>341</v>
      </c>
      <c r="B10" s="10">
        <v>8.023749516115362</v>
      </c>
      <c r="C10" s="10">
        <v>6.45519908001742</v>
      </c>
      <c r="D10" s="10">
        <v>6.188238126359581</v>
      </c>
    </row>
    <row r="11" spans="1:4">
      <c r="A11" t="s">
        <v>384</v>
      </c>
      <c r="B11" s="12">
        <v>0.2039615496571726</v>
      </c>
      <c r="C11" s="12">
        <v>0.1695840003353395</v>
      </c>
      <c r="D11" s="12">
        <v>0.1493128946329493</v>
      </c>
    </row>
    <row r="13" spans="1:4">
      <c r="A13" s="2" t="s">
        <v>385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V61"/>
  <sheetViews>
    <sheetView workbookViewId="0"/>
  </sheetViews>
  <sheetFormatPr defaultRowHeight="15"/>
  <cols>
    <col min="1" max="1" width="30.7109375" customWidth="1"/>
    <col min="2" max="22" width="11.7109375" customWidth="1"/>
  </cols>
  <sheetData>
    <row r="1" spans="1:22">
      <c r="A1" s="1" t="s">
        <v>386</v>
      </c>
    </row>
    <row r="3" spans="1:22">
      <c r="A3" s="6" t="s">
        <v>251</v>
      </c>
      <c r="B3" s="6">
        <v>2026</v>
      </c>
      <c r="C3" s="6">
        <v>2027</v>
      </c>
      <c r="D3" s="6">
        <v>2028</v>
      </c>
      <c r="E3" s="6">
        <v>2029</v>
      </c>
      <c r="F3" s="6">
        <v>2030</v>
      </c>
      <c r="G3" s="6">
        <v>2031</v>
      </c>
      <c r="H3" s="6">
        <v>2032</v>
      </c>
      <c r="I3" s="6">
        <v>2033</v>
      </c>
      <c r="J3" s="6">
        <v>2034</v>
      </c>
      <c r="K3" s="6">
        <v>2035</v>
      </c>
      <c r="L3" s="6">
        <v>2036</v>
      </c>
      <c r="M3" s="6">
        <v>2037</v>
      </c>
      <c r="N3" s="6">
        <v>2038</v>
      </c>
      <c r="O3" s="6">
        <v>2039</v>
      </c>
      <c r="P3" s="6">
        <v>2040</v>
      </c>
      <c r="Q3" s="6">
        <v>2041</v>
      </c>
      <c r="R3" s="6">
        <v>2042</v>
      </c>
      <c r="S3" s="6">
        <v>2043</v>
      </c>
      <c r="T3" s="6">
        <v>2044</v>
      </c>
      <c r="U3" s="6">
        <v>2045</v>
      </c>
      <c r="V3" s="6">
        <v>2046</v>
      </c>
    </row>
    <row r="4" spans="1:22">
      <c r="A4" t="s">
        <v>387</v>
      </c>
      <c r="B4" s="11">
        <v>0</v>
      </c>
      <c r="C4" s="11">
        <v>1</v>
      </c>
      <c r="D4" s="11">
        <v>2</v>
      </c>
      <c r="E4" s="11">
        <v>4</v>
      </c>
      <c r="F4" s="11">
        <v>5</v>
      </c>
      <c r="G4" s="11">
        <v>6</v>
      </c>
      <c r="H4" s="11">
        <v>7</v>
      </c>
      <c r="I4" s="11">
        <v>7</v>
      </c>
      <c r="J4" s="11">
        <v>8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</row>
    <row r="5" spans="1:22">
      <c r="A5" t="s">
        <v>388</v>
      </c>
      <c r="B5" s="11">
        <v>0</v>
      </c>
      <c r="C5" s="11">
        <v>0</v>
      </c>
      <c r="D5" s="11">
        <v>1</v>
      </c>
      <c r="E5" s="11">
        <v>3</v>
      </c>
      <c r="F5" s="11">
        <v>7</v>
      </c>
      <c r="G5" s="11">
        <v>12</v>
      </c>
      <c r="H5" s="11">
        <v>18</v>
      </c>
      <c r="I5" s="11">
        <v>25</v>
      </c>
      <c r="J5" s="11">
        <v>32</v>
      </c>
      <c r="K5" s="11">
        <v>40</v>
      </c>
      <c r="L5" s="11">
        <v>40</v>
      </c>
      <c r="M5" s="11">
        <v>40</v>
      </c>
      <c r="N5" s="11">
        <v>40</v>
      </c>
      <c r="O5" s="11">
        <v>40</v>
      </c>
      <c r="P5" s="11">
        <v>40</v>
      </c>
      <c r="Q5" s="11">
        <v>40</v>
      </c>
      <c r="R5" s="11">
        <v>40</v>
      </c>
      <c r="S5" s="11">
        <v>40</v>
      </c>
      <c r="T5" s="11">
        <v>40</v>
      </c>
      <c r="U5" s="11">
        <v>40</v>
      </c>
      <c r="V5" s="11">
        <v>40</v>
      </c>
    </row>
    <row r="6" spans="1:22">
      <c r="A6" t="s">
        <v>389</v>
      </c>
      <c r="B6" s="10">
        <v>0</v>
      </c>
      <c r="C6" s="10">
        <v>0</v>
      </c>
      <c r="D6" s="10">
        <v>5.217708518018553</v>
      </c>
      <c r="E6" s="10">
        <v>17.39236172672851</v>
      </c>
      <c r="F6" s="10">
        <v>41.74166814414843</v>
      </c>
      <c r="G6" s="10">
        <v>74.78715542493259</v>
      </c>
      <c r="H6" s="10">
        <v>114.7895873964082</v>
      </c>
      <c r="I6" s="10">
        <v>161.7489640585751</v>
      </c>
      <c r="J6" s="10">
        <v>210.447576893415</v>
      </c>
      <c r="K6" s="10">
        <v>264.3638982462734</v>
      </c>
      <c r="L6" s="10">
        <v>278.2777876276563</v>
      </c>
      <c r="M6" s="10">
        <v>278.2777876276563</v>
      </c>
      <c r="N6" s="10">
        <v>278.2777876276563</v>
      </c>
      <c r="O6" s="10">
        <v>278.2777876276563</v>
      </c>
      <c r="P6" s="10">
        <v>278.2777876276563</v>
      </c>
      <c r="Q6" s="10">
        <v>278.2777876276563</v>
      </c>
      <c r="R6" s="10">
        <v>278.2777876276563</v>
      </c>
      <c r="S6" s="10">
        <v>278.2777876276563</v>
      </c>
      <c r="T6" s="10">
        <v>278.2777876276563</v>
      </c>
      <c r="U6" s="10">
        <v>278.2777876276563</v>
      </c>
      <c r="V6" s="10">
        <v>278.2777876276563</v>
      </c>
    </row>
    <row r="7" spans="1:22">
      <c r="A7" t="s">
        <v>390</v>
      </c>
      <c r="B7" s="11">
        <v>0</v>
      </c>
      <c r="C7" s="11">
        <v>0</v>
      </c>
      <c r="D7" s="11">
        <v>23445.52203228666</v>
      </c>
      <c r="E7" s="11">
        <v>78151.74010762219</v>
      </c>
      <c r="F7" s="11">
        <v>187564.1762582932</v>
      </c>
      <c r="G7" s="11">
        <v>336052.4824627755</v>
      </c>
      <c r="H7" s="11">
        <v>515801.4847103066</v>
      </c>
      <c r="I7" s="11">
        <v>726811.1830008861</v>
      </c>
      <c r="J7" s="11">
        <v>945636.0553022282</v>
      </c>
      <c r="K7" s="11">
        <v>1187906.449635857</v>
      </c>
      <c r="L7" s="11">
        <v>1250427.841721956</v>
      </c>
      <c r="M7" s="11">
        <v>1250427.841721956</v>
      </c>
      <c r="N7" s="11">
        <v>1250427.841721956</v>
      </c>
      <c r="O7" s="11">
        <v>1250427.841721956</v>
      </c>
      <c r="P7" s="11">
        <v>1250427.841721956</v>
      </c>
      <c r="Q7" s="11">
        <v>1250427.841721956</v>
      </c>
      <c r="R7" s="11">
        <v>1250427.841721956</v>
      </c>
      <c r="S7" s="11">
        <v>1250427.841721956</v>
      </c>
      <c r="T7" s="11">
        <v>1250427.841721956</v>
      </c>
      <c r="U7" s="11">
        <v>1250427.841721956</v>
      </c>
      <c r="V7" s="11">
        <v>1250427.841721956</v>
      </c>
    </row>
    <row r="8" spans="1:22">
      <c r="A8" t="s">
        <v>391</v>
      </c>
      <c r="B8" s="11">
        <v>0</v>
      </c>
      <c r="C8" s="11">
        <v>0</v>
      </c>
      <c r="D8" s="11">
        <v>1073194.594975605</v>
      </c>
      <c r="E8" s="11">
        <v>3582900.955085349</v>
      </c>
      <c r="F8" s="11">
        <v>8612769.990576835</v>
      </c>
      <c r="G8" s="11">
        <v>15456693.8564875</v>
      </c>
      <c r="H8" s="11">
        <v>23764511.39453284</v>
      </c>
      <c r="I8" s="11">
        <v>33544823.13869694</v>
      </c>
      <c r="J8" s="11">
        <v>43722690.74201342</v>
      </c>
      <c r="K8" s="11">
        <v>55025748.9172802</v>
      </c>
      <c r="L8" s="11">
        <v>58031755.05856393</v>
      </c>
      <c r="M8" s="11">
        <v>58144966.57435983</v>
      </c>
      <c r="N8" s="11">
        <v>57862454.51872465</v>
      </c>
      <c r="O8" s="11">
        <v>57184320.78202271</v>
      </c>
      <c r="P8" s="11">
        <v>55711550.39442401</v>
      </c>
      <c r="Q8" s="11">
        <v>53843371.36832091</v>
      </c>
      <c r="R8" s="11">
        <v>51579895.04206561</v>
      </c>
      <c r="S8" s="11">
        <v>48921236.09416054</v>
      </c>
      <c r="T8" s="11">
        <v>46266632.56036833</v>
      </c>
      <c r="U8" s="11">
        <v>43217086.18620744</v>
      </c>
      <c r="V8" s="11">
        <v>43364801.53611868</v>
      </c>
    </row>
    <row r="9" spans="1:22">
      <c r="A9" t="s">
        <v>392</v>
      </c>
      <c r="B9" s="11">
        <v>0</v>
      </c>
      <c r="C9" s="11">
        <v>0</v>
      </c>
      <c r="D9" s="11">
        <v>403638.5759263771</v>
      </c>
      <c r="E9" s="11">
        <v>1262473.197693381</v>
      </c>
      <c r="F9" s="11">
        <v>3032661.881482278</v>
      </c>
      <c r="G9" s="11">
        <v>5398129.95364215</v>
      </c>
      <c r="H9" s="11">
        <v>8370006.035315844</v>
      </c>
      <c r="I9" s="11">
        <v>11996191.22686695</v>
      </c>
      <c r="J9" s="11">
        <v>15866187.99234961</v>
      </c>
      <c r="K9" s="11">
        <v>20427111.65539487</v>
      </c>
      <c r="L9" s="11">
        <v>21379085.7497231</v>
      </c>
      <c r="M9" s="11">
        <v>22020458.3222148</v>
      </c>
      <c r="N9" s="11">
        <v>22681072.07188125</v>
      </c>
      <c r="O9" s="11">
        <v>23361504.23403767</v>
      </c>
      <c r="P9" s="11">
        <v>24062349.36105881</v>
      </c>
      <c r="Q9" s="11">
        <v>24784219.84189057</v>
      </c>
      <c r="R9" s="11">
        <v>25527746.43714729</v>
      </c>
      <c r="S9" s="11">
        <v>26293578.83026172</v>
      </c>
      <c r="T9" s="11">
        <v>27082386.19516958</v>
      </c>
      <c r="U9" s="11">
        <v>27894857.78102466</v>
      </c>
      <c r="V9" s="11">
        <v>28731703.51445539</v>
      </c>
    </row>
    <row r="10" spans="1:22">
      <c r="A10" t="s">
        <v>393</v>
      </c>
      <c r="B10" s="11">
        <v>0</v>
      </c>
      <c r="C10" s="11">
        <v>0</v>
      </c>
      <c r="D10" s="11">
        <v>669556.0190492275</v>
      </c>
      <c r="E10" s="11">
        <v>2320427.757391968</v>
      </c>
      <c r="F10" s="11">
        <v>5580108.109094558</v>
      </c>
      <c r="G10" s="11">
        <v>10058563.90284534</v>
      </c>
      <c r="H10" s="11">
        <v>15394505.359217</v>
      </c>
      <c r="I10" s="11">
        <v>21548631.91183</v>
      </c>
      <c r="J10" s="11">
        <v>27856502.74966378</v>
      </c>
      <c r="K10" s="11">
        <v>34598637.26188532</v>
      </c>
      <c r="L10" s="11">
        <v>36652669.30884077</v>
      </c>
      <c r="M10" s="11">
        <v>36124508.25214501</v>
      </c>
      <c r="N10" s="11">
        <v>35181382.44684344</v>
      </c>
      <c r="O10" s="11">
        <v>33822816.54798499</v>
      </c>
      <c r="P10" s="11">
        <v>31649201.03336516</v>
      </c>
      <c r="Q10" s="11">
        <v>29059151.52643035</v>
      </c>
      <c r="R10" s="11">
        <v>26052148.6049183</v>
      </c>
      <c r="S10" s="11">
        <v>22627657.2638988</v>
      </c>
      <c r="T10" s="11">
        <v>19184246.36519875</v>
      </c>
      <c r="U10" s="11">
        <v>15322228.40518279</v>
      </c>
      <c r="V10" s="11">
        <v>14633098.02166326</v>
      </c>
    </row>
    <row r="11" spans="1:22">
      <c r="A11" t="s">
        <v>394</v>
      </c>
      <c r="B11" s="11">
        <v>0</v>
      </c>
      <c r="C11" s="11">
        <v>6463806.532494684</v>
      </c>
      <c r="D11" s="11">
        <v>9405948.051172532</v>
      </c>
      <c r="E11" s="11">
        <v>16690194.54237524</v>
      </c>
      <c r="F11" s="11">
        <v>19012920.56876008</v>
      </c>
      <c r="G11" s="11">
        <v>21330017.01911109</v>
      </c>
      <c r="H11" s="11">
        <v>23586824.59284603</v>
      </c>
      <c r="I11" s="11">
        <v>22609855.91821502</v>
      </c>
      <c r="J11" s="11">
        <v>24950206.78734311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</row>
    <row r="12" spans="1:22">
      <c r="A12" t="s">
        <v>395</v>
      </c>
      <c r="B12" s="11">
        <v>1050000</v>
      </c>
      <c r="C12" s="11">
        <v>495000.0000000001</v>
      </c>
      <c r="D12" s="11">
        <v>544500.0000000001</v>
      </c>
      <c r="E12" s="11">
        <v>598950.0000000002</v>
      </c>
      <c r="F12" s="11">
        <v>658845.0000000002</v>
      </c>
      <c r="G12" s="11">
        <v>724729.5000000002</v>
      </c>
      <c r="H12" s="11">
        <v>797202.4500000004</v>
      </c>
      <c r="I12" s="11">
        <v>876922.6950000005</v>
      </c>
      <c r="J12" s="11">
        <v>964614.9645000007</v>
      </c>
      <c r="K12" s="11">
        <v>964614.9645000007</v>
      </c>
      <c r="L12" s="11">
        <v>964614.9645000007</v>
      </c>
      <c r="M12" s="11">
        <v>964614.9645000007</v>
      </c>
      <c r="N12" s="11">
        <v>964614.9645000007</v>
      </c>
      <c r="O12" s="11">
        <v>964614.9645000007</v>
      </c>
      <c r="P12" s="11">
        <v>964614.9645000007</v>
      </c>
      <c r="Q12" s="11">
        <v>964614.9645000007</v>
      </c>
      <c r="R12" s="11">
        <v>964614.9645000007</v>
      </c>
      <c r="S12" s="11">
        <v>964614.9645000007</v>
      </c>
      <c r="T12" s="11">
        <v>964614.9645000007</v>
      </c>
      <c r="U12" s="11">
        <v>964614.9645000007</v>
      </c>
      <c r="V12" s="11">
        <v>964614.9645000007</v>
      </c>
    </row>
    <row r="13" spans="1:22">
      <c r="A13" s="9" t="s">
        <v>396</v>
      </c>
      <c r="B13" s="13">
        <v>-819000</v>
      </c>
      <c r="C13" s="13">
        <v>-6849906.532494684</v>
      </c>
      <c r="D13" s="13">
        <v>-9233952.974439293</v>
      </c>
      <c r="E13" s="13">
        <v>-15088854.67064164</v>
      </c>
      <c r="F13" s="13">
        <v>-14669030.75844576</v>
      </c>
      <c r="G13" s="13">
        <v>-13158374.092516</v>
      </c>
      <c r="H13" s="13">
        <v>-10871181.82318143</v>
      </c>
      <c r="I13" s="13">
        <v>-4666782.795299366</v>
      </c>
      <c r="J13" s="13">
        <v>-1682940.402734114</v>
      </c>
      <c r="K13" s="13">
        <v>28937518.94704146</v>
      </c>
      <c r="L13" s="13">
        <v>31043754.85500419</v>
      </c>
      <c r="M13" s="13">
        <v>30422647.10452515</v>
      </c>
      <c r="N13" s="13">
        <v>29452378.7891797</v>
      </c>
      <c r="O13" s="13">
        <v>28133242.3175488</v>
      </c>
      <c r="P13" s="13">
        <v>26189113.80104497</v>
      </c>
      <c r="Q13" s="13">
        <v>23894422.91097505</v>
      </c>
      <c r="R13" s="13">
        <v>21548960.63219564</v>
      </c>
      <c r="S13" s="13">
        <v>18875300.25114785</v>
      </c>
      <c r="T13" s="13">
        <v>16105676.68044517</v>
      </c>
      <c r="U13" s="13">
        <v>12961413.75087653</v>
      </c>
      <c r="V13" s="13">
        <v>12194401.87677363</v>
      </c>
    </row>
    <row r="14" spans="1:22">
      <c r="A14" s="9" t="s">
        <v>274</v>
      </c>
      <c r="B14" s="13">
        <f>B13</f>
        <v>0</v>
      </c>
      <c r="C14" s="13">
        <f>B14+C13</f>
        <v>0</v>
      </c>
      <c r="D14" s="13">
        <f>C14+D13</f>
        <v>0</v>
      </c>
      <c r="E14" s="13">
        <f>D14+E13</f>
        <v>0</v>
      </c>
      <c r="F14" s="13">
        <f>E14+F13</f>
        <v>0</v>
      </c>
      <c r="G14" s="13">
        <f>F14+G13</f>
        <v>0</v>
      </c>
      <c r="H14" s="13">
        <f>G14+H13</f>
        <v>0</v>
      </c>
      <c r="I14" s="13">
        <f>H14+I13</f>
        <v>0</v>
      </c>
      <c r="J14" s="13">
        <f>I14+J13</f>
        <v>0</v>
      </c>
      <c r="K14" s="13">
        <f>J14+K13</f>
        <v>0</v>
      </c>
      <c r="L14" s="13">
        <f>K14+L13</f>
        <v>0</v>
      </c>
      <c r="M14" s="13">
        <f>L14+M13</f>
        <v>0</v>
      </c>
      <c r="N14" s="13">
        <f>M14+N13</f>
        <v>0</v>
      </c>
      <c r="O14" s="13">
        <f>N14+O13</f>
        <v>0</v>
      </c>
      <c r="P14" s="13">
        <f>O14+P13</f>
        <v>0</v>
      </c>
      <c r="Q14" s="13">
        <f>P14+Q13</f>
        <v>0</v>
      </c>
      <c r="R14" s="13">
        <f>Q14+R13</f>
        <v>0</v>
      </c>
      <c r="S14" s="13">
        <f>R14+S13</f>
        <v>0</v>
      </c>
      <c r="T14" s="13">
        <f>S14+T13</f>
        <v>0</v>
      </c>
      <c r="U14" s="13">
        <f>T14+U13</f>
        <v>0</v>
      </c>
      <c r="V14" s="13">
        <f>U14+V13</f>
        <v>0</v>
      </c>
    </row>
    <row r="15" spans="1:22">
      <c r="A15" s="9" t="s">
        <v>274</v>
      </c>
    </row>
    <row r="16" spans="1:22">
      <c r="A16" s="9" t="s">
        <v>397</v>
      </c>
      <c r="B16" s="3">
        <f>B13+NPV(WACC,C13:V13)</f>
        <v>28730558.65496606</v>
      </c>
    </row>
    <row r="17" spans="1:5">
      <c r="A17" s="9" t="s">
        <v>398</v>
      </c>
      <c r="B17" s="4">
        <f>IRR(B13:V13)</f>
        <v>0.1515935846960642</v>
      </c>
    </row>
    <row r="18" spans="1:5">
      <c r="A18" s="9" t="s">
        <v>399</v>
      </c>
      <c r="B18" s="3">
        <f>-MIN(B14:V14)</f>
        <v>77040024.04975228</v>
      </c>
    </row>
    <row r="20" spans="1:5">
      <c r="A20" s="9" t="s">
        <v>400</v>
      </c>
    </row>
    <row r="21" spans="1:5">
      <c r="A21" s="6" t="s">
        <v>401</v>
      </c>
      <c r="B21" s="6" t="s">
        <v>251</v>
      </c>
      <c r="C21" s="6" t="s">
        <v>402</v>
      </c>
      <c r="D21" s="6" t="s">
        <v>403</v>
      </c>
      <c r="E21" s="6" t="s">
        <v>404</v>
      </c>
    </row>
    <row r="22" spans="1:5">
      <c r="A22">
        <v>1</v>
      </c>
      <c r="B22">
        <v>2027</v>
      </c>
      <c r="C22" s="10">
        <v>1.2</v>
      </c>
      <c r="D22" s="13">
        <v>-342713.7198373731</v>
      </c>
      <c r="E22" s="15">
        <v>0.08805551242922449</v>
      </c>
    </row>
    <row r="23" spans="1:5">
      <c r="A23">
        <v>2</v>
      </c>
      <c r="B23">
        <v>2028</v>
      </c>
      <c r="C23" s="10">
        <v>0.9</v>
      </c>
      <c r="D23" s="13">
        <v>1002530.618516372</v>
      </c>
      <c r="E23" s="15">
        <v>0.1324007655971972</v>
      </c>
    </row>
    <row r="24" spans="1:5">
      <c r="A24">
        <v>3</v>
      </c>
      <c r="B24">
        <v>2028</v>
      </c>
      <c r="C24" s="10">
        <v>0.8462059863123418</v>
      </c>
      <c r="D24" s="13">
        <v>1260012.939828076</v>
      </c>
      <c r="E24" s="15">
        <v>0.1436460603429827</v>
      </c>
    </row>
    <row r="25" spans="1:5">
      <c r="A25">
        <v>4</v>
      </c>
      <c r="B25">
        <v>2029</v>
      </c>
      <c r="C25" s="10">
        <v>0.8100000000000001</v>
      </c>
      <c r="D25" s="13">
        <v>1341696.318483239</v>
      </c>
      <c r="E25" s="15">
        <v>0.1488219022600984</v>
      </c>
    </row>
    <row r="26" spans="1:5">
      <c r="A26">
        <v>5</v>
      </c>
      <c r="B26">
        <v>2029</v>
      </c>
      <c r="C26" s="10">
        <v>0.7829867216803843</v>
      </c>
      <c r="D26" s="13">
        <v>1471195.266459306</v>
      </c>
      <c r="E26" s="15">
        <v>0.1553634769331885</v>
      </c>
    </row>
    <row r="27" spans="1:5">
      <c r="A27">
        <v>6</v>
      </c>
      <c r="B27">
        <v>2029</v>
      </c>
      <c r="C27" s="10">
        <v>0.7615853876811076</v>
      </c>
      <c r="D27" s="13">
        <v>1573791.116004096</v>
      </c>
      <c r="E27" s="15">
        <v>0.1608220584833583</v>
      </c>
    </row>
    <row r="28" spans="1:5">
      <c r="A28">
        <v>7</v>
      </c>
      <c r="B28">
        <v>2029</v>
      </c>
      <c r="C28" s="10">
        <v>0.7439478339822421</v>
      </c>
      <c r="D28" s="13">
        <v>1658343.780136532</v>
      </c>
      <c r="E28" s="15">
        <v>0.165519152692453</v>
      </c>
    </row>
    <row r="29" spans="1:5">
      <c r="A29">
        <v>8</v>
      </c>
      <c r="B29">
        <v>2030</v>
      </c>
      <c r="C29" s="10">
        <v>0.729</v>
      </c>
      <c r="D29" s="13">
        <v>1636260.601825779</v>
      </c>
      <c r="E29" s="15">
        <v>0.1662847286481258</v>
      </c>
    </row>
    <row r="30" spans="1:5">
      <c r="A30">
        <v>9</v>
      </c>
      <c r="B30">
        <v>2030</v>
      </c>
      <c r="C30" s="10">
        <v>0.7160645712708432</v>
      </c>
      <c r="D30" s="13">
        <v>1698371.015650259</v>
      </c>
      <c r="E30" s="15">
        <v>0.1699509861359639</v>
      </c>
    </row>
    <row r="31" spans="1:5">
      <c r="A31">
        <v>10</v>
      </c>
      <c r="B31">
        <v>2030</v>
      </c>
      <c r="C31" s="10">
        <v>0.7046880495123459</v>
      </c>
      <c r="D31" s="13">
        <v>1752996.222831121</v>
      </c>
      <c r="E31" s="15">
        <v>0.1732693599944964</v>
      </c>
    </row>
    <row r="32" spans="1:5">
      <c r="A32">
        <v>11</v>
      </c>
      <c r="B32">
        <v>2030</v>
      </c>
      <c r="C32" s="10">
        <v>0.69455251838461</v>
      </c>
      <c r="D32" s="13">
        <v>1801662.722091068</v>
      </c>
      <c r="E32" s="15">
        <v>0.1763032288328218</v>
      </c>
    </row>
    <row r="33" spans="1:5">
      <c r="A33">
        <v>12</v>
      </c>
      <c r="B33">
        <v>2030</v>
      </c>
      <c r="C33" s="10">
        <v>0.6854268489129969</v>
      </c>
      <c r="D33" s="13">
        <v>1845480.296226027</v>
      </c>
      <c r="E33" s="15">
        <v>0.1790998656750028</v>
      </c>
    </row>
    <row r="34" spans="1:5">
      <c r="A34">
        <v>13</v>
      </c>
      <c r="B34">
        <v>2031</v>
      </c>
      <c r="C34" s="10">
        <v>0.6771379658084511</v>
      </c>
      <c r="D34" s="13">
        <v>1789136.059679451</v>
      </c>
      <c r="E34" s="15">
        <v>0.1780729747681827</v>
      </c>
    </row>
    <row r="35" spans="1:5">
      <c r="A35">
        <v>14</v>
      </c>
      <c r="B35">
        <v>2031</v>
      </c>
      <c r="C35" s="10">
        <v>0.6695530505840178</v>
      </c>
      <c r="D35" s="13">
        <v>1825615.540979501</v>
      </c>
      <c r="E35" s="15">
        <v>0.1804776362031594</v>
      </c>
    </row>
    <row r="36" spans="1:5">
      <c r="A36">
        <v>15</v>
      </c>
      <c r="B36">
        <v>2031</v>
      </c>
      <c r="C36" s="10">
        <v>0.6625680510890167</v>
      </c>
      <c r="D36" s="13">
        <v>1859209.740903837</v>
      </c>
      <c r="E36" s="15">
        <v>0.1827334005363167</v>
      </c>
    </row>
    <row r="37" spans="1:5">
      <c r="A37">
        <v>16</v>
      </c>
      <c r="B37">
        <v>2031</v>
      </c>
      <c r="C37" s="10">
        <v>0.6561</v>
      </c>
      <c r="D37" s="13">
        <v>1890317.688951758</v>
      </c>
      <c r="E37" s="15">
        <v>0.1848585791504028</v>
      </c>
    </row>
    <row r="38" spans="1:5">
      <c r="A38">
        <v>17</v>
      </c>
      <c r="B38">
        <v>2031</v>
      </c>
      <c r="C38" s="10">
        <v>0.6500817253512616</v>
      </c>
      <c r="D38" s="13">
        <v>1919262.447200341</v>
      </c>
      <c r="E38" s="15">
        <v>0.1868682509850929</v>
      </c>
    </row>
    <row r="39" spans="1:5">
      <c r="A39">
        <v>18</v>
      </c>
      <c r="B39">
        <v>2031</v>
      </c>
      <c r="C39" s="10">
        <v>0.6444581141437589</v>
      </c>
      <c r="D39" s="13">
        <v>1946309.080394344</v>
      </c>
      <c r="E39" s="15">
        <v>0.1887749863325433</v>
      </c>
    </row>
    <row r="40" spans="1:5">
      <c r="A40">
        <v>19</v>
      </c>
      <c r="B40">
        <v>2032</v>
      </c>
      <c r="C40" s="10">
        <v>0.6391834137656242</v>
      </c>
      <c r="D40" s="13">
        <v>1872958.395536413</v>
      </c>
      <c r="E40" s="15">
        <v>0.1867136928627854</v>
      </c>
    </row>
    <row r="41" spans="1:5">
      <c r="A41">
        <v>20</v>
      </c>
      <c r="B41">
        <v>2032</v>
      </c>
      <c r="C41" s="10">
        <v>0.6342192445611113</v>
      </c>
      <c r="D41" s="13">
        <v>1896873.871635441</v>
      </c>
      <c r="E41" s="15">
        <v>0.188430829989087</v>
      </c>
    </row>
    <row r="42" spans="1:5">
      <c r="A42">
        <v>21</v>
      </c>
      <c r="B42">
        <v>2032</v>
      </c>
      <c r="C42" s="10">
        <v>0.6295331106198735</v>
      </c>
      <c r="D42" s="13">
        <v>1919449.879755114</v>
      </c>
      <c r="E42" s="15">
        <v>0.1900729070532018</v>
      </c>
    </row>
    <row r="43" spans="1:5">
      <c r="A43">
        <v>22</v>
      </c>
      <c r="B43">
        <v>2032</v>
      </c>
      <c r="C43" s="10">
        <v>0.6250972665461489</v>
      </c>
      <c r="D43" s="13">
        <v>1940820.086642448</v>
      </c>
      <c r="E43" s="15">
        <v>0.1916465672063249</v>
      </c>
    </row>
    <row r="44" spans="1:5">
      <c r="A44">
        <v>23</v>
      </c>
      <c r="B44">
        <v>2032</v>
      </c>
      <c r="C44" s="10">
        <v>0.6208878430901131</v>
      </c>
      <c r="D44" s="13">
        <v>1961099.485249973</v>
      </c>
      <c r="E44" s="15">
        <v>0.1931575950666841</v>
      </c>
    </row>
    <row r="45" spans="1:5">
      <c r="A45">
        <v>24</v>
      </c>
      <c r="B45">
        <v>2032</v>
      </c>
      <c r="C45" s="10">
        <v>0.6168841640216972</v>
      </c>
      <c r="D45" s="13">
        <v>1980387.685777432</v>
      </c>
      <c r="E45" s="15">
        <v>0.1946110596438079</v>
      </c>
    </row>
    <row r="46" spans="1:5">
      <c r="A46">
        <v>25</v>
      </c>
      <c r="B46">
        <v>2032</v>
      </c>
      <c r="C46" s="10">
        <v>0.6130682063277957</v>
      </c>
      <c r="D46" s="13">
        <v>1998771.516235998</v>
      </c>
      <c r="E46" s="15">
        <v>0.1960114285833813</v>
      </c>
    </row>
    <row r="47" spans="1:5">
      <c r="A47">
        <v>26</v>
      </c>
      <c r="B47">
        <v>2033</v>
      </c>
      <c r="C47" s="10">
        <v>0.609424169227606</v>
      </c>
      <c r="D47" s="13">
        <v>1914895.828375637</v>
      </c>
      <c r="E47" s="15">
        <v>0.1932320310930263</v>
      </c>
    </row>
    <row r="48" spans="1:5">
      <c r="A48">
        <v>27</v>
      </c>
      <c r="B48">
        <v>2033</v>
      </c>
      <c r="C48" s="10">
        <v>0.605938126795568</v>
      </c>
      <c r="D48" s="13">
        <v>1931719.484971637</v>
      </c>
      <c r="E48" s="15">
        <v>0.194526590273734</v>
      </c>
    </row>
    <row r="49" spans="1:5">
      <c r="A49">
        <v>28</v>
      </c>
      <c r="B49">
        <v>2033</v>
      </c>
      <c r="C49" s="10">
        <v>0.6025977455256161</v>
      </c>
      <c r="D49" s="13">
        <v>1947840.180138428</v>
      </c>
      <c r="E49" s="15">
        <v>0.1957790063454422</v>
      </c>
    </row>
    <row r="50" spans="1:5">
      <c r="A50">
        <v>29</v>
      </c>
      <c r="B50">
        <v>2033</v>
      </c>
      <c r="C50" s="10">
        <v>0.5993920528460538</v>
      </c>
      <c r="D50" s="13">
        <v>1963310.867556808</v>
      </c>
      <c r="E50" s="15">
        <v>0.1969920903829491</v>
      </c>
    </row>
    <row r="51" spans="1:5">
      <c r="A51">
        <v>30</v>
      </c>
      <c r="B51">
        <v>2033</v>
      </c>
      <c r="C51" s="10">
        <v>0.5963112459801151</v>
      </c>
      <c r="D51" s="13">
        <v>1978178.855471933</v>
      </c>
      <c r="E51" s="15">
        <v>0.1981683766324215</v>
      </c>
    </row>
    <row r="52" spans="1:5">
      <c r="A52">
        <v>31</v>
      </c>
      <c r="B52">
        <v>2033</v>
      </c>
      <c r="C52" s="10">
        <v>0.5933465330296041</v>
      </c>
      <c r="D52" s="13">
        <v>1992486.573624392</v>
      </c>
      <c r="E52" s="15">
        <v>0.199310157986936</v>
      </c>
    </row>
    <row r="53" spans="1:5">
      <c r="A53">
        <v>32</v>
      </c>
      <c r="B53">
        <v>2033</v>
      </c>
      <c r="C53" s="10">
        <v>0.5904900000000001</v>
      </c>
      <c r="D53" s="13">
        <v>2006272.214987654</v>
      </c>
      <c r="E53" s="15">
        <v>0.2004195159303702</v>
      </c>
    </row>
    <row r="54" spans="1:5">
      <c r="A54">
        <v>33</v>
      </c>
      <c r="B54">
        <v>2034</v>
      </c>
      <c r="C54" s="10">
        <v>0.5877344988653698</v>
      </c>
      <c r="D54" s="13">
        <v>1915283.402409584</v>
      </c>
      <c r="E54" s="15">
        <v>0.1971166750031977</v>
      </c>
    </row>
    <row r="55" spans="1:5">
      <c r="A55">
        <v>34</v>
      </c>
      <c r="B55">
        <v>2034</v>
      </c>
      <c r="C55" s="10">
        <v>0.5850735528161355</v>
      </c>
      <c r="D55" s="13">
        <v>1928148.122864105</v>
      </c>
      <c r="E55" s="15">
        <v>0.1981574167149603</v>
      </c>
    </row>
    <row r="56" spans="1:5">
      <c r="A56">
        <v>35</v>
      </c>
      <c r="B56">
        <v>2034</v>
      </c>
      <c r="C56" s="10">
        <v>0.5825012756309785</v>
      </c>
      <c r="D56" s="13">
        <v>1940584.161140081</v>
      </c>
      <c r="E56" s="15">
        <v>0.1991711589941964</v>
      </c>
    </row>
    <row r="57" spans="1:5">
      <c r="A57">
        <v>36</v>
      </c>
      <c r="B57">
        <v>2034</v>
      </c>
      <c r="C57" s="10">
        <v>0.580012302729383</v>
      </c>
      <c r="D57" s="13">
        <v>1952617.453061621</v>
      </c>
      <c r="E57" s="15">
        <v>0.2001593470887056</v>
      </c>
    </row>
    <row r="58" spans="1:5">
      <c r="A58">
        <v>37</v>
      </c>
      <c r="B58">
        <v>2034</v>
      </c>
      <c r="C58" s="10">
        <v>0.5776017319393478</v>
      </c>
      <c r="D58" s="13">
        <v>1964271.698873391</v>
      </c>
      <c r="E58" s="15">
        <v>0.2011233112673484</v>
      </c>
    </row>
    <row r="59" spans="1:5">
      <c r="A59">
        <v>38</v>
      </c>
      <c r="B59">
        <v>2034</v>
      </c>
      <c r="C59" s="10">
        <v>0.5752650723890618</v>
      </c>
      <c r="D59" s="13">
        <v>1975568.610331054</v>
      </c>
      <c r="E59" s="15">
        <v>0.2020642787986325</v>
      </c>
    </row>
    <row r="60" spans="1:5">
      <c r="A60">
        <v>39</v>
      </c>
      <c r="B60">
        <v>2034</v>
      </c>
      <c r="C60" s="10">
        <v>0.5729982002264732</v>
      </c>
      <c r="D60" s="13">
        <v>1986528.124781273</v>
      </c>
      <c r="E60" s="15">
        <v>0.2029833844018137</v>
      </c>
    </row>
    <row r="61" spans="1:5">
      <c r="A61">
        <v>40</v>
      </c>
      <c r="B61">
        <v>2034</v>
      </c>
      <c r="C61" s="10">
        <v>0.5707973201050002</v>
      </c>
      <c r="D61" s="13">
        <v>1997168.591364506</v>
      </c>
      <c r="E61" s="15">
        <v>0.2038816793991273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sheetFormatPr defaultRowHeight="15"/>
  <cols>
    <col min="1" max="1" width="44.7109375" customWidth="1"/>
    <col min="2" max="3" width="18.7109375" customWidth="1"/>
    <col min="4" max="4" width="70.7109375" customWidth="1"/>
  </cols>
  <sheetData>
    <row r="1" spans="1:4">
      <c r="A1" s="1" t="s">
        <v>405</v>
      </c>
    </row>
    <row r="3" spans="1:4">
      <c r="A3" s="6" t="s">
        <v>406</v>
      </c>
      <c r="B3" s="6" t="s">
        <v>2</v>
      </c>
      <c r="C3" s="6" t="s">
        <v>3</v>
      </c>
      <c r="D3" s="6" t="s">
        <v>407</v>
      </c>
    </row>
    <row r="4" spans="1:4">
      <c r="A4" t="s">
        <v>408</v>
      </c>
      <c r="B4" s="7">
        <v>1231</v>
      </c>
      <c r="C4" t="s">
        <v>409</v>
      </c>
      <c r="D4" t="s">
        <v>410</v>
      </c>
    </row>
    <row r="5" spans="1:4">
      <c r="A5" t="s">
        <v>411</v>
      </c>
      <c r="B5" s="7">
        <v>125000000</v>
      </c>
      <c r="C5" t="s">
        <v>151</v>
      </c>
      <c r="D5" t="s">
        <v>412</v>
      </c>
    </row>
    <row r="6" spans="1:4">
      <c r="A6" t="s">
        <v>413</v>
      </c>
      <c r="B6" s="7">
        <v>8.16615602298655</v>
      </c>
      <c r="C6" t="s">
        <v>414</v>
      </c>
      <c r="D6" t="s">
        <v>415</v>
      </c>
    </row>
    <row r="7" spans="1:4">
      <c r="A7" t="s">
        <v>416</v>
      </c>
      <c r="B7" s="7">
        <v>0.7</v>
      </c>
      <c r="C7" t="s">
        <v>12</v>
      </c>
      <c r="D7" t="s">
        <v>417</v>
      </c>
    </row>
    <row r="8" spans="1:4">
      <c r="A8" t="s">
        <v>418</v>
      </c>
      <c r="B8" s="7">
        <v>0.9</v>
      </c>
      <c r="C8" t="s">
        <v>12</v>
      </c>
      <c r="D8" t="s">
        <v>419</v>
      </c>
    </row>
    <row r="9" spans="1:4">
      <c r="A9" t="s">
        <v>420</v>
      </c>
      <c r="B9" s="7">
        <v>0.85</v>
      </c>
      <c r="C9" t="s">
        <v>12</v>
      </c>
      <c r="D9" t="s">
        <v>421</v>
      </c>
    </row>
    <row r="10" spans="1:4">
      <c r="A10" t="s">
        <v>422</v>
      </c>
      <c r="B10" s="7">
        <v>40</v>
      </c>
      <c r="C10" t="s">
        <v>423</v>
      </c>
      <c r="D10" t="s">
        <v>424</v>
      </c>
    </row>
    <row r="12" spans="1:4">
      <c r="A12" s="9" t="s">
        <v>425</v>
      </c>
      <c r="B12" s="3">
        <f>B5*B6</f>
        <v>1020769502.8733188</v>
      </c>
    </row>
    <row r="13" spans="1:4">
      <c r="A13" s="9" t="s">
        <v>426</v>
      </c>
      <c r="B13" s="3">
        <f>B12*B7*B8*B9</f>
        <v>546622068.7886622</v>
      </c>
    </row>
    <row r="14" spans="1:4">
      <c r="A14" s="9" t="s">
        <v>427</v>
      </c>
      <c r="B14" s="3">
        <f>B10*'Arus Kas'!E15</f>
        <v>57326415.28136558</v>
      </c>
    </row>
    <row r="15" spans="1:4">
      <c r="A15" s="9" t="s">
        <v>428</v>
      </c>
      <c r="B15" s="4">
        <f>B14/B13</f>
        <v>0.10487394957983193</v>
      </c>
    </row>
    <row r="16" spans="1:4">
      <c r="A16" s="9" t="s">
        <v>429</v>
      </c>
      <c r="B16" s="3">
        <f>ROUND(B4*B7*B8*B9,0)</f>
        <v>659</v>
      </c>
    </row>
    <row r="18" spans="1:7">
      <c r="A18" s="9" t="s">
        <v>430</v>
      </c>
    </row>
    <row r="19" spans="1:7">
      <c r="A19" s="6" t="s">
        <v>431</v>
      </c>
      <c r="B19" s="6" t="s">
        <v>432</v>
      </c>
      <c r="C19" s="6" t="s">
        <v>433</v>
      </c>
      <c r="D19" s="6" t="s">
        <v>434</v>
      </c>
      <c r="E19" s="6" t="s">
        <v>435</v>
      </c>
      <c r="F19" s="6" t="s">
        <v>436</v>
      </c>
      <c r="G19" s="6" t="s">
        <v>437</v>
      </c>
    </row>
    <row r="20" spans="1:7">
      <c r="A20" s="8" t="s">
        <v>438</v>
      </c>
      <c r="B20" s="8" t="s">
        <v>439</v>
      </c>
      <c r="C20" s="8" t="s">
        <v>440</v>
      </c>
      <c r="D20" s="8" t="s">
        <v>441</v>
      </c>
      <c r="E20" s="8" t="s">
        <v>442</v>
      </c>
      <c r="F20" s="8" t="s">
        <v>443</v>
      </c>
      <c r="G20" s="8" t="s">
        <v>444</v>
      </c>
    </row>
    <row r="21" spans="1:7">
      <c r="A21" s="8" t="s">
        <v>445</v>
      </c>
      <c r="B21" s="8" t="s">
        <v>446</v>
      </c>
      <c r="C21" s="8" t="s">
        <v>447</v>
      </c>
      <c r="D21" s="8" t="s">
        <v>448</v>
      </c>
      <c r="E21" s="8" t="s">
        <v>442</v>
      </c>
      <c r="F21" s="8" t="s">
        <v>449</v>
      </c>
      <c r="G21" s="8" t="s">
        <v>450</v>
      </c>
    </row>
    <row r="22" spans="1:7">
      <c r="A22" s="8" t="s">
        <v>451</v>
      </c>
      <c r="B22" s="8" t="s">
        <v>452</v>
      </c>
      <c r="C22" s="8" t="s">
        <v>447</v>
      </c>
      <c r="D22" s="8" t="s">
        <v>453</v>
      </c>
      <c r="E22" s="8" t="s">
        <v>442</v>
      </c>
      <c r="F22" s="8" t="s">
        <v>454</v>
      </c>
      <c r="G22" s="8" t="s">
        <v>455</v>
      </c>
    </row>
    <row r="23" spans="1:7">
      <c r="A23" s="8" t="s">
        <v>456</v>
      </c>
      <c r="B23" s="8" t="s">
        <v>457</v>
      </c>
      <c r="C23" s="8" t="s">
        <v>458</v>
      </c>
      <c r="D23" s="8" t="s">
        <v>459</v>
      </c>
      <c r="E23" s="8" t="s">
        <v>460</v>
      </c>
      <c r="F23" s="8" t="s">
        <v>461</v>
      </c>
      <c r="G23" s="8" t="s">
        <v>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sheetFormatPr defaultRowHeight="15"/>
  <cols>
    <col min="1" max="1" width="6.7109375" customWidth="1"/>
    <col min="2" max="2" width="12.7109375" customWidth="1"/>
    <col min="3" max="3" width="52.7109375" customWidth="1"/>
    <col min="4" max="7" width="10.7109375" customWidth="1"/>
    <col min="8" max="8" width="60.7109375" customWidth="1"/>
  </cols>
  <sheetData>
    <row r="1" spans="1:8">
      <c r="A1" s="1" t="s">
        <v>462</v>
      </c>
    </row>
    <row r="3" spans="1:8">
      <c r="A3" s="6" t="s">
        <v>463</v>
      </c>
      <c r="B3" s="6" t="s">
        <v>464</v>
      </c>
      <c r="C3" s="6" t="s">
        <v>465</v>
      </c>
      <c r="D3" s="6" t="s">
        <v>466</v>
      </c>
      <c r="E3" s="6" t="s">
        <v>467</v>
      </c>
      <c r="F3" s="6" t="s">
        <v>468</v>
      </c>
      <c r="G3" s="6" t="s">
        <v>469</v>
      </c>
      <c r="H3" s="6" t="s">
        <v>470</v>
      </c>
    </row>
    <row r="4" spans="1:8">
      <c r="A4" s="8" t="s">
        <v>471</v>
      </c>
      <c r="B4" s="8" t="s">
        <v>472</v>
      </c>
      <c r="C4" s="8" t="s">
        <v>473</v>
      </c>
      <c r="D4" s="7">
        <v>1</v>
      </c>
      <c r="E4" s="7">
        <v>4</v>
      </c>
      <c r="F4" s="7">
        <v>4</v>
      </c>
      <c r="G4" s="13">
        <f>D4*E4*F4</f>
        <v>16</v>
      </c>
      <c r="H4" s="8" t="s">
        <v>474</v>
      </c>
    </row>
    <row r="5" spans="1:8">
      <c r="A5" s="8" t="s">
        <v>475</v>
      </c>
      <c r="B5" s="8" t="s">
        <v>472</v>
      </c>
      <c r="C5" s="8" t="s">
        <v>476</v>
      </c>
      <c r="D5" s="7">
        <v>1</v>
      </c>
      <c r="E5" s="7">
        <v>4</v>
      </c>
      <c r="F5" s="7">
        <v>3</v>
      </c>
      <c r="G5" s="13">
        <f>D5*E5*F5</f>
        <v>12</v>
      </c>
      <c r="H5" s="8" t="s">
        <v>477</v>
      </c>
    </row>
    <row r="6" spans="1:8">
      <c r="A6" s="8" t="s">
        <v>478</v>
      </c>
      <c r="B6" s="8" t="s">
        <v>472</v>
      </c>
      <c r="C6" s="8" t="s">
        <v>479</v>
      </c>
      <c r="D6" s="7">
        <v>-1</v>
      </c>
      <c r="E6" s="7">
        <v>4</v>
      </c>
      <c r="F6" s="7">
        <v>3</v>
      </c>
      <c r="G6" s="13">
        <f>D6*E6*F6</f>
        <v>-12</v>
      </c>
      <c r="H6" s="8" t="s">
        <v>480</v>
      </c>
    </row>
    <row r="7" spans="1:8">
      <c r="A7" s="8" t="s">
        <v>481</v>
      </c>
      <c r="B7" s="8" t="s">
        <v>472</v>
      </c>
      <c r="C7" s="8" t="s">
        <v>482</v>
      </c>
      <c r="D7" s="7">
        <v>1</v>
      </c>
      <c r="E7" s="7">
        <v>3</v>
      </c>
      <c r="F7" s="7">
        <v>4</v>
      </c>
      <c r="G7" s="13">
        <f>D7*E7*F7</f>
        <v>12</v>
      </c>
      <c r="H7" s="8" t="s">
        <v>483</v>
      </c>
    </row>
    <row r="8" spans="1:8">
      <c r="A8" s="8" t="s">
        <v>484</v>
      </c>
      <c r="B8" s="8" t="s">
        <v>485</v>
      </c>
      <c r="C8" s="8" t="s">
        <v>486</v>
      </c>
      <c r="D8" s="7">
        <v>-1</v>
      </c>
      <c r="E8" s="7">
        <v>3</v>
      </c>
      <c r="F8" s="7">
        <v>4</v>
      </c>
      <c r="G8" s="13">
        <f>D8*E8*F8</f>
        <v>-12</v>
      </c>
      <c r="H8" s="8" t="s">
        <v>487</v>
      </c>
    </row>
    <row r="9" spans="1:8">
      <c r="A9" s="8" t="s">
        <v>488</v>
      </c>
      <c r="B9" s="8" t="s">
        <v>485</v>
      </c>
      <c r="C9" s="8" t="s">
        <v>489</v>
      </c>
      <c r="D9" s="7">
        <v>-1</v>
      </c>
      <c r="E9" s="7">
        <v>3</v>
      </c>
      <c r="F9" s="7">
        <v>4</v>
      </c>
      <c r="G9" s="13">
        <f>D9*E9*F9</f>
        <v>-12</v>
      </c>
      <c r="H9" s="8" t="s">
        <v>490</v>
      </c>
    </row>
    <row r="10" spans="1:8">
      <c r="A10" s="8" t="s">
        <v>491</v>
      </c>
      <c r="B10" s="8" t="s">
        <v>485</v>
      </c>
      <c r="C10" s="8" t="s">
        <v>492</v>
      </c>
      <c r="D10" s="7">
        <v>1</v>
      </c>
      <c r="E10" s="7">
        <v>3</v>
      </c>
      <c r="F10" s="7">
        <v>3</v>
      </c>
      <c r="G10" s="13">
        <f>D10*E10*F10</f>
        <v>9</v>
      </c>
      <c r="H10" s="8" t="s">
        <v>493</v>
      </c>
    </row>
    <row r="11" spans="1:8">
      <c r="A11" s="8" t="s">
        <v>494</v>
      </c>
      <c r="B11" s="8" t="s">
        <v>485</v>
      </c>
      <c r="C11" s="8" t="s">
        <v>495</v>
      </c>
      <c r="D11" s="7">
        <v>-1</v>
      </c>
      <c r="E11" s="7">
        <v>4</v>
      </c>
      <c r="F11" s="7">
        <v>4</v>
      </c>
      <c r="G11" s="13">
        <f>D11*E11*F11</f>
        <v>-16</v>
      </c>
      <c r="H11" s="8" t="s">
        <v>496</v>
      </c>
    </row>
    <row r="12" spans="1:8">
      <c r="A12" s="8" t="s">
        <v>497</v>
      </c>
      <c r="B12" s="8" t="s">
        <v>485</v>
      </c>
      <c r="C12" s="8" t="s">
        <v>498</v>
      </c>
      <c r="D12" s="7">
        <v>1</v>
      </c>
      <c r="E12" s="7">
        <v>3</v>
      </c>
      <c r="F12" s="7">
        <v>4</v>
      </c>
      <c r="G12" s="13">
        <f>D12*E12*F12</f>
        <v>12</v>
      </c>
      <c r="H12" s="8" t="s">
        <v>499</v>
      </c>
    </row>
    <row r="13" spans="1:8">
      <c r="A13" s="8" t="s">
        <v>500</v>
      </c>
      <c r="B13" s="8" t="s">
        <v>501</v>
      </c>
      <c r="C13" s="8" t="s">
        <v>502</v>
      </c>
      <c r="D13" s="7">
        <v>1</v>
      </c>
      <c r="E13" s="7">
        <v>3</v>
      </c>
      <c r="F13" s="7">
        <v>4</v>
      </c>
      <c r="G13" s="13">
        <f>D13*E13*F13</f>
        <v>12</v>
      </c>
      <c r="H13" s="8" t="s">
        <v>503</v>
      </c>
    </row>
    <row r="14" spans="1:8">
      <c r="A14" s="8" t="s">
        <v>504</v>
      </c>
      <c r="B14" s="8" t="s">
        <v>501</v>
      </c>
      <c r="C14" s="8" t="s">
        <v>505</v>
      </c>
      <c r="D14" s="7">
        <v>1</v>
      </c>
      <c r="E14" s="7">
        <v>2</v>
      </c>
      <c r="F14" s="7">
        <v>4</v>
      </c>
      <c r="G14" s="13">
        <f>D14*E14*F14</f>
        <v>8</v>
      </c>
      <c r="H14" s="8" t="s">
        <v>506</v>
      </c>
    </row>
    <row r="15" spans="1:8">
      <c r="A15" s="8" t="s">
        <v>507</v>
      </c>
      <c r="B15" s="8" t="s">
        <v>501</v>
      </c>
      <c r="C15" s="8" t="s">
        <v>508</v>
      </c>
      <c r="D15" s="7">
        <v>-1</v>
      </c>
      <c r="E15" s="7">
        <v>3</v>
      </c>
      <c r="F15" s="7">
        <v>3</v>
      </c>
      <c r="G15" s="13">
        <f>D15*E15*F15</f>
        <v>-9</v>
      </c>
      <c r="H15" s="8" t="s">
        <v>509</v>
      </c>
    </row>
    <row r="16" spans="1:8">
      <c r="A16" s="8" t="s">
        <v>510</v>
      </c>
      <c r="B16" s="8" t="s">
        <v>431</v>
      </c>
      <c r="C16" s="8" t="s">
        <v>511</v>
      </c>
      <c r="D16" s="7">
        <v>-1</v>
      </c>
      <c r="E16" s="7">
        <v>4</v>
      </c>
      <c r="F16" s="7">
        <v>3</v>
      </c>
      <c r="G16" s="13">
        <f>D16*E16*F16</f>
        <v>-12</v>
      </c>
      <c r="H16" s="8" t="s">
        <v>512</v>
      </c>
    </row>
    <row r="17" spans="1:8">
      <c r="A17" s="8" t="s">
        <v>513</v>
      </c>
      <c r="B17" s="8" t="s">
        <v>431</v>
      </c>
      <c r="C17" s="8" t="s">
        <v>514</v>
      </c>
      <c r="D17" s="7">
        <v>1</v>
      </c>
      <c r="E17" s="7">
        <v>3</v>
      </c>
      <c r="F17" s="7">
        <v>5</v>
      </c>
      <c r="G17" s="13">
        <f>D17*E17*F17</f>
        <v>15</v>
      </c>
      <c r="H17" s="8" t="s">
        <v>515</v>
      </c>
    </row>
    <row r="18" spans="1:8">
      <c r="A18" s="8" t="s">
        <v>516</v>
      </c>
      <c r="B18" s="8" t="s">
        <v>431</v>
      </c>
      <c r="C18" s="8" t="s">
        <v>517</v>
      </c>
      <c r="D18" s="7">
        <v>-1</v>
      </c>
      <c r="E18" s="7">
        <v>3</v>
      </c>
      <c r="F18" s="7">
        <v>3</v>
      </c>
      <c r="G18" s="13">
        <f>D18*E18*F18</f>
        <v>-9</v>
      </c>
      <c r="H18" s="8" t="s">
        <v>518</v>
      </c>
    </row>
    <row r="19" spans="1:8">
      <c r="A19" s="8" t="s">
        <v>519</v>
      </c>
      <c r="B19" s="8" t="s">
        <v>431</v>
      </c>
      <c r="C19" s="8" t="s">
        <v>520</v>
      </c>
      <c r="D19" s="7">
        <v>1</v>
      </c>
      <c r="E19" s="7">
        <v>3</v>
      </c>
      <c r="F19" s="7">
        <v>4</v>
      </c>
      <c r="G19" s="13">
        <f>D19*E19*F19</f>
        <v>12</v>
      </c>
      <c r="H19" s="8" t="s">
        <v>521</v>
      </c>
    </row>
    <row r="20" spans="1:8">
      <c r="A20" s="8" t="s">
        <v>522</v>
      </c>
      <c r="B20" s="8" t="s">
        <v>523</v>
      </c>
      <c r="C20" s="8" t="s">
        <v>524</v>
      </c>
      <c r="D20" s="7">
        <v>1</v>
      </c>
      <c r="E20" s="7">
        <v>4</v>
      </c>
      <c r="F20" s="7">
        <v>3</v>
      </c>
      <c r="G20" s="13">
        <f>D20*E20*F20</f>
        <v>12</v>
      </c>
      <c r="H20" s="8" t="s">
        <v>525</v>
      </c>
    </row>
    <row r="21" spans="1:8">
      <c r="A21" s="8" t="s">
        <v>526</v>
      </c>
      <c r="B21" s="8" t="s">
        <v>523</v>
      </c>
      <c r="C21" s="8" t="s">
        <v>527</v>
      </c>
      <c r="D21" s="7">
        <v>-1</v>
      </c>
      <c r="E21" s="7">
        <v>3</v>
      </c>
      <c r="F21" s="7">
        <v>4</v>
      </c>
      <c r="G21" s="13">
        <f>D21*E21*F21</f>
        <v>-12</v>
      </c>
      <c r="H21" s="8" t="s">
        <v>528</v>
      </c>
    </row>
    <row r="22" spans="1:8">
      <c r="A22" s="8" t="s">
        <v>529</v>
      </c>
      <c r="B22" s="8" t="s">
        <v>523</v>
      </c>
      <c r="C22" s="8" t="s">
        <v>530</v>
      </c>
      <c r="D22" s="7">
        <v>-1</v>
      </c>
      <c r="E22" s="7">
        <v>4</v>
      </c>
      <c r="F22" s="7">
        <v>2</v>
      </c>
      <c r="G22" s="13">
        <f>D22*E22*F22</f>
        <v>-8</v>
      </c>
      <c r="H22" s="8" t="s">
        <v>531</v>
      </c>
    </row>
    <row r="23" spans="1:8">
      <c r="A23" s="8" t="s">
        <v>532</v>
      </c>
      <c r="B23" s="8" t="s">
        <v>533</v>
      </c>
      <c r="C23" s="8" t="s">
        <v>534</v>
      </c>
      <c r="D23" s="7">
        <v>1</v>
      </c>
      <c r="E23" s="7">
        <v>4</v>
      </c>
      <c r="F23" s="7">
        <v>4</v>
      </c>
      <c r="G23" s="13">
        <f>D23*E23*F23</f>
        <v>16</v>
      </c>
      <c r="H23" s="8" t="s">
        <v>535</v>
      </c>
    </row>
    <row r="24" spans="1:8">
      <c r="A24" s="8" t="s">
        <v>536</v>
      </c>
      <c r="B24" s="8" t="s">
        <v>533</v>
      </c>
      <c r="C24" s="8" t="s">
        <v>537</v>
      </c>
      <c r="D24" s="7">
        <v>1</v>
      </c>
      <c r="E24" s="7">
        <v>3</v>
      </c>
      <c r="F24" s="7">
        <v>4</v>
      </c>
      <c r="G24" s="13">
        <f>D24*E24*F24</f>
        <v>12</v>
      </c>
      <c r="H24" s="8" t="s">
        <v>538</v>
      </c>
    </row>
    <row r="26" spans="1:8">
      <c r="B26" s="6" t="s">
        <v>464</v>
      </c>
      <c r="C26" s="6" t="s">
        <v>539</v>
      </c>
    </row>
    <row r="27" spans="1:8">
      <c r="B27" t="s">
        <v>472</v>
      </c>
      <c r="C27" s="13">
        <f>SUMIF($B$4:$B$24,B27,$G$4:$G$24)</f>
        <v>28</v>
      </c>
    </row>
    <row r="28" spans="1:8">
      <c r="B28" t="s">
        <v>485</v>
      </c>
      <c r="C28" s="13">
        <f>SUMIF($B$4:$B$24,B28,$G$4:$G$24)</f>
        <v>-19</v>
      </c>
    </row>
    <row r="29" spans="1:8">
      <c r="B29" t="s">
        <v>501</v>
      </c>
      <c r="C29" s="13">
        <f>SUMIF($B$4:$B$24,B29,$G$4:$G$24)</f>
        <v>11</v>
      </c>
    </row>
    <row r="30" spans="1:8">
      <c r="B30" t="s">
        <v>431</v>
      </c>
      <c r="C30" s="13">
        <f>SUMIF($B$4:$B$24,B30,$G$4:$G$24)</f>
        <v>6</v>
      </c>
    </row>
    <row r="31" spans="1:8">
      <c r="B31" t="s">
        <v>523</v>
      </c>
      <c r="C31" s="13">
        <f>SUMIF($B$4:$B$24,B31,$G$4:$G$24)</f>
        <v>-8</v>
      </c>
    </row>
    <row r="32" spans="1:8">
      <c r="B32" t="s">
        <v>533</v>
      </c>
      <c r="C32" s="13">
        <f>SUMIF($B$4:$B$24,B32,$G$4:$G$24)</f>
        <v>28</v>
      </c>
    </row>
    <row r="33" spans="2:3">
      <c r="B33" s="9" t="s">
        <v>540</v>
      </c>
      <c r="C33" s="14">
        <f>SUM(C27:C32)</f>
        <v>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20.7109375" customWidth="1"/>
    <col min="2" max="2" width="46.7109375" customWidth="1"/>
    <col min="3" max="3" width="12.7109375" customWidth="1"/>
    <col min="4" max="4" width="50.7109375" customWidth="1"/>
  </cols>
  <sheetData>
    <row r="1" spans="1:4">
      <c r="A1" s="1" t="s">
        <v>541</v>
      </c>
    </row>
    <row r="3" spans="1:4">
      <c r="A3" s="6" t="s">
        <v>542</v>
      </c>
      <c r="B3" s="6" t="s">
        <v>543</v>
      </c>
      <c r="C3" s="6" t="s">
        <v>469</v>
      </c>
      <c r="D3" s="6" t="s">
        <v>544</v>
      </c>
    </row>
    <row r="4" spans="1:4">
      <c r="A4" s="8" t="s">
        <v>545</v>
      </c>
      <c r="B4" s="8" t="s">
        <v>546</v>
      </c>
      <c r="C4" s="7">
        <v>2.5</v>
      </c>
      <c r="D4" s="8" t="s">
        <v>547</v>
      </c>
    </row>
    <row r="5" spans="1:4">
      <c r="A5" s="8" t="s">
        <v>545</v>
      </c>
      <c r="B5" s="8" t="s">
        <v>548</v>
      </c>
      <c r="C5" s="7">
        <v>2.2</v>
      </c>
      <c r="D5" s="8" t="s">
        <v>549</v>
      </c>
    </row>
    <row r="6" spans="1:4">
      <c r="A6" s="8" t="s">
        <v>545</v>
      </c>
      <c r="B6" s="8" t="s">
        <v>550</v>
      </c>
      <c r="C6" s="7">
        <v>3.4</v>
      </c>
      <c r="D6" s="8" t="s">
        <v>551</v>
      </c>
    </row>
    <row r="7" spans="1:4">
      <c r="A7" s="8" t="s">
        <v>552</v>
      </c>
      <c r="B7" s="8" t="s">
        <v>553</v>
      </c>
      <c r="C7" s="7">
        <v>3.4</v>
      </c>
      <c r="D7" s="8" t="s">
        <v>554</v>
      </c>
    </row>
    <row r="8" spans="1:4">
      <c r="A8" s="8" t="s">
        <v>552</v>
      </c>
      <c r="B8" s="8" t="s">
        <v>555</v>
      </c>
      <c r="C8" s="7">
        <v>3.6</v>
      </c>
      <c r="D8" s="8" t="s">
        <v>556</v>
      </c>
    </row>
    <row r="9" spans="1:4">
      <c r="A9" s="8" t="s">
        <v>552</v>
      </c>
      <c r="B9" s="8" t="s">
        <v>557</v>
      </c>
      <c r="C9" s="7">
        <v>2</v>
      </c>
      <c r="D9" s="8" t="s">
        <v>558</v>
      </c>
    </row>
    <row r="10" spans="1:4">
      <c r="A10" s="8" t="s">
        <v>559</v>
      </c>
      <c r="B10" s="8" t="s">
        <v>560</v>
      </c>
      <c r="C10" s="7">
        <v>3.8</v>
      </c>
      <c r="D10" s="8" t="s">
        <v>561</v>
      </c>
    </row>
    <row r="11" spans="1:4">
      <c r="A11" s="8" t="s">
        <v>559</v>
      </c>
      <c r="B11" s="8" t="s">
        <v>562</v>
      </c>
      <c r="C11" s="7">
        <v>3.4</v>
      </c>
      <c r="D11" s="8" t="s">
        <v>563</v>
      </c>
    </row>
    <row r="12" spans="1:4">
      <c r="A12" s="8" t="s">
        <v>559</v>
      </c>
      <c r="B12" s="8" t="s">
        <v>564</v>
      </c>
      <c r="C12" s="7">
        <v>3</v>
      </c>
      <c r="D12" s="8" t="s">
        <v>565</v>
      </c>
    </row>
    <row r="13" spans="1:4">
      <c r="A13" s="8" t="s">
        <v>566</v>
      </c>
      <c r="B13" s="8" t="s">
        <v>567</v>
      </c>
      <c r="C13" s="7">
        <v>4.3</v>
      </c>
      <c r="D13" s="8" t="s">
        <v>568</v>
      </c>
    </row>
    <row r="14" spans="1:4">
      <c r="A14" s="8" t="s">
        <v>566</v>
      </c>
      <c r="B14" s="8" t="s">
        <v>569</v>
      </c>
      <c r="C14" s="7">
        <v>3.6</v>
      </c>
      <c r="D14" s="8" t="s">
        <v>570</v>
      </c>
    </row>
    <row r="15" spans="1:4">
      <c r="A15" s="8" t="s">
        <v>566</v>
      </c>
      <c r="B15" s="8" t="s">
        <v>571</v>
      </c>
      <c r="C15" s="7">
        <v>3.3</v>
      </c>
      <c r="D15" s="8" t="s">
        <v>572</v>
      </c>
    </row>
    <row r="16" spans="1:4">
      <c r="A16" s="8" t="s">
        <v>573</v>
      </c>
      <c r="B16" s="8" t="s">
        <v>574</v>
      </c>
      <c r="C16" s="7">
        <v>3.6</v>
      </c>
      <c r="D16" s="8" t="s">
        <v>575</v>
      </c>
    </row>
    <row r="17" spans="1:4">
      <c r="A17" s="8" t="s">
        <v>573</v>
      </c>
      <c r="B17" s="8" t="s">
        <v>576</v>
      </c>
      <c r="C17" s="7">
        <v>3</v>
      </c>
      <c r="D17" s="8" t="s">
        <v>577</v>
      </c>
    </row>
    <row r="18" spans="1:4">
      <c r="A18" s="8" t="s">
        <v>573</v>
      </c>
      <c r="B18" s="8" t="s">
        <v>578</v>
      </c>
      <c r="C18" s="7">
        <v>3</v>
      </c>
      <c r="D18" s="8" t="s">
        <v>579</v>
      </c>
    </row>
    <row r="20" spans="1:4">
      <c r="A20" s="6" t="s">
        <v>542</v>
      </c>
      <c r="B20" s="6" t="s">
        <v>580</v>
      </c>
    </row>
    <row r="21" spans="1:4">
      <c r="A21" t="s">
        <v>545</v>
      </c>
      <c r="B21" s="10">
        <f>AVERAGE(C4:C6)</f>
        <v>2.6999999999999997</v>
      </c>
    </row>
    <row r="22" spans="1:4">
      <c r="A22" t="s">
        <v>552</v>
      </c>
      <c r="B22" s="10">
        <f>AVERAGE(C7:C9)</f>
        <v>3.0</v>
      </c>
    </row>
    <row r="23" spans="1:4">
      <c r="A23" t="s">
        <v>559</v>
      </c>
      <c r="B23" s="10">
        <f>AVERAGE(C10:C12)</f>
        <v>3.4</v>
      </c>
    </row>
    <row r="24" spans="1:4">
      <c r="A24" t="s">
        <v>566</v>
      </c>
      <c r="B24" s="10">
        <f>AVERAGE(C13:C15)</f>
        <v>3.733333333333333</v>
      </c>
    </row>
    <row r="25" spans="1:4">
      <c r="A25" t="s">
        <v>573</v>
      </c>
      <c r="B25" s="10">
        <f>AVERAGE(C16:C18)</f>
        <v>3.1999999999999997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100"/>
  <sheetViews>
    <sheetView workbookViewId="0"/>
  </sheetViews>
  <sheetFormatPr defaultRowHeight="15"/>
  <cols>
    <col min="1" max="1" width="150.7109375" customWidth="1"/>
  </cols>
  <sheetData>
    <row r="1" spans="1:1">
      <c r="A1" s="1" t="s">
        <v>581</v>
      </c>
    </row>
    <row r="3" spans="1:1">
      <c r="A3" t="s">
        <v>582</v>
      </c>
    </row>
    <row r="4" spans="1:1">
      <c r="A4" t="s">
        <v>583</v>
      </c>
    </row>
    <row r="6" spans="1:1">
      <c r="A6" t="s">
        <v>584</v>
      </c>
    </row>
    <row r="7" spans="1:1">
      <c r="A7" t="s">
        <v>585</v>
      </c>
    </row>
    <row r="8" spans="1:1">
      <c r="A8" t="s">
        <v>586</v>
      </c>
    </row>
    <row r="9" spans="1:1">
      <c r="A9" t="s">
        <v>587</v>
      </c>
    </row>
    <row r="10" spans="1:1">
      <c r="A10" t="s">
        <v>588</v>
      </c>
    </row>
    <row r="11" spans="1:1">
      <c r="A11" t="s">
        <v>589</v>
      </c>
    </row>
    <row r="12" spans="1:1">
      <c r="A12" t="s">
        <v>590</v>
      </c>
    </row>
    <row r="13" spans="1:1">
      <c r="A13" t="s">
        <v>591</v>
      </c>
    </row>
    <row r="15" spans="1:1">
      <c r="A15" t="s">
        <v>592</v>
      </c>
    </row>
    <row r="16" spans="1:1">
      <c r="A16" t="s">
        <v>585</v>
      </c>
    </row>
    <row r="17" spans="1:1">
      <c r="A17" t="s">
        <v>586</v>
      </c>
    </row>
    <row r="18" spans="1:1">
      <c r="A18" t="s">
        <v>593</v>
      </c>
    </row>
    <row r="19" spans="1:1">
      <c r="A19" t="s">
        <v>594</v>
      </c>
    </row>
    <row r="20" spans="1:1">
      <c r="A20" t="s">
        <v>595</v>
      </c>
    </row>
    <row r="21" spans="1:1">
      <c r="A21" t="s">
        <v>596</v>
      </c>
    </row>
    <row r="22" spans="1:1">
      <c r="A22" t="s">
        <v>597</v>
      </c>
    </row>
    <row r="23" spans="1:1">
      <c r="A23" t="s">
        <v>598</v>
      </c>
    </row>
    <row r="25" spans="1:1">
      <c r="A25" t="s">
        <v>599</v>
      </c>
    </row>
    <row r="26" spans="1:1">
      <c r="A26" t="s">
        <v>585</v>
      </c>
    </row>
    <row r="27" spans="1:1">
      <c r="A27" t="s">
        <v>586</v>
      </c>
    </row>
    <row r="28" spans="1:1">
      <c r="A28" t="s">
        <v>600</v>
      </c>
    </row>
    <row r="29" spans="1:1">
      <c r="A29" t="s">
        <v>601</v>
      </c>
    </row>
    <row r="30" spans="1:1">
      <c r="A30" t="s">
        <v>602</v>
      </c>
    </row>
    <row r="31" spans="1:1">
      <c r="A31" t="s">
        <v>603</v>
      </c>
    </row>
    <row r="32" spans="1:1">
      <c r="A32" t="s">
        <v>604</v>
      </c>
    </row>
    <row r="33" spans="1:1">
      <c r="A33" t="s">
        <v>605</v>
      </c>
    </row>
    <row r="35" spans="1:1">
      <c r="A35" t="s">
        <v>606</v>
      </c>
    </row>
    <row r="36" spans="1:1">
      <c r="A36" t="s">
        <v>585</v>
      </c>
    </row>
    <row r="37" spans="1:1">
      <c r="A37" t="s">
        <v>586</v>
      </c>
    </row>
    <row r="38" spans="1:1">
      <c r="A38" t="s">
        <v>607</v>
      </c>
    </row>
    <row r="39" spans="1:1">
      <c r="A39" t="s">
        <v>608</v>
      </c>
    </row>
    <row r="40" spans="1:1">
      <c r="A40" t="s">
        <v>609</v>
      </c>
    </row>
    <row r="41" spans="1:1">
      <c r="A41" t="s">
        <v>610</v>
      </c>
    </row>
    <row r="42" spans="1:1">
      <c r="A42" t="s">
        <v>611</v>
      </c>
    </row>
    <row r="43" spans="1:1">
      <c r="A43" t="s">
        <v>612</v>
      </c>
    </row>
    <row r="44" spans="1:1">
      <c r="A44" t="s">
        <v>613</v>
      </c>
    </row>
    <row r="45" spans="1:1">
      <c r="A45" t="s">
        <v>614</v>
      </c>
    </row>
    <row r="47" spans="1:1">
      <c r="A47" t="s">
        <v>615</v>
      </c>
    </row>
    <row r="48" spans="1:1">
      <c r="A48" t="s">
        <v>616</v>
      </c>
    </row>
    <row r="49" spans="1:1">
      <c r="A49" t="s">
        <v>617</v>
      </c>
    </row>
    <row r="50" spans="1:1">
      <c r="A50" t="s">
        <v>618</v>
      </c>
    </row>
    <row r="51" spans="1:1">
      <c r="A51" t="s">
        <v>619</v>
      </c>
    </row>
    <row r="52" spans="1:1">
      <c r="A52" t="s">
        <v>620</v>
      </c>
    </row>
    <row r="53" spans="1:1">
      <c r="A53" t="s">
        <v>621</v>
      </c>
    </row>
    <row r="55" spans="1:1">
      <c r="A55" t="s">
        <v>622</v>
      </c>
    </row>
    <row r="56" spans="1:1">
      <c r="A56" t="s">
        <v>585</v>
      </c>
    </row>
    <row r="57" spans="1:1">
      <c r="A57" t="s">
        <v>586</v>
      </c>
    </row>
    <row r="58" spans="1:1">
      <c r="A58" t="s">
        <v>623</v>
      </c>
    </row>
    <row r="59" spans="1:1">
      <c r="A59" t="s">
        <v>624</v>
      </c>
    </row>
    <row r="60" spans="1:1">
      <c r="A60" t="s">
        <v>625</v>
      </c>
    </row>
    <row r="61" spans="1:1">
      <c r="A61" t="s">
        <v>626</v>
      </c>
    </row>
    <row r="62" spans="1:1">
      <c r="A62" t="s">
        <v>627</v>
      </c>
    </row>
    <row r="63" spans="1:1">
      <c r="A63" t="s">
        <v>628</v>
      </c>
    </row>
    <row r="64" spans="1:1">
      <c r="A64" t="s">
        <v>629</v>
      </c>
    </row>
    <row r="65" spans="1:1">
      <c r="A65" t="s">
        <v>630</v>
      </c>
    </row>
    <row r="67" spans="1:1">
      <c r="A67" t="s">
        <v>631</v>
      </c>
    </row>
    <row r="68" spans="1:1">
      <c r="A68" t="s">
        <v>585</v>
      </c>
    </row>
    <row r="69" spans="1:1">
      <c r="A69" t="s">
        <v>586</v>
      </c>
    </row>
    <row r="70" spans="1:1">
      <c r="A70" t="s">
        <v>632</v>
      </c>
    </row>
    <row r="71" spans="1:1">
      <c r="A71" t="s">
        <v>633</v>
      </c>
    </row>
    <row r="72" spans="1:1">
      <c r="A72" t="s">
        <v>634</v>
      </c>
    </row>
    <row r="73" spans="1:1">
      <c r="A73" t="s">
        <v>635</v>
      </c>
    </row>
    <row r="75" spans="1:1">
      <c r="A75" t="s">
        <v>636</v>
      </c>
    </row>
    <row r="76" spans="1:1">
      <c r="A76" t="s">
        <v>637</v>
      </c>
    </row>
    <row r="77" spans="1:1">
      <c r="A77" t="s">
        <v>638</v>
      </c>
    </row>
    <row r="78" spans="1:1">
      <c r="A78" t="s">
        <v>639</v>
      </c>
    </row>
    <row r="79" spans="1:1">
      <c r="A79" t="s">
        <v>640</v>
      </c>
    </row>
    <row r="80" spans="1:1">
      <c r="A80" t="s">
        <v>641</v>
      </c>
    </row>
    <row r="81" spans="1:1">
      <c r="A81" t="s">
        <v>642</v>
      </c>
    </row>
    <row r="82" spans="1:1">
      <c r="A82" t="s">
        <v>643</v>
      </c>
    </row>
    <row r="83" spans="1:1">
      <c r="A83" t="s">
        <v>644</v>
      </c>
    </row>
    <row r="85" spans="1:1">
      <c r="A85" t="s">
        <v>645</v>
      </c>
    </row>
    <row r="86" spans="1:1">
      <c r="A86" t="s">
        <v>585</v>
      </c>
    </row>
    <row r="87" spans="1:1">
      <c r="A87" t="s">
        <v>586</v>
      </c>
    </row>
    <row r="88" spans="1:1">
      <c r="A88" t="s">
        <v>646</v>
      </c>
    </row>
    <row r="89" spans="1:1">
      <c r="A89" t="s">
        <v>647</v>
      </c>
    </row>
    <row r="90" spans="1:1">
      <c r="A90" t="s">
        <v>648</v>
      </c>
    </row>
    <row r="91" spans="1:1">
      <c r="A91" t="s">
        <v>649</v>
      </c>
    </row>
    <row r="92" spans="1:1">
      <c r="A92" t="s">
        <v>650</v>
      </c>
    </row>
    <row r="94" spans="1:1">
      <c r="A94" t="s">
        <v>651</v>
      </c>
    </row>
    <row r="95" spans="1:1">
      <c r="A95" t="s">
        <v>585</v>
      </c>
    </row>
    <row r="96" spans="1:1">
      <c r="A96" t="s">
        <v>586</v>
      </c>
    </row>
    <row r="97" spans="1:1">
      <c r="A97" t="s">
        <v>652</v>
      </c>
    </row>
    <row r="98" spans="1:1">
      <c r="A98" t="s">
        <v>653</v>
      </c>
    </row>
    <row r="99" spans="1:1">
      <c r="A99" t="s">
        <v>654</v>
      </c>
    </row>
    <row r="100" spans="1:1">
      <c r="A100" t="s">
        <v>655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58</vt:i4>
      </vt:variant>
    </vt:vector>
  </HeadingPairs>
  <TitlesOfParts>
    <vt:vector size="73" baseType="lpstr">
      <vt:lpstr>Ringkasan</vt:lpstr>
      <vt:lpstr>Asumsi</vt:lpstr>
      <vt:lpstr>CAPEX</vt:lpstr>
      <vt:lpstr>OPEX</vt:lpstr>
      <vt:lpstr>Arus Kas</vt:lpstr>
      <vt:lpstr>Indikator</vt:lpstr>
      <vt:lpstr>Sensitivitas</vt:lpstr>
      <vt:lpstr>Monte Carlo</vt:lpstr>
      <vt:lpstr>Skala Set</vt:lpstr>
      <vt:lpstr>Armada</vt:lpstr>
      <vt:lpstr>Pasar</vt:lpstr>
      <vt:lpstr>PESTLE</vt:lpstr>
      <vt:lpstr>Porter</vt:lpstr>
      <vt:lpstr>Sumber</vt:lpstr>
      <vt:lpstr>Gambar</vt:lpstr>
      <vt:lpstr>a_allow</vt:lpstr>
      <vt:lpstr>a_avail</vt:lpstr>
      <vt:lpstr>a_c_admin</vt:lpstr>
      <vt:lpstr>a_c_chp</vt:lpstr>
      <vt:lpstr>a_c_eng_om</vt:lpstr>
      <vt:lpstr>a_c_fab</vt:lpstr>
      <vt:lpstr>a_c_ins</vt:lpstr>
      <vt:lpstr>a_c_maint</vt:lpstr>
      <vt:lpstr>a_c_mem</vt:lpstr>
      <vt:lpstr>a_c_mrv</vt:lpstr>
      <vt:lpstr>a_c_naoh</vt:lpstr>
      <vt:lpstr>a_cer_ratio</vt:lpstr>
      <vt:lpstr>a_co2e</vt:lpstr>
      <vt:lpstr>a_cont</vt:lpstr>
      <vt:lpstr>a_debt_frac</vt:lpstr>
      <vt:lpstr>a_dep_life</vt:lpstr>
      <vt:lpstr>a_E_net_GWh</vt:lpstr>
      <vt:lpstr>a_eng</vt:lpstr>
      <vt:lpstr>a_F_loc</vt:lpstr>
      <vt:lpstr>a_fee_pome</vt:lpstr>
      <vt:lpstr>a_fx</vt:lpstr>
      <vt:lpstr>a_heat_util</vt:lpstr>
      <vt:lpstr>a_infl</vt:lpstr>
      <vt:lpstr>a_lease</vt:lpstr>
      <vt:lpstr>a_mem_life</vt:lpstr>
      <vt:lpstr>a_n_op</vt:lpstr>
      <vt:lpstr>a_overhaul</vt:lpstr>
      <vt:lpstr>a_p_ac</vt:lpstr>
      <vt:lpstr>a_p_cake</vt:lpstr>
      <vt:lpstr>a_p_carbon</vt:lpstr>
      <vt:lpstr>a_p_heat</vt:lpstr>
      <vt:lpstr>a_p_poly</vt:lpstr>
      <vt:lpstr>a_r_debt</vt:lpstr>
      <vt:lpstr>a_r_eq</vt:lpstr>
      <vt:lpstr>a_ramp1</vt:lpstr>
      <vt:lpstr>a_staff</vt:lpstr>
      <vt:lpstr>a_tariff1</vt:lpstr>
      <vt:lpstr>a_tariff2</vt:lpstr>
      <vt:lpstr>a_tax</vt:lpstr>
      <vt:lpstr>a_tenor</vt:lpstr>
      <vt:lpstr>a_wc_months</vt:lpstr>
      <vt:lpstr>a_year0</vt:lpstr>
      <vt:lpstr>FCI</vt:lpstr>
      <vt:lpstr>OPEX_F</vt:lpstr>
      <vt:lpstr>OPEX_V</vt:lpstr>
      <vt:lpstr>PEC</vt:lpstr>
      <vt:lpstr>t_area_mem</vt:lpstr>
      <vt:lpstr>t_cake_ty</vt:lpstr>
      <vt:lpstr>t_chp_kWe</vt:lpstr>
      <vt:lpstr>t_E_gross</vt:lpstr>
      <vt:lpstr>t_ffb_ty</vt:lpstr>
      <vt:lpstr>t_P_gross</vt:lpstr>
      <vt:lpstr>t_P_net</vt:lpstr>
      <vt:lpstr>t_plot_m2</vt:lpstr>
      <vt:lpstr>t_pome_m3y</vt:lpstr>
      <vt:lpstr>t_Q_heat</vt:lpstr>
      <vt:lpstr>WACC</vt:lpstr>
      <vt:lpstr>WC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2026-10-15T20:42:58Z</dcterms:created>
  <dcterms:modified xsi:type="dcterms:W3CDTF">2026-10-15T20:42:58Z</dcterms:modified>
</cp:coreProperties>
</file>