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ingkasan" sheetId="1" r:id="rId1"/>
    <sheet name="Asumsi" sheetId="2" r:id="rId2"/>
    <sheet name="CAPEX" sheetId="3" r:id="rId3"/>
    <sheet name="OPEX" sheetId="4" r:id="rId4"/>
    <sheet name="Arus Kas" sheetId="5" r:id="rId5"/>
    <sheet name="Indikator" sheetId="6" r:id="rId6"/>
    <sheet name="Sensitivitas" sheetId="7" r:id="rId7"/>
    <sheet name="Monte Carlo" sheetId="8" r:id="rId8"/>
    <sheet name="Skala Set" sheetId="9" r:id="rId9"/>
    <sheet name="Armada" sheetId="10" r:id="rId10"/>
    <sheet name="Lokasi" sheetId="11" r:id="rId11"/>
    <sheet name="Pasar" sheetId="12" r:id="rId12"/>
    <sheet name="PESTLE" sheetId="13" r:id="rId13"/>
    <sheet name="Porter" sheetId="14" r:id="rId14"/>
    <sheet name="Sumber" sheetId="15" r:id="rId15"/>
    <sheet name="Gambar" sheetId="16" r:id="rId16"/>
  </sheets>
  <definedNames>
    <definedName name="a_allow">Asumsi!$B$46</definedName>
    <definedName name="a_avail">Asumsi!$B$7</definedName>
    <definedName name="a_c_admin">Asumsi!$B$37</definedName>
    <definedName name="a_c_chp">Asumsi!$B$27</definedName>
    <definedName name="a_c_eng_om">Asumsi!$B$32</definedName>
    <definedName name="a_c_fab">Asumsi!$B$25</definedName>
    <definedName name="a_c_grid">Asumsi!$B$30</definedName>
    <definedName name="a_c_ins">Asumsi!$B$34</definedName>
    <definedName name="a_c_levy">Asumsi!$B$22</definedName>
    <definedName name="a_c_maint">Asumsi!$B$33</definedName>
    <definedName name="a_c_mem">Asumsi!$B$26</definedName>
    <definedName name="a_c_mrv">Asumsi!$B$36</definedName>
    <definedName name="a_c_naoh">Asumsi!$B$41</definedName>
    <definedName name="a_c_val">Asumsi!$B$21</definedName>
    <definedName name="a_cap_kW">Asumsi!$B$9</definedName>
    <definedName name="a_captive_h">Asumsi!$B$11</definedName>
    <definedName name="a_captive_kW">Asumsi!$B$10</definedName>
    <definedName name="a_carbon_years">Asumsi!$B$20</definedName>
    <definedName name="a_cer_ratio">Asumsi!$B$18</definedName>
    <definedName name="a_cont">Asumsi!$B$28</definedName>
    <definedName name="a_debt_frac">Asumsi!$B$48</definedName>
    <definedName name="a_dep_life">Asumsi!$B$45</definedName>
    <definedName name="a_dsra_m">Asumsi!$B$52</definedName>
    <definedName name="a_eng">Asumsi!$B$29</definedName>
    <definedName name="a_F_loc">Asumsi!$B$14</definedName>
    <definedName name="a_fee_debt">Asumsi!$B$51</definedName>
    <definedName name="a_fee_ffb">Asumsi!$B$16</definedName>
    <definedName name="a_fx">Asumsi!$B$24</definedName>
    <definedName name="a_infl">Asumsi!$B$23</definedName>
    <definedName name="a_lease">Asumsi!$B$38</definedName>
    <definedName name="a_loss_cf">Asumsi!$B$47</definedName>
    <definedName name="a_MCF_eff">Asumsi!$B$19</definedName>
    <definedName name="a_mem_repl">Asumsi!$B$43</definedName>
    <definedName name="a_n_op">Asumsi!$B$5</definedName>
    <definedName name="a_overhaul">Asumsi!$B$42</definedName>
    <definedName name="a_p_ac">Asumsi!$B$40</definedName>
    <definedName name="a_p_captive">Asumsi!$B$12</definedName>
    <definedName name="a_p_carbon">Asumsi!$B$17</definedName>
    <definedName name="a_p_poly">Asumsi!$B$39</definedName>
    <definedName name="a_pay_days">Asumsi!$B$55</definedName>
    <definedName name="a_r_debt">Asumsi!$B$49</definedName>
    <definedName name="a_r_eq">Asumsi!$B$53</definedName>
    <definedName name="a_ramp1">Asumsi!$B$8</definedName>
    <definedName name="a_rec_days">Asumsi!$B$54</definedName>
    <definedName name="a_staff">Asumsi!$B$35</definedName>
    <definedName name="a_tariff1">Asumsi!$B$13</definedName>
    <definedName name="a_tariff2">Asumsi!$B$15</definedName>
    <definedName name="a_tax">Asumsi!$B$44</definedName>
    <definedName name="a_tenor">Asumsi!$B$50</definedName>
    <definedName name="a_util">Asumsi!$B$6</definedName>
    <definedName name="a_vat">Asumsi!$B$31</definedName>
    <definedName name="a_year0">Asumsi!$B$4</definedName>
    <definedName name="ANN">CAPEX!$F$39</definedName>
    <definedName name="DEBT">CAPEX!$F$38</definedName>
    <definedName name="FCI26">CAPEX!$F$33</definedName>
    <definedName name="FCI">CAPEX!$F$34</definedName>
    <definedName name="IDC">CAPEX!$F$37</definedName>
    <definedName name="OPEX_F">OPEX!$B$12</definedName>
    <definedName name="OPEX_V">OPEX!$B$13</definedName>
    <definedName name="PEC">CAPEX!$F$32</definedName>
    <definedName name="t_ac">Asumsi!$B$62</definedName>
    <definedName name="t_area_mem">Asumsi!$B$70</definedName>
    <definedName name="t_B0">Asumsi!$B$66</definedName>
    <definedName name="t_base">Asumsi!$B$63</definedName>
    <definedName name="t_capf">Asumsi!$B$77</definedName>
    <definedName name="t_chp_kWe">Asumsi!$B$69</definedName>
    <definedName name="t_E_nom">Asumsi!$B$60</definedName>
    <definedName name="t_effCOD">Asumsi!$B$65</definedName>
    <definedName name="t_ER">Asumsi!$B$72</definedName>
    <definedName name="t_ffb">Asumsi!$B$68</definedName>
    <definedName name="t_GWP">Asumsi!$B$67</definedName>
    <definedName name="t_P_gross">Asumsi!$B$58</definedName>
    <definedName name="t_P_net">Asumsi!$B$59</definedName>
    <definedName name="t_plot_m2">Asumsi!$B$71</definedName>
    <definedName name="t_poly">Asumsi!$B$61</definedName>
    <definedName name="t_proj">Asumsi!$B$64</definedName>
    <definedName name="TANG">CAPEX!$F$35</definedName>
    <definedName name="WACC">Asumsi!$B$79</definedName>
  </definedNames>
  <calcPr calcId="124519" fullCalcOnLoad="1"/>
</workbook>
</file>

<file path=xl/sharedStrings.xml><?xml version="1.0" encoding="utf-8"?>
<sst xmlns="http://schemas.openxmlformats.org/spreadsheetml/2006/main" count="1025" uniqueCount="817">
  <si>
    <t>ASUMSI MODEL v2 (sel kuning = input; seluruh model ikut berubah)</t>
  </si>
  <si>
    <t>Nama</t>
  </si>
  <si>
    <t>Nilai</t>
  </si>
  <si>
    <t>Satuan</t>
  </si>
  <si>
    <t>Rendah / Tinggi</t>
  </si>
  <si>
    <t>Sumber / catatan</t>
  </si>
  <si>
    <t>year0</t>
  </si>
  <si>
    <t>tahun</t>
  </si>
  <si>
    <t>Tahun konstruksi (fabrikasi bengkel 8 bln + pasang 3 bln); COD awal 2028</t>
  </si>
  <si>
    <t>n_op</t>
  </si>
  <si>
    <t>Umur operasi kontrak BOO</t>
  </si>
  <si>
    <t>util</t>
  </si>
  <si>
    <t>-</t>
  </si>
  <si>
    <t>0.8 / 1.0</t>
  </si>
  <si>
    <t>Faktor beban PKS thd kapasitas 45 t/jam (results.json, asumsi 'util')</t>
  </si>
  <si>
    <t>avail</t>
  </si>
  <si>
    <t>0.93 / 0.985</t>
  </si>
  <si>
    <t>Ketersediaan CHP: 2 x 800 kWe, satu unit memikul 73% beban rata-rata + GH 2 jam</t>
  </si>
  <si>
    <t>ramp1</t>
  </si>
  <si>
    <t>0.6 / 0.9</t>
  </si>
  <si>
    <t>Faktor produksi tahun operasi 1 (start-up biomassa termofilik ~3 bln)</t>
  </si>
  <si>
    <t>cap_kW</t>
  </si>
  <si>
    <t>kW</t>
  </si>
  <si>
    <t>Kapasitas kontrak ekspor PLN di titik serah (tier Perpres 112 &lt;= 1 MW)</t>
  </si>
  <si>
    <t>captive_kW</t>
  </si>
  <si>
    <t>100.0 / 250.0</t>
  </si>
  <si>
    <t>Beban PKS di luar jam olah (perumahan, kantor, pompa air, bengkel) [ASUMSI]</t>
  </si>
  <si>
    <t>captive_h</t>
  </si>
  <si>
    <t>jam/th</t>
  </si>
  <si>
    <t>4 jam/hari x 300 hari + 52 Minggu x 24 jam</t>
  </si>
  <si>
    <t>p_captive</t>
  </si>
  <si>
    <t>USD/kWh</t>
  </si>
  <si>
    <t>0.12 / 0.24</t>
  </si>
  <si>
    <t>Diskon thd biaya listrik genset diesel PKS Rp4.000-5.000/kWh (Dexlite Rp23.700/L)</t>
  </si>
  <si>
    <t>tariff1</t>
  </si>
  <si>
    <t>USc/kWh</t>
  </si>
  <si>
    <t>9.81 / 10.18</t>
  </si>
  <si>
    <t>Perpres 112/2022 Lamp. I PLTBg &lt;= 1 MW, th 1-10 (CNBC/Katadata 2022)</t>
  </si>
  <si>
    <t>F_loc</t>
  </si>
  <si>
    <t>1.0 / 1.1</t>
  </si>
  <si>
    <t>Faktor lokasi F Sumatera ~1,10 [perlu verifikasi]</t>
  </si>
  <si>
    <t>tariff2</t>
  </si>
  <si>
    <t>5.89 / 6.11</t>
  </si>
  <si>
    <t>Perpres 112/2022 PLTBg &lt;= 1 MW, th 11 dst (tanpa F)</t>
  </si>
  <si>
    <t>fee_ffb</t>
  </si>
  <si>
    <t>USD/t TBS</t>
  </si>
  <si>
    <t>0.0 / 2.5</t>
  </si>
  <si>
    <t>Jasa pengolahan POME + kepatuhan (ISCC/CORSIA butuh penangkapan metana) [ASUMSI kontrak]</t>
  </si>
  <si>
    <t>p_carbon</t>
  </si>
  <si>
    <t>USD/tCO2e</t>
  </si>
  <si>
    <t>2.0 / 12.0</t>
  </si>
  <si>
    <t>Penghindaran metana: Platts 3,8 / MSCI BBB+ 6,8 USD (2024-25); IDXCarbon ~3</t>
  </si>
  <si>
    <t>cer_ratio</t>
  </si>
  <si>
    <t>0.8 / 0.95</t>
  </si>
  <si>
    <t>Rasio penerbitan (ketidakpastian, kebocoran)</t>
  </si>
  <si>
    <t>MCF_eff</t>
  </si>
  <si>
    <t>0.2 / 0.8</t>
  </si>
  <si>
    <t>MCF kolam polishing penerima efluen (fakultatif 3 m) [IPCC 0,2-0,8]</t>
  </si>
  <si>
    <t>carbon_years</t>
  </si>
  <si>
    <t>Periode kredit tetap 10 th (Verra/GS)</t>
  </si>
  <si>
    <t>c_val</t>
  </si>
  <si>
    <t>USD</t>
  </si>
  <si>
    <t>40000.0 / 90000.0</t>
  </si>
  <si>
    <t>Validasi + registrasi + PDD (sekali, th operasi 1)</t>
  </si>
  <si>
    <t>c_levy</t>
  </si>
  <si>
    <t>USD/t</t>
  </si>
  <si>
    <t>Pungutan penerbitan Verra 2025</t>
  </si>
  <si>
    <t>infl</t>
  </si>
  <si>
    <t>/th</t>
  </si>
  <si>
    <t>0.015 / 0.035</t>
  </si>
  <si>
    <t>Eskalasi biaya &amp; harga dalam USD</t>
  </si>
  <si>
    <t>fx</t>
  </si>
  <si>
    <t>IDR/USD</t>
  </si>
  <si>
    <t>Kurs 22 Sep 2026</t>
  </si>
  <si>
    <t>c_fab</t>
  </si>
  <si>
    <t>USD/kg</t>
  </si>
  <si>
    <t>2.0 / 3.2</t>
  </si>
  <si>
    <t>Bejana CS difabrikasi + dilapis (1,8-4,0)</t>
  </si>
  <si>
    <t>c_mem</t>
  </si>
  <si>
    <t>USD/m2</t>
  </si>
  <si>
    <t>150.0 / 280.0</t>
  </si>
  <si>
    <t>Membran UF tubular PVDF (100-300) [ASUMSI]</t>
  </si>
  <si>
    <t>c_chp</t>
  </si>
  <si>
    <t>USD/kWe</t>
  </si>
  <si>
    <t>450.0 / 800.0</t>
  </si>
  <si>
    <t>Genset biogas kontainer (Asia 350-600; Eropa 700-1.100)</t>
  </si>
  <si>
    <t>cont</t>
  </si>
  <si>
    <t>0.05 / 0.2</t>
  </si>
  <si>
    <t>Kontingensi produk standar</t>
  </si>
  <si>
    <t>eng</t>
  </si>
  <si>
    <t>0.05 / 0.12</t>
  </si>
  <si>
    <t>Rekayasa &amp; manajemen proyek (desain berulang)</t>
  </si>
  <si>
    <t>c_grid</t>
  </si>
  <si>
    <t>80000.0 / 250000.0</t>
  </si>
  <si>
    <t>Switchgear 20 kV + kWh meter transaksi + saluran ke jaringan PLN &lt;= 2 km</t>
  </si>
  <si>
    <t>vat</t>
  </si>
  <si>
    <t>PPN efektif atas CAPEX (restitusi th operasi 2)</t>
  </si>
  <si>
    <t>c_eng_om</t>
  </si>
  <si>
    <t>USD/kWh-kotor</t>
  </si>
  <si>
    <t>0.01 / 0.018</t>
  </si>
  <si>
    <t>O&amp;M genset kontrak (tanpa overhaul)</t>
  </si>
  <si>
    <t>c_maint</t>
  </si>
  <si>
    <t>-/th x PEC non-genset</t>
  </si>
  <si>
    <t>0.015 / 0.03</t>
  </si>
  <si>
    <t>Perawatan peralatan proses</t>
  </si>
  <si>
    <t>c_ins</t>
  </si>
  <si>
    <t>-/th x FCI</t>
  </si>
  <si>
    <t>Asuransi all-risk</t>
  </si>
  <si>
    <t>staff</t>
  </si>
  <si>
    <t>USD/th</t>
  </si>
  <si>
    <t>70000.0 / 100000.0</t>
  </si>
  <si>
    <t>10 orang: manajer, lab/K3, 8 operator (4 regu x 2) - 14 bln gaji + BPJS</t>
  </si>
  <si>
    <t>c_mrv</t>
  </si>
  <si>
    <t>15000.0 / 35000.0</t>
  </si>
  <si>
    <t>Pemantauan + verifikasi karbon (selama periode kredit)</t>
  </si>
  <si>
    <t>c_admin</t>
  </si>
  <si>
    <t>Administrasi SPV, SCADA jarak jauh, audit</t>
  </si>
  <si>
    <t>lease</t>
  </si>
  <si>
    <t>USD/m2/th</t>
  </si>
  <si>
    <t>Sewa lahan plot di PKS (dari GA 3D)</t>
  </si>
  <si>
    <t>p_poly</t>
  </si>
  <si>
    <t>Polimer kationik</t>
  </si>
  <si>
    <t>p_ac</t>
  </si>
  <si>
    <t>Karbon aktif impregnasi KI</t>
  </si>
  <si>
    <t>c_naoh</t>
  </si>
  <si>
    <t>Cadangan NaOH/urea (dosis P95)</t>
  </si>
  <si>
    <t>overhaul</t>
  </si>
  <si>
    <t>120.0 / 220.0</t>
  </si>
  <si>
    <t>Overhaul besar genset th operasi 8 &amp; 16 (60.000 jam)</t>
  </si>
  <si>
    <t>mem_repl</t>
  </si>
  <si>
    <t>x biaya membran</t>
  </si>
  <si>
    <t>Ganti elemen membran th 8 &amp; 15 (rumah dipakai ulang)</t>
  </si>
  <si>
    <t>tax</t>
  </si>
  <si>
    <t>PPh badan</t>
  </si>
  <si>
    <t>dep_life</t>
  </si>
  <si>
    <t>Penyusutan dipercepat PP 78/2019 (1/2 umur kelompok 3)</t>
  </si>
  <si>
    <t>allow</t>
  </si>
  <si>
    <t>Tax allowance PP 78/2019: 30% aset berwujud, 5%/th x 6 th</t>
  </si>
  <si>
    <t>loss_cf</t>
  </si>
  <si>
    <t>Kompensasi rugi fiskal PP 78/2019 (maks 10 th)</t>
  </si>
  <si>
    <t>debt_frac</t>
  </si>
  <si>
    <t>Porsi utang proyek</t>
  </si>
  <si>
    <t>r_debt</t>
  </si>
  <si>
    <t>0.065 / 0.1</t>
  </si>
  <si>
    <t>Bunga pinjaman hijau USD</t>
  </si>
  <si>
    <t>tenor</t>
  </si>
  <si>
    <t>Tenor (th operasi 1 bunga saja, anuitas th 2-10)</t>
  </si>
  <si>
    <t>fee_debt</t>
  </si>
  <si>
    <t>Biaya upfront pinjaman</t>
  </si>
  <si>
    <t>dsra_m</t>
  </si>
  <si>
    <t>bulan</t>
  </si>
  <si>
    <t>Rekening cadangan layanan utang (DSRA)</t>
  </si>
  <si>
    <t>r_eq</t>
  </si>
  <si>
    <t>Biaya ekuitas</t>
  </si>
  <si>
    <t>rec_days</t>
  </si>
  <si>
    <t>hari</t>
  </si>
  <si>
    <t>Piutang PLN/PKS</t>
  </si>
  <si>
    <t>pay_days</t>
  </si>
  <si>
    <t>Utang usaha</t>
  </si>
  <si>
    <t>DATA TEKNIS &amp; LOKASI (dihitung dari results.json, ga.json, site.json - bukan input)</t>
  </si>
  <si>
    <t>P_gross</t>
  </si>
  <si>
    <t>kWe</t>
  </si>
  <si>
    <t>Daya kotor genset</t>
  </si>
  <si>
    <t>P_net</t>
  </si>
  <si>
    <t>Daya neto pada 100% beban PKS</t>
  </si>
  <si>
    <t>E_nom</t>
  </si>
  <si>
    <t>GWh/th</t>
  </si>
  <si>
    <t>P_net x 24 jam x 300 hari</t>
  </si>
  <si>
    <t>poly</t>
  </si>
  <si>
    <t>kg/jam</t>
  </si>
  <si>
    <t>Polimer (neraca massa)</t>
  </si>
  <si>
    <t>ac</t>
  </si>
  <si>
    <t>Karbon aktif (neraca massa)</t>
  </si>
  <si>
    <t>base</t>
  </si>
  <si>
    <t>tCO2e/th</t>
  </si>
  <si>
    <t>Baseline kolam terbuka pada 100% beban (results.json)</t>
  </si>
  <si>
    <t>proj</t>
  </si>
  <si>
    <t>Emisi proyek: slip CHP, flare, bocor</t>
  </si>
  <si>
    <t>effCOD</t>
  </si>
  <si>
    <t>t COD/th</t>
  </si>
  <si>
    <t>COD efluen ke kolam polishing pada 100% beban</t>
  </si>
  <si>
    <t>B0</t>
  </si>
  <si>
    <t>kg CH4/kg COD</t>
  </si>
  <si>
    <t>IPCC</t>
  </si>
  <si>
    <t>GWP</t>
  </si>
  <si>
    <t>GWP CH4</t>
  </si>
  <si>
    <t>ffb</t>
  </si>
  <si>
    <t>t TBS/th</t>
  </si>
  <si>
    <t>45 t/jam x 20 jam x 300 hari (dikali util)</t>
  </si>
  <si>
    <t>chp_kWe</t>
  </si>
  <si>
    <t>Genset terpasang</t>
  </si>
  <si>
    <t>area_mem</t>
  </si>
  <si>
    <t>m2</t>
  </si>
  <si>
    <t>Luas membran</t>
  </si>
  <si>
    <t>plot_m2</t>
  </si>
  <si>
    <t>Luas plot dari GA 3D</t>
  </si>
  <si>
    <t>ER</t>
  </si>
  <si>
    <t>Pengurangan emisi neto tCO2e/th (baseline - proyek - efluen ke kolam polishing)</t>
  </si>
  <si>
    <t>Profil musiman (faktor bulan)</t>
  </si>
  <si>
    <t>Daya neto bulan (kW)</t>
  </si>
  <si>
    <t>Terekspor &lt;= kontrak (kW)</t>
  </si>
  <si>
    <t>capf</t>
  </si>
  <si>
    <t>Fraksi energi yang dapat diekspor di bawah kapasitas kontrak PLN</t>
  </si>
  <si>
    <t>WACC</t>
  </si>
  <si>
    <t>CAPEX 1 set standar 45 t TBS/jam (USD 2026; dieskalasi ke tahun konstruksi)</t>
  </si>
  <si>
    <t>Kelompok</t>
  </si>
  <si>
    <t>Item</t>
  </si>
  <si>
    <t>Jumlah</t>
  </si>
  <si>
    <t>Harga satuan USD</t>
  </si>
  <si>
    <t>Total USD</t>
  </si>
  <si>
    <t>Dasar</t>
  </si>
  <si>
    <t>PEC</t>
  </si>
  <si>
    <t>Reaktor AnMBR standar 194 m³ (bejana 20,9 t dari model 3D)</t>
  </si>
  <si>
    <t>unit</t>
  </si>
  <si>
    <t>Massa 3D x biaya fabrikasi + insulasi + internal + instrumen</t>
  </si>
  <si>
    <t>TK-101 / TK-301 bejana standar</t>
  </si>
  <si>
    <t>Bejana sama tanpa insulasi</t>
  </si>
  <si>
    <t>Membran UF tubular MB-301</t>
  </si>
  <si>
    <t>m²</t>
  </si>
  <si>
    <t>Luas dari neraca membran</t>
  </si>
  <si>
    <t>PM-4 pompa cross-flow, CIP, MCC/VSD, kontainer</t>
  </si>
  <si>
    <t>lot</t>
  </si>
  <si>
    <t>Paket tipikal [ASUMSI]</t>
  </si>
  <si>
    <t>PM-1 skid praolah (saringan, desander, PHE 812 kW)</t>
  </si>
  <si>
    <t>[ASUMSI]</t>
  </si>
  <si>
    <t>PM-5 skid dosing + pompa umpan</t>
  </si>
  <si>
    <t>PM-6 BTF + chiller + blower ATEX + karbon aktif + analis</t>
  </si>
  <si>
    <t>PM-7 penampung gas membran ganda 1135 m³ + flare</t>
  </si>
  <si>
    <t>~USD 90/m³ + flare tertutup</t>
  </si>
  <si>
    <t>PM-8 genset biogas kontainer 2 x 800 kWe</t>
  </si>
  <si>
    <t>Riset harga genset</t>
  </si>
  <si>
    <t>PM-9 pemulih panas + menara pendingin</t>
  </si>
  <si>
    <t>PM-10 screw press + skid lumpur</t>
  </si>
  <si>
    <t>Pipe rack + perpipaan antar modul</t>
  </si>
  <si>
    <t>Model 3D: 4 jalur DN100-200</t>
  </si>
  <si>
    <t>Listrik (trafo 1,25 MVA 0,4/20 kV, switchgear, kabel)</t>
  </si>
  <si>
    <t>Instrumentasi, PLC/SCADA jarak jauh</t>
  </si>
  <si>
    <t>LANGSUNG</t>
  </si>
  <si>
    <t>Sipil &amp; pondasi (16 cincin, pondasi GH, pad)</t>
  </si>
  <si>
    <t>Plot 3387 m² (GA 3D)</t>
  </si>
  <si>
    <t>Transportasi bengkel -&gt; Sumatera (28 muatan)</t>
  </si>
  <si>
    <t>muatan</t>
  </si>
  <si>
    <t>low-bed + truk 40 ft</t>
  </si>
  <si>
    <t>Pemasangan, crane &amp; komisioning</t>
  </si>
  <si>
    <t>10 minggu</t>
  </si>
  <si>
    <t>Lokasi: POME 85 °C DN150 (fat pit -&gt; PM-1)</t>
  </si>
  <si>
    <t>m</t>
  </si>
  <si>
    <t>Panjang dari model 3D lokasi (site.json)</t>
  </si>
  <si>
    <t>Lokasi: Efluen AnMBR DN150 HDPE (TK-301 -&gt; kolam fakultatif)</t>
  </si>
  <si>
    <t>Lokasi: Bypass darurat DN150 (TK-101 -&gt; kolam pendingin)</t>
  </si>
  <si>
    <t>Lokasi: Saluran udara 20 kV di lokasi (gardu -&gt; jaringan PLN)</t>
  </si>
  <si>
    <t>Lokasi: Saluran 20 kV ke rumah mesin PKS (+ trafo 20/0,4 kV di PKS)</t>
  </si>
  <si>
    <t>Interkoneksi PLN: switchgear 20 kV, meter transaksi, jaringan &lt;= 2 km</t>
  </si>
  <si>
    <t>TAK LANGSUNG</t>
  </si>
  <si>
    <t>Rekayasa &amp; manajemen proyek</t>
  </si>
  <si>
    <t>x PEC</t>
  </si>
  <si>
    <t>Desain standar berulang</t>
  </si>
  <si>
    <t>Perizinan (UKL-UPL, PPA, SLO, IUPTL)</t>
  </si>
  <si>
    <t>Start-up: inokulum termofilik, bahan kimia, pelatihan</t>
  </si>
  <si>
    <t>KONTINGENSI</t>
  </si>
  <si>
    <t>Kontingensi</t>
  </si>
  <si>
    <t>x subtotal</t>
  </si>
  <si>
    <t>Produk standar</t>
  </si>
  <si>
    <t>PEC (peralatan terbeli)</t>
  </si>
  <si>
    <t>FCI 2026</t>
  </si>
  <si>
    <t>FCI tahun konstruksi (eskalasi)</t>
  </si>
  <si>
    <t>Aset berwujud (basis tax allowance)</t>
  </si>
  <si>
    <t>USD per kWe kotor (2026)</t>
  </si>
  <si>
    <t>Bunga selama konstruksi (IDC)</t>
  </si>
  <si>
    <t>Pinjaman (termasuk IDC)</t>
  </si>
  <si>
    <t>Anuitas th 2-10</t>
  </si>
  <si>
    <t>Pembanding: PLTBg POME 1,8-3,0 juta USD/MW (MDPI 2025; Suka Damai 2,4 MW; Energies 2022 rata-rata 2.758 USD/kW).</t>
  </si>
  <si>
    <t>OPEX tahun penuh (USD 2026, pada beban util x avail) - dieskalasi di Arus Kas</t>
  </si>
  <si>
    <t>Komponen</t>
  </si>
  <si>
    <t>Jenis</t>
  </si>
  <si>
    <t>Rumus</t>
  </si>
  <si>
    <t>Staf operasi (10 orang)</t>
  </si>
  <si>
    <t>a_staff</t>
  </si>
  <si>
    <t>F</t>
  </si>
  <si>
    <t>O&amp;M genset (kontrak)</t>
  </si>
  <si>
    <t>a_c_eng_om*t_E_nom*a_util*a_avail*t_P_gross/t_P_net*1000000</t>
  </si>
  <si>
    <t>V</t>
  </si>
  <si>
    <t>a_c_maint*(PEC-a_c_chp*t_chp_kWe)</t>
  </si>
  <si>
    <t>Bahan kimia (polimer, karbon aktif, NaOH)</t>
  </si>
  <si>
    <t>t_poly*20*300*a_util/1000*a_p_poly+t_ac*24*300*a_util/1000*a_p_ac+a_c_naoh</t>
  </si>
  <si>
    <t>Asuransi</t>
  </si>
  <si>
    <t>a_c_ins*FCI26</t>
  </si>
  <si>
    <t>Administrasi &amp; SCADA jarak jauh</t>
  </si>
  <si>
    <t>a_c_admin</t>
  </si>
  <si>
    <t>Sewa lahan plot di PKS</t>
  </si>
  <si>
    <t>a_lease*t_plot_m2</t>
  </si>
  <si>
    <t>Biaya tetap (F)</t>
  </si>
  <si>
    <t>Biaya variabel (V)</t>
  </si>
  <si>
    <t>Biaya karbon (MRV tahunan + validasi sekali) dan sustaining capex dihitung per tahun di Arus Kas.</t>
  </si>
  <si>
    <t>MODEL ARUS KAS PROYEK v2 (USD nominal; negatif = keluar). 1 set 45 t TBS/jam, BOO</t>
  </si>
  <si>
    <t>Tahun</t>
  </si>
  <si>
    <t>Tahun operasi ke-</t>
  </si>
  <si>
    <t>Tahun kalender</t>
  </si>
  <si>
    <t>Faktor operasi (ramp-up)</t>
  </si>
  <si>
    <t>Listrik neto (GWh)</t>
  </si>
  <si>
    <t xml:space="preserve">  ke PKS di luar jam olah (GWh)</t>
  </si>
  <si>
    <t xml:space="preserve">  ekspor ke PLN (GWh)</t>
  </si>
  <si>
    <t>Tarif PLN (USD/kWh)</t>
  </si>
  <si>
    <t>Harga listrik ke PKS (USD/kWh)</t>
  </si>
  <si>
    <t>Jasa pengolahan POME &amp; kepatuhan</t>
  </si>
  <si>
    <t>Penjualan listrik ke PKS</t>
  </si>
  <si>
    <t>Penjualan listrik ke PLN</t>
  </si>
  <si>
    <t>Vintage kredit karbon (tCO2e)</t>
  </si>
  <si>
    <t>Kredit karbon terjual (lag 1 th, neto pungutan)</t>
  </si>
  <si>
    <t>TOTAL PENDAPATAN</t>
  </si>
  <si>
    <t>OPEX operasi (dieskalasi)</t>
  </si>
  <si>
    <t>Biaya karbon (MRV + validasi)</t>
  </si>
  <si>
    <t>EBITDA</t>
  </si>
  <si>
    <t>CAPEX (FCI)</t>
  </si>
  <si>
    <t>Sustaining: overhaul genset (8,16) + ganti membran (8,15)</t>
  </si>
  <si>
    <t>PPN CAPEX (bayar th 0, restitusi th 2)</t>
  </si>
  <si>
    <t>Modal kerja (piutang - utang usaha)</t>
  </si>
  <si>
    <t>Perubahan modal kerja</t>
  </si>
  <si>
    <t>Penyusutan fiskal (FCI+IDC 8 th; sustaining 8 th)</t>
  </si>
  <si>
    <t>Tax allowance (30% aset berwujud / 6 th)</t>
  </si>
  <si>
    <t>Laba kena pajak (tanpa utang)</t>
  </si>
  <si>
    <t>Akumulasi rugi fiskal</t>
  </si>
  <si>
    <t>Pajak (tanpa utang)</t>
  </si>
  <si>
    <t>ARUS KAS BERSIH PROYEK (FCFF)</t>
  </si>
  <si>
    <t>Kumulatif FCFF</t>
  </si>
  <si>
    <t>Faktor diskonto (WACC)</t>
  </si>
  <si>
    <t>FCFF terdiskonto</t>
  </si>
  <si>
    <t>Kumulatif terdiskonto</t>
  </si>
  <si>
    <t>Bantu payback (th sejak COD)</t>
  </si>
  <si>
    <t>Bantu payback terdiskonto</t>
  </si>
  <si>
    <t>Bunga</t>
  </si>
  <si>
    <t>Pokok (tenggang th 1, anuitas th 2-10)</t>
  </si>
  <si>
    <t>Saldo utang akhir tahun</t>
  </si>
  <si>
    <t>DSRA (isi th 1, lepas akhir tenor)</t>
  </si>
  <si>
    <t>Laba kena pajak (dengan utang)</t>
  </si>
  <si>
    <t>Akumulasi rugi fiskal (dengan utang)</t>
  </si>
  <si>
    <t>Pajak (dengan utang)</t>
  </si>
  <si>
    <t>Cadangan perawatan (MRA, rata)</t>
  </si>
  <si>
    <t>DSCR = (EBITDA - pajak - dWC - MRA) / layanan utang</t>
  </si>
  <si>
    <t>ARUS KAS EKUITAS (FCFE)</t>
  </si>
  <si>
    <t>Catatan: kompensasi rugi fiskal di Excel tanpa batas umur (Python: maks 10 th, PP 78/2019) - pada kasus dasar hasil identik.</t>
  </si>
  <si>
    <t>INDIKATOR KELAYAKAN FINANSIAL v2 (rumus hidup)</t>
  </si>
  <si>
    <t>Indikator</t>
  </si>
  <si>
    <t>Hasil</t>
  </si>
  <si>
    <t>Kriteria</t>
  </si>
  <si>
    <t>Keputusan</t>
  </si>
  <si>
    <t>NPV pada WACC (USD)</t>
  </si>
  <si>
    <t>&gt; 0</t>
  </si>
  <si>
    <t>IRR proyek (setelah pajak)</t>
  </si>
  <si>
    <t>&gt; WACC</t>
  </si>
  <si>
    <t>IRR ekuitas</t>
  </si>
  <si>
    <t>&gt; biaya ekuitas</t>
  </si>
  <si>
    <t>Payback sejak COD (th)</t>
  </si>
  <si>
    <t>&lt; umur</t>
  </si>
  <si>
    <t>Payback terdiskonto sejak COD (th)</t>
  </si>
  <si>
    <t>Indeks profitabilitas</t>
  </si>
  <si>
    <t>&gt; 1,0</t>
  </si>
  <si>
    <t>DSCR minimum</t>
  </si>
  <si>
    <t>&gt;= 1,3</t>
  </si>
  <si>
    <t>LCOE kotor (USD/kWh; seluruh biaya ke listrik)</t>
  </si>
  <si>
    <t>Informasi</t>
  </si>
  <si>
    <t>Puncak kebutuhan dana (USD)</t>
  </si>
  <si>
    <t>Struktur pendanaan</t>
  </si>
  <si>
    <t>Porsi jasa POME dalam pendapatan</t>
  </si>
  <si>
    <t>TITIK IMPAS (dihitung fin_core.bep, bisection NPV = 0)</t>
  </si>
  <si>
    <t>Jasa POME impas (USD/t TBS)</t>
  </si>
  <si>
    <t xml:space="preserve">  setara USD/t CPO (OER 21%)</t>
  </si>
  <si>
    <t>Tarif PLN th 1-10 impas (USc/kWh, sebelum F)</t>
  </si>
  <si>
    <t>Harga karbon impas (USD/t)</t>
  </si>
  <si>
    <t>Produksi energi impas (x dasar)</t>
  </si>
  <si>
    <t>CAPEX impas (x dasar)</t>
  </si>
  <si>
    <t>BEP tunai (fraksi produksi energi)</t>
  </si>
  <si>
    <t>BEP akuntansi (penyusutan buku)</t>
  </si>
  <si>
    <t>SENSITIVITAS NPV (+/-20%)</t>
  </si>
  <si>
    <t>Variabel</t>
  </si>
  <si>
    <t>NPV -20%</t>
  </si>
  <si>
    <t>NPV +20%</t>
  </si>
  <si>
    <t>Rentang</t>
  </si>
  <si>
    <t>NPV dasar</t>
  </si>
  <si>
    <t>CAPEX</t>
  </si>
  <si>
    <t>Faktor beban PKS</t>
  </si>
  <si>
    <t>Jasa pengolahan POME (USD/t TBS)</t>
  </si>
  <si>
    <t>Tarif PLN (x F)</t>
  </si>
  <si>
    <t>OPEX</t>
  </si>
  <si>
    <t>Produksi biogas/energi</t>
  </si>
  <si>
    <t>Harga karbon</t>
  </si>
  <si>
    <t>Harga listrik ke PKS</t>
  </si>
  <si>
    <t>PROFIL NPV vs TINGKAT DISKONTO (rumus NPV Excel)</t>
  </si>
  <si>
    <t>Tingkat diskonto</t>
  </si>
  <si>
    <t>NPV (USD)</t>
  </si>
  <si>
    <t>SKENARIO</t>
  </si>
  <si>
    <t>Skenario</t>
  </si>
  <si>
    <t>FCI USD</t>
  </si>
  <si>
    <t>NPV USD</t>
  </si>
  <si>
    <t>IRR</t>
  </si>
  <si>
    <t>Payback th</t>
  </si>
  <si>
    <t>Dasar (jasa USD 2,0/t)</t>
  </si>
  <si>
    <t>Tanpa jasa POME</t>
  </si>
  <si>
    <t>Tier &gt;1 MW (kap. terpasang)</t>
  </si>
  <si>
    <t>Karbon USD 12/t (otorisasi)</t>
  </si>
  <si>
    <t>Relokasi th-11</t>
  </si>
  <si>
    <t>Unit ke-10 (kurva belajar)</t>
  </si>
  <si>
    <t>Set 30 t/jam</t>
  </si>
  <si>
    <t>Set 60 t/jam</t>
  </si>
  <si>
    <t>MONTE CARLO (N = 3000). Kasus gagal (tanpa IRR / tidak balik modal) dihitung sebagai nilai terburuk, tidak dibuang.</t>
  </si>
  <si>
    <t>Statistik</t>
  </si>
  <si>
    <t>P10</t>
  </si>
  <si>
    <t>P50</t>
  </si>
  <si>
    <t>P90</t>
  </si>
  <si>
    <t>Rata-rata NPV</t>
  </si>
  <si>
    <t>Peluang NPV &gt; 0</t>
  </si>
  <si>
    <t>Peluang IRR &gt; WACC</t>
  </si>
  <si>
    <t>Kasus tanpa IRR / tidak balik modal</t>
  </si>
  <si>
    <t>DISTRIBUSI INPUT (kasus dasar = modus; distribusi condong merugikan)</t>
  </si>
  <si>
    <t>Input</t>
  </si>
  <si>
    <t>Spearman ke NPV</t>
  </si>
  <si>
    <t>Distribusi</t>
  </si>
  <si>
    <t>capex</t>
  </si>
  <si>
    <t>Segitiga 0,90 / 1,00 / 1,30</t>
  </si>
  <si>
    <t>fee</t>
  </si>
  <si>
    <t>Segitiga 0,75 / 1,00 / 1,25 x dasar</t>
  </si>
  <si>
    <t>Segitiga 2 / 5 / 12 USD/t</t>
  </si>
  <si>
    <t>emult</t>
  </si>
  <si>
    <t>Lognormal median 1, P5-P95 0,76-1,33 (MC proses daya neto)</t>
  </si>
  <si>
    <t>Segitiga 0,82 / 0,92 / 0,98</t>
  </si>
  <si>
    <t>opex</t>
  </si>
  <si>
    <t>Segitiga 0,90 / 1,00 / 1,20</t>
  </si>
  <si>
    <t>Segitiga 6,5 / 8 / 10%</t>
  </si>
  <si>
    <t>Diskrit 1,00 (30%) / 1,10 (70%)</t>
  </si>
  <si>
    <t>tier</t>
  </si>
  <si>
    <t>25%: tier &gt;1 MW (9,81 / 5,89 USc)</t>
  </si>
  <si>
    <t>Segitiga 0,60 / 0,75 / 0,90</t>
  </si>
  <si>
    <t>Segitiga 0,80 / 0,90 / 0,95</t>
  </si>
  <si>
    <t>Segitiga 1,5 / 2 / 3,5%</t>
  </si>
  <si>
    <t>Segitiga 0,93 / 0,97 / 0,985</t>
  </si>
  <si>
    <t>Bin NPV (tengah)</t>
  </si>
  <si>
    <t>Frekuensi</t>
  </si>
  <si>
    <t>EKONOMI PER UKURAN PKS (desain bejana sama)</t>
  </si>
  <si>
    <t>30 t/jam</t>
  </si>
  <si>
    <t>45 t/jam</t>
  </si>
  <si>
    <t>60 t/jam</t>
  </si>
  <si>
    <t>Jumlah reaktor</t>
  </si>
  <si>
    <t>Listrik GWh/th (th 2)</t>
  </si>
  <si>
    <t>Pendapatan th 2 USD</t>
  </si>
  <si>
    <t>Set 60 t/jam (&gt; 1 MW neto) memakai tier Perpres 112 &gt;1-3 MW (9,81 / 5,89 USc).</t>
  </si>
  <si>
    <t>MODEL PERUSAHAAN: 40 set BOO 2027-2034, kurva belajar 90% pada 60% FCI, unit-1 FOAK +20%, CAPEX dieskalasi, overhead tanpa perisai pajak</t>
  </si>
  <si>
    <t>Set baru</t>
  </si>
  <si>
    <t>Set beroperasi</t>
  </si>
  <si>
    <t>Listrik GWh</t>
  </si>
  <si>
    <t>Kredit karbon tCO2e</t>
  </si>
  <si>
    <t>Pendapatan USD</t>
  </si>
  <si>
    <t xml:space="preserve">  jasa POME</t>
  </si>
  <si>
    <t xml:space="preserve">  listrik</t>
  </si>
  <si>
    <t xml:space="preserve">  karbon</t>
  </si>
  <si>
    <t>OPEX USD</t>
  </si>
  <si>
    <t>EBITDA USD</t>
  </si>
  <si>
    <t>CAPEX + sustaining USD</t>
  </si>
  <si>
    <t>Overhead korporat USD</t>
  </si>
  <si>
    <t>FCFF perusahaan USD</t>
  </si>
  <si>
    <t>NPV perusahaan @WACC</t>
  </si>
  <si>
    <t>IRR perusahaan</t>
  </si>
  <si>
    <t>Puncak kebutuhan dana</t>
  </si>
  <si>
    <t>Unit ke-</t>
  </si>
  <si>
    <t>Faktor CAPEX</t>
  </si>
  <si>
    <t>NPV unit USD</t>
  </si>
  <si>
    <t>IRR unit</t>
  </si>
  <si>
    <t>INTERKONEKSI &amp; LAHAN DARI MODEL 3D LOKASI (cad/out/site.json)</t>
  </si>
  <si>
    <t>Rute</t>
  </si>
  <si>
    <t>Panjang m</t>
  </si>
  <si>
    <t>USD/m</t>
  </si>
  <si>
    <t>Biaya USD</t>
  </si>
  <si>
    <t>POME 85 °C DN150 (fat pit -&gt; PM-1)</t>
  </si>
  <si>
    <t>Efluen AnMBR DN150 HDPE (TK-301 -&gt; kolam fakultatif)</t>
  </si>
  <si>
    <t>Bypass darurat DN150 (TK-101 -&gt; kolam pendingin)</t>
  </si>
  <si>
    <t>Saluran udara 20 kV di lokasi (gardu -&gt; jaringan PLN)</t>
  </si>
  <si>
    <t>Saluran 20 kV ke rumah mesin PKS (+ trafo 20/0,4 kV di PKS)</t>
  </si>
  <si>
    <t>Luas kolam POME sebelum (m2)</t>
  </si>
  <si>
    <t>Luas kolam setelah - tetap untuk polishing (m2)</t>
  </si>
  <si>
    <t>Lahan kolam dibebaskan (m2)</t>
  </si>
  <si>
    <t>Luas plot produk (m2)</t>
  </si>
  <si>
    <t>PEMERIKSAAN JARAK AMAN</t>
  </si>
  <si>
    <t>Jarak m</t>
  </si>
  <si>
    <t>Minimum m</t>
  </si>
  <si>
    <t>OK</t>
  </si>
  <si>
    <t>Flare FL-301 -&gt; tepi GH-301 (API 537 / praktik biogas)</t>
  </si>
  <si>
    <t>Ya</t>
  </si>
  <si>
    <t>Flare FL-301 -&gt; kontainer CHP (Sumber nyala vs zona gas)</t>
  </si>
  <si>
    <t>GH-301 -&gt; rumah boiler PKS (Sumber nyala terbuka)</t>
  </si>
  <si>
    <t>GH-301 -&gt; tangki CPO (Bahan mudah terbakar)</t>
  </si>
  <si>
    <t>Flare -&gt; batas pagar lokasi (Radiasi panas di batas)</t>
  </si>
  <si>
    <t>Reaktor -&gt; kolam pendingin (tanah) (Stabilitas lereng / pondasi)</t>
  </si>
  <si>
    <t>Cerobong boiler -&gt; GH-301 (Bunga api cerobong)</t>
  </si>
  <si>
    <t>UKURAN PASAR (pendapatan rata-rata umur proyek, setara-set berbasis volume POME)</t>
  </si>
  <si>
    <t>Parameter</t>
  </si>
  <si>
    <t>Sumber</t>
  </si>
  <si>
    <t>Jumlah PKS Indonesia</t>
  </si>
  <si>
    <t>PKS</t>
  </si>
  <si>
    <t>Universal Mill List</t>
  </si>
  <si>
    <t>POME nasional</t>
  </si>
  <si>
    <t>m3/th</t>
  </si>
  <si>
    <t>PASPI/BRIN 2026</t>
  </si>
  <si>
    <t>Pendapatan rata-rata per set</t>
  </si>
  <si>
    <t>Arus Kas (umur 20 th)</t>
  </si>
  <si>
    <t>POME per set</t>
  </si>
  <si>
    <t>Basis volume model</t>
  </si>
  <si>
    <t>Porsi PKS 30-60 t/jam</t>
  </si>
  <si>
    <t>[UNVERIFIED]</t>
  </si>
  <si>
    <t>Porsi tanpa penangkap metana</t>
  </si>
  <si>
    <t>T&amp;E 2025</t>
  </si>
  <si>
    <t>Porsi Sumatera + Kalimantan</t>
  </si>
  <si>
    <t>Sebaran PKS</t>
  </si>
  <si>
    <t>Set SOM s/d 2034</t>
  </si>
  <si>
    <t>set</t>
  </si>
  <si>
    <t>Rencana armada</t>
  </si>
  <si>
    <t>Pendapatan per m3 POME</t>
  </si>
  <si>
    <t>TAM (USD/th)</t>
  </si>
  <si>
    <t>SAM (USD/th)</t>
  </si>
  <si>
    <t>SOM (USD/th)</t>
  </si>
  <si>
    <t>Setara-set TAM / SAM</t>
  </si>
  <si>
    <t>Pangsa SOM / SAM</t>
  </si>
  <si>
    <t>PEMBANDING TEKNOLOGI</t>
  </si>
  <si>
    <t>Teknologi</t>
  </si>
  <si>
    <t>CAPEX USD juta/MW</t>
  </si>
  <si>
    <t>Lahan ha</t>
  </si>
  <si>
    <t>Bangun bln</t>
  </si>
  <si>
    <t>Portabel</t>
  </si>
  <si>
    <t>Mutu efluen</t>
  </si>
  <si>
    <t>Pemain</t>
  </si>
  <si>
    <t>Kolam tertutup (covered lagoon)</t>
  </si>
  <si>
    <t>1,5-2,5</t>
  </si>
  <si>
    <t>5-8</t>
  </si>
  <si>
    <t>12-18</t>
  </si>
  <si>
    <t>Tidak</t>
  </si>
  <si>
    <t>Rendah-sedang</t>
  </si>
  <si>
    <t>Asian Agri, grup besar</t>
  </si>
  <si>
    <t>CSTR tangki beton/baja</t>
  </si>
  <si>
    <t>2,5-4,0</t>
  </si>
  <si>
    <t>1-2</t>
  </si>
  <si>
    <t>18-24</t>
  </si>
  <si>
    <t>Sedang</t>
  </si>
  <si>
    <t>Weltec, Biotec, EPC lokal</t>
  </si>
  <si>
    <t>Biometana / CNG</t>
  </si>
  <si>
    <t>&gt; 4</t>
  </si>
  <si>
    <t>24</t>
  </si>
  <si>
    <t>Tinggi</t>
  </si>
  <si>
    <t>reNIKOLA-Pertagas, KIS-Toyota Tsusho</t>
  </si>
  <si>
    <t>AnMBR termofilik portabel (produk ini)</t>
  </si>
  <si>
    <t>6,1 (unit-1) -&gt; 4,4 (unit-10)</t>
  </si>
  <si>
    <t>0,34</t>
  </si>
  <si>
    <t>11</t>
  </si>
  <si>
    <t>Ya (28 muatan truk)</t>
  </si>
  <si>
    <t>COD efluen ~4.800 mg/L (turun 90%), tetap ke kolam polishing</t>
  </si>
  <si>
    <t>PESTLE (skor = tanda x dampak x peluang)</t>
  </si>
  <si>
    <t>Kode</t>
  </si>
  <si>
    <t>Kategori</t>
  </si>
  <si>
    <t>Faktor</t>
  </si>
  <si>
    <t>Tanda</t>
  </si>
  <si>
    <t>Dampak 1-5</t>
  </si>
  <si>
    <t>Peluang 1-5</t>
  </si>
  <si>
    <t>Skor</t>
  </si>
  <si>
    <t>Keterangan</t>
  </si>
  <si>
    <t>P1</t>
  </si>
  <si>
    <t>Politik</t>
  </si>
  <si>
    <t>Target bauran EBT &amp; NZE 2060 (RUEN, KEN)</t>
  </si>
  <si>
    <t>Bioenergi di bawah target 5,5 GW; dorongan PLTBg</t>
  </si>
  <si>
    <t>P2</t>
  </si>
  <si>
    <t>Harga patokan PLTBg Perpres 112/2022</t>
  </si>
  <si>
    <t>10,18 USc/kWh x F untuk &lt;= 1 MW (th 1-10); revisi skema sedang disiapkan (2026)</t>
  </si>
  <si>
    <t>P3</t>
  </si>
  <si>
    <t>Prioritas PLN &amp; pengadaan lambat (RUPTL)</t>
  </si>
  <si>
    <t>PPA skala kecil sering tertunda; listrik sebagian ke PKS</t>
  </si>
  <si>
    <t>P5</t>
  </si>
  <si>
    <t>Syarat penangkapan metana: ISCC-EU/RED II &amp; CORSIA (SAF)</t>
  </si>
  <si>
    <t>Sawit untuk biofuel/SAF praktis wajib menangkap metana POME</t>
  </si>
  <si>
    <t>P4</t>
  </si>
  <si>
    <t>ISPO wajib hilir &amp; bioenergi (Perpres 16/2025)</t>
  </si>
  <si>
    <t>Tenggat 19 Mar 2027 mendorong kepatuhan PKS</t>
  </si>
  <si>
    <t>E1</t>
  </si>
  <si>
    <t>Ekonomi</t>
  </si>
  <si>
    <t>Rupiah melemah (Rp17.855/USD, 2026)</t>
  </si>
  <si>
    <t>Peralatan impor (genset, membran) dalam USD</t>
  </si>
  <si>
    <t>E2</t>
  </si>
  <si>
    <t>Suku bunga tinggi (BI rate 5,75%)</t>
  </si>
  <si>
    <t>Biaya utang 8-11%</t>
  </si>
  <si>
    <t>E3</t>
  </si>
  <si>
    <t>Harga solar non-subsidi tinggi (Rp23.700/L)</t>
  </si>
  <si>
    <t>Listrik ke PKS di luar jam olah menggantikan genset diesel</t>
  </si>
  <si>
    <t>E4</t>
  </si>
  <si>
    <t>Harga kredit karbon rendah (USD 3-7/t)</t>
  </si>
  <si>
    <t>Karbon hanya 5% pendapatan; bukan penopang utama</t>
  </si>
  <si>
    <t>E5</t>
  </si>
  <si>
    <t>Produksi CPO naik (51,7 Mt 2025)</t>
  </si>
  <si>
    <t>POME bertambah, pasokan umpan aman</t>
  </si>
  <si>
    <t>S1</t>
  </si>
  <si>
    <t>Sosial</t>
  </si>
  <si>
    <t>Keluhan bau &amp; air dari kolam POME</t>
  </si>
  <si>
    <t>Reaktor tertutup menghilangkan bau</t>
  </si>
  <si>
    <t>S2</t>
  </si>
  <si>
    <t>Lapangan kerja lokal (8 orang/set)</t>
  </si>
  <si>
    <t>Operator dari desa sekitar PKS</t>
  </si>
  <si>
    <t>S3</t>
  </si>
  <si>
    <t>Kelangkaan teknisi biogas/membran</t>
  </si>
  <si>
    <t>Butuh pelatihan &amp; SCADA jarak jauh</t>
  </si>
  <si>
    <t>T1</t>
  </si>
  <si>
    <t>AnMBR termofilik POME belum banyak skala penuh</t>
  </si>
  <si>
    <t>Perlu pilot &amp; garansi kinerja</t>
  </si>
  <si>
    <t>T2</t>
  </si>
  <si>
    <t>Genset biogas kontainer sudah matang</t>
  </si>
  <si>
    <t>Rantai pasok &amp; layanan tersedia</t>
  </si>
  <si>
    <t>T3</t>
  </si>
  <si>
    <t>Fouling membran &amp; H2S tinggi</t>
  </si>
  <si>
    <t>CIP, cross-flow 4 m/s, BTF + karbon aktif</t>
  </si>
  <si>
    <t>T4</t>
  </si>
  <si>
    <t>Produksi seri bejana standar &amp; kontainer</t>
  </si>
  <si>
    <t>Kurva belajar biaya 10%/penggandaan</t>
  </si>
  <si>
    <t>H1</t>
  </si>
  <si>
    <t>Hukum</t>
  </si>
  <si>
    <t>Baku mutu efluen POME diperketat (revisi 2026)</t>
  </si>
  <si>
    <t>Efluen AnMBR (COD ~4.800 mg/L) tetap butuh kolam polishing / aplikasi lahan</t>
  </si>
  <si>
    <t>H2</t>
  </si>
  <si>
    <t>Perizinan PPA, IUPTL, SLO panjang</t>
  </si>
  <si>
    <t>6-12 bulan sebelum COD</t>
  </si>
  <si>
    <t>H3</t>
  </si>
  <si>
    <t>Kepastian status Perpres 112/2022</t>
  </si>
  <si>
    <t>Satu basis data mencatat 'dicabut' - perlu konfirmasi</t>
  </si>
  <si>
    <t>L1</t>
  </si>
  <si>
    <t>Lingkungan</t>
  </si>
  <si>
    <t>Metana POME ~ sumber GRK terbesar PKS; EUDR/RSPO</t>
  </si>
  <si>
    <t>36.800 tCO2e/th terhindar per set</t>
  </si>
  <si>
    <t>L2</t>
  </si>
  <si>
    <t>Kolam anaerobik 1,1 ha per PKS dibebaskan</t>
  </si>
  <si>
    <t>Plot set 0,34 ha; kolam polishing tetap dipakai</t>
  </si>
  <si>
    <t>Skor bersih</t>
  </si>
  <si>
    <t>Total</t>
  </si>
  <si>
    <t>LIMA KEKUATAN PORTER (tekanan 1-5)</t>
  </si>
  <si>
    <t>Kekuatan</t>
  </si>
  <si>
    <t>Sub-faktor</t>
  </si>
  <si>
    <t>Alasan</t>
  </si>
  <si>
    <t>Pendatang baru</t>
  </si>
  <si>
    <t>Kebutuhan modal per set USD 5,4 juta</t>
  </si>
  <si>
    <t>Penghalang sedang</t>
  </si>
  <si>
    <t>Know-how AnMBR termofilik</t>
  </si>
  <si>
    <t>Hambatan teknologi &amp; data operasi</t>
  </si>
  <si>
    <t>Kontraktor kolam tertutup mudah masuk</t>
  </si>
  <si>
    <t>Teknologi lama, banyak EPC lokal</t>
  </si>
  <si>
    <t>Pemasok</t>
  </si>
  <si>
    <t>Genset biogas (Jenbacher, MWM, Weichai)</t>
  </si>
  <si>
    <t>Sedikit merek, waktu kirim 6-9 bln</t>
  </si>
  <si>
    <t>Membran UF tubular</t>
  </si>
  <si>
    <t>Pemasok global terbatas</t>
  </si>
  <si>
    <t>Fabrikasi bejana CS (Batam, Cilegon)</t>
  </si>
  <si>
    <t>Banyak bengkel lokal</t>
  </si>
  <si>
    <t>Persaingan</t>
  </si>
  <si>
    <t>Kolam tertutup (Asian Agri, grup besar)</t>
  </si>
  <si>
    <t>Capex/kW lebih murah</t>
  </si>
  <si>
    <t>Biometana/CNG (reNIKOLA-Pertagas, KIS)</t>
  </si>
  <si>
    <t>Kontrak 15 th, skala besar</t>
  </si>
  <si>
    <t>CSTR tangki Eropa (Weltec, Biotec)</t>
  </si>
  <si>
    <t>Tidak portabel, mahal</t>
  </si>
  <si>
    <t>Pembeli</t>
  </si>
  <si>
    <t>PLN pembeli tunggal listrik</t>
  </si>
  <si>
    <t>Monopsoni, harga patokan</t>
  </si>
  <si>
    <t>PKS pemilik lahan &amp; POME</t>
  </si>
  <si>
    <t>Menegosiasi jasa &amp; sewa</t>
  </si>
  <si>
    <t>Pembeli kredit karbon</t>
  </si>
  <si>
    <t>Harga volatil, preferensi metodologi</t>
  </si>
  <si>
    <t>Produk substitusi</t>
  </si>
  <si>
    <t>Penutupan kolam + flare saja</t>
  </si>
  <si>
    <t>Murah, cukup untuk ISPO</t>
  </si>
  <si>
    <t>Land application &amp; kompos</t>
  </si>
  <si>
    <t>Tanpa pendapatan energi</t>
  </si>
  <si>
    <t>Co-firing biogas di boiler PKS</t>
  </si>
  <si>
    <t>Mengurangi kebutuhan listrik ekspor</t>
  </si>
  <si>
    <t>Skor rata-rata</t>
  </si>
  <si>
    <t>SUMBER DATA (finance/research/*.md)</t>
  </si>
  <si>
    <t># Market &amp; price data: portable POME AnMBR biogas CHP (Indonesia)</t>
  </si>
  <si>
    <t>Compiled 2026-10-15 from web search only. The sandbox blocked opening full pages (gapki.id, jdih and others), so figures come from search-indexed snippets. [UNVERIFIED] = analyst estimate or recalled figure without a confirmed 2024-26 source. FX used: IDR 17,855/USD.</t>
  </si>
  <si>
    <t>## 1. Market size</t>
  </si>
  <si>
    <t>| Item | Value | Range | Unit | Source | URL | Year |</t>
  </si>
  <si>
    <t>|---|---|---|---|---|---|---|</t>
  </si>
  <si>
    <t>| Palm oil mills, Indonesia | 1,231 | 1,100-1,300 | mills | Universal Mill List, cited in IOP/EarthArXiv 2025 | https://eartharxiv.org/repository/object/7300/download/14614/ | 2023 data, publ. 2025 |</t>
  </si>
  <si>
    <t>| Palm plantation companies (not mills) | 2,285 (Kalbar 352, Sumut 327) | - | companies | BPS Direktori 2024, via GoodStats | https://goodstats.id/article/sebaran-perusahaan-perkebunan-kelapa-sawit-indonesia-2024-AJPBu | 2025 |</t>
  </si>
  <si>
    <t>| Mills: Kaltim / Kalsel | 99 (5,662 t/h installed) / 46 | - | mills | Disbun Kaltim; GAPKI Kalsel | https://disbun.kaltimprov.go.id/artikel/kaltim-miliki-99-pabrik-pengolahan-kelapa-sawit ; https://kalsel.gapki.id/news/2024/03/27/gapki-427-000-ha-luas-perkebunan-kelapa-sawit-di-kalimantan-selatan/ | 2024 |</t>
  </si>
  <si>
    <t>| Mills: Riau / Sumut / Kalbar / Kalteng / Jambi / Sumsel | ~260 / ~180 / ~120 / ~130 / ~90 / ~110 [UNVERIFIED] | ±20% | mills | analyst estimate (Riau was 153 of 601 in 2014) | https://repository.unri.ac.id | - |</t>
  </si>
  <si>
    <t>| Capacity mix | &lt;30: ~25%; 30: ~25%; 45: ~25%; 60: ~20%; &gt;60: ~5% [UNVERIFIED] | - | % of mills | no public dataset found. Avg Kaltim 57 t/h; Astra 32 mills at avg 49 t/h | https://sawitindonesia.com/5-emiten-sawit-dengan-jumlah-pabrik-sawit-terbanyak/ | 2024 |</t>
  </si>
  <si>
    <t>## 2. Methane capture penetration</t>
  </si>
  <si>
    <t>| Mills with biogas capture | ~10% | &lt;10-15% | % of mills | Transport &amp; Environment "Palm oil in disguise?" | https://uploads.transportenvironment.org/production/files/202504_POME_fraud_Report.pdf | 2025 |</t>
  </si>
  <si>
    <t>| Share of biogas potential used | &lt;15% | - | % | PASPI/BRIN via Bioenergy Insight | https://www.bioenergy-news.com/news/indonesias-palm-oil-waste-could-generate-3-6-billion-cubic-metres-of-biogas-annually/ | 2026 |</t>
  </si>
  <si>
    <t>| Installed PLTBg (all biogas) | 164.1 | 120 (2021)-164 | MW | EBTKE dashboard (LKj 2025) | https://ebtke.esdm.go.id/ | Apr 2026 |</t>
  </si>
  <si>
    <t>| Malaysia installed biogas (benchmark) | ~165 of 400-500 potential | - | MW | The Edge Malaysia | https://theedgemalaysia.com/node/816417 | 2026 |</t>
  </si>
  <si>
    <t>| RUEN bioenergy power target | 5.5 by 2025 (missed; 1.9 GW bioenergy in 2021) | - | GW | Kontan/ESDM | https://www.esdm.go.id/id/berita-unit/direktorat-jenderal-ebtke/strategi-pengembangan-biogas-kejar-target-bauran-energi | 2022 |</t>
  </si>
  <si>
    <t>| Mandatory capture | none binding. PASPI is proposing it | - | - | energynews.pro; UkrAgroConsult | https://energynews.pro/en/indonesia-weighs-turning-palm-oil-mill-effluent-into-biogas | 2026 |</t>
  </si>
  <si>
    <t>## 3. Production &amp; POME</t>
  </si>
  <si>
    <t>| CPO production 2025 | 51.66 | - | Mt | GAPKI via Kontan | https://industri.kontan.co.id/news/gapki-produksi-ekspor-dan-konsumsi-sepanjang-2025-meningkat-tapi-stok-menurun | 2026 |</t>
  </si>
  <si>
    <t>| CPO production 2024 | 48.16 | 45.4 (Ditjenbun)-48.2 | Mt | GAPKI; BCA Sekuritas | https://bcasekuritas.co.id/latest-news/news/gapki-produksi-cpo-tumbuh-13-persen | 2025 |</t>
  </si>
  <si>
    <t>| FFB processed (derived, OER ~20%) | ~258 (2025) / ~241 (2024) | 230-270 | Mt FFB/yr | calculation | - | - |</t>
  </si>
  <si>
    <t>| POME per t FFB | 0.65 | 0.60-0.70 | m3/t | literature, Pelakar CDM PDD | https://cdm.unfccc.int/Projects/Validation/DB/6O7QO5B3Y0DYNWPZ5G2NV9DEM7F99B/view.html | - |</t>
  </si>
  <si>
    <t>| National POME | 125 (PASPI) | 125-170 | Mt/yr | PASPI/BRIN | https://www.bioenergy-news.com/news/indonesias-palm-oil-waste-could-generate-3-6-billion-cubic-metres-of-biogas-annually/ | 2026 |</t>
  </si>
  <si>
    <t>| Methane from open ponds | 137-163 | 137-215 | kg CO2e/t FFB | literature. ~270 kt FFB/yr x 137 = ~37 kt, which matches the 36,800 t case | (search snippet) | - |</t>
  </si>
  <si>
    <t>## 4. Costs</t>
  </si>
  <si>
    <t>| POME biogas plant CAPEX, 1-10 MW | 2,758 | 2,256-3,669 | USD/kW | Energies 15(19):7265 | https://doi.org/10.3390/EN15197265 | 2022 |</t>
  </si>
  <si>
    <t>| O&amp;M | 6.2 | 4-7 | % CAPEX/yr | same | same | 2022 |</t>
  </si>
  <si>
    <t>| Malaysia example (Felda/Concord, 5.6 MW, 4 mills) | ~RM8.9M/MW (~USD 2.0M/MW) | - | per MW | Biofuels News | https://biofuels-news.com/news/felda-to-install-pome-to-biogas-plant/ | older |</t>
  </si>
  <si>
    <t>| Covered lagoon vs tank/CSTR | lagoon ~1.5-2.5; CSTR/tank ~2.5-4 [UNVERIFIED] | - | USD M/MW | no split found | - | - |</t>
  </si>
  <si>
    <t>| Biogas genset, containerised | Chinese 350-600; Jenbacher/MWM 700-1,100 [UNVERIFIED] | 350-1,100 | USD/kWe | listings are "price on request" | https://www.exapro.com/bfmp-1mw-30mw-p260428222/ | 2026 |</t>
  </si>
  <si>
    <t>| UF membrane | 15-40 (HF/flat-sheet). Tubular 100-300 [UNVERIFIED] | - | USD/m2 | MBR vendor guide | https://www.studiomatrx.org/guides/mbr-stp-cost | 2025 |</t>
  </si>
  <si>
    <t>| Steel input (HRC FOB Indonesia) | 515 | 455-515 | USD/t | SMM | https://news.metal.com/newscontent/104154979-smm-steel-indonesian-hrc-flat-at-515mt-fob-as-weak-demand-leaves-mills-with-little-pricing-power | Oct 2026 |</t>
  </si>
  <si>
    <t>| Carbon-steel tank, fabricated + coated | 2.5 [UNVERIFIED] | 1.8-4.0 | USD/kg | estimate (steel ~0.5 + fabrication/NDT/coating) | - | - |</t>
  </si>
  <si>
    <t>## 5. Competitors / suppliers</t>
  </si>
  <si>
    <t>| Player | Technology | Source/status |</t>
  </si>
  <si>
    <t>|---|---|---|</t>
  </si>
  <si>
    <t>| Asian Agri (RGE) | Own covered-lagoon PLTBg. 7 running in 2017, target 20 | https://www.asianagri.com/en/?p=1622 (2017) |</t>
  </si>
  <si>
    <t>| reNIKOLA (MY) + Pertagas | Compressed biomethane from 8 mills, 15-year offtake. Plans 40 projects, &gt;USD 240M | https://www.gasworld.com/story/pertagas-and-renikola-move-ahead-with-indonesias-first-biomethane-to-grid-project/2257776.article/ |</t>
  </si>
  <si>
    <t>| Toyota Tsusho + KIS Biofuels / PGN | Biomethane, South Sumatra, 150k MMBtu/yr, groundbreaking Oct 2026 | https://sirkularium.com/en/insight/pgn-south-sumatra-biomethane-plant-toyota-industry |</t>
  </si>
  <si>
    <t>| KIS Group, Biotec (BE), Weltec (DE, steel CSTR), Kubota (submerged AnMBR), Wilmar/Musim Mas/Sinar Mas in-house, PTPN | lagoon / CSTR / AnMBR [UNVERIFIED: no 2024-26 counts found] | - |</t>
  </si>
  <si>
    <t>## 6-7. Tariffs &amp; energy prices</t>
  </si>
  <si>
    <t>| Perpres 112/2022 PLTBg ceiling, yr 1-10 | ≤1 MW 11.47xF; &gt;1-3 MW 9.94xF; &gt;3-5 MW 8.77xF; &gt;5-10 MW 8.26xF | - | USc/kWh | Lampiran I (OCR) | https://stream-asset.stockbit.com/666bead2-8e72-4e2a-8586-30f783dad49b_stream.pdf | 2022 |</t>
  </si>
  <si>
    <t>| PLTBg ceiling, yr 11-30 (0.6 x base, no F) | 6.88 / 5.97 / 5.26 / 4.96 | - | USc/kWh | same | same | 2022 |</t>
  </si>
  <si>
    <t>| Location factor F | Jamali 1.00; Kalimantan 1.10; Nusa Tenggara 1.20; Papua 1.50; Sumatra ~1.10 [UNVERIFIED] | 1.0-1.5 | - | Perpres 112 socialisation slides | https://id.scribd.com/document/609079033/Materi-Sosialisasi-Perpres-112-2022 | 2022 |</t>
  </si>
  <si>
    <t>| PLN regional BPP | not found for 2024-25 (national 2016: Rp983 = 7.39 USc) | - | Rp/kWh | ESDM | https://www.esdm.go.id/id/media-center/arsip-berita/bpp-pembangkitan-pt-pln-persero-turun-penyediaan-listrik-semakin-efisien | 2017 |</t>
  </si>
  <si>
    <t>| PLN I-3 (TM &gt;200 kVA) | 1,114.74 | - | Rp/kWh | Fortune IDN | https://www.fortuneidn.com/news/tarif-listrik-per-1-oktober-2026-d7w02-00-lflgw-zwfyxs | Q4 2026 |</t>
  </si>
  <si>
    <t>| PLN I-4 (TT ≥30 MVA) | 996.74 | - | Rp/kWh | same | same | Q4 2026 |</t>
  </si>
  <si>
    <t>| Dexlite (non-subsidised diesel) | 23,700 | 19,700-26,000 (2026) | Rp/L | Pasardana / BCA Sekuritas | https://pasardana.id/news/2026/9/1/awal-september-pertamina-naikan-harga-dexlite-jadi-rp23-700-per-liter | Sep 2026 |</t>
  </si>
  <si>
    <t>| Solar industri (HSD B40, B2B) | ~Dexlite -5-10% [UNVERIFIED] | - | Rp/L | Pertamina B2B lists not indexed | - | - |</t>
  </si>
  <si>
    <t>## 8. Carbon</t>
  </si>
  <si>
    <t>| IDXCarbon realised average | ~40,000 (~USD 2.2) | 38,900-49,000 | Rp/tCO2e | IDXCarbon monthly data via KabarBursa (calculated) | https://www.kabarbursa.com/carbon-trading/perdagangan-karbon-indonesia-januari-2026-turun-nilai-transaksi-rp47-miliar | Jan 2026 |</t>
  </si>
  <si>
    <t>| IDTBS / IDTBS-RE quoted | 96,000 / 144,000 | 59,200-144,000 | Rp/tCO2e | Kontan / Detik | https://finance.detik.com/bursa-dan-valas/d-7740762/perdagangan-di-bursa-karbon-ditargetkan-750-ribu-ton-hingga-akhir-2025 | 2025 |</t>
  </si>
  <si>
    <t>| VCM methane capture / avoidance | 15 | 10-25 (legacy 5-15) | USD/tCO2e | Carbonmark; EFI | https://www.carbonmark.com/post/understanding-carbon-credit-pricing | 2026 |</t>
  </si>
  <si>
    <t>| Carbon tax | Rp30/kg (Rp30,000/t), coal PLTU only. Not yet applied in 2026 [UNVERIFIED] | - | Rp/kgCO2e | UU HPP 7/2021 | https://www.mallesons.com/au/en/insights/latest-thinking/indonesias-harmonized-tax-law | 2021 |</t>
  </si>
  <si>
    <t>## 9. Regulation &amp; tax</t>
  </si>
  <si>
    <t>| Item | Value | Source | URL | Year |</t>
  </si>
  <si>
    <t>|---|---|---|---|---|</t>
  </si>
  <si>
    <t>| ISPO (Perpres 16/2025) | Replaces Perpres 44/2020. Downstream incl. biogas/biomass certify by 19 Mar 2027; smallholders by 2029. No methane-capture clause found | InfoSAWIT | https://en.infosawit.com/news/15717/ispo-now-mandatory-for-downstream-and-bioenergy-industries--independent-farmers-encouraged-to-receive-incentives | 2025 |</t>
  </si>
  <si>
    <t>| Effluent to water (PermenLH 5/2014) | BOD 100, COD 350, TSS 250, O&amp;G 25 mg/L. KLH drafting revision (2026) | journals; Warta Ekonomi | https://wartaekonomi.co.id/read608561/punya-manfaat-sebagai-pupuk-peneliti-kritik-rencana-baku-mutu-limbah-cair-pabrik-kelapa-sawit-di-bawah-100-mgl | 2026 |</t>
  </si>
  <si>
    <t>| Land application | BOD ≤5,000 mg/L (KepMenLH 28/2003) [UNVERIFIED] | - | - | 2003 |</t>
  </si>
  <si>
    <t>| Tax holiday | PMK 130/2020 jo. 69/2024 to Dec 2025. Extended to Dec 2026 under the 15% global minimum tax | Kontan | https://nasional.kontan.co.id/news/kemenkeu-perpanjang-insentif-tax-holiday-hingga-desember-2026 | 2025 |</t>
  </si>
  <si>
    <t>| Tax allowance (PP 78/2019: 30% investment deduction over 6 yr), import-duty exemption on RE machinery | available [UNVERIFIED current] | ThinkGeoEnergy | https://www.thinkgeoenergy.com/indonesia-offering-tax-incentives-for-renewable-energy-projects/ | old |</t>
  </si>
  <si>
    <t>| Corporate tax / VAT | 22% / 12% nominal (effective 11% on non-luxury goods) [VAT UNVERIFIED] | UU HPP | - | 2025 |</t>
  </si>
  <si>
    <t>## 10. Finance</t>
  </si>
  <si>
    <t>| BI Rate | 5.75 (raised from 4.75 in Apr 2026) | 5.75-6.25 by end-2026 | % | Bisnis / RRI | https://finansial.bisnis.com/read/20260923/11/2006495/breaking-bank-indonesia-tahan-bi-rate-575-di-era-suku-bunga-tinggi | Sep 2026 |</t>
  </si>
  <si>
    <t>| IDR/USD | 17,855 | 16,300 (2025)-18,000 | IDR/USD | RRI / Bisnis | https://rri.co.id/en/business/2664084/bi-holds-bi-rate-at-575-percent-due-to-pressure-on-rupiah-and-global-uncertainty | Sep 2026 |</t>
  </si>
  <si>
    <t>| CPI inflation | 3.19 y/y | 2.5±1 target | % | BPS via Bisnis | https://finansial.bisnis.com/read/20260928/90/2007780/konsisten-bi-pertahankan-suku-bunga-demi-redam-tekanan-eksternal | Aug 2026 |</t>
  </si>
  <si>
    <t>| RE project WACC (solar PV, nominal post-tax, IDR) | 9.4 | 9-12 (biogas higher) | % | IEA Cost of Capital Observatory | https://www.iea.org/reports/cost-of-capital-observatory/dashboard | 2025 |</t>
  </si>
  <si>
    <t>| Investment-loan rate | IDR 9-11; USD 6.5-8.5 [UNVERIFIED] | - | % | estimate (BI rate + 3-5%) | - | - |</t>
  </si>
  <si>
    <t>## 11. By-products</t>
  </si>
  <si>
    <t>| Palm kernel shell, FOB export | ~120 (seller asking price) | 100-150 [range UNVERIFIED] | USD/t | Freshdi listing; Argus (PKS export tax USD 10/t + levy) | https://www.argusmedia.com/en/news-and-insights/latest-market-news/2770870-indonesia-maintains-pks-export-tax-for-january-2026 | 2026 |</t>
  </si>
  <si>
    <t>| Shell credit in FFB price formula | 18-21 | - | Rp/kg FFB | Disbun Sumsel/Jambi via InfoSAWIT | https://www.en.infosawit.com/news/18205/south-sumatra-sets-palm-oil-ffb-prices-at-up-to-rp3-910-50-kg-for-august-1-15--2026 | 2026 |</t>
  </si>
  <si>
    <t>| EFB | 0-10 (mostly mulch) [UNVERIFIED] | - | USD/t | none found | - | - |</t>
  </si>
  <si>
    <t>| Digestate / compost | 20-50 [UNVERIFIED] | - | USD/t compost | none found | - | - |</t>
  </si>
  <si>
    <t># Market data 2 – POME biogas power set (45 t FFB/h mill)</t>
  </si>
  <si>
    <t>Researched 2026-10-15 using web search only. Direct PDF fetches of the official texts failed, so table values come from search-engine extracts of the regulation scans and press reports. Values marked [UNVERIFIED] need checking against the primary document.</t>
  </si>
  <si>
    <t>## 1. Perpres 112/2022 PLTBg ceiling price (HPT)</t>
  </si>
  <si>
    <t>| Item | Value | Source |</t>
  </si>
  <si>
    <t>| PLTBg ≤1 MW, yr 1–10 | **10.18 × F** USc/kWh | Perpres 112/2022 Lampiran I scan; CNBC Indonesia, Katadata (2022) |</t>
  </si>
  <si>
    <t>| PLTBg ≤1 MW, yr 11+ | **6.11** USc/kWh, no F | same |</t>
  </si>
  <si>
    <t>| PLTBg &gt;1–3 MW, yr 1–10 / 11+ | 9.81 × F / 5.89 (OCR) | Lampiran I scan; KESDM socialisation slides (2022) |</t>
  </si>
  <si>
    <t>| PLTBg &gt;3–5, &gt;5–10, &gt;10 MW | not extracted [UNVERIFIED] | – |</t>
  </si>
  <si>
    <t>| **PLTBg excess power** (any capacity) | **7.44** USc/kWh flat, no F | Lampiran I "PLTBm dan PLTBg Excess Power"; Pasal 4 |</t>
  </si>
  <si>
    <t>| F, Sumatera (Riau, Sumut, Jambi) | ~1.10 [UNVERIFIED] | Lampiran II (garbled extract); range is 1.0 (Jawa-Bali) to 1.5 (Papua) |</t>
  </si>
  <si>
    <t>| F, Kalimantan | ~1.15 [UNVERIFIED] | same |</t>
  </si>
  <si>
    <t>| Term of stage 2 | sources disagree (yr 11–20, 11–25 or 11–30) [UNVERIFIED] | – |</t>
  </si>
  <si>
    <t>- **Capacity basis.** None of the sources defines the tier as installed or contracted capacity [UNVERIFIED]. In PLN practice PPAs are written on contracted net capacity at the delivery point. For a ~0.96 MWe net export, the 2 × 500 kWe set clearly sits in the ≤1 MW tier. With 2 × 800 kWe (1.6 MW installed), the tier is unclear unless contracted capacity is capped at ≤1 MW. The case should treat that as a legal risk.</t>
  </si>
  <si>
    <t>- **Excess power.** If the plant mainly supplies the mill and sells only its surplus, it falls under the "excess power" price of 7.44 USc/kWh, not 10.18 × F.</t>
  </si>
  <si>
    <t>- **Status.** Perpres 112/2022 is still in force as of 2026. Permen ESDM 5/2025 (EBET PPA rules) implements it and does not replace it. In February 2026 ESDM confirmed that an izin prakarsa had been issued to revise the Perpres (new floor/ceiling price scheme, hybrids). As of the latest results found, no revised Perpres had been issued [verify on JDIH Setneg]. The ceiling prices can be evaluated every year.</t>
  </si>
  <si>
    <t>- Sources: [listrikindonesia.com](https://listrikindonesia.com/detail/19147/harga-listrik-ebt-akan-diatur-tidak-ada-lagi-diskusi-alot-ipp-dan-pln) (2026); [CNBC Indonesia, Energy Outlook 2026](https://www.cnbcindonesia.com/news/20260205161013-4-708547/siap-siap-pemerintah-mau-tetapkan-batas-atas-bawah-tarif-listrik-ebt/amp); [CNBC 2022](https://www.cnbcindonesia.com/news/20220915083310-4-372210/jokowi-teken-aturan-harga-murah-listrik-ebt-begini-isinya); [Katadata 2022](https://katadata.co.id/ekonomi-hijau/energi-baru/6322b0d0c80d2/diatur-perpres-ebt-ini-rincian-harga-listrik-dari-energi-terbarukan); [JDIH Kemenkeu PDF](https://jdih.kemenkeu.go.id/api/download/7332a343-0623-4d26-80f2-9d8f62a5c2ba/2022perpres112.pdf); [LPEM UI 2023](https://www.lpem.org/wp-content/uploads/2023/06/Environmental_Policy_Update_V1_No1_ID.pdf); [Kontan (annual review)](https://industri.kontan.co.id/news/tarif-listrik-ebt-di-perpres-1122022-bisa-dievaluasi-tiap-tahun).</t>
  </si>
  <si>
    <t>**Takeaway:** For the base case, use 10.18 × 1.10 ≈ **11.2 USc/kWh** in years 1–10 and 6.11 after that, provided the full-export PPA is ≤1 MW. Use **7.44 USc/kWh** if the plant is treated as excess power from a captive plant. Size the set at 2 × 500 kWe, or cap contracted capacity, so it stays in the ≤1 MW tier.</t>
  </si>
  <si>
    <t>## 2. Carbon credits (POME methane avoidance)</t>
  </si>
  <si>
    <t>| Item | Value | Source / note |</t>
  </si>
  <si>
    <t>| Methodology | AMS-III.H (CDM small-scale, usable under VCS); GS uses equivalent | – |</t>
  </si>
  <si>
    <t>| Crediting period, Verra non-AFOLU | 7 yr renewable twice (21 yr max) or 10 yr fixed | VCS Standard [UNVERIFIED in this search] |</t>
  </si>
  <si>
    <t>| Crediting period, Gold Standard | 5 yr renewable twice (15 yr) or 10 yr fixed | [UNVERIFIED] |</t>
  </si>
  <si>
    <t>| Verra fees (2025 schedule) | pipeline listing US$1,000–1,500; registration US$2,000 (one methodology); verification review US$1,250–5,000; issuance levy **US$0.23/VCU**; account US$750/yr | [Verra 2025 fee update](https://verra.org/verra-releases-updated-fee-schedule/), [FAQ](https://verra.org/new-verra-program-fee-schedule-faqs/) (figures conflict, so check the PDF) |</t>
  </si>
  <si>
    <t>| VVB validation / verification | ~US$15–40k / ~US$10–25k per event | industry rule of thumb [UNVERIFIED] |</t>
  </si>
  <si>
    <t>| Time to first issuance | ~12–24 months after start | [UNVERIFIED] |</t>
  </si>
  <si>
    <t>| Prices | Platts "Methane Collection" US$3.80/t (Dec 2024); renewable-energy avoidance US$1.10/t; MSCI all-credit index US$3.5/t (2025), BBB+ US$6.8/t | [S&amp;P Global](https://www.spglobal.com/energy/en/news-research/latest-news/energy-transition/122024-commodities-2025-demand-for-avoidance-carbon-credits-set-to-remain-muted); [MSCI](https://www.msci.com/research-and-insights/blog-post/carbon-credits-come-of-age-in-2025) |</t>
  </si>
  <si>
    <t>| POME-specific price | no published series; assume **US$2–6/t**, Article 6 authorised (CA) units **US$8–15/t** | [UNVERIFIED] |</t>
  </si>
  <si>
    <t>| Indonesia framework | Perpres 110/2025 replaced Perpres 98/2021. International transfers under Art 6.2/6.4 need KLH authorisation and a corresponding adjustment; non-CA voluntary trades are recognised. Registration in SRN-PPI (moving to the SRUK platform). Levy rate is left to MoF regulations, so no % found [UNVERIFIED]. Verra–Indonesia MRA signed Oct 2025. | [SSEK](https://ssek.com/blog/indonesia-introduces-new-carbon-trading-framework-under-presidential-regulation-no-110-of-2025/), [Ashurst](https://www.ashurstperkinscoie.com/en/insights/major-overhaul-of-indonesias-carbon-regulatory-framework/), [Verra](https://verra.org/verra-and-indonesia-sign-milestone-agreement-to-advance-carbon-markets/) |</t>
  </si>
  <si>
    <t>| IDXCarbon | thin market: about IDR 47k/t implied (~US$3); 8 t traded in June 2025; cumulative 1.6 Mt / IDR 78 bn by Jul 2025 (~IDR 49k/t) | [IDN Financials](https://www.idnfinancials.com/news/55927/carbon-trading-plunges-98-5-in-june-2025-idx-chief-responds); [IEEFA](https://ieefa.org/resources/two-years-after-launch-indonesias-carbon-market-struggles-find-momentum) |</t>
  </si>
  <si>
    <t>**Takeaway:** 33 kt/yr × US$3 is about **US$100k/yr gross**, against roughly US$40–60k/yr of MRV and fees. Carbon is upside, not the base case. Note also that the same methane reduction cannot be both sold as a credit and claimed in the CPO/biofuel GHG value (double claiming).</t>
  </si>
  <si>
    <t>## 3. CPO market value from methane capture</t>
  </si>
  <si>
    <t>| Scheme | Savings without capture | Savings with capture | Source |</t>
  </si>
  <si>
    <t>|---|---|---|---|</t>
  </si>
  <si>
    <t>| RED II Annex V, palm biodiesel (typical / default) | 33% / **20%** | 51% / **45%** | [RED II Annex V (SEAI consolidated)](https://www.seai.ie/sites/default/files/publications/RED-II-directive-ANNEX-V-RULES-FOR-CALCULATING-THE-GREENHOUSE-GAS-IMPACT-OF-BIOFUELS-BIOLIQUIDS-AND-THEIR-FOSSIL-FUEL-COMPARATORS.pdf) |</t>
  </si>
  <si>
    <t>| RED II, palm HVO | 34% / 22% | 53% / 49% | same |</t>
  </si>
  <si>
    <t>| CORSIA palm FFB HEFA core LCA | open pond ~60 g/MJ | **37.4 g/MJ** (requires ≥85% POME biogas capture) | [ICAO Doc 06, Nov 2025](https://www.icao.int/sites/default/files/environmental-protection/CORSIA/Documents/CORSIA%20Eligible%20Fuels/ICAO-document-06-Default-Life-Cycle-Emissions-November-2025.pdf); [ICCT 2021](https://theicct.org/wp-content/uploads/2021/06/Alt-aviation-fuel-sustainability-mar2021.pdf) |</t>
  </si>
  <si>
    <t>- The RED II threshold is 50–65% depending on plant start date. Palm biofuel can essentially only pass on actual values with methane capture. Even then, palm counts as high-ILUC-risk (Del. Reg. 2019/807), its RED counting is being phased out by 2030, and CORSIA adds palm ILUC, which limits SAF eligibility. Methane capture is a **market-access precondition** for ISCC EU/CORSIA buyers, not a guaranteed premium.</t>
  </si>
  <si>
    <t>- RSPO credits: about US$27 per t CSPO implied in 2023 (US$7m for 261,792 credits). Prices fell in 2024–25. 16.2 Mt CSPO was sold in 2025 ([Eco-Business](https://eco-business.com/news/new-sustainable-palm-oil-rules-win-consensus-amid-rspo-credit-price-slump)). RSPO P&amp;C 2018 requires GHG reporting and favours methane capture for new mills, but there is no separate premium.</t>
  </si>
  <si>
    <t>- No published "methane capture premium" in US$/t CPO was found [UNVERIFIED]. Treat an ISCC/low-GHG premium as roughly US$5–20/t only where a buyer contract exists.</t>
  </si>
  <si>
    <t>- **EUDR**: Reg. (EU) 2025/2650 applies from **30 Dec 2026** for large and medium operators and from 30 Jun 2027 for micro and small ones ([Vinciworks](https://vinciworks.com/blog/eudr-delayed-again-what-changed-what-is-now-fixed-and-what-businesses-should-do-in-2026/), [Andersen](https://pl.andersen.com/en/newsletter/amendment-to-the-eudr-published-changes-to-deadlines-and-simplification-of-obligations-now-official/)). EUDR is about deforestation and traceability, not GHG, so methane capture has no direct EUDR value.</t>
  </si>
  <si>
    <t>**Takeaway:** Value the market-access benefit qualitatively, or as an optional sensitivity of US$5–20/t × 52 kt = US$0.26–1.0m/yr. Do not put it in the base case.</t>
  </si>
  <si>
    <t>## 4. CAPEX benchmarks</t>
  </si>
  <si>
    <t>| Data point | CAPEX per MWe | Source |</t>
  </si>
  <si>
    <t>| Malaysia closed digester, 60 t/h mill, ~1.8 MW: RM18–20m | ~RM10–11m/MW (~US$2.3–2.5m) | [MDPI review 2025](https://www.mdpi.com/2673-8783/6/5/77) |</t>
  </si>
  <si>
    <t>| PLTBg Suka Damai, 2.4 MW: Rp109.1bn | ~Rp45bn/MW (~US$2.8m) | [ITS case study](https://iptek.its.ac.id/index.php/jsh/article/view/6775) |</t>
  </si>
  <si>
    <t>| Indonesia biogas cost-recovery basis | US$1.82m/MW | [ScienceDirect 2025](https://www.sciencedirect.com/science/article/pii/S2666188825010172) |</t>
  </si>
  <si>
    <t>| Malaysia older plants | RM9–18m/MW | MDPI (citing 2014) |</t>
  </si>
  <si>
    <t>- Typical range is **US$1.8–3.0m per MWe**. Covered lagoons sit at the low end and tanks/CSTR at the high end [split UNVERIFIED].</t>
  </si>
  <si>
    <t>- Tipping or treatment fees paid by mills: none found [UNVERIFIED]. The usual Indonesian and Malaysian BOO model is the reverse. The developer gets POME free, and the mill gets avoided effluent treatment, sometimes a revenue share, plus credits or power (Cenergi in Malaysia, [UEM Lestra](https://www.uemlestra.com/press-cenergi-and-ypj-plantations-enter-MoU-on-Biogas-Power-Plant.html); Malaysia FiT 2.0 at RM0.45/kWh for 10 years).</t>
  </si>
  <si>
    <t>**Takeaway:** At US$1.9–2.9m for 0.96–1.6 MWe, a portable set should beat about US$2m/MW to be competitive. Do not assume a tipping fee.</t>
  </si>
  <si>
    <t>## 5. Diesel use and captive power</t>
  </si>
  <si>
    <t>- Start-up genset: about **0.53 L diesel/t FFB** ([ScienceDirect 2025](https://www.sciencedirect.com/science/article/pii/S2666789425000698)). At 250 kt FFB that is ~130 kL/yr, or about 1.5–2 kWh/t FFB at ~3.5 kWh/L.</t>
  </si>
  <si>
    <t>- DSNG's 60 t/h Bio-CNG plant saves ≥2.0m L/yr of diesel previously used in mill and kernel-plant gensets ([GAPKI 2021](https://gapki.id/en/news/2021/04/03/palm-oil-mills-save-millions-liters-of-fuel-by-using-wastes/)). This indicates higher diesel use at mills with KCP or off-grid housing.</t>
  </si>
  <si>
    <t>- Estate housing loads: no data found [UNVERIFIED]. A typical assumption is 0.3–1 kW per household on diesel at night.</t>
  </si>
  <si>
    <t>- Diesel generation cost was Rp2,700–4,000/kWh in 2013 vs Rp700–900/kWh for POME biogas ([Jakarta Post](https://www.thejakartapost.com/news/2013/09/19/capturing-methane-electricity-generation)). At current industrial diesel prices (~Rp13–15k/L [UNVERIFIED]) it is about **Rp4,000–5,000/kWh**.</t>
  </si>
  <si>
    <t>- Captive PPAs: a third-party IPP selling power on-site to a mill generally needs an IUPTL or wilayah usaha, so such arrangements are uncommon. Most mill biogas is owned by the mill, or structured as a lease/O&amp;M or BOT [UNVERIFIED]. Historical PLN excess-power purchase was Rp1,150/kWh (Berau, 2013), capped at 85% of BPP ([IJE](https://ije-pyc.org/IJE/article/download/11/3/22)). A UI Bangka study used Rp1,575/kWh ([UI 2022](https://doi.org/10.3390/en15197265)).</t>
  </si>
  <si>
    <t>**Takeaway:** Diesel displacement is worth far more per kWh (~US$0.25–0.30) than PLN export (~US$0.07–0.11). It is limited to roughly 0.4–0.6 GWh/yr of start-up and housing load, so model it as a separate revenue line. A captive PPA to a third-party mill is legally awkward. A lease or O&amp;M service fee is the safer structure.</t>
  </si>
  <si>
    <t>MODEL KEUANGAN v2 - GENERATOR BIOGAS PORTABEL (1 set PKS 45 t TBS/jam, BOO)</t>
  </si>
  <si>
    <t>Alur: Asumsi -&gt; CAPEX/OPEX -&gt; Arus Kas -&gt; Indikator. Sel kuning di lembar Asumsi = input.</t>
  </si>
  <si>
    <t>FCI 2027 (USD)</t>
  </si>
  <si>
    <t>Pendapatan th 3 (USD)</t>
  </si>
  <si>
    <t>EBITDA th 3 (USD)</t>
  </si>
  <si>
    <t>NPV @WACC (USD)</t>
  </si>
  <si>
    <t>IRR proyek</t>
  </si>
  <si>
    <t>Payback terdiskonto (th)</t>
  </si>
  <si>
    <t>Porsi pendapatan dari jasa POME</t>
  </si>
  <si>
    <t>Peluang NPV &gt; 0 (Monte Carlo)</t>
  </si>
  <si>
    <t>NPV perusahaan (armada)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</si>
</sst>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0.0%"/>
    <numFmt numFmtId="166" formatCode="#,##0.00"/>
    <numFmt numFmtId="167" formatCode="#,##0.00##"/>
    <numFmt numFmtId="168" formatCode="0.0000"/>
    <numFmt numFmtId="169" formatCode="#,##0;[Red]-#,##0"/>
  </numFmts>
  <fonts count="5">
    <font>
      <sz val="11"/>
      <color theme="1"/>
      <name val="Calibri"/>
      <family val="2"/>
      <scheme val="minor"/>
    </font>
    <font>
      <b/>
      <sz val="14"/>
      <color rgb="FF1F4E4A"/>
      <name val="Calibri"/>
      <family val="2"/>
      <scheme val="minor"/>
    </font>
    <font>
      <i/>
      <sz val="11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  <fill>
      <patternFill patternType="solid">
        <fgColor rgb="FF1F4E4A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164" fontId="3" fillId="2" borderId="1" xfId="0" applyNumberFormat="1" applyFont="1" applyFill="1" applyBorder="1"/>
    <xf numFmtId="165" fontId="3" fillId="2" borderId="1" xfId="0" applyNumberFormat="1" applyFont="1" applyFill="1" applyBorder="1"/>
    <xf numFmtId="166" fontId="3" fillId="2" borderId="1" xfId="0" applyNumberFormat="1" applyFont="1" applyFill="1" applyBorder="1"/>
    <xf numFmtId="0" fontId="4" fillId="3" borderId="1" xfId="0" applyFont="1" applyFill="1" applyBorder="1" applyAlignment="1">
      <alignment vertical="center" wrapText="1"/>
    </xf>
    <xf numFmtId="167" fontId="0" fillId="4" borderId="1" xfId="0" applyNumberFormat="1" applyFill="1" applyBorder="1"/>
    <xf numFmtId="0" fontId="0" fillId="0" borderId="1" xfId="0" applyBorder="1" applyAlignment="1">
      <alignment vertical="top" wrapText="1"/>
    </xf>
    <xf numFmtId="0" fontId="3" fillId="0" borderId="0" xfId="0" applyFont="1"/>
    <xf numFmtId="166" fontId="0" fillId="0" borderId="1" xfId="0" applyNumberFormat="1" applyBorder="1"/>
    <xf numFmtId="168" fontId="0" fillId="0" borderId="1" xfId="0" applyNumberFormat="1" applyBorder="1"/>
    <xf numFmtId="164" fontId="0" fillId="0" borderId="1" xfId="0" applyNumberFormat="1" applyBorder="1"/>
    <xf numFmtId="169" fontId="0" fillId="0" borderId="1" xfId="0" applyNumberFormat="1" applyBorder="1"/>
    <xf numFmtId="169" fontId="3" fillId="2" borderId="1" xfId="0" applyNumberFormat="1" applyFont="1" applyFill="1" applyBorder="1"/>
    <xf numFmtId="165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Kurva payback (USD)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Kumulatif FCFF</c:v>
          </c:tx>
          <c:spPr>
            <a:ln w="28575">
              <a:solidFill>
                <a:srgbClr val="3D8B7D"/>
              </a:solidFill>
            </a:ln>
          </c:spPr>
          <c:marker>
            <c:symbol val="none"/>
          </c:marker>
          <c:cat>
            <c:numRef>
              <c:f>'Arus Kas'!$C$5:$W$5</c:f>
              <c:numCache>
                <c:formatCode>General</c:formatCode>
                <c:ptCount val="2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</c:numCache>
            </c:numRef>
          </c:cat>
          <c:val>
            <c:numRef>
              <c:f>'Arus Kas'!$C$32:$W$32</c:f>
              <c:numCache>
                <c:formatCode>General</c:formatCode>
                <c:ptCount val="21"/>
                <c:pt idx="0">
                  <c:v>-6139389.840202734</c:v>
                </c:pt>
                <c:pt idx="1">
                  <c:v>-5622961.2625240665</c:v>
                </c:pt>
                <c:pt idx="2">
                  <c:v>-4090330.351803707</c:v>
                </c:pt>
                <c:pt idx="3">
                  <c:v>-3083701.547589391</c:v>
                </c:pt>
                <c:pt idx="4">
                  <c:v>-2066645.0963849458</c:v>
                </c:pt>
                <c:pt idx="5">
                  <c:v>-1044762.8016805184</c:v>
                </c:pt>
                <c:pt idx="6">
                  <c:v>-17958.14660610899</c:v>
                </c:pt>
                <c:pt idx="7">
                  <c:v>963456.1239317366</c:v>
                </c:pt>
                <c:pt idx="8">
                  <c:v>1463470.114343576</c:v>
                </c:pt>
                <c:pt idx="9">
                  <c:v>2289151.884107199</c:v>
                </c:pt>
                <c:pt idx="10">
                  <c:v>3118982.822728874</c:v>
                </c:pt>
                <c:pt idx="11">
                  <c:v>3774824.7185453963</c:v>
                </c:pt>
                <c:pt idx="12">
                  <c:v>4324629.049440012</c:v>
                </c:pt>
                <c:pt idx="13">
                  <c:v>4859160.240515704</c:v>
                </c:pt>
                <c:pt idx="14">
                  <c:v>5398696.15887989</c:v>
                </c:pt>
                <c:pt idx="15">
                  <c:v>5730496.221410081</c:v>
                </c:pt>
                <c:pt idx="16">
                  <c:v>5946418.972207142</c:v>
                </c:pt>
                <c:pt idx="17">
                  <c:v>6503710.720246753</c:v>
                </c:pt>
                <c:pt idx="18">
                  <c:v>7066419.74605546</c:v>
                </c:pt>
                <c:pt idx="19">
                  <c:v>7634654.395188644</c:v>
                </c:pt>
                <c:pt idx="20">
                  <c:v>8366293.136062979</c:v>
                </c:pt>
              </c:numCache>
            </c:numRef>
          </c:val>
        </c:ser>
        <c:ser>
          <c:idx val="1"/>
          <c:order val="1"/>
          <c:tx>
            <c:v>Kumulatif terdiskonto</c:v>
          </c:tx>
          <c:spPr>
            <a:ln w="28575">
              <a:solidFill>
                <a:srgbClr val="B2472F"/>
              </a:solidFill>
            </a:ln>
          </c:spPr>
          <c:marker>
            <c:symbol val="none"/>
          </c:marker>
          <c:cat>
            <c:numRef>
              <c:f>'Arus Kas'!$C$5:$W$5</c:f>
              <c:numCache>
                <c:formatCode>General</c:formatCode>
                <c:ptCount val="2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</c:numCache>
            </c:numRef>
          </c:cat>
          <c:val>
            <c:numRef>
              <c:f>'Arus Kas'!$C$35:$W$35</c:f>
              <c:numCache>
                <c:formatCode>General</c:formatCode>
                <c:ptCount val="21"/>
                <c:pt idx="0">
                  <c:v>-6139389.840202734</c:v>
                </c:pt>
                <c:pt idx="1">
                  <c:v>-5668814.157086875</c:v>
                </c:pt>
                <c:pt idx="2">
                  <c:v>-4396260.775633267</c:v>
                </c:pt>
                <c:pt idx="3">
                  <c:v>-3634660.667865293</c:v>
                </c:pt>
                <c:pt idx="4">
                  <c:v>-2933492.9433857044</c:v>
                </c:pt>
                <c:pt idx="5">
                  <c:v>-2291549.2346399035</c:v>
                </c:pt>
                <c:pt idx="6">
                  <c:v>-1703785.0541020706</c:v>
                </c:pt>
                <c:pt idx="7">
                  <c:v>-1191883.002553831</c:v>
                </c:pt>
                <c:pt idx="8">
                  <c:v>-954234.0677834891</c:v>
                </c:pt>
                <c:pt idx="9">
                  <c:v>-596643.8528595612</c:v>
                </c:pt>
                <c:pt idx="10">
                  <c:v>-269166.1257466774</c:v>
                </c:pt>
                <c:pt idx="11">
                  <c:v>-33329.90010867556</c:v>
                </c:pt>
                <c:pt idx="12">
                  <c:v>146821.95157222266</c:v>
                </c:pt>
                <c:pt idx="13">
                  <c:v>306418.2596464461</c:v>
                </c:pt>
                <c:pt idx="14">
                  <c:v>453205.8580177839</c:v>
                </c:pt>
                <c:pt idx="15">
                  <c:v>535461.3076749614</c:v>
                </c:pt>
                <c:pt idx="16">
                  <c:v>584237.2688303144</c:v>
                </c:pt>
                <c:pt idx="17">
                  <c:v>698949.3763095042</c:v>
                </c:pt>
                <c:pt idx="18">
                  <c:v>804492.4510165262</c:v>
                </c:pt>
                <c:pt idx="19">
                  <c:v>901608.8984478383</c:v>
                </c:pt>
                <c:pt idx="20">
                  <c:v>1015550.1494376411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Pendapatan per aliran (USD)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Jasa POME</c:v>
          </c:tx>
          <c:spPr>
            <a:solidFill>
              <a:srgbClr val="D4952B"/>
            </a:solidFill>
          </c:spPr>
          <c:cat>
            <c:numRef>
              <c:f>'Arus Kas'!$C$5:$W$5</c:f>
              <c:numCache>
                <c:formatCode>General</c:formatCode>
                <c:ptCount val="2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</c:numCache>
            </c:numRef>
          </c:cat>
          <c:val>
            <c:numRef>
              <c:f>'Arus Kas'!$C$12:$W$12</c:f>
              <c:numCache>
                <c:formatCode>General</c:formatCode>
                <c:ptCount val="21"/>
                <c:pt idx="0">
                  <c:v>0.0</c:v>
                </c:pt>
                <c:pt idx="1">
                  <c:v>516870.72</c:v>
                </c:pt>
                <c:pt idx="2">
                  <c:v>527208.1344000001</c:v>
                </c:pt>
                <c:pt idx="3">
                  <c:v>537752.297088</c:v>
                </c:pt>
                <c:pt idx="4">
                  <c:v>548507.34302976</c:v>
                </c:pt>
                <c:pt idx="5">
                  <c:v>559477.4898903553</c:v>
                </c:pt>
                <c:pt idx="6">
                  <c:v>570667.0396881623</c:v>
                </c:pt>
                <c:pt idx="7">
                  <c:v>582080.3804819257</c:v>
                </c:pt>
                <c:pt idx="8">
                  <c:v>593721.9880915642</c:v>
                </c:pt>
                <c:pt idx="9">
                  <c:v>605596.4278533955</c:v>
                </c:pt>
                <c:pt idx="10">
                  <c:v>617708.3564104633</c:v>
                </c:pt>
                <c:pt idx="11">
                  <c:v>630062.5235386726</c:v>
                </c:pt>
                <c:pt idx="12">
                  <c:v>642663.7740094461</c:v>
                </c:pt>
                <c:pt idx="13">
                  <c:v>655517.049489635</c:v>
                </c:pt>
                <c:pt idx="14">
                  <c:v>668627.3904794278</c:v>
                </c:pt>
                <c:pt idx="15">
                  <c:v>681999.9382890163</c:v>
                </c:pt>
                <c:pt idx="16">
                  <c:v>695639.9370547966</c:v>
                </c:pt>
                <c:pt idx="17">
                  <c:v>709552.7357958927</c:v>
                </c:pt>
                <c:pt idx="18">
                  <c:v>723743.7905118105</c:v>
                </c:pt>
                <c:pt idx="19">
                  <c:v>738218.6663220467</c:v>
                </c:pt>
                <c:pt idx="20">
                  <c:v>752983.0396484876</c:v>
                </c:pt>
              </c:numCache>
            </c:numRef>
          </c:val>
        </c:ser>
        <c:ser>
          <c:idx val="1"/>
          <c:order val="1"/>
          <c:tx>
            <c:v>Listrik PLN</c:v>
          </c:tx>
          <c:spPr>
            <a:solidFill>
              <a:srgbClr val="1F4E4A"/>
            </a:solidFill>
          </c:spPr>
          <c:cat>
            <c:numRef>
              <c:f>'Arus Kas'!$C$5:$W$5</c:f>
              <c:numCache>
                <c:formatCode>General</c:formatCode>
                <c:ptCount val="2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</c:numCache>
            </c:numRef>
          </c:cat>
          <c:val>
            <c:numRef>
              <c:f>'Arus Kas'!$C$14:$W$14</c:f>
              <c:numCache>
                <c:formatCode>General</c:formatCode>
                <c:ptCount val="21"/>
                <c:pt idx="0">
                  <c:v>0.0</c:v>
                </c:pt>
                <c:pt idx="1">
                  <c:v>477863.3984808853</c:v>
                </c:pt>
                <c:pt idx="2">
                  <c:v>637151.1979745138</c:v>
                </c:pt>
                <c:pt idx="3">
                  <c:v>637151.1979745138</c:v>
                </c:pt>
                <c:pt idx="4">
                  <c:v>637151.1979745138</c:v>
                </c:pt>
                <c:pt idx="5">
                  <c:v>637151.1979745138</c:v>
                </c:pt>
                <c:pt idx="6">
                  <c:v>637151.1979745138</c:v>
                </c:pt>
                <c:pt idx="7">
                  <c:v>637151.1979745138</c:v>
                </c:pt>
                <c:pt idx="8">
                  <c:v>637151.1979745138</c:v>
                </c:pt>
                <c:pt idx="9">
                  <c:v>637151.1979745138</c:v>
                </c:pt>
                <c:pt idx="10">
                  <c:v>637151.1979745138</c:v>
                </c:pt>
                <c:pt idx="11">
                  <c:v>347650.8143975959</c:v>
                </c:pt>
                <c:pt idx="12">
                  <c:v>347650.8143975959</c:v>
                </c:pt>
                <c:pt idx="13">
                  <c:v>347650.8143975959</c:v>
                </c:pt>
                <c:pt idx="14">
                  <c:v>347650.8143975959</c:v>
                </c:pt>
                <c:pt idx="15">
                  <c:v>347650.8143975959</c:v>
                </c:pt>
                <c:pt idx="16">
                  <c:v>347650.8143975959</c:v>
                </c:pt>
                <c:pt idx="17">
                  <c:v>347650.8143975959</c:v>
                </c:pt>
                <c:pt idx="18">
                  <c:v>347650.8143975959</c:v>
                </c:pt>
                <c:pt idx="19">
                  <c:v>347650.8143975959</c:v>
                </c:pt>
                <c:pt idx="20">
                  <c:v>347650.8143975959</c:v>
                </c:pt>
              </c:numCache>
            </c:numRef>
          </c:val>
        </c:ser>
        <c:ser>
          <c:idx val="2"/>
          <c:order val="2"/>
          <c:tx>
            <c:v>Listrik PKS</c:v>
          </c:tx>
          <c:spPr>
            <a:solidFill>
              <a:srgbClr val="3F6D9A"/>
            </a:solidFill>
          </c:spPr>
          <c:cat>
            <c:numRef>
              <c:f>'Arus Kas'!$C$5:$W$5</c:f>
              <c:numCache>
                <c:formatCode>General</c:formatCode>
                <c:ptCount val="2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</c:numCache>
            </c:numRef>
          </c:cat>
          <c:val>
            <c:numRef>
              <c:f>'Arus Kas'!$C$13:$W$13</c:f>
              <c:numCache>
                <c:formatCode>General</c:formatCode>
                <c:ptCount val="21"/>
                <c:pt idx="0">
                  <c:v>0.0</c:v>
                </c:pt>
                <c:pt idx="1">
                  <c:v>51574.70880000001</c:v>
                </c:pt>
                <c:pt idx="2">
                  <c:v>70141.60396800001</c:v>
                </c:pt>
                <c:pt idx="3">
                  <c:v>71544.43604736</c:v>
                </c:pt>
                <c:pt idx="4">
                  <c:v>72975.3247683072</c:v>
                </c:pt>
                <c:pt idx="5">
                  <c:v>74434.83126367335</c:v>
                </c:pt>
                <c:pt idx="6">
                  <c:v>75923.52788894682</c:v>
                </c:pt>
                <c:pt idx="7">
                  <c:v>77441.99844672576</c:v>
                </c:pt>
                <c:pt idx="8">
                  <c:v>78990.83841566027</c:v>
                </c:pt>
                <c:pt idx="9">
                  <c:v>80570.65518397347</c:v>
                </c:pt>
                <c:pt idx="10">
                  <c:v>82182.06828765295</c:v>
                </c:pt>
                <c:pt idx="11">
                  <c:v>83825.709653406</c:v>
                </c:pt>
                <c:pt idx="12">
                  <c:v>85502.22384647414</c:v>
                </c:pt>
                <c:pt idx="13">
                  <c:v>87212.26832340361</c:v>
                </c:pt>
                <c:pt idx="14">
                  <c:v>88956.51368987169</c:v>
                </c:pt>
                <c:pt idx="15">
                  <c:v>90735.64396366912</c:v>
                </c:pt>
                <c:pt idx="16">
                  <c:v>92550.3568429425</c:v>
                </c:pt>
                <c:pt idx="17">
                  <c:v>94401.36397980136</c:v>
                </c:pt>
                <c:pt idx="18">
                  <c:v>96289.39125939738</c:v>
                </c:pt>
                <c:pt idx="19">
                  <c:v>98215.17908458534</c:v>
                </c:pt>
                <c:pt idx="20">
                  <c:v>100179.48266627705</c:v>
                </c:pt>
              </c:numCache>
            </c:numRef>
          </c:val>
        </c:ser>
        <c:ser>
          <c:idx val="3"/>
          <c:order val="3"/>
          <c:tx>
            <c:v>Karbon</c:v>
          </c:tx>
          <c:spPr>
            <a:solidFill>
              <a:srgbClr val="3D8B7D"/>
            </a:solidFill>
          </c:spPr>
          <c:cat>
            <c:numRef>
              <c:f>'Arus Kas'!$C$5:$W$5</c:f>
              <c:numCache>
                <c:formatCode>General</c:formatCode>
                <c:ptCount val="2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</c:numCache>
            </c:numRef>
          </c:cat>
          <c:val>
            <c:numRef>
              <c:f>'Arus Kas'!$C$16:$W$16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103959.80867311389</c:v>
                </c:pt>
                <c:pt idx="3">
                  <c:v>138613.07823081853</c:v>
                </c:pt>
                <c:pt idx="4">
                  <c:v>138613.07823081853</c:v>
                </c:pt>
                <c:pt idx="5">
                  <c:v>138613.07823081853</c:v>
                </c:pt>
                <c:pt idx="6">
                  <c:v>138613.07823081853</c:v>
                </c:pt>
                <c:pt idx="7">
                  <c:v>138613.07823081853</c:v>
                </c:pt>
                <c:pt idx="8">
                  <c:v>138613.07823081853</c:v>
                </c:pt>
                <c:pt idx="9">
                  <c:v>138613.07823081853</c:v>
                </c:pt>
                <c:pt idx="10">
                  <c:v>138613.07823081853</c:v>
                </c:pt>
                <c:pt idx="11">
                  <c:v>138613.07823081853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NPV vs tingkat diskonto</a:t>
            </a:r>
          </a:p>
        </c:rich>
      </c:tx>
      <c:layout/>
    </c:title>
    <c:plotArea>
      <c:layout/>
      <c:scatterChart>
        <c:scatterStyle val="smoothMarker"/>
        <c:ser>
          <c:idx val="0"/>
          <c:order val="0"/>
          <c:tx>
            <c:v>NPV</c:v>
          </c:tx>
          <c:spPr>
            <a:ln>
              <a:solidFill>
                <a:srgbClr val="1F4E4A"/>
              </a:solidFill>
            </a:ln>
          </c:spPr>
          <c:marker>
            <c:symbol val="none"/>
          </c:marker>
          <c:xVal>
            <c:numRef>
              <c:f>Sensitivitas!$A$17:$A$57</c:f>
              <c:numCache>
                <c:formatCode>General</c:formatCode>
                <c:ptCount val="41"/>
                <c:pt idx="0">
                  <c:v>0.04</c:v>
                </c:pt>
                <c:pt idx="1">
                  <c:v>0.045</c:v>
                </c:pt>
                <c:pt idx="2">
                  <c:v>0.05</c:v>
                </c:pt>
                <c:pt idx="3">
                  <c:v>0.055</c:v>
                </c:pt>
                <c:pt idx="4">
                  <c:v>0.06</c:v>
                </c:pt>
                <c:pt idx="5">
                  <c:v>0.065</c:v>
                </c:pt>
                <c:pt idx="6">
                  <c:v>0.06999999999999999</c:v>
                </c:pt>
                <c:pt idx="7">
                  <c:v>0.075</c:v>
                </c:pt>
                <c:pt idx="8">
                  <c:v>0.07999999999999999</c:v>
                </c:pt>
                <c:pt idx="9">
                  <c:v>0.08499999999999999</c:v>
                </c:pt>
                <c:pt idx="10">
                  <c:v>0.09</c:v>
                </c:pt>
                <c:pt idx="11">
                  <c:v>0.095</c:v>
                </c:pt>
                <c:pt idx="12">
                  <c:v>0.09999999999999999</c:v>
                </c:pt>
                <c:pt idx="13">
                  <c:v>0.105</c:v>
                </c:pt>
                <c:pt idx="14">
                  <c:v>0.11</c:v>
                </c:pt>
                <c:pt idx="15">
                  <c:v>0.115</c:v>
                </c:pt>
                <c:pt idx="16">
                  <c:v>0.12</c:v>
                </c:pt>
                <c:pt idx="17">
                  <c:v>0.125</c:v>
                </c:pt>
                <c:pt idx="18">
                  <c:v>0.13</c:v>
                </c:pt>
                <c:pt idx="19">
                  <c:v>0.135</c:v>
                </c:pt>
                <c:pt idx="20">
                  <c:v>0.14</c:v>
                </c:pt>
                <c:pt idx="21">
                  <c:v>0.145</c:v>
                </c:pt>
                <c:pt idx="22">
                  <c:v>0.15</c:v>
                </c:pt>
                <c:pt idx="23">
                  <c:v>0.155</c:v>
                </c:pt>
                <c:pt idx="24">
                  <c:v>0.16</c:v>
                </c:pt>
                <c:pt idx="25">
                  <c:v>0.165</c:v>
                </c:pt>
                <c:pt idx="26">
                  <c:v>0.17</c:v>
                </c:pt>
                <c:pt idx="27">
                  <c:v>0.175</c:v>
                </c:pt>
                <c:pt idx="28">
                  <c:v>0.18</c:v>
                </c:pt>
                <c:pt idx="29">
                  <c:v>0.185</c:v>
                </c:pt>
                <c:pt idx="30">
                  <c:v>0.19</c:v>
                </c:pt>
                <c:pt idx="31">
                  <c:v>0.195</c:v>
                </c:pt>
                <c:pt idx="32">
                  <c:v>0.2</c:v>
                </c:pt>
                <c:pt idx="33">
                  <c:v>0.205</c:v>
                </c:pt>
                <c:pt idx="34">
                  <c:v>0.21</c:v>
                </c:pt>
                <c:pt idx="35">
                  <c:v>0.215</c:v>
                </c:pt>
                <c:pt idx="36">
                  <c:v>0.22</c:v>
                </c:pt>
                <c:pt idx="37">
                  <c:v>0.225</c:v>
                </c:pt>
                <c:pt idx="38">
                  <c:v>0.23</c:v>
                </c:pt>
                <c:pt idx="39">
                  <c:v>0.235</c:v>
                </c:pt>
                <c:pt idx="40">
                  <c:v>0.24</c:v>
                </c:pt>
              </c:numCache>
            </c:numRef>
          </c:xVal>
          <c:yVal>
            <c:numRef>
              <c:f>Sensitivitas!$B$17:$B$57</c:f>
              <c:numCache>
                <c:formatCode>General</c:formatCode>
                <c:ptCount val="41"/>
                <c:pt idx="0">
                  <c:v>4310759.7166993</c:v>
                </c:pt>
                <c:pt idx="1">
                  <c:v>3932042.1579384236</c:v>
                </c:pt>
                <c:pt idx="2">
                  <c:v>3575045.001190995</c:v>
                </c:pt>
                <c:pt idx="3">
                  <c:v>3238196.9824291235</c:v>
                </c:pt>
                <c:pt idx="4">
                  <c:v>2920057.748961208</c:v>
                </c:pt>
                <c:pt idx="5">
                  <c:v>2619305.8339489903</c:v>
                </c:pt>
                <c:pt idx="6">
                  <c:v>2334727.820455118</c:v>
                </c:pt>
                <c:pt idx="7">
                  <c:v>2065208.570079113</c:v>
                </c:pt>
                <c:pt idx="8">
                  <c:v>1809722.4050491592</c:v>
                </c:pt>
                <c:pt idx="9">
                  <c:v>1567325.1448516184</c:v>
                </c:pt>
                <c:pt idx="10">
                  <c:v>1337146.9092888408</c:v>
                </c:pt>
                <c:pt idx="11">
                  <c:v>1118385.6094297145</c:v>
                </c:pt>
                <c:pt idx="12">
                  <c:v>910301.056400998</c:v>
                </c:pt>
                <c:pt idx="13">
                  <c:v>712209.6254925507</c:v>
                </c:pt>
                <c:pt idx="14">
                  <c:v>523479.41972666344</c:v>
                </c:pt>
                <c:pt idx="15">
                  <c:v>343525.8829726443</c:v>
                </c:pt>
                <c:pt idx="16">
                  <c:v>171807.81795765963</c:v>
                </c:pt>
                <c:pt idx="17">
                  <c:v>7823.769211669467</c:v>
                </c:pt>
                <c:pt idx="18">
                  <c:v>-148891.26484499482</c:v>
                </c:pt>
                <c:pt idx="19">
                  <c:v>-298768.8227490627</c:v>
                </c:pt>
                <c:pt idx="20">
                  <c:v>-442209.7025451669</c:v>
                </c:pt>
                <c:pt idx="21">
                  <c:v>-579586.4418578391</c:v>
                </c:pt>
                <c:pt idx="22">
                  <c:v>-711245.5786693954</c:v>
                </c:pt>
                <c:pt idx="23">
                  <c:v>-837509.7136382969</c:v>
                </c:pt>
                <c:pt idx="24">
                  <c:v>-958679.3926921386</c:v>
                </c:pt>
                <c:pt idx="25">
                  <c:v>-1075034.8267524978</c:v>
                </c:pt>
                <c:pt idx="26">
                  <c:v>-1186837.463769162</c:v>
                </c:pt>
                <c:pt idx="27">
                  <c:v>-1294331.4267383332</c:v>
                </c:pt>
                <c:pt idx="28">
                  <c:v>-1397744.8300327032</c:v>
                </c:pt>
                <c:pt idx="29">
                  <c:v>-1497290.985164853</c:v>
                </c:pt>
                <c:pt idx="30">
                  <c:v>-1593169.5060229183</c:v>
                </c:pt>
                <c:pt idx="31">
                  <c:v>-1685567.3226466118</c:v>
                </c:pt>
                <c:pt idx="32">
                  <c:v>-1774659.611739371</c:v>
                </c:pt>
                <c:pt idx="33">
                  <c:v>-1860610.6513291749</c:v>
                </c:pt>
                <c:pt idx="34">
                  <c:v>-1943574.606285891</c:v>
                </c:pt>
                <c:pt idx="35">
                  <c:v>-2023696.2507696021</c:v>
                </c:pt>
                <c:pt idx="36">
                  <c:v>-2101111.6331136976</c:v>
                </c:pt>
                <c:pt idx="37">
                  <c:v>-2175948.6881329813</c:v>
                </c:pt>
                <c:pt idx="38">
                  <c:v>-2248327.801383878</c:v>
                </c:pt>
                <c:pt idx="39">
                  <c:v>-2318362.3294863994</c:v>
                </c:pt>
                <c:pt idx="40">
                  <c:v>-2386159.080240661</c:v>
                </c:pt>
              </c:numCache>
            </c:numRef>
          </c:yVal>
          <c:smooth val="1"/>
        </c:ser>
        <c:axId val="50030001"/>
        <c:axId val="50030002"/>
      </c:scatterChart>
      <c:valAx>
        <c:axId val="50030001"/>
        <c:scaling>
          <c:orientation val="minMax"/>
        </c:scaling>
        <c:axPos val="b"/>
        <c:numFmt formatCode="0%" sourceLinked="0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Histogram NPV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Frekuensi</c:v>
          </c:tx>
          <c:spPr>
            <a:solidFill>
              <a:srgbClr val="3D8B7D"/>
            </a:solidFill>
          </c:spPr>
          <c:cat>
            <c:numRef>
              <c:f>'Monte Carlo'!$A$31:$A$60</c:f>
              <c:numCache>
                <c:formatCode>General</c:formatCode>
                <c:ptCount val="30"/>
                <c:pt idx="0">
                  <c:v>-2310432.86896628</c:v>
                </c:pt>
                <c:pt idx="1">
                  <c:v>-2123506.581817103</c:v>
                </c:pt>
                <c:pt idx="2">
                  <c:v>-1936580.294667926</c:v>
                </c:pt>
                <c:pt idx="3">
                  <c:v>-1749654.00751875</c:v>
                </c:pt>
                <c:pt idx="4">
                  <c:v>-1562727.720369573</c:v>
                </c:pt>
                <c:pt idx="5">
                  <c:v>-1375801.433220396</c:v>
                </c:pt>
                <c:pt idx="6">
                  <c:v>-1188875.14607122</c:v>
                </c:pt>
                <c:pt idx="7">
                  <c:v>-1001948.858922043</c:v>
                </c:pt>
                <c:pt idx="8">
                  <c:v>-815022.5717728663</c:v>
                </c:pt>
                <c:pt idx="9">
                  <c:v>-628096.2846236896</c:v>
                </c:pt>
                <c:pt idx="10">
                  <c:v>-441169.9974745129</c:v>
                </c:pt>
                <c:pt idx="11">
                  <c:v>-254243.7103253363</c:v>
                </c:pt>
                <c:pt idx="12">
                  <c:v>-67317.42317615962</c:v>
                </c:pt>
                <c:pt idx="13">
                  <c:v>119608.8639730171</c:v>
                </c:pt>
                <c:pt idx="14">
                  <c:v>306535.1511221938</c:v>
                </c:pt>
                <c:pt idx="15">
                  <c:v>493461.4382713705</c:v>
                </c:pt>
                <c:pt idx="16">
                  <c:v>680387.725420547</c:v>
                </c:pt>
                <c:pt idx="17">
                  <c:v>867314.0125697237</c:v>
                </c:pt>
                <c:pt idx="18">
                  <c:v>1054240.2997189</c:v>
                </c:pt>
                <c:pt idx="19">
                  <c:v>1241166.586868077</c:v>
                </c:pt>
                <c:pt idx="20">
                  <c:v>1428092.874017254</c:v>
                </c:pt>
                <c:pt idx="21">
                  <c:v>1615019.16116643</c:v>
                </c:pt>
                <c:pt idx="22">
                  <c:v>1801945.448315607</c:v>
                </c:pt>
                <c:pt idx="23">
                  <c:v>1988871.735464784</c:v>
                </c:pt>
                <c:pt idx="24">
                  <c:v>2175798.02261396</c:v>
                </c:pt>
                <c:pt idx="25">
                  <c:v>2362724.309763137</c:v>
                </c:pt>
                <c:pt idx="26">
                  <c:v>2549650.596912314</c:v>
                </c:pt>
                <c:pt idx="27">
                  <c:v>2736576.88406149</c:v>
                </c:pt>
                <c:pt idx="28">
                  <c:v>2923503.171210667</c:v>
                </c:pt>
                <c:pt idx="29">
                  <c:v>3110429.458359844</c:v>
                </c:pt>
              </c:numCache>
            </c:numRef>
          </c:cat>
          <c:val>
            <c:numRef>
              <c:f>'Monte Carlo'!$B$31:$B$60</c:f>
              <c:numCache>
                <c:formatCode>General</c:formatCode>
                <c:ptCount val="30"/>
                <c:pt idx="0">
                  <c:v>5</c:v>
                </c:pt>
                <c:pt idx="1">
                  <c:v>4</c:v>
                </c:pt>
                <c:pt idx="2">
                  <c:v>7</c:v>
                </c:pt>
                <c:pt idx="3">
                  <c:v>26</c:v>
                </c:pt>
                <c:pt idx="4">
                  <c:v>27</c:v>
                </c:pt>
                <c:pt idx="5">
                  <c:v>31</c:v>
                </c:pt>
                <c:pt idx="6">
                  <c:v>54</c:v>
                </c:pt>
                <c:pt idx="7">
                  <c:v>86</c:v>
                </c:pt>
                <c:pt idx="8">
                  <c:v>101</c:v>
                </c:pt>
                <c:pt idx="9">
                  <c:v>150</c:v>
                </c:pt>
                <c:pt idx="10">
                  <c:v>172</c:v>
                </c:pt>
                <c:pt idx="11">
                  <c:v>192</c:v>
                </c:pt>
                <c:pt idx="12">
                  <c:v>244</c:v>
                </c:pt>
                <c:pt idx="13">
                  <c:v>233</c:v>
                </c:pt>
                <c:pt idx="14">
                  <c:v>251</c:v>
                </c:pt>
                <c:pt idx="15">
                  <c:v>269</c:v>
                </c:pt>
                <c:pt idx="16">
                  <c:v>253</c:v>
                </c:pt>
                <c:pt idx="17">
                  <c:v>243</c:v>
                </c:pt>
                <c:pt idx="18">
                  <c:v>184</c:v>
                </c:pt>
                <c:pt idx="19">
                  <c:v>154</c:v>
                </c:pt>
                <c:pt idx="20">
                  <c:v>112</c:v>
                </c:pt>
                <c:pt idx="21">
                  <c:v>83</c:v>
                </c:pt>
                <c:pt idx="22">
                  <c:v>56</c:v>
                </c:pt>
                <c:pt idx="23">
                  <c:v>33</c:v>
                </c:pt>
                <c:pt idx="24">
                  <c:v>16</c:v>
                </c:pt>
                <c:pt idx="25">
                  <c:v>9</c:v>
                </c:pt>
                <c:pt idx="26">
                  <c:v>4</c:v>
                </c:pt>
                <c:pt idx="27">
                  <c:v>0</c:v>
                </c:pt>
                <c:pt idx="28">
                  <c:v>0</c:v>
                </c:pt>
                <c:pt idx="29">
                  <c:v>1</c:v>
                </c:pt>
              </c:numCache>
            </c:numRef>
          </c:val>
        </c:ser>
        <c:gapWidth val="10"/>
        <c:axId val="50040001"/>
        <c:axId val="50040002"/>
      </c:barChart>
      <c:catAx>
        <c:axId val="50040001"/>
        <c:scaling>
          <c:orientation val="minMax"/>
        </c:scaling>
        <c:axPos val="b"/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6.png"/><Relationship Id="rId3" Type="http://schemas.openxmlformats.org/officeDocument/2006/relationships/image" Target="../media/image4.png"/><Relationship Id="rId4" Type="http://schemas.openxmlformats.org/officeDocument/2006/relationships/image" Target="../media/image1.png"/><Relationship Id="rId5" Type="http://schemas.openxmlformats.org/officeDocument/2006/relationships/image" Target="../media/image3.png"/><Relationship Id="rId6" Type="http://schemas.openxmlformats.org/officeDocument/2006/relationships/image" Target="../media/image2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8</xdr:col>
      <xdr:colOff>508107</xdr:colOff>
      <xdr:row>9</xdr:row>
      <xdr:rowOff>169597</xdr:rowOff>
    </xdr:to>
    <xdr:pic>
      <xdr:nvPicPr>
        <xdr:cNvPr id="2" name="Picture 1" descr="g04_arus_ka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72050" y="381000"/>
          <a:ext cx="3556107" cy="1503097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8</xdr:col>
      <xdr:colOff>330039</xdr:colOff>
      <xdr:row>29</xdr:row>
      <xdr:rowOff>19249</xdr:rowOff>
    </xdr:to>
    <xdr:pic>
      <xdr:nvPicPr>
        <xdr:cNvPr id="3" name="Picture 2" descr="g06_payback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72050" y="4000500"/>
          <a:ext cx="3378039" cy="1543249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40</xdr:row>
      <xdr:rowOff>0</xdr:rowOff>
    </xdr:from>
    <xdr:to>
      <xdr:col>9</xdr:col>
      <xdr:colOff>339352</xdr:colOff>
      <xdr:row>47</xdr:row>
      <xdr:rowOff>176164</xdr:rowOff>
    </xdr:to>
    <xdr:pic>
      <xdr:nvPicPr>
        <xdr:cNvPr id="4" name="Picture 3" descr="g05_npv_tornado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72050" y="7620000"/>
          <a:ext cx="3996952" cy="15096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2762286</xdr:colOff>
      <xdr:row>25</xdr:row>
      <xdr:rowOff>143798</xdr:rowOff>
    </xdr:to>
    <xdr:pic>
      <xdr:nvPicPr>
        <xdr:cNvPr id="5" name="Picture 4" descr="g03_capex_opex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4000500"/>
          <a:ext cx="2762286" cy="90579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16</xdr:col>
      <xdr:colOff>152400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20</xdr:row>
      <xdr:rowOff>0</xdr:rowOff>
    </xdr:from>
    <xdr:to>
      <xdr:col>16</xdr:col>
      <xdr:colOff>152400</xdr:colOff>
      <xdr:row>36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15</xdr:col>
      <xdr:colOff>419100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14</xdr:col>
      <xdr:colOff>419100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5</xdr:col>
      <xdr:colOff>554494</xdr:colOff>
      <xdr:row>8</xdr:row>
      <xdr:rowOff>88331</xdr:rowOff>
    </xdr:to>
    <xdr:pic>
      <xdr:nvPicPr>
        <xdr:cNvPr id="2" name="Picture 1" descr="g01_pasar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602494" cy="161233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7</xdr:col>
      <xdr:colOff>223759</xdr:colOff>
      <xdr:row>43</xdr:row>
      <xdr:rowOff>105871</xdr:rowOff>
    </xdr:to>
    <xdr:pic>
      <xdr:nvPicPr>
        <xdr:cNvPr id="3" name="Picture 2" descr="g02_porter_pestle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4953000"/>
          <a:ext cx="4490959" cy="334437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8</xdr:col>
      <xdr:colOff>302486</xdr:colOff>
      <xdr:row>82</xdr:row>
      <xdr:rowOff>174372</xdr:rowOff>
    </xdr:to>
    <xdr:pic>
      <xdr:nvPicPr>
        <xdr:cNvPr id="4" name="Picture 3" descr="g03_capex_opex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4097000"/>
          <a:ext cx="5179286" cy="16983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6</xdr:col>
      <xdr:colOff>152514</xdr:colOff>
      <xdr:row>108</xdr:row>
      <xdr:rowOff>86461</xdr:rowOff>
    </xdr:to>
    <xdr:pic>
      <xdr:nvPicPr>
        <xdr:cNvPr id="5" name="Picture 4" descr="g04_arus_ka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9050000"/>
          <a:ext cx="3810114" cy="16104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7</xdr:col>
      <xdr:colOff>229371</xdr:colOff>
      <xdr:row>134</xdr:row>
      <xdr:rowOff>174372</xdr:rowOff>
    </xdr:to>
    <xdr:pic>
      <xdr:nvPicPr>
        <xdr:cNvPr id="6" name="Picture 5" descr="g05_npv_tornado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4003000"/>
          <a:ext cx="4496571" cy="16983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5</xdr:col>
      <xdr:colOff>571328</xdr:colOff>
      <xdr:row>160</xdr:row>
      <xdr:rowOff>129481</xdr:rowOff>
    </xdr:to>
    <xdr:pic>
      <xdr:nvPicPr>
        <xdr:cNvPr id="7" name="Picture 6" descr="g06_payback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8956000"/>
          <a:ext cx="3619328" cy="165348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7</xdr:col>
      <xdr:colOff>229371</xdr:colOff>
      <xdr:row>186</xdr:row>
      <xdr:rowOff>174372</xdr:rowOff>
    </xdr:to>
    <xdr:pic>
      <xdr:nvPicPr>
        <xdr:cNvPr id="8" name="Picture 7" descr="g07_bep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33909000"/>
          <a:ext cx="4496571" cy="16983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8</xdr:col>
      <xdr:colOff>31271</xdr:colOff>
      <xdr:row>212</xdr:row>
      <xdr:rowOff>50922</xdr:rowOff>
    </xdr:to>
    <xdr:pic>
      <xdr:nvPicPr>
        <xdr:cNvPr id="9" name="Picture 8" descr="g08_monte_carlo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38862000"/>
          <a:ext cx="4908071" cy="157492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7</xdr:col>
      <xdr:colOff>229371</xdr:colOff>
      <xdr:row>238</xdr:row>
      <xdr:rowOff>92072</xdr:rowOff>
    </xdr:to>
    <xdr:pic>
      <xdr:nvPicPr>
        <xdr:cNvPr id="10" name="Picture 9" descr="g09_armada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43815000"/>
          <a:ext cx="4496571" cy="16160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5</xdr:col>
      <xdr:colOff>94362</xdr:colOff>
      <xdr:row>263</xdr:row>
      <xdr:rowOff>114231</xdr:rowOff>
    </xdr:to>
    <xdr:pic>
      <xdr:nvPicPr>
        <xdr:cNvPr id="11" name="Picture 10" descr="g10_skenario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48768000"/>
          <a:ext cx="3142362" cy="144773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9"/>
  <sheetViews>
    <sheetView tabSelected="1" workbookViewId="0"/>
  </sheetViews>
  <sheetFormatPr defaultRowHeight="15"/>
  <cols>
    <col min="1" max="1" width="46.7109375" customWidth="1"/>
    <col min="2" max="2" width="18.7109375" customWidth="1"/>
  </cols>
  <sheetData>
    <row r="1" spans="1:2">
      <c r="A1" s="1" t="s">
        <v>806</v>
      </c>
    </row>
    <row r="2" spans="1:2">
      <c r="A2" s="2" t="s">
        <v>807</v>
      </c>
    </row>
    <row r="4" spans="1:2">
      <c r="A4" t="s">
        <v>808</v>
      </c>
      <c r="B4" s="3">
        <f>FCI</f>
        <v>5530981.838020481</v>
      </c>
    </row>
    <row r="5" spans="1:2">
      <c r="A5" t="s">
        <v>267</v>
      </c>
      <c r="B5" s="3">
        <f>FCI26/t_P_gross</f>
        <v>4982.90297773</v>
      </c>
    </row>
    <row r="6" spans="1:2">
      <c r="A6" t="s">
        <v>809</v>
      </c>
      <c r="B6" s="3">
        <f>'Arus Kas'!F17</f>
        <v>1385061.009340692</v>
      </c>
    </row>
    <row r="7" spans="1:2">
      <c r="A7" t="s">
        <v>810</v>
      </c>
      <c r="B7" s="3">
        <f>'Arus Kas'!F20</f>
        <v>1013690.6198011283</v>
      </c>
    </row>
    <row r="8" spans="1:2">
      <c r="A8" t="s">
        <v>811</v>
      </c>
      <c r="B8" s="3">
        <f>Indikator!B4</f>
        <v>1015550.1494376402</v>
      </c>
    </row>
    <row r="9" spans="1:2">
      <c r="A9" t="s">
        <v>812</v>
      </c>
      <c r="B9" s="4">
        <f>Indikator!B5</f>
        <v>0.12524434380392435</v>
      </c>
    </row>
    <row r="10" spans="1:2">
      <c r="A10" t="s">
        <v>350</v>
      </c>
      <c r="B10" s="4">
        <f>Indikator!B6</f>
        <v>0.14827814128629258</v>
      </c>
    </row>
    <row r="11" spans="1:2">
      <c r="A11" t="s">
        <v>203</v>
      </c>
      <c r="B11" s="4">
        <f>WACC</f>
        <v>0.09744</v>
      </c>
    </row>
    <row r="12" spans="1:2">
      <c r="A12" t="s">
        <v>352</v>
      </c>
      <c r="B12" s="5">
        <f>Indikator!B8</f>
        <v>6.018298232606978</v>
      </c>
    </row>
    <row r="13" spans="1:2">
      <c r="A13" t="s">
        <v>813</v>
      </c>
      <c r="B13" s="5">
        <f>Indikator!B9</f>
        <v>11.18501003346728</v>
      </c>
    </row>
    <row r="14" spans="1:2">
      <c r="A14" t="s">
        <v>357</v>
      </c>
      <c r="B14" s="5">
        <f>Indikator!B11</f>
        <v>1.5538861735405074</v>
      </c>
    </row>
    <row r="15" spans="1:2">
      <c r="A15" t="s">
        <v>814</v>
      </c>
      <c r="B15" s="4">
        <f>Indikator!B14</f>
        <v>0.4973218657225462</v>
      </c>
    </row>
    <row r="16" spans="1:2">
      <c r="A16" t="s">
        <v>365</v>
      </c>
      <c r="B16" s="5">
        <f>Indikator!B17</f>
        <v>1.5079472943788423</v>
      </c>
    </row>
    <row r="17" spans="1:2">
      <c r="A17" t="s">
        <v>815</v>
      </c>
      <c r="B17" s="4">
        <f>'Monte Carlo'!B9</f>
        <v>0.6436666666666667</v>
      </c>
    </row>
    <row r="18" spans="1:2">
      <c r="A18" t="s">
        <v>816</v>
      </c>
      <c r="B18" s="3">
        <f>Armada!B19</f>
        <v>35554020.922240384</v>
      </c>
    </row>
    <row r="19" spans="1:2">
      <c r="A19" t="s">
        <v>460</v>
      </c>
      <c r="B19" s="4">
        <f>Armada!B20</f>
        <v>0.13933457399072013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79"/>
  <sheetViews>
    <sheetView workbookViewId="0"/>
  </sheetViews>
  <sheetFormatPr defaultRowHeight="15"/>
  <cols>
    <col min="1" max="1" width="14.7109375" customWidth="1"/>
    <col min="2" max="2" width="13.7109375" customWidth="1"/>
    <col min="3" max="4" width="15.7109375" customWidth="1"/>
    <col min="5" max="5" width="96.7109375" customWidth="1"/>
  </cols>
  <sheetData>
    <row r="1" spans="1:5">
      <c r="A1" s="1" t="s">
        <v>0</v>
      </c>
    </row>
    <row r="3" spans="1:5">
      <c r="A3" s="6" t="s">
        <v>1</v>
      </c>
      <c r="B3" s="6" t="s">
        <v>2</v>
      </c>
      <c r="C3" s="6" t="s">
        <v>3</v>
      </c>
      <c r="D3" s="6" t="s">
        <v>4</v>
      </c>
      <c r="E3" s="6" t="s">
        <v>5</v>
      </c>
    </row>
    <row r="4" spans="1:5">
      <c r="A4" t="s">
        <v>6</v>
      </c>
      <c r="B4" s="7">
        <v>2027</v>
      </c>
      <c r="C4" s="8" t="s">
        <v>7</v>
      </c>
      <c r="D4" s="8"/>
      <c r="E4" s="8" t="s">
        <v>8</v>
      </c>
    </row>
    <row r="5" spans="1:5">
      <c r="A5" t="s">
        <v>9</v>
      </c>
      <c r="B5" s="7">
        <v>20</v>
      </c>
      <c r="C5" s="8" t="s">
        <v>7</v>
      </c>
      <c r="D5" s="8"/>
      <c r="E5" s="8" t="s">
        <v>10</v>
      </c>
    </row>
    <row r="6" spans="1:5">
      <c r="A6" t="s">
        <v>11</v>
      </c>
      <c r="B6" s="7">
        <v>0.92</v>
      </c>
      <c r="C6" s="8" t="s">
        <v>12</v>
      </c>
      <c r="D6" s="8" t="s">
        <v>13</v>
      </c>
      <c r="E6" s="8" t="s">
        <v>14</v>
      </c>
    </row>
    <row r="7" spans="1:5">
      <c r="A7" t="s">
        <v>15</v>
      </c>
      <c r="B7" s="7">
        <v>0.97</v>
      </c>
      <c r="C7" s="8" t="s">
        <v>12</v>
      </c>
      <c r="D7" s="8" t="s">
        <v>16</v>
      </c>
      <c r="E7" s="8" t="s">
        <v>17</v>
      </c>
    </row>
    <row r="8" spans="1:5">
      <c r="A8" t="s">
        <v>18</v>
      </c>
      <c r="B8" s="7">
        <v>0.75</v>
      </c>
      <c r="C8" s="8" t="s">
        <v>12</v>
      </c>
      <c r="D8" s="8" t="s">
        <v>19</v>
      </c>
      <c r="E8" s="8" t="s">
        <v>20</v>
      </c>
    </row>
    <row r="9" spans="1:5">
      <c r="A9" t="s">
        <v>21</v>
      </c>
      <c r="B9" s="7">
        <v>1000</v>
      </c>
      <c r="C9" s="8" t="s">
        <v>22</v>
      </c>
      <c r="D9" s="8"/>
      <c r="E9" s="8" t="s">
        <v>23</v>
      </c>
    </row>
    <row r="10" spans="1:5">
      <c r="A10" t="s">
        <v>24</v>
      </c>
      <c r="B10" s="7">
        <v>150</v>
      </c>
      <c r="C10" s="8" t="s">
        <v>22</v>
      </c>
      <c r="D10" s="8" t="s">
        <v>25</v>
      </c>
      <c r="E10" s="8" t="s">
        <v>26</v>
      </c>
    </row>
    <row r="11" spans="1:5">
      <c r="A11" t="s">
        <v>27</v>
      </c>
      <c r="B11" s="7">
        <v>2448</v>
      </c>
      <c r="C11" s="8" t="s">
        <v>28</v>
      </c>
      <c r="D11" s="8"/>
      <c r="E11" s="8" t="s">
        <v>29</v>
      </c>
    </row>
    <row r="12" spans="1:5">
      <c r="A12" t="s">
        <v>30</v>
      </c>
      <c r="B12" s="7">
        <v>0.18</v>
      </c>
      <c r="C12" s="8" t="s">
        <v>31</v>
      </c>
      <c r="D12" s="8" t="s">
        <v>32</v>
      </c>
      <c r="E12" s="8" t="s">
        <v>33</v>
      </c>
    </row>
    <row r="13" spans="1:5">
      <c r="A13" t="s">
        <v>34</v>
      </c>
      <c r="B13" s="7">
        <v>10.18</v>
      </c>
      <c r="C13" s="8" t="s">
        <v>35</v>
      </c>
      <c r="D13" s="8" t="s">
        <v>36</v>
      </c>
      <c r="E13" s="8" t="s">
        <v>37</v>
      </c>
    </row>
    <row r="14" spans="1:5">
      <c r="A14" t="s">
        <v>38</v>
      </c>
      <c r="B14" s="7">
        <v>1.1</v>
      </c>
      <c r="C14" s="8" t="s">
        <v>12</v>
      </c>
      <c r="D14" s="8" t="s">
        <v>39</v>
      </c>
      <c r="E14" s="8" t="s">
        <v>40</v>
      </c>
    </row>
    <row r="15" spans="1:5">
      <c r="A15" t="s">
        <v>41</v>
      </c>
      <c r="B15" s="7">
        <v>6.11</v>
      </c>
      <c r="C15" s="8" t="s">
        <v>35</v>
      </c>
      <c r="D15" s="8" t="s">
        <v>42</v>
      </c>
      <c r="E15" s="8" t="s">
        <v>43</v>
      </c>
    </row>
    <row r="16" spans="1:5">
      <c r="A16" t="s">
        <v>44</v>
      </c>
      <c r="B16" s="7">
        <v>2</v>
      </c>
      <c r="C16" s="8" t="s">
        <v>45</v>
      </c>
      <c r="D16" s="8" t="s">
        <v>46</v>
      </c>
      <c r="E16" s="8" t="s">
        <v>47</v>
      </c>
    </row>
    <row r="17" spans="1:5">
      <c r="A17" t="s">
        <v>48</v>
      </c>
      <c r="B17" s="7">
        <v>5</v>
      </c>
      <c r="C17" s="8" t="s">
        <v>49</v>
      </c>
      <c r="D17" s="8" t="s">
        <v>50</v>
      </c>
      <c r="E17" s="8" t="s">
        <v>51</v>
      </c>
    </row>
    <row r="18" spans="1:5">
      <c r="A18" t="s">
        <v>52</v>
      </c>
      <c r="B18" s="7">
        <v>0.9</v>
      </c>
      <c r="C18" s="8" t="s">
        <v>12</v>
      </c>
      <c r="D18" s="8" t="s">
        <v>53</v>
      </c>
      <c r="E18" s="8" t="s">
        <v>54</v>
      </c>
    </row>
    <row r="19" spans="1:5">
      <c r="A19" t="s">
        <v>55</v>
      </c>
      <c r="B19" s="7">
        <v>0.3</v>
      </c>
      <c r="C19" s="8" t="s">
        <v>12</v>
      </c>
      <c r="D19" s="8" t="s">
        <v>56</v>
      </c>
      <c r="E19" s="8" t="s">
        <v>57</v>
      </c>
    </row>
    <row r="20" spans="1:5">
      <c r="A20" t="s">
        <v>58</v>
      </c>
      <c r="B20" s="7">
        <v>10</v>
      </c>
      <c r="C20" s="8" t="s">
        <v>7</v>
      </c>
      <c r="D20" s="8"/>
      <c r="E20" s="8" t="s">
        <v>59</v>
      </c>
    </row>
    <row r="21" spans="1:5">
      <c r="A21" t="s">
        <v>60</v>
      </c>
      <c r="B21" s="7">
        <v>60000</v>
      </c>
      <c r="C21" s="8" t="s">
        <v>61</v>
      </c>
      <c r="D21" s="8" t="s">
        <v>62</v>
      </c>
      <c r="E21" s="8" t="s">
        <v>63</v>
      </c>
    </row>
    <row r="22" spans="1:5">
      <c r="A22" t="s">
        <v>64</v>
      </c>
      <c r="B22" s="7">
        <v>0.23</v>
      </c>
      <c r="C22" s="8" t="s">
        <v>65</v>
      </c>
      <c r="D22" s="8"/>
      <c r="E22" s="8" t="s">
        <v>66</v>
      </c>
    </row>
    <row r="23" spans="1:5">
      <c r="A23" t="s">
        <v>67</v>
      </c>
      <c r="B23" s="7">
        <v>0.02</v>
      </c>
      <c r="C23" s="8" t="s">
        <v>68</v>
      </c>
      <c r="D23" s="8" t="s">
        <v>69</v>
      </c>
      <c r="E23" s="8" t="s">
        <v>70</v>
      </c>
    </row>
    <row r="24" spans="1:5">
      <c r="A24" t="s">
        <v>71</v>
      </c>
      <c r="B24" s="7">
        <v>17855</v>
      </c>
      <c r="C24" s="8" t="s">
        <v>72</v>
      </c>
      <c r="D24" s="8"/>
      <c r="E24" s="8" t="s">
        <v>73</v>
      </c>
    </row>
    <row r="25" spans="1:5">
      <c r="A25" t="s">
        <v>74</v>
      </c>
      <c r="B25" s="7">
        <v>2.5</v>
      </c>
      <c r="C25" s="8" t="s">
        <v>75</v>
      </c>
      <c r="D25" s="8" t="s">
        <v>76</v>
      </c>
      <c r="E25" s="8" t="s">
        <v>77</v>
      </c>
    </row>
    <row r="26" spans="1:5">
      <c r="A26" t="s">
        <v>78</v>
      </c>
      <c r="B26" s="7">
        <v>200</v>
      </c>
      <c r="C26" s="8" t="s">
        <v>79</v>
      </c>
      <c r="D26" s="8" t="s">
        <v>80</v>
      </c>
      <c r="E26" s="8" t="s">
        <v>81</v>
      </c>
    </row>
    <row r="27" spans="1:5">
      <c r="A27" t="s">
        <v>82</v>
      </c>
      <c r="B27" s="7">
        <v>550</v>
      </c>
      <c r="C27" s="8" t="s">
        <v>83</v>
      </c>
      <c r="D27" s="8" t="s">
        <v>84</v>
      </c>
      <c r="E27" s="8" t="s">
        <v>85</v>
      </c>
    </row>
    <row r="28" spans="1:5">
      <c r="A28" t="s">
        <v>86</v>
      </c>
      <c r="B28" s="7">
        <v>0.1</v>
      </c>
      <c r="C28" s="8" t="s">
        <v>12</v>
      </c>
      <c r="D28" s="8" t="s">
        <v>87</v>
      </c>
      <c r="E28" s="8" t="s">
        <v>88</v>
      </c>
    </row>
    <row r="29" spans="1:5">
      <c r="A29" t="s">
        <v>89</v>
      </c>
      <c r="B29" s="7">
        <v>0.05</v>
      </c>
      <c r="C29" s="8" t="s">
        <v>12</v>
      </c>
      <c r="D29" s="8" t="s">
        <v>90</v>
      </c>
      <c r="E29" s="8" t="s">
        <v>91</v>
      </c>
    </row>
    <row r="30" spans="1:5">
      <c r="A30" t="s">
        <v>92</v>
      </c>
      <c r="B30" s="7">
        <v>120000</v>
      </c>
      <c r="C30" s="8" t="s">
        <v>61</v>
      </c>
      <c r="D30" s="8" t="s">
        <v>93</v>
      </c>
      <c r="E30" s="8" t="s">
        <v>94</v>
      </c>
    </row>
    <row r="31" spans="1:5">
      <c r="A31" t="s">
        <v>95</v>
      </c>
      <c r="B31" s="7">
        <v>0.11</v>
      </c>
      <c r="C31" s="8" t="s">
        <v>12</v>
      </c>
      <c r="D31" s="8"/>
      <c r="E31" s="8" t="s">
        <v>96</v>
      </c>
    </row>
    <row r="32" spans="1:5">
      <c r="A32" t="s">
        <v>97</v>
      </c>
      <c r="B32" s="7">
        <v>0.012</v>
      </c>
      <c r="C32" s="8" t="s">
        <v>98</v>
      </c>
      <c r="D32" s="8" t="s">
        <v>99</v>
      </c>
      <c r="E32" s="8" t="s">
        <v>100</v>
      </c>
    </row>
    <row r="33" spans="1:5">
      <c r="A33" t="s">
        <v>101</v>
      </c>
      <c r="B33" s="7">
        <v>0.02</v>
      </c>
      <c r="C33" s="8" t="s">
        <v>102</v>
      </c>
      <c r="D33" s="8" t="s">
        <v>103</v>
      </c>
      <c r="E33" s="8" t="s">
        <v>104</v>
      </c>
    </row>
    <row r="34" spans="1:5">
      <c r="A34" t="s">
        <v>105</v>
      </c>
      <c r="B34" s="7">
        <v>0.005</v>
      </c>
      <c r="C34" s="8" t="s">
        <v>106</v>
      </c>
      <c r="D34" s="8"/>
      <c r="E34" s="8" t="s">
        <v>107</v>
      </c>
    </row>
    <row r="35" spans="1:5">
      <c r="A35" t="s">
        <v>108</v>
      </c>
      <c r="B35" s="7">
        <v>82000</v>
      </c>
      <c r="C35" s="8" t="s">
        <v>109</v>
      </c>
      <c r="D35" s="8" t="s">
        <v>110</v>
      </c>
      <c r="E35" s="8" t="s">
        <v>111</v>
      </c>
    </row>
    <row r="36" spans="1:5">
      <c r="A36" t="s">
        <v>112</v>
      </c>
      <c r="B36" s="7">
        <v>25000</v>
      </c>
      <c r="C36" s="8" t="s">
        <v>109</v>
      </c>
      <c r="D36" s="8" t="s">
        <v>113</v>
      </c>
      <c r="E36" s="8" t="s">
        <v>114</v>
      </c>
    </row>
    <row r="37" spans="1:5">
      <c r="A37" t="s">
        <v>115</v>
      </c>
      <c r="B37" s="7">
        <v>30000</v>
      </c>
      <c r="C37" s="8" t="s">
        <v>109</v>
      </c>
      <c r="D37" s="8"/>
      <c r="E37" s="8" t="s">
        <v>116</v>
      </c>
    </row>
    <row r="38" spans="1:5">
      <c r="A38" t="s">
        <v>117</v>
      </c>
      <c r="B38" s="7">
        <v>2</v>
      </c>
      <c r="C38" s="8" t="s">
        <v>118</v>
      </c>
      <c r="D38" s="8"/>
      <c r="E38" s="8" t="s">
        <v>119</v>
      </c>
    </row>
    <row r="39" spans="1:5">
      <c r="A39" t="s">
        <v>120</v>
      </c>
      <c r="B39" s="7">
        <v>4000</v>
      </c>
      <c r="C39" s="8" t="s">
        <v>65</v>
      </c>
      <c r="D39" s="8"/>
      <c r="E39" s="8" t="s">
        <v>121</v>
      </c>
    </row>
    <row r="40" spans="1:5">
      <c r="A40" t="s">
        <v>122</v>
      </c>
      <c r="B40" s="7">
        <v>3000</v>
      </c>
      <c r="C40" s="8" t="s">
        <v>65</v>
      </c>
      <c r="D40" s="8"/>
      <c r="E40" s="8" t="s">
        <v>123</v>
      </c>
    </row>
    <row r="41" spans="1:5">
      <c r="A41" t="s">
        <v>124</v>
      </c>
      <c r="B41" s="7">
        <v>8000</v>
      </c>
      <c r="C41" s="8" t="s">
        <v>109</v>
      </c>
      <c r="D41" s="8"/>
      <c r="E41" s="8" t="s">
        <v>125</v>
      </c>
    </row>
    <row r="42" spans="1:5">
      <c r="A42" t="s">
        <v>126</v>
      </c>
      <c r="B42" s="7">
        <v>150</v>
      </c>
      <c r="C42" s="8" t="s">
        <v>83</v>
      </c>
      <c r="D42" s="8" t="s">
        <v>127</v>
      </c>
      <c r="E42" s="8" t="s">
        <v>128</v>
      </c>
    </row>
    <row r="43" spans="1:5">
      <c r="A43" t="s">
        <v>129</v>
      </c>
      <c r="B43" s="7">
        <v>0.8</v>
      </c>
      <c r="C43" s="8" t="s">
        <v>130</v>
      </c>
      <c r="D43" s="8"/>
      <c r="E43" s="8" t="s">
        <v>131</v>
      </c>
    </row>
    <row r="44" spans="1:5">
      <c r="A44" t="s">
        <v>132</v>
      </c>
      <c r="B44" s="7">
        <v>0.22</v>
      </c>
      <c r="C44" s="8" t="s">
        <v>12</v>
      </c>
      <c r="D44" s="8"/>
      <c r="E44" s="8" t="s">
        <v>133</v>
      </c>
    </row>
    <row r="45" spans="1:5">
      <c r="A45" t="s">
        <v>134</v>
      </c>
      <c r="B45" s="7">
        <v>8</v>
      </c>
      <c r="C45" s="8" t="s">
        <v>7</v>
      </c>
      <c r="D45" s="8"/>
      <c r="E45" s="8" t="s">
        <v>135</v>
      </c>
    </row>
    <row r="46" spans="1:5">
      <c r="A46" t="s">
        <v>136</v>
      </c>
      <c r="B46" s="7">
        <v>0.3</v>
      </c>
      <c r="C46" s="8" t="s">
        <v>12</v>
      </c>
      <c r="D46" s="8"/>
      <c r="E46" s="8" t="s">
        <v>137</v>
      </c>
    </row>
    <row r="47" spans="1:5">
      <c r="A47" t="s">
        <v>138</v>
      </c>
      <c r="B47" s="7">
        <v>10</v>
      </c>
      <c r="C47" s="8" t="s">
        <v>7</v>
      </c>
      <c r="D47" s="8"/>
      <c r="E47" s="8" t="s">
        <v>139</v>
      </c>
    </row>
    <row r="48" spans="1:5">
      <c r="A48" t="s">
        <v>140</v>
      </c>
      <c r="B48" s="7">
        <v>0.6</v>
      </c>
      <c r="C48" s="8" t="s">
        <v>12</v>
      </c>
      <c r="D48" s="8"/>
      <c r="E48" s="8" t="s">
        <v>141</v>
      </c>
    </row>
    <row r="49" spans="1:5">
      <c r="A49" t="s">
        <v>142</v>
      </c>
      <c r="B49" s="7">
        <v>0.08</v>
      </c>
      <c r="C49" s="8" t="s">
        <v>68</v>
      </c>
      <c r="D49" s="8" t="s">
        <v>143</v>
      </c>
      <c r="E49" s="8" t="s">
        <v>144</v>
      </c>
    </row>
    <row r="50" spans="1:5">
      <c r="A50" t="s">
        <v>145</v>
      </c>
      <c r="B50" s="7">
        <v>10</v>
      </c>
      <c r="C50" s="8" t="s">
        <v>7</v>
      </c>
      <c r="D50" s="8"/>
      <c r="E50" s="8" t="s">
        <v>146</v>
      </c>
    </row>
    <row r="51" spans="1:5">
      <c r="A51" t="s">
        <v>147</v>
      </c>
      <c r="B51" s="7">
        <v>0.015</v>
      </c>
      <c r="C51" s="8" t="s">
        <v>12</v>
      </c>
      <c r="D51" s="8"/>
      <c r="E51" s="8" t="s">
        <v>148</v>
      </c>
    </row>
    <row r="52" spans="1:5">
      <c r="A52" t="s">
        <v>149</v>
      </c>
      <c r="B52" s="7">
        <v>6</v>
      </c>
      <c r="C52" s="8" t="s">
        <v>150</v>
      </c>
      <c r="D52" s="8"/>
      <c r="E52" s="8" t="s">
        <v>151</v>
      </c>
    </row>
    <row r="53" spans="1:5">
      <c r="A53" t="s">
        <v>152</v>
      </c>
      <c r="B53" s="7">
        <v>0.15</v>
      </c>
      <c r="C53" s="8" t="s">
        <v>68</v>
      </c>
      <c r="D53" s="8"/>
      <c r="E53" s="8" t="s">
        <v>153</v>
      </c>
    </row>
    <row r="54" spans="1:5">
      <c r="A54" t="s">
        <v>154</v>
      </c>
      <c r="B54" s="7">
        <v>60</v>
      </c>
      <c r="C54" s="8" t="s">
        <v>155</v>
      </c>
      <c r="D54" s="8"/>
      <c r="E54" s="8" t="s">
        <v>156</v>
      </c>
    </row>
    <row r="55" spans="1:5">
      <c r="A55" t="s">
        <v>157</v>
      </c>
      <c r="B55" s="7">
        <v>30</v>
      </c>
      <c r="C55" s="8" t="s">
        <v>155</v>
      </c>
      <c r="D55" s="8"/>
      <c r="E55" s="8" t="s">
        <v>158</v>
      </c>
    </row>
    <row r="57" spans="1:5">
      <c r="A57" s="9" t="s">
        <v>159</v>
      </c>
    </row>
    <row r="58" spans="1:5">
      <c r="A58" t="s">
        <v>160</v>
      </c>
      <c r="B58" s="10">
        <v>1088.227332135583</v>
      </c>
      <c r="C58" t="s">
        <v>161</v>
      </c>
      <c r="E58" t="s">
        <v>162</v>
      </c>
    </row>
    <row r="59" spans="1:5">
      <c r="A59" t="s">
        <v>163</v>
      </c>
      <c r="B59" s="10">
        <v>960.7811315767999</v>
      </c>
      <c r="C59" t="s">
        <v>161</v>
      </c>
      <c r="E59" t="s">
        <v>164</v>
      </c>
    </row>
    <row r="60" spans="1:5">
      <c r="A60" t="s">
        <v>165</v>
      </c>
      <c r="B60" s="11">
        <v>6.917624147352959</v>
      </c>
      <c r="C60" t="s">
        <v>166</v>
      </c>
      <c r="E60" t="s">
        <v>167</v>
      </c>
    </row>
    <row r="61" spans="1:5">
      <c r="A61" t="s">
        <v>168</v>
      </c>
      <c r="B61" s="11">
        <v>0.8315763315376273</v>
      </c>
      <c r="C61" t="s">
        <v>169</v>
      </c>
      <c r="E61" t="s">
        <v>170</v>
      </c>
    </row>
    <row r="62" spans="1:5">
      <c r="A62" t="s">
        <v>171</v>
      </c>
      <c r="B62" s="11">
        <v>0.1469443811728015</v>
      </c>
      <c r="C62" t="s">
        <v>169</v>
      </c>
      <c r="E62" t="s">
        <v>172</v>
      </c>
    </row>
    <row r="63" spans="1:5">
      <c r="A63" t="s">
        <v>173</v>
      </c>
      <c r="B63" s="10">
        <v>37592.1</v>
      </c>
      <c r="C63" t="s">
        <v>174</v>
      </c>
      <c r="E63" t="s">
        <v>175</v>
      </c>
    </row>
    <row r="64" spans="1:5">
      <c r="A64" t="s">
        <v>176</v>
      </c>
      <c r="B64" s="10">
        <v>814.8105375895625</v>
      </c>
      <c r="C64" t="s">
        <v>174</v>
      </c>
      <c r="E64" t="s">
        <v>177</v>
      </c>
    </row>
    <row r="65" spans="1:13">
      <c r="A65" t="s">
        <v>178</v>
      </c>
      <c r="B65" s="10">
        <v>800.6959591808936</v>
      </c>
      <c r="C65" t="s">
        <v>179</v>
      </c>
      <c r="E65" t="s">
        <v>180</v>
      </c>
    </row>
    <row r="66" spans="1:13">
      <c r="A66" t="s">
        <v>181</v>
      </c>
      <c r="B66" s="11">
        <v>0.25</v>
      </c>
      <c r="C66" t="s">
        <v>182</v>
      </c>
      <c r="E66" t="s">
        <v>183</v>
      </c>
    </row>
    <row r="67" spans="1:13">
      <c r="A67" t="s">
        <v>184</v>
      </c>
      <c r="B67" s="10">
        <v>28</v>
      </c>
      <c r="C67" t="s">
        <v>12</v>
      </c>
      <c r="E67" t="s">
        <v>185</v>
      </c>
    </row>
    <row r="68" spans="1:13">
      <c r="A68" t="s">
        <v>186</v>
      </c>
      <c r="B68" s="10">
        <v>270000</v>
      </c>
      <c r="C68" t="s">
        <v>187</v>
      </c>
      <c r="E68" t="s">
        <v>188</v>
      </c>
    </row>
    <row r="69" spans="1:13">
      <c r="A69" t="s">
        <v>189</v>
      </c>
      <c r="B69" s="10">
        <v>1600</v>
      </c>
      <c r="C69" t="s">
        <v>161</v>
      </c>
      <c r="E69" t="s">
        <v>190</v>
      </c>
    </row>
    <row r="70" spans="1:13">
      <c r="A70" t="s">
        <v>191</v>
      </c>
      <c r="B70" s="10">
        <v>996.419669894242</v>
      </c>
      <c r="C70" t="s">
        <v>192</v>
      </c>
      <c r="E70" t="s">
        <v>193</v>
      </c>
    </row>
    <row r="71" spans="1:13">
      <c r="A71" t="s">
        <v>194</v>
      </c>
      <c r="B71" s="10">
        <v>3386.616547499999</v>
      </c>
      <c r="C71" t="s">
        <v>192</v>
      </c>
      <c r="E71" t="s">
        <v>195</v>
      </c>
    </row>
    <row r="72" spans="1:13">
      <c r="A72" t="s">
        <v>196</v>
      </c>
      <c r="B72" s="12">
        <f>(t_base-t_proj)*a_util-t_effCOD*a_util*t_B0*a_MCF_eff*t_GWP</f>
        <v>32288.161712280118</v>
      </c>
      <c r="E72" t="s">
        <v>197</v>
      </c>
    </row>
    <row r="74" spans="1:13">
      <c r="A74" s="9" t="s">
        <v>198</v>
      </c>
      <c r="B74" s="11">
        <v>1.082222371120034</v>
      </c>
      <c r="C74" s="11">
        <v>0.5010228552941092</v>
      </c>
      <c r="D74" s="11">
        <v>0.8490962994397385</v>
      </c>
      <c r="E74" s="11">
        <v>0.8842203217845548</v>
      </c>
      <c r="F74" s="11">
        <v>0.8616852729809481</v>
      </c>
      <c r="G74" s="11">
        <v>0.8890400651263111</v>
      </c>
      <c r="H74" s="11">
        <v>1.035876921372903</v>
      </c>
      <c r="I74" s="11">
        <v>1.132235688938849</v>
      </c>
      <c r="J74" s="11">
        <v>1.191486919507051</v>
      </c>
      <c r="K74" s="11">
        <v>1.205164690202055</v>
      </c>
      <c r="L74" s="11">
        <v>1.206253596071336</v>
      </c>
      <c r="M74" s="11">
        <v>1.161694998162112</v>
      </c>
    </row>
    <row r="75" spans="1:13">
      <c r="A75" s="9" t="s">
        <v>199</v>
      </c>
      <c r="B75" s="12">
        <f>t_P_net*a_util*B74</f>
        <v>956.596527595039</v>
      </c>
      <c r="C75" s="12">
        <f>t_P_net*a_util*C74</f>
        <v>442.86344138688844</v>
      </c>
      <c r="D75" s="12">
        <f>t_P_net*a_util*D74</f>
        <v>750.5320471219145</v>
      </c>
      <c r="E75" s="12">
        <f>t_P_net*a_util*E74</f>
        <v>781.5788252211775</v>
      </c>
      <c r="F75" s="12">
        <f>t_P_net*a_util*F74</f>
        <v>761.6596755066832</v>
      </c>
      <c r="G75" s="12">
        <f>t_P_net*a_util*G74</f>
        <v>785.8390862060356</v>
      </c>
      <c r="H75" s="12">
        <f>t_P_net*a_util*H74</f>
        <v>915.6309206356733</v>
      </c>
      <c r="I75" s="12">
        <f>t_P_net*a_util*I74</f>
        <v>1000.8042315158805</v>
      </c>
      <c r="J75" s="12">
        <f>t_P_net*a_util*J74</f>
        <v>1053.1774987203044</v>
      </c>
      <c r="K75" s="12">
        <f>t_P_net*a_util*K74</f>
        <v>1065.2675352056356</v>
      </c>
      <c r="L75" s="12">
        <f>t_P_net*a_util*L74</f>
        <v>1066.230039401842</v>
      </c>
      <c r="M75" s="12">
        <f>t_P_net*a_util*M74</f>
        <v>1026.8438640907987</v>
      </c>
    </row>
    <row r="76" spans="1:13">
      <c r="A76" s="9" t="s">
        <v>200</v>
      </c>
      <c r="B76" s="12">
        <f>MIN(B75,a_cap_kW)</f>
        <v>956.596527595039</v>
      </c>
      <c r="C76" s="12">
        <f>MIN(C75,a_cap_kW)</f>
        <v>442.86344138688844</v>
      </c>
      <c r="D76" s="12">
        <f>MIN(D75,a_cap_kW)</f>
        <v>750.5320471219145</v>
      </c>
      <c r="E76" s="12">
        <f>MIN(E75,a_cap_kW)</f>
        <v>781.5788252211775</v>
      </c>
      <c r="F76" s="12">
        <f>MIN(F75,a_cap_kW)</f>
        <v>761.6596755066832</v>
      </c>
      <c r="G76" s="12">
        <f>MIN(G75,a_cap_kW)</f>
        <v>785.8390862060356</v>
      </c>
      <c r="H76" s="12">
        <f>MIN(H75,a_cap_kW)</f>
        <v>915.6309206356733</v>
      </c>
      <c r="I76" s="12">
        <f>MIN(I75,a_cap_kW)</f>
        <v>1000.0</v>
      </c>
      <c r="J76" s="12">
        <f>MIN(J75,a_cap_kW)</f>
        <v>1000.0</v>
      </c>
      <c r="K76" s="12">
        <f>MIN(K75,a_cap_kW)</f>
        <v>1000.0</v>
      </c>
      <c r="L76" s="12">
        <f>MIN(L75,a_cap_kW)</f>
        <v>1000.0</v>
      </c>
      <c r="M76" s="12">
        <f>MIN(M75,a_cap_kW)</f>
        <v>1000.0</v>
      </c>
    </row>
    <row r="77" spans="1:13">
      <c r="A77" t="s">
        <v>201</v>
      </c>
      <c r="B77" s="11">
        <f>SUM(B76:M76)/SUM(B75:M75)</f>
        <v>0.9799827760276966</v>
      </c>
      <c r="E77" t="s">
        <v>202</v>
      </c>
    </row>
    <row r="79" spans="1:13">
      <c r="A79" t="s">
        <v>203</v>
      </c>
      <c r="B79" s="4">
        <f>a_debt_frac*a_r_debt*(1-a_tax)+(1-a_debt_frac)*a_r_eq</f>
        <v>0.09744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41"/>
  <sheetViews>
    <sheetView workbookViewId="0"/>
  </sheetViews>
  <sheetFormatPr defaultRowHeight="15"/>
  <cols>
    <col min="1" max="1" width="14.7109375" customWidth="1"/>
    <col min="2" max="2" width="66.7109375" customWidth="1"/>
    <col min="3" max="6" width="14.7109375" customWidth="1"/>
    <col min="7" max="7" width="56.7109375" customWidth="1"/>
  </cols>
  <sheetData>
    <row r="1" spans="1:7">
      <c r="A1" s="1" t="s">
        <v>204</v>
      </c>
    </row>
    <row r="3" spans="1:7">
      <c r="A3" s="6" t="s">
        <v>205</v>
      </c>
      <c r="B3" s="6" t="s">
        <v>206</v>
      </c>
      <c r="C3" s="6" t="s">
        <v>207</v>
      </c>
      <c r="D3" s="6" t="s">
        <v>3</v>
      </c>
      <c r="E3" s="6" t="s">
        <v>208</v>
      </c>
      <c r="F3" s="6" t="s">
        <v>209</v>
      </c>
      <c r="G3" s="6" t="s">
        <v>210</v>
      </c>
    </row>
    <row r="4" spans="1:7">
      <c r="A4" s="8" t="s">
        <v>211</v>
      </c>
      <c r="B4" s="8" t="s">
        <v>212</v>
      </c>
      <c r="C4" s="10">
        <v>14</v>
      </c>
      <c r="D4" s="8" t="s">
        <v>213</v>
      </c>
      <c r="E4" s="12">
        <f>a_c_fab*20.9*1000+29500</f>
        <v>81750.0</v>
      </c>
      <c r="F4" s="12">
        <f>C4*E4</f>
        <v>1144500.0</v>
      </c>
      <c r="G4" s="8" t="s">
        <v>214</v>
      </c>
    </row>
    <row r="5" spans="1:7">
      <c r="A5" s="8" t="s">
        <v>211</v>
      </c>
      <c r="B5" s="8" t="s">
        <v>215</v>
      </c>
      <c r="C5" s="10">
        <v>2</v>
      </c>
      <c r="D5" s="8" t="s">
        <v>213</v>
      </c>
      <c r="E5" s="12">
        <f>a_c_fab*20.0*1000+6000</f>
        <v>56000.0</v>
      </c>
      <c r="F5" s="12">
        <f>C5*E5</f>
        <v>112000.0</v>
      </c>
      <c r="G5" s="8" t="s">
        <v>216</v>
      </c>
    </row>
    <row r="6" spans="1:7">
      <c r="A6" s="8" t="s">
        <v>211</v>
      </c>
      <c r="B6" s="8" t="s">
        <v>217</v>
      </c>
      <c r="C6" s="10">
        <v>996.419669894242</v>
      </c>
      <c r="D6" s="8" t="s">
        <v>218</v>
      </c>
      <c r="E6" s="12">
        <f>a_c_mem</f>
        <v>200.0</v>
      </c>
      <c r="F6" s="12">
        <f>C6*E6</f>
        <v>199283.9339788484</v>
      </c>
      <c r="G6" s="8" t="s">
        <v>219</v>
      </c>
    </row>
    <row r="7" spans="1:7">
      <c r="A7" s="8" t="s">
        <v>211</v>
      </c>
      <c r="B7" s="8" t="s">
        <v>220</v>
      </c>
      <c r="C7" s="10">
        <v>1</v>
      </c>
      <c r="D7" s="8" t="s">
        <v>221</v>
      </c>
      <c r="E7" s="7">
        <v>180000</v>
      </c>
      <c r="F7" s="12">
        <f>C7*E7</f>
        <v>180000.0</v>
      </c>
      <c r="G7" s="8" t="s">
        <v>222</v>
      </c>
    </row>
    <row r="8" spans="1:7">
      <c r="A8" s="8" t="s">
        <v>211</v>
      </c>
      <c r="B8" s="8" t="s">
        <v>223</v>
      </c>
      <c r="C8" s="10">
        <v>1</v>
      </c>
      <c r="D8" s="8" t="s">
        <v>221</v>
      </c>
      <c r="E8" s="7">
        <v>170000</v>
      </c>
      <c r="F8" s="12">
        <f>C8*E8</f>
        <v>170000.0</v>
      </c>
      <c r="G8" s="8" t="s">
        <v>224</v>
      </c>
    </row>
    <row r="9" spans="1:7">
      <c r="A9" s="8" t="s">
        <v>211</v>
      </c>
      <c r="B9" s="8" t="s">
        <v>225</v>
      </c>
      <c r="C9" s="10">
        <v>1</v>
      </c>
      <c r="D9" s="8" t="s">
        <v>221</v>
      </c>
      <c r="E9" s="7">
        <v>60000</v>
      </c>
      <c r="F9" s="12">
        <f>C9*E9</f>
        <v>60000.0</v>
      </c>
      <c r="G9" s="8" t="s">
        <v>224</v>
      </c>
    </row>
    <row r="10" spans="1:7">
      <c r="A10" s="8" t="s">
        <v>211</v>
      </c>
      <c r="B10" s="8" t="s">
        <v>226</v>
      </c>
      <c r="C10" s="10">
        <v>1</v>
      </c>
      <c r="D10" s="8" t="s">
        <v>221</v>
      </c>
      <c r="E10" s="7">
        <v>280000</v>
      </c>
      <c r="F10" s="12">
        <f>C10*E10</f>
        <v>280000.0</v>
      </c>
      <c r="G10" s="8" t="s">
        <v>224</v>
      </c>
    </row>
    <row r="11" spans="1:7">
      <c r="A11" s="8" t="s">
        <v>211</v>
      </c>
      <c r="B11" s="8" t="s">
        <v>227</v>
      </c>
      <c r="C11" s="10">
        <v>1</v>
      </c>
      <c r="D11" s="8" t="s">
        <v>221</v>
      </c>
      <c r="E11" s="7">
        <v>190000</v>
      </c>
      <c r="F11" s="12">
        <f>C11*E11</f>
        <v>190000.0</v>
      </c>
      <c r="G11" s="8" t="s">
        <v>228</v>
      </c>
    </row>
    <row r="12" spans="1:7">
      <c r="A12" s="8" t="s">
        <v>211</v>
      </c>
      <c r="B12" s="8" t="s">
        <v>229</v>
      </c>
      <c r="C12" s="10">
        <v>1600</v>
      </c>
      <c r="D12" s="8" t="s">
        <v>161</v>
      </c>
      <c r="E12" s="12">
        <f>a_c_chp</f>
        <v>550.0</v>
      </c>
      <c r="F12" s="12">
        <f>C12*E12</f>
        <v>880000.0</v>
      </c>
      <c r="G12" s="8" t="s">
        <v>230</v>
      </c>
    </row>
    <row r="13" spans="1:7">
      <c r="A13" s="8" t="s">
        <v>211</v>
      </c>
      <c r="B13" s="8" t="s">
        <v>231</v>
      </c>
      <c r="C13" s="10">
        <v>1</v>
      </c>
      <c r="D13" s="8" t="s">
        <v>221</v>
      </c>
      <c r="E13" s="7">
        <v>100000</v>
      </c>
      <c r="F13" s="12">
        <f>C13*E13</f>
        <v>100000.0</v>
      </c>
      <c r="G13" s="8" t="s">
        <v>224</v>
      </c>
    </row>
    <row r="14" spans="1:7">
      <c r="A14" s="8" t="s">
        <v>211</v>
      </c>
      <c r="B14" s="8" t="s">
        <v>232</v>
      </c>
      <c r="C14" s="10">
        <v>1</v>
      </c>
      <c r="D14" s="8" t="s">
        <v>221</v>
      </c>
      <c r="E14" s="7">
        <v>115000</v>
      </c>
      <c r="F14" s="12">
        <f>C14*E14</f>
        <v>115000.0</v>
      </c>
      <c r="G14" s="8" t="s">
        <v>224</v>
      </c>
    </row>
    <row r="15" spans="1:7">
      <c r="A15" s="8" t="s">
        <v>211</v>
      </c>
      <c r="B15" s="8" t="s">
        <v>233</v>
      </c>
      <c r="C15" s="10">
        <v>1</v>
      </c>
      <c r="D15" s="8" t="s">
        <v>221</v>
      </c>
      <c r="E15" s="7">
        <v>110000</v>
      </c>
      <c r="F15" s="12">
        <f>C15*E15</f>
        <v>110000.0</v>
      </c>
      <c r="G15" s="8" t="s">
        <v>234</v>
      </c>
    </row>
    <row r="16" spans="1:7">
      <c r="A16" s="8" t="s">
        <v>211</v>
      </c>
      <c r="B16" s="8" t="s">
        <v>235</v>
      </c>
      <c r="C16" s="10">
        <v>1</v>
      </c>
      <c r="D16" s="8" t="s">
        <v>221</v>
      </c>
      <c r="E16" s="7">
        <v>200000</v>
      </c>
      <c r="F16" s="12">
        <f>C16*E16</f>
        <v>200000.0</v>
      </c>
      <c r="G16" s="8" t="s">
        <v>224</v>
      </c>
    </row>
    <row r="17" spans="1:7">
      <c r="A17" s="8" t="s">
        <v>211</v>
      </c>
      <c r="B17" s="8" t="s">
        <v>236</v>
      </c>
      <c r="C17" s="10">
        <v>1</v>
      </c>
      <c r="D17" s="8" t="s">
        <v>221</v>
      </c>
      <c r="E17" s="7">
        <v>90000</v>
      </c>
      <c r="F17" s="12">
        <f>C17*E17</f>
        <v>90000.0</v>
      </c>
      <c r="G17" s="8" t="s">
        <v>224</v>
      </c>
    </row>
    <row r="18" spans="1:7">
      <c r="A18" s="8" t="s">
        <v>237</v>
      </c>
      <c r="B18" s="8" t="s">
        <v>238</v>
      </c>
      <c r="C18" s="10">
        <v>1</v>
      </c>
      <c r="D18" s="8" t="s">
        <v>221</v>
      </c>
      <c r="E18" s="7">
        <v>240000</v>
      </c>
      <c r="F18" s="12">
        <f>C18*E18</f>
        <v>240000.0</v>
      </c>
      <c r="G18" s="8" t="s">
        <v>239</v>
      </c>
    </row>
    <row r="19" spans="1:7">
      <c r="A19" s="8" t="s">
        <v>237</v>
      </c>
      <c r="B19" s="8" t="s">
        <v>240</v>
      </c>
      <c r="C19" s="10">
        <v>28</v>
      </c>
      <c r="D19" s="8" t="s">
        <v>241</v>
      </c>
      <c r="E19" s="7">
        <v>6500</v>
      </c>
      <c r="F19" s="12">
        <f>C19*E19</f>
        <v>182000</v>
      </c>
      <c r="G19" s="8" t="s">
        <v>242</v>
      </c>
    </row>
    <row r="20" spans="1:7">
      <c r="A20" s="8" t="s">
        <v>237</v>
      </c>
      <c r="B20" s="8" t="s">
        <v>243</v>
      </c>
      <c r="C20" s="10">
        <v>1</v>
      </c>
      <c r="D20" s="8" t="s">
        <v>221</v>
      </c>
      <c r="E20" s="7">
        <v>200000</v>
      </c>
      <c r="F20" s="12">
        <f>C20*E20</f>
        <v>200000.0</v>
      </c>
      <c r="G20" s="8" t="s">
        <v>244</v>
      </c>
    </row>
    <row r="21" spans="1:7">
      <c r="A21" s="8" t="s">
        <v>237</v>
      </c>
      <c r="B21" s="8" t="s">
        <v>245</v>
      </c>
      <c r="C21" s="10">
        <v>162</v>
      </c>
      <c r="D21" s="8" t="s">
        <v>246</v>
      </c>
      <c r="E21" s="7">
        <v>140.3716049382716</v>
      </c>
      <c r="F21" s="12">
        <f>C21*E21</f>
        <v>22740.2</v>
      </c>
      <c r="G21" s="8" t="s">
        <v>247</v>
      </c>
    </row>
    <row r="22" spans="1:7">
      <c r="A22" s="8" t="s">
        <v>237</v>
      </c>
      <c r="B22" s="8" t="s">
        <v>248</v>
      </c>
      <c r="C22" s="10">
        <v>148</v>
      </c>
      <c r="D22" s="8" t="s">
        <v>246</v>
      </c>
      <c r="E22" s="7">
        <v>69.90202702702703</v>
      </c>
      <c r="F22" s="12">
        <f>C22*E22</f>
        <v>10345.5</v>
      </c>
      <c r="G22" s="8" t="s">
        <v>247</v>
      </c>
    </row>
    <row r="23" spans="1:7">
      <c r="A23" s="8" t="s">
        <v>237</v>
      </c>
      <c r="B23" s="8" t="s">
        <v>249</v>
      </c>
      <c r="C23" s="10">
        <v>73</v>
      </c>
      <c r="D23" s="8" t="s">
        <v>246</v>
      </c>
      <c r="E23" s="7">
        <v>70.40753424657535</v>
      </c>
      <c r="F23" s="12">
        <f>C23*E23</f>
        <v>5139.750000000001</v>
      </c>
      <c r="G23" s="8" t="s">
        <v>247</v>
      </c>
    </row>
    <row r="24" spans="1:7">
      <c r="A24" s="8" t="s">
        <v>237</v>
      </c>
      <c r="B24" s="8" t="s">
        <v>250</v>
      </c>
      <c r="C24" s="10">
        <v>92</v>
      </c>
      <c r="D24" s="8" t="s">
        <v>246</v>
      </c>
      <c r="E24" s="7">
        <v>45.12228260869565</v>
      </c>
      <c r="F24" s="12">
        <f>C24*E24</f>
        <v>4151.25</v>
      </c>
      <c r="G24" s="8" t="s">
        <v>247</v>
      </c>
    </row>
    <row r="25" spans="1:7">
      <c r="A25" s="8" t="s">
        <v>237</v>
      </c>
      <c r="B25" s="8" t="s">
        <v>251</v>
      </c>
      <c r="C25" s="10">
        <v>247</v>
      </c>
      <c r="D25" s="8" t="s">
        <v>246</v>
      </c>
      <c r="E25" s="7">
        <v>112.8502024291498</v>
      </c>
      <c r="F25" s="12">
        <f>C25*E25</f>
        <v>27874.0</v>
      </c>
      <c r="G25" s="8" t="s">
        <v>247</v>
      </c>
    </row>
    <row r="26" spans="1:7">
      <c r="A26" s="8" t="s">
        <v>237</v>
      </c>
      <c r="B26" s="8" t="s">
        <v>252</v>
      </c>
      <c r="C26" s="10">
        <v>1</v>
      </c>
      <c r="D26" s="8" t="s">
        <v>221</v>
      </c>
      <c r="E26" s="12">
        <f>a_c_grid</f>
        <v>120000.0</v>
      </c>
      <c r="F26" s="12">
        <f>C26*E26</f>
        <v>120000.0</v>
      </c>
      <c r="G26" s="8" t="s">
        <v>224</v>
      </c>
    </row>
    <row r="27" spans="1:7">
      <c r="A27" s="8" t="s">
        <v>253</v>
      </c>
      <c r="B27" s="8" t="s">
        <v>254</v>
      </c>
      <c r="C27" s="11">
        <f>a_eng</f>
        <v>0.05</v>
      </c>
      <c r="D27" s="8" t="s">
        <v>255</v>
      </c>
      <c r="E27" s="12">
        <f>PEC</f>
        <v>3830783.933978848</v>
      </c>
      <c r="F27" s="12">
        <f>C27*E27</f>
        <v>191539.19669894243</v>
      </c>
      <c r="G27" s="8" t="s">
        <v>256</v>
      </c>
    </row>
    <row r="28" spans="1:7">
      <c r="A28" s="8" t="s">
        <v>253</v>
      </c>
      <c r="B28" s="8" t="s">
        <v>257</v>
      </c>
      <c r="C28" s="10">
        <v>1</v>
      </c>
      <c r="D28" s="8" t="s">
        <v>221</v>
      </c>
      <c r="E28" s="7">
        <v>50000</v>
      </c>
      <c r="F28" s="12">
        <f>C28*E28</f>
        <v>50000</v>
      </c>
      <c r="G28" s="8" t="s">
        <v>224</v>
      </c>
    </row>
    <row r="29" spans="1:7">
      <c r="A29" s="8" t="s">
        <v>253</v>
      </c>
      <c r="B29" s="8" t="s">
        <v>258</v>
      </c>
      <c r="C29" s="10">
        <v>1</v>
      </c>
      <c r="D29" s="8" t="s">
        <v>221</v>
      </c>
      <c r="E29" s="7">
        <v>45000</v>
      </c>
      <c r="F29" s="12">
        <f>C29*E29</f>
        <v>45000</v>
      </c>
      <c r="G29" s="8" t="s">
        <v>224</v>
      </c>
    </row>
    <row r="30" spans="1:7">
      <c r="A30" s="8" t="s">
        <v>259</v>
      </c>
      <c r="B30" s="8" t="s">
        <v>260</v>
      </c>
      <c r="C30" s="11">
        <f>a_cont</f>
        <v>0.1</v>
      </c>
      <c r="D30" s="8" t="s">
        <v>261</v>
      </c>
      <c r="E30" s="12">
        <f>SUM(F4:F29)</f>
        <v>4929573.830677791</v>
      </c>
      <c r="F30" s="12">
        <f>C30*E30</f>
        <v>492957.38306777907</v>
      </c>
      <c r="G30" s="8" t="s">
        <v>262</v>
      </c>
    </row>
    <row r="32" spans="1:7">
      <c r="B32" s="9" t="s">
        <v>263</v>
      </c>
      <c r="F32" s="3">
        <f>SUM(F4:F17)</f>
        <v>3830783.933978848</v>
      </c>
    </row>
    <row r="33" spans="2:6">
      <c r="B33" s="9" t="s">
        <v>264</v>
      </c>
      <c r="F33" s="3">
        <f>SUM(F4:F30)</f>
        <v>5422531.21374557</v>
      </c>
    </row>
    <row r="34" spans="2:6">
      <c r="B34" s="9" t="s">
        <v>265</v>
      </c>
      <c r="F34" s="3">
        <f>FCI26*(1+a_infl)^(a_year0-2026)</f>
        <v>5530981.838020481</v>
      </c>
    </row>
    <row r="35" spans="2:6">
      <c r="B35" s="9" t="s">
        <v>266</v>
      </c>
      <c r="F35" s="3">
        <f>SUM(F4:F26)*(1+a_cont)*(1+a_infl)^(a_year0-2026)</f>
        <v>5209484.859324269</v>
      </c>
    </row>
    <row r="36" spans="2:6">
      <c r="B36" s="9" t="s">
        <v>267</v>
      </c>
      <c r="F36" s="3">
        <f>FCI26/t_P_gross</f>
        <v>4982.90297773</v>
      </c>
    </row>
    <row r="37" spans="2:6">
      <c r="B37" s="9" t="s">
        <v>268</v>
      </c>
      <c r="F37" s="3">
        <f>a_debt_frac*FCI*a_r_debt*0.5</f>
        <v>132743.56411249156</v>
      </c>
    </row>
    <row r="38" spans="2:6">
      <c r="B38" s="9" t="s">
        <v>269</v>
      </c>
      <c r="F38" s="3">
        <f>a_debt_frac*FCI+IDC</f>
        <v>3451332.6669247802</v>
      </c>
    </row>
    <row r="39" spans="2:6">
      <c r="B39" s="9" t="s">
        <v>270</v>
      </c>
      <c r="F39" s="3">
        <f>DEBT*a_r_debt/(1-(1+a_r_debt)^-(a_tenor-1))</f>
        <v>552488.3295771236</v>
      </c>
    </row>
    <row r="41" spans="2:6">
      <c r="B41" s="2" t="s">
        <v>271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15"/>
  <sheetViews>
    <sheetView workbookViewId="0"/>
  </sheetViews>
  <sheetFormatPr defaultRowHeight="15"/>
  <cols>
    <col min="1" max="1" width="46.7109375" customWidth="1"/>
    <col min="2" max="3" width="16.7109375" customWidth="1"/>
    <col min="4" max="4" width="80.7109375" customWidth="1"/>
  </cols>
  <sheetData>
    <row r="1" spans="1:4">
      <c r="A1" s="1" t="s">
        <v>272</v>
      </c>
    </row>
    <row r="3" spans="1:4">
      <c r="A3" s="6" t="s">
        <v>273</v>
      </c>
      <c r="B3" s="6" t="s">
        <v>109</v>
      </c>
      <c r="C3" s="6" t="s">
        <v>274</v>
      </c>
      <c r="D3" s="6" t="s">
        <v>275</v>
      </c>
    </row>
    <row r="4" spans="1:4">
      <c r="A4" s="8" t="s">
        <v>276</v>
      </c>
      <c r="B4" s="12">
        <f>a_staff</f>
        <v>82000.0</v>
      </c>
      <c r="C4" s="8" t="s">
        <v>278</v>
      </c>
      <c r="D4" s="8" t="s">
        <v>277</v>
      </c>
    </row>
    <row r="5" spans="1:4">
      <c r="A5" s="8" t="s">
        <v>279</v>
      </c>
      <c r="B5" s="12">
        <f>a_c_eng_om*t_E_nom*a_util*a_avail*t_P_gross/t_P_net*1000000</f>
        <v>83905.98375148942</v>
      </c>
      <c r="C5" s="8" t="s">
        <v>281</v>
      </c>
      <c r="D5" s="8" t="s">
        <v>280</v>
      </c>
    </row>
    <row r="6" spans="1:4">
      <c r="A6" s="8" t="s">
        <v>104</v>
      </c>
      <c r="B6" s="12">
        <f>a_c_maint*(PEC-a_c_chp*t_chp_kWe)</f>
        <v>59015.678679576966</v>
      </c>
      <c r="C6" s="8" t="s">
        <v>278</v>
      </c>
      <c r="D6" s="8" t="s">
        <v>282</v>
      </c>
    </row>
    <row r="7" spans="1:4">
      <c r="A7" s="8" t="s">
        <v>283</v>
      </c>
      <c r="B7" s="12">
        <f>t_poly*20*300*a_util/1000*a_p_poly+t_ac*24*300*a_util/1000*a_p_ac+a_c_naoh</f>
        <v>29281.284143016725</v>
      </c>
      <c r="C7" s="8" t="s">
        <v>281</v>
      </c>
      <c r="D7" s="8" t="s">
        <v>284</v>
      </c>
    </row>
    <row r="8" spans="1:4">
      <c r="A8" s="8" t="s">
        <v>285</v>
      </c>
      <c r="B8" s="12">
        <f>a_c_ins*FCI26</f>
        <v>27112.65606872785</v>
      </c>
      <c r="C8" s="8" t="s">
        <v>278</v>
      </c>
      <c r="D8" s="8" t="s">
        <v>286</v>
      </c>
    </row>
    <row r="9" spans="1:4">
      <c r="A9" s="8" t="s">
        <v>287</v>
      </c>
      <c r="B9" s="12">
        <f>a_c_admin</f>
        <v>30000.0</v>
      </c>
      <c r="C9" s="8" t="s">
        <v>278</v>
      </c>
      <c r="D9" s="8" t="s">
        <v>288</v>
      </c>
    </row>
    <row r="10" spans="1:4">
      <c r="A10" s="8" t="s">
        <v>289</v>
      </c>
      <c r="B10" s="12">
        <f>a_lease*t_plot_m2</f>
        <v>6773.233094999999</v>
      </c>
      <c r="C10" s="8" t="s">
        <v>278</v>
      </c>
      <c r="D10" s="8" t="s">
        <v>290</v>
      </c>
    </row>
    <row r="12" spans="1:4">
      <c r="A12" s="9" t="s">
        <v>291</v>
      </c>
      <c r="B12" s="3">
        <f>B4+B6+B8+B9+B10</f>
        <v>204901.5678433048</v>
      </c>
    </row>
    <row r="13" spans="1:4">
      <c r="A13" s="9" t="s">
        <v>292</v>
      </c>
      <c r="B13" s="3">
        <f>B5+B7</f>
        <v>113187.26789450613</v>
      </c>
    </row>
    <row r="15" spans="1:4">
      <c r="A15" s="2" t="s">
        <v>293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5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44.7109375" customWidth="1"/>
    <col min="2" max="2" width="3.7109375" customWidth="1"/>
    <col min="3" max="23" width="12.28515625" customWidth="1"/>
  </cols>
  <sheetData>
    <row r="1" spans="1:23">
      <c r="A1" s="1" t="s">
        <v>294</v>
      </c>
    </row>
    <row r="3" spans="1:23">
      <c r="A3" s="6" t="s">
        <v>295</v>
      </c>
      <c r="B3" s="6"/>
      <c r="C3" s="6">
        <v>2027</v>
      </c>
      <c r="D3" s="6">
        <v>2028</v>
      </c>
      <c r="E3" s="6">
        <v>2029</v>
      </c>
      <c r="F3" s="6">
        <v>2030</v>
      </c>
      <c r="G3" s="6">
        <v>2031</v>
      </c>
      <c r="H3" s="6">
        <v>2032</v>
      </c>
      <c r="I3" s="6">
        <v>2033</v>
      </c>
      <c r="J3" s="6">
        <v>2034</v>
      </c>
      <c r="K3" s="6">
        <v>2035</v>
      </c>
      <c r="L3" s="6">
        <v>2036</v>
      </c>
      <c r="M3" s="6">
        <v>2037</v>
      </c>
      <c r="N3" s="6">
        <v>2038</v>
      </c>
      <c r="O3" s="6">
        <v>2039</v>
      </c>
      <c r="P3" s="6">
        <v>2040</v>
      </c>
      <c r="Q3" s="6">
        <v>2041</v>
      </c>
      <c r="R3" s="6">
        <v>2042</v>
      </c>
      <c r="S3" s="6">
        <v>2043</v>
      </c>
      <c r="T3" s="6">
        <v>2044</v>
      </c>
      <c r="U3" s="6">
        <v>2045</v>
      </c>
      <c r="V3" s="6">
        <v>2046</v>
      </c>
      <c r="W3" s="6">
        <v>2047</v>
      </c>
    </row>
    <row r="4" spans="1:23">
      <c r="A4" t="s">
        <v>296</v>
      </c>
      <c r="C4" s="12">
        <v>0</v>
      </c>
      <c r="D4" s="12">
        <v>1</v>
      </c>
      <c r="E4" s="12">
        <v>2</v>
      </c>
      <c r="F4" s="12">
        <v>3</v>
      </c>
      <c r="G4" s="12">
        <v>4</v>
      </c>
      <c r="H4" s="12">
        <v>5</v>
      </c>
      <c r="I4" s="12">
        <v>6</v>
      </c>
      <c r="J4" s="12">
        <v>7</v>
      </c>
      <c r="K4" s="12">
        <v>8</v>
      </c>
      <c r="L4" s="12">
        <v>9</v>
      </c>
      <c r="M4" s="12">
        <v>10</v>
      </c>
      <c r="N4" s="12">
        <v>11</v>
      </c>
      <c r="O4" s="12">
        <v>12</v>
      </c>
      <c r="P4" s="12">
        <v>13</v>
      </c>
      <c r="Q4" s="12">
        <v>14</v>
      </c>
      <c r="R4" s="12">
        <v>15</v>
      </c>
      <c r="S4" s="12">
        <v>16</v>
      </c>
      <c r="T4" s="12">
        <v>17</v>
      </c>
      <c r="U4" s="12">
        <v>18</v>
      </c>
      <c r="V4" s="12">
        <v>19</v>
      </c>
      <c r="W4" s="12">
        <v>20</v>
      </c>
    </row>
    <row r="5" spans="1:23">
      <c r="A5" t="s">
        <v>297</v>
      </c>
      <c r="C5" s="12">
        <v>2027</v>
      </c>
      <c r="D5" s="12">
        <v>2028</v>
      </c>
      <c r="E5" s="12">
        <v>2029</v>
      </c>
      <c r="F5" s="12">
        <v>2030</v>
      </c>
      <c r="G5" s="12">
        <v>2031</v>
      </c>
      <c r="H5" s="12">
        <v>2032</v>
      </c>
      <c r="I5" s="12">
        <v>2033</v>
      </c>
      <c r="J5" s="12">
        <v>2034</v>
      </c>
      <c r="K5" s="12">
        <v>2035</v>
      </c>
      <c r="L5" s="12">
        <v>2036</v>
      </c>
      <c r="M5" s="12">
        <v>2037</v>
      </c>
      <c r="N5" s="12">
        <v>2038</v>
      </c>
      <c r="O5" s="12">
        <v>2039</v>
      </c>
      <c r="P5" s="12">
        <v>2040</v>
      </c>
      <c r="Q5" s="12">
        <v>2041</v>
      </c>
      <c r="R5" s="12">
        <v>2042</v>
      </c>
      <c r="S5" s="12">
        <v>2043</v>
      </c>
      <c r="T5" s="12">
        <v>2044</v>
      </c>
      <c r="U5" s="12">
        <v>2045</v>
      </c>
      <c r="V5" s="12">
        <v>2046</v>
      </c>
      <c r="W5" s="12">
        <v>2047</v>
      </c>
    </row>
    <row r="6" spans="1:23">
      <c r="A6" t="s">
        <v>298</v>
      </c>
      <c r="C6" s="10">
        <f>IF(C4=0,0,IF(C4=1,a_ramp1,1))</f>
        <v>0.0</v>
      </c>
      <c r="D6" s="10">
        <f>IF(D4=0,0,IF(D4=1,a_ramp1,1))</f>
        <v>0.75</v>
      </c>
      <c r="E6" s="10">
        <f>IF(E4=0,0,IF(E4=1,a_ramp1,1))</f>
        <v>1.0</v>
      </c>
      <c r="F6" s="10">
        <f>IF(F4=0,0,IF(F4=1,a_ramp1,1))</f>
        <v>1.0</v>
      </c>
      <c r="G6" s="10">
        <f>IF(G4=0,0,IF(G4=1,a_ramp1,1))</f>
        <v>1.0</v>
      </c>
      <c r="H6" s="10">
        <f>IF(H4=0,0,IF(H4=1,a_ramp1,1))</f>
        <v>1.0</v>
      </c>
      <c r="I6" s="10">
        <f>IF(I4=0,0,IF(I4=1,a_ramp1,1))</f>
        <v>1.0</v>
      </c>
      <c r="J6" s="10">
        <f>IF(J4=0,0,IF(J4=1,a_ramp1,1))</f>
        <v>1.0</v>
      </c>
      <c r="K6" s="10">
        <f>IF(K4=0,0,IF(K4=1,a_ramp1,1))</f>
        <v>1.0</v>
      </c>
      <c r="L6" s="10">
        <f>IF(L4=0,0,IF(L4=1,a_ramp1,1))</f>
        <v>1.0</v>
      </c>
      <c r="M6" s="10">
        <f>IF(M4=0,0,IF(M4=1,a_ramp1,1))</f>
        <v>1.0</v>
      </c>
      <c r="N6" s="10">
        <f>IF(N4=0,0,IF(N4=1,a_ramp1,1))</f>
        <v>1.0</v>
      </c>
      <c r="O6" s="10">
        <f>IF(O4=0,0,IF(O4=1,a_ramp1,1))</f>
        <v>1.0</v>
      </c>
      <c r="P6" s="10">
        <f>IF(P4=0,0,IF(P4=1,a_ramp1,1))</f>
        <v>1.0</v>
      </c>
      <c r="Q6" s="10">
        <f>IF(Q4=0,0,IF(Q4=1,a_ramp1,1))</f>
        <v>1.0</v>
      </c>
      <c r="R6" s="10">
        <f>IF(R4=0,0,IF(R4=1,a_ramp1,1))</f>
        <v>1.0</v>
      </c>
      <c r="S6" s="10">
        <f>IF(S4=0,0,IF(S4=1,a_ramp1,1))</f>
        <v>1.0</v>
      </c>
      <c r="T6" s="10">
        <f>IF(T4=0,0,IF(T4=1,a_ramp1,1))</f>
        <v>1.0</v>
      </c>
      <c r="U6" s="10">
        <f>IF(U4=0,0,IF(U4=1,a_ramp1,1))</f>
        <v>1.0</v>
      </c>
      <c r="V6" s="10">
        <f>IF(V4=0,0,IF(V4=1,a_ramp1,1))</f>
        <v>1.0</v>
      </c>
      <c r="W6" s="10">
        <f>IF(W4=0,0,IF(W4=1,a_ramp1,1))</f>
        <v>1.0</v>
      </c>
    </row>
    <row r="7" spans="1:23">
      <c r="A7" t="s">
        <v>299</v>
      </c>
      <c r="C7" s="10">
        <f>t_E_nom*a_util*a_avail*C6</f>
        <v>0.0</v>
      </c>
      <c r="D7" s="10">
        <f>t_E_nom*a_util*a_avail*D6</f>
        <v>4.629965841823336</v>
      </c>
      <c r="E7" s="10">
        <f>t_E_nom*a_util*a_avail*E6</f>
        <v>6.173287789097781</v>
      </c>
      <c r="F7" s="10">
        <f>t_E_nom*a_util*a_avail*F6</f>
        <v>6.173287789097781</v>
      </c>
      <c r="G7" s="10">
        <f>t_E_nom*a_util*a_avail*G6</f>
        <v>6.173287789097781</v>
      </c>
      <c r="H7" s="10">
        <f>t_E_nom*a_util*a_avail*H6</f>
        <v>6.173287789097781</v>
      </c>
      <c r="I7" s="10">
        <f>t_E_nom*a_util*a_avail*I6</f>
        <v>6.173287789097781</v>
      </c>
      <c r="J7" s="10">
        <f>t_E_nom*a_util*a_avail*J6</f>
        <v>6.173287789097781</v>
      </c>
      <c r="K7" s="10">
        <f>t_E_nom*a_util*a_avail*K6</f>
        <v>6.173287789097781</v>
      </c>
      <c r="L7" s="10">
        <f>t_E_nom*a_util*a_avail*L6</f>
        <v>6.173287789097781</v>
      </c>
      <c r="M7" s="10">
        <f>t_E_nom*a_util*a_avail*M6</f>
        <v>6.173287789097781</v>
      </c>
      <c r="N7" s="10">
        <f>t_E_nom*a_util*a_avail*N6</f>
        <v>6.173287789097781</v>
      </c>
      <c r="O7" s="10">
        <f>t_E_nom*a_util*a_avail*O6</f>
        <v>6.173287789097781</v>
      </c>
      <c r="P7" s="10">
        <f>t_E_nom*a_util*a_avail*P6</f>
        <v>6.173287789097781</v>
      </c>
      <c r="Q7" s="10">
        <f>t_E_nom*a_util*a_avail*Q6</f>
        <v>6.173287789097781</v>
      </c>
      <c r="R7" s="10">
        <f>t_E_nom*a_util*a_avail*R6</f>
        <v>6.173287789097781</v>
      </c>
      <c r="S7" s="10">
        <f>t_E_nom*a_util*a_avail*S6</f>
        <v>6.173287789097781</v>
      </c>
      <c r="T7" s="10">
        <f>t_E_nom*a_util*a_avail*T6</f>
        <v>6.173287789097781</v>
      </c>
      <c r="U7" s="10">
        <f>t_E_nom*a_util*a_avail*U6</f>
        <v>6.173287789097781</v>
      </c>
      <c r="V7" s="10">
        <f>t_E_nom*a_util*a_avail*V6</f>
        <v>6.173287789097781</v>
      </c>
      <c r="W7" s="10">
        <f>t_E_nom*a_util*a_avail*W6</f>
        <v>6.173287789097781</v>
      </c>
    </row>
    <row r="8" spans="1:23">
      <c r="A8" t="s">
        <v>300</v>
      </c>
      <c r="C8" s="10">
        <f>MIN(a_captive_kW*a_captive_h/1000000*IF(C6&gt;=1,1,C6),C7)</f>
        <v>0.0</v>
      </c>
      <c r="D8" s="10">
        <f>MIN(a_captive_kW*a_captive_h/1000000*IF(D6&gt;=1,1,D6),D7)</f>
        <v>0.27540000000000003</v>
      </c>
      <c r="E8" s="10">
        <f>MIN(a_captive_kW*a_captive_h/1000000*IF(E6&gt;=1,1,E6),E7)</f>
        <v>0.3672</v>
      </c>
      <c r="F8" s="10">
        <f>MIN(a_captive_kW*a_captive_h/1000000*IF(F6&gt;=1,1,F6),F7)</f>
        <v>0.3672</v>
      </c>
      <c r="G8" s="10">
        <f>MIN(a_captive_kW*a_captive_h/1000000*IF(G6&gt;=1,1,G6),G7)</f>
        <v>0.3672</v>
      </c>
      <c r="H8" s="10">
        <f>MIN(a_captive_kW*a_captive_h/1000000*IF(H6&gt;=1,1,H6),H7)</f>
        <v>0.3672</v>
      </c>
      <c r="I8" s="10">
        <f>MIN(a_captive_kW*a_captive_h/1000000*IF(I6&gt;=1,1,I6),I7)</f>
        <v>0.3672</v>
      </c>
      <c r="J8" s="10">
        <f>MIN(a_captive_kW*a_captive_h/1000000*IF(J6&gt;=1,1,J6),J7)</f>
        <v>0.3672</v>
      </c>
      <c r="K8" s="10">
        <f>MIN(a_captive_kW*a_captive_h/1000000*IF(K6&gt;=1,1,K6),K7)</f>
        <v>0.3672</v>
      </c>
      <c r="L8" s="10">
        <f>MIN(a_captive_kW*a_captive_h/1000000*IF(L6&gt;=1,1,L6),L7)</f>
        <v>0.3672</v>
      </c>
      <c r="M8" s="10">
        <f>MIN(a_captive_kW*a_captive_h/1000000*IF(M6&gt;=1,1,M6),M7)</f>
        <v>0.3672</v>
      </c>
      <c r="N8" s="10">
        <f>MIN(a_captive_kW*a_captive_h/1000000*IF(N6&gt;=1,1,N6),N7)</f>
        <v>0.3672</v>
      </c>
      <c r="O8" s="10">
        <f>MIN(a_captive_kW*a_captive_h/1000000*IF(O6&gt;=1,1,O6),O7)</f>
        <v>0.3672</v>
      </c>
      <c r="P8" s="10">
        <f>MIN(a_captive_kW*a_captive_h/1000000*IF(P6&gt;=1,1,P6),P7)</f>
        <v>0.3672</v>
      </c>
      <c r="Q8" s="10">
        <f>MIN(a_captive_kW*a_captive_h/1000000*IF(Q6&gt;=1,1,Q6),Q7)</f>
        <v>0.3672</v>
      </c>
      <c r="R8" s="10">
        <f>MIN(a_captive_kW*a_captive_h/1000000*IF(R6&gt;=1,1,R6),R7)</f>
        <v>0.3672</v>
      </c>
      <c r="S8" s="10">
        <f>MIN(a_captive_kW*a_captive_h/1000000*IF(S6&gt;=1,1,S6),S7)</f>
        <v>0.3672</v>
      </c>
      <c r="T8" s="10">
        <f>MIN(a_captive_kW*a_captive_h/1000000*IF(T6&gt;=1,1,T6),T7)</f>
        <v>0.3672</v>
      </c>
      <c r="U8" s="10">
        <f>MIN(a_captive_kW*a_captive_h/1000000*IF(U6&gt;=1,1,U6),U7)</f>
        <v>0.3672</v>
      </c>
      <c r="V8" s="10">
        <f>MIN(a_captive_kW*a_captive_h/1000000*IF(V6&gt;=1,1,V6),V7)</f>
        <v>0.3672</v>
      </c>
      <c r="W8" s="10">
        <f>MIN(a_captive_kW*a_captive_h/1000000*IF(W6&gt;=1,1,W6),W7)</f>
        <v>0.3672</v>
      </c>
    </row>
    <row r="9" spans="1:23">
      <c r="A9" t="s">
        <v>301</v>
      </c>
      <c r="C9" s="10">
        <f>(C7-C8)*t_capf</f>
        <v>0.0</v>
      </c>
      <c r="D9" s="10">
        <f>(D7-D8)*t_capf</f>
        <v>4.267399522065416</v>
      </c>
      <c r="E9" s="10">
        <f>(E7-E8)*t_capf</f>
        <v>5.689866029420554</v>
      </c>
      <c r="F9" s="10">
        <f>(F7-F8)*t_capf</f>
        <v>5.689866029420554</v>
      </c>
      <c r="G9" s="10">
        <f>(G7-G8)*t_capf</f>
        <v>5.689866029420554</v>
      </c>
      <c r="H9" s="10">
        <f>(H7-H8)*t_capf</f>
        <v>5.689866029420554</v>
      </c>
      <c r="I9" s="10">
        <f>(I7-I8)*t_capf</f>
        <v>5.689866029420554</v>
      </c>
      <c r="J9" s="10">
        <f>(J7-J8)*t_capf</f>
        <v>5.689866029420554</v>
      </c>
      <c r="K9" s="10">
        <f>(K7-K8)*t_capf</f>
        <v>5.689866029420554</v>
      </c>
      <c r="L9" s="10">
        <f>(L7-L8)*t_capf</f>
        <v>5.689866029420554</v>
      </c>
      <c r="M9" s="10">
        <f>(M7-M8)*t_capf</f>
        <v>5.689866029420554</v>
      </c>
      <c r="N9" s="10">
        <f>(N7-N8)*t_capf</f>
        <v>5.689866029420554</v>
      </c>
      <c r="O9" s="10">
        <f>(O7-O8)*t_capf</f>
        <v>5.689866029420554</v>
      </c>
      <c r="P9" s="10">
        <f>(P7-P8)*t_capf</f>
        <v>5.689866029420554</v>
      </c>
      <c r="Q9" s="10">
        <f>(Q7-Q8)*t_capf</f>
        <v>5.689866029420554</v>
      </c>
      <c r="R9" s="10">
        <f>(R7-R8)*t_capf</f>
        <v>5.689866029420554</v>
      </c>
      <c r="S9" s="10">
        <f>(S7-S8)*t_capf</f>
        <v>5.689866029420554</v>
      </c>
      <c r="T9" s="10">
        <f>(T7-T8)*t_capf</f>
        <v>5.689866029420554</v>
      </c>
      <c r="U9" s="10">
        <f>(U7-U8)*t_capf</f>
        <v>5.689866029420554</v>
      </c>
      <c r="V9" s="10">
        <f>(V7-V8)*t_capf</f>
        <v>5.689866029420554</v>
      </c>
      <c r="W9" s="10">
        <f>(W7-W8)*t_capf</f>
        <v>5.689866029420554</v>
      </c>
    </row>
    <row r="10" spans="1:23">
      <c r="A10" t="s">
        <v>302</v>
      </c>
      <c r="C10" s="11">
        <f>IF(C4=0,0,IF(C4&lt;=10,a_tariff1*a_F_loc,a_tariff2)/100)</f>
        <v>0.0</v>
      </c>
      <c r="D10" s="11">
        <f>IF(D4=0,0,IF(D4&lt;=10,a_tariff1*a_F_loc,a_tariff2)/100)</f>
        <v>0.11198000000000001</v>
      </c>
      <c r="E10" s="11">
        <f>IF(E4=0,0,IF(E4&lt;=10,a_tariff1*a_F_loc,a_tariff2)/100)</f>
        <v>0.11198000000000001</v>
      </c>
      <c r="F10" s="11">
        <f>IF(F4=0,0,IF(F4&lt;=10,a_tariff1*a_F_loc,a_tariff2)/100)</f>
        <v>0.11198000000000001</v>
      </c>
      <c r="G10" s="11">
        <f>IF(G4=0,0,IF(G4&lt;=10,a_tariff1*a_F_loc,a_tariff2)/100)</f>
        <v>0.11198000000000001</v>
      </c>
      <c r="H10" s="11">
        <f>IF(H4=0,0,IF(H4&lt;=10,a_tariff1*a_F_loc,a_tariff2)/100)</f>
        <v>0.11198000000000001</v>
      </c>
      <c r="I10" s="11">
        <f>IF(I4=0,0,IF(I4&lt;=10,a_tariff1*a_F_loc,a_tariff2)/100)</f>
        <v>0.11198000000000001</v>
      </c>
      <c r="J10" s="11">
        <f>IF(J4=0,0,IF(J4&lt;=10,a_tariff1*a_F_loc,a_tariff2)/100)</f>
        <v>0.11198000000000001</v>
      </c>
      <c r="K10" s="11">
        <f>IF(K4=0,0,IF(K4&lt;=10,a_tariff1*a_F_loc,a_tariff2)/100)</f>
        <v>0.11198000000000001</v>
      </c>
      <c r="L10" s="11">
        <f>IF(L4=0,0,IF(L4&lt;=10,a_tariff1*a_F_loc,a_tariff2)/100)</f>
        <v>0.11198000000000001</v>
      </c>
      <c r="M10" s="11">
        <f>IF(M4=0,0,IF(M4&lt;=10,a_tariff1*a_F_loc,a_tariff2)/100)</f>
        <v>0.11198000000000001</v>
      </c>
      <c r="N10" s="11">
        <f>IF(N4=0,0,IF(N4&lt;=10,a_tariff1*a_F_loc,a_tariff2)/100)</f>
        <v>0.0611</v>
      </c>
      <c r="O10" s="11">
        <f>IF(O4=0,0,IF(O4&lt;=10,a_tariff1*a_F_loc,a_tariff2)/100)</f>
        <v>0.0611</v>
      </c>
      <c r="P10" s="11">
        <f>IF(P4=0,0,IF(P4&lt;=10,a_tariff1*a_F_loc,a_tariff2)/100)</f>
        <v>0.0611</v>
      </c>
      <c r="Q10" s="11">
        <f>IF(Q4=0,0,IF(Q4&lt;=10,a_tariff1*a_F_loc,a_tariff2)/100)</f>
        <v>0.0611</v>
      </c>
      <c r="R10" s="11">
        <f>IF(R4=0,0,IF(R4&lt;=10,a_tariff1*a_F_loc,a_tariff2)/100)</f>
        <v>0.0611</v>
      </c>
      <c r="S10" s="11">
        <f>IF(S4=0,0,IF(S4&lt;=10,a_tariff1*a_F_loc,a_tariff2)/100)</f>
        <v>0.0611</v>
      </c>
      <c r="T10" s="11">
        <f>IF(T4=0,0,IF(T4&lt;=10,a_tariff1*a_F_loc,a_tariff2)/100)</f>
        <v>0.0611</v>
      </c>
      <c r="U10" s="11">
        <f>IF(U4=0,0,IF(U4&lt;=10,a_tariff1*a_F_loc,a_tariff2)/100)</f>
        <v>0.0611</v>
      </c>
      <c r="V10" s="11">
        <f>IF(V4=0,0,IF(V4&lt;=10,a_tariff1*a_F_loc,a_tariff2)/100)</f>
        <v>0.0611</v>
      </c>
      <c r="W10" s="11">
        <f>IF(W4=0,0,IF(W4&lt;=10,a_tariff1*a_F_loc,a_tariff2)/100)</f>
        <v>0.0611</v>
      </c>
    </row>
    <row r="11" spans="1:23">
      <c r="A11" t="s">
        <v>303</v>
      </c>
      <c r="C11" s="11">
        <f>IF(C4=0,0,a_p_captive*(1+a_infl)^(C5-2026))</f>
        <v>0.0</v>
      </c>
      <c r="D11" s="11">
        <f>IF(D4=0,0,a_p_captive*(1+a_infl)^(D5-2026))</f>
        <v>0.187272</v>
      </c>
      <c r="E11" s="11">
        <f>IF(E4=0,0,a_p_captive*(1+a_infl)^(E5-2026))</f>
        <v>0.19101744</v>
      </c>
      <c r="F11" s="11">
        <f>IF(F4=0,0,a_p_captive*(1+a_infl)^(F5-2026))</f>
        <v>0.1948377888</v>
      </c>
      <c r="G11" s="11">
        <f>IF(G4=0,0,a_p_captive*(1+a_infl)^(G5-2026))</f>
        <v>0.19873454457599998</v>
      </c>
      <c r="H11" s="11">
        <f>IF(H4=0,0,a_p_captive*(1+a_infl)^(H5-2026))</f>
        <v>0.20270923546752</v>
      </c>
      <c r="I11" s="11">
        <f>IF(I4=0,0,a_p_captive*(1+a_infl)^(I5-2026))</f>
        <v>0.2067634201768704</v>
      </c>
      <c r="J11" s="11">
        <f>IF(J4=0,0,a_p_captive*(1+a_infl)^(J5-2026))</f>
        <v>0.21089868858040783</v>
      </c>
      <c r="K11" s="11">
        <f>IF(K4=0,0,a_p_captive*(1+a_infl)^(K5-2026))</f>
        <v>0.21511666235201599</v>
      </c>
      <c r="L11" s="11">
        <f>IF(L4=0,0,a_p_captive*(1+a_infl)^(L5-2026))</f>
        <v>0.2194189955990563</v>
      </c>
      <c r="M11" s="11">
        <f>IF(M4=0,0,a_p_captive*(1+a_infl)^(M5-2026))</f>
        <v>0.22380737551103744</v>
      </c>
      <c r="N11" s="11">
        <f>IF(N4=0,0,a_p_captive*(1+a_infl)^(N5-2026))</f>
        <v>0.22828352302125818</v>
      </c>
      <c r="O11" s="11">
        <f>IF(O4=0,0,a_p_captive*(1+a_infl)^(O5-2026))</f>
        <v>0.23284919348168337</v>
      </c>
      <c r="P11" s="11">
        <f>IF(P4=0,0,a_p_captive*(1+a_infl)^(P5-2026))</f>
        <v>0.23750617735131702</v>
      </c>
      <c r="Q11" s="11">
        <f>IF(Q4=0,0,a_p_captive*(1+a_infl)^(Q5-2026))</f>
        <v>0.24225630089834338</v>
      </c>
      <c r="R11" s="11">
        <f>IF(R4=0,0,a_p_captive*(1+a_infl)^(R5-2026))</f>
        <v>0.24710142691631024</v>
      </c>
      <c r="S11" s="11">
        <f>IF(S4=0,0,a_p_captive*(1+a_infl)^(S5-2026))</f>
        <v>0.25204345545463647</v>
      </c>
      <c r="T11" s="11">
        <f>IF(T4=0,0,a_p_captive*(1+a_infl)^(T5-2026))</f>
        <v>0.2570843245637292</v>
      </c>
      <c r="U11" s="11">
        <f>IF(U4=0,0,a_p_captive*(1+a_infl)^(U5-2026))</f>
        <v>0.26222601105500376</v>
      </c>
      <c r="V11" s="11">
        <f>IF(V4=0,0,a_p_captive*(1+a_infl)^(V5-2026))</f>
        <v>0.2674705312761039</v>
      </c>
      <c r="W11" s="11">
        <f>IF(W4=0,0,a_p_captive*(1+a_infl)^(W5-2026))</f>
        <v>0.27281994190162595</v>
      </c>
    </row>
    <row r="12" spans="1:23">
      <c r="A12" t="s">
        <v>304</v>
      </c>
      <c r="C12" s="13">
        <f>IF(C4=0,0,t_ffb*a_util*a_fee_ffb*(1+a_infl)^(C5-2026))</f>
        <v>0.0</v>
      </c>
      <c r="D12" s="13">
        <f>IF(D4=0,0,t_ffb*a_util*a_fee_ffb*(1+a_infl)^(D5-2026))</f>
        <v>516870.72</v>
      </c>
      <c r="E12" s="13">
        <f>IF(E4=0,0,t_ffb*a_util*a_fee_ffb*(1+a_infl)^(E5-2026))</f>
        <v>527208.1344000001</v>
      </c>
      <c r="F12" s="13">
        <f>IF(F4=0,0,t_ffb*a_util*a_fee_ffb*(1+a_infl)^(F5-2026))</f>
        <v>537752.297088</v>
      </c>
      <c r="G12" s="13">
        <f>IF(G4=0,0,t_ffb*a_util*a_fee_ffb*(1+a_infl)^(G5-2026))</f>
        <v>548507.34302976</v>
      </c>
      <c r="H12" s="13">
        <f>IF(H4=0,0,t_ffb*a_util*a_fee_ffb*(1+a_infl)^(H5-2026))</f>
        <v>559477.4898903553</v>
      </c>
      <c r="I12" s="13">
        <f>IF(I4=0,0,t_ffb*a_util*a_fee_ffb*(1+a_infl)^(I5-2026))</f>
        <v>570667.0396881623</v>
      </c>
      <c r="J12" s="13">
        <f>IF(J4=0,0,t_ffb*a_util*a_fee_ffb*(1+a_infl)^(J5-2026))</f>
        <v>582080.3804819257</v>
      </c>
      <c r="K12" s="13">
        <f>IF(K4=0,0,t_ffb*a_util*a_fee_ffb*(1+a_infl)^(K5-2026))</f>
        <v>593721.9880915642</v>
      </c>
      <c r="L12" s="13">
        <f>IF(L4=0,0,t_ffb*a_util*a_fee_ffb*(1+a_infl)^(L5-2026))</f>
        <v>605596.4278533955</v>
      </c>
      <c r="M12" s="13">
        <f>IF(M4=0,0,t_ffb*a_util*a_fee_ffb*(1+a_infl)^(M5-2026))</f>
        <v>617708.3564104633</v>
      </c>
      <c r="N12" s="13">
        <f>IF(N4=0,0,t_ffb*a_util*a_fee_ffb*(1+a_infl)^(N5-2026))</f>
        <v>630062.5235386726</v>
      </c>
      <c r="O12" s="13">
        <f>IF(O4=0,0,t_ffb*a_util*a_fee_ffb*(1+a_infl)^(O5-2026))</f>
        <v>642663.7740094461</v>
      </c>
      <c r="P12" s="13">
        <f>IF(P4=0,0,t_ffb*a_util*a_fee_ffb*(1+a_infl)^(P5-2026))</f>
        <v>655517.049489635</v>
      </c>
      <c r="Q12" s="13">
        <f>IF(Q4=0,0,t_ffb*a_util*a_fee_ffb*(1+a_infl)^(Q5-2026))</f>
        <v>668627.3904794278</v>
      </c>
      <c r="R12" s="13">
        <f>IF(R4=0,0,t_ffb*a_util*a_fee_ffb*(1+a_infl)^(R5-2026))</f>
        <v>681999.9382890163</v>
      </c>
      <c r="S12" s="13">
        <f>IF(S4=0,0,t_ffb*a_util*a_fee_ffb*(1+a_infl)^(S5-2026))</f>
        <v>695639.9370547966</v>
      </c>
      <c r="T12" s="13">
        <f>IF(T4=0,0,t_ffb*a_util*a_fee_ffb*(1+a_infl)^(T5-2026))</f>
        <v>709552.7357958927</v>
      </c>
      <c r="U12" s="13">
        <f>IF(U4=0,0,t_ffb*a_util*a_fee_ffb*(1+a_infl)^(U5-2026))</f>
        <v>723743.7905118105</v>
      </c>
      <c r="V12" s="13">
        <f>IF(V4=0,0,t_ffb*a_util*a_fee_ffb*(1+a_infl)^(V5-2026))</f>
        <v>738218.6663220467</v>
      </c>
      <c r="W12" s="13">
        <f>IF(W4=0,0,t_ffb*a_util*a_fee_ffb*(1+a_infl)^(W5-2026))</f>
        <v>752983.0396484876</v>
      </c>
    </row>
    <row r="13" spans="1:23">
      <c r="A13" t="s">
        <v>305</v>
      </c>
      <c r="C13" s="13">
        <f>C8*1000000*C11</f>
        <v>0.0</v>
      </c>
      <c r="D13" s="13">
        <f>D8*1000000*D11</f>
        <v>51574.70880000001</v>
      </c>
      <c r="E13" s="13">
        <f>E8*1000000*E11</f>
        <v>70141.60396800001</v>
      </c>
      <c r="F13" s="13">
        <f>F8*1000000*F11</f>
        <v>71544.43604736</v>
      </c>
      <c r="G13" s="13">
        <f>G8*1000000*G11</f>
        <v>72975.3247683072</v>
      </c>
      <c r="H13" s="13">
        <f>H8*1000000*H11</f>
        <v>74434.83126367335</v>
      </c>
      <c r="I13" s="13">
        <f>I8*1000000*I11</f>
        <v>75923.52788894682</v>
      </c>
      <c r="J13" s="13">
        <f>J8*1000000*J11</f>
        <v>77441.99844672576</v>
      </c>
      <c r="K13" s="13">
        <f>K8*1000000*K11</f>
        <v>78990.83841566027</v>
      </c>
      <c r="L13" s="13">
        <f>L8*1000000*L11</f>
        <v>80570.65518397347</v>
      </c>
      <c r="M13" s="13">
        <f>M8*1000000*M11</f>
        <v>82182.06828765295</v>
      </c>
      <c r="N13" s="13">
        <f>N8*1000000*N11</f>
        <v>83825.709653406</v>
      </c>
      <c r="O13" s="13">
        <f>O8*1000000*O11</f>
        <v>85502.22384647414</v>
      </c>
      <c r="P13" s="13">
        <f>P8*1000000*P11</f>
        <v>87212.26832340361</v>
      </c>
      <c r="Q13" s="13">
        <f>Q8*1000000*Q11</f>
        <v>88956.51368987169</v>
      </c>
      <c r="R13" s="13">
        <f>R8*1000000*R11</f>
        <v>90735.64396366912</v>
      </c>
      <c r="S13" s="13">
        <f>S8*1000000*S11</f>
        <v>92550.3568429425</v>
      </c>
      <c r="T13" s="13">
        <f>T8*1000000*T11</f>
        <v>94401.36397980136</v>
      </c>
      <c r="U13" s="13">
        <f>U8*1000000*U11</f>
        <v>96289.39125939738</v>
      </c>
      <c r="V13" s="13">
        <f>V8*1000000*V11</f>
        <v>98215.17908458534</v>
      </c>
      <c r="W13" s="13">
        <f>W8*1000000*W11</f>
        <v>100179.48266627705</v>
      </c>
    </row>
    <row r="14" spans="1:23">
      <c r="A14" t="s">
        <v>306</v>
      </c>
      <c r="C14" s="13">
        <f>C9*1000000*C10</f>
        <v>0.0</v>
      </c>
      <c r="D14" s="13">
        <f>D9*1000000*D10</f>
        <v>477863.3984808853</v>
      </c>
      <c r="E14" s="13">
        <f>E9*1000000*E10</f>
        <v>637151.1979745138</v>
      </c>
      <c r="F14" s="13">
        <f>F9*1000000*F10</f>
        <v>637151.1979745138</v>
      </c>
      <c r="G14" s="13">
        <f>G9*1000000*G10</f>
        <v>637151.1979745138</v>
      </c>
      <c r="H14" s="13">
        <f>H9*1000000*H10</f>
        <v>637151.1979745138</v>
      </c>
      <c r="I14" s="13">
        <f>I9*1000000*I10</f>
        <v>637151.1979745138</v>
      </c>
      <c r="J14" s="13">
        <f>J9*1000000*J10</f>
        <v>637151.1979745138</v>
      </c>
      <c r="K14" s="13">
        <f>K9*1000000*K10</f>
        <v>637151.1979745138</v>
      </c>
      <c r="L14" s="13">
        <f>L9*1000000*L10</f>
        <v>637151.1979745138</v>
      </c>
      <c r="M14" s="13">
        <f>M9*1000000*M10</f>
        <v>637151.1979745138</v>
      </c>
      <c r="N14" s="13">
        <f>N9*1000000*N10</f>
        <v>347650.8143975959</v>
      </c>
      <c r="O14" s="13">
        <f>O9*1000000*O10</f>
        <v>347650.8143975959</v>
      </c>
      <c r="P14" s="13">
        <f>P9*1000000*P10</f>
        <v>347650.8143975959</v>
      </c>
      <c r="Q14" s="13">
        <f>Q9*1000000*Q10</f>
        <v>347650.8143975959</v>
      </c>
      <c r="R14" s="13">
        <f>R9*1000000*R10</f>
        <v>347650.8143975959</v>
      </c>
      <c r="S14" s="13">
        <f>S9*1000000*S10</f>
        <v>347650.8143975959</v>
      </c>
      <c r="T14" s="13">
        <f>T9*1000000*T10</f>
        <v>347650.8143975959</v>
      </c>
      <c r="U14" s="13">
        <f>U9*1000000*U10</f>
        <v>347650.8143975959</v>
      </c>
      <c r="V14" s="13">
        <f>V9*1000000*V10</f>
        <v>347650.8143975959</v>
      </c>
      <c r="W14" s="13">
        <f>W9*1000000*W10</f>
        <v>347650.8143975959</v>
      </c>
    </row>
    <row r="15" spans="1:23">
      <c r="A15" t="s">
        <v>307</v>
      </c>
      <c r="C15" s="12">
        <f>IF(AND(C4&gt;=1,C4&lt;=a_carbon_years),t_ER*a_cer_ratio*C6,0)</f>
        <v>0.0</v>
      </c>
      <c r="D15" s="12">
        <f>IF(AND(D4&gt;=1,D4&lt;=a_carbon_years),t_ER*a_cer_ratio*D6,0)</f>
        <v>21794.509155789077</v>
      </c>
      <c r="E15" s="12">
        <f>IF(AND(E4&gt;=1,E4&lt;=a_carbon_years),t_ER*a_cer_ratio*E6,0)</f>
        <v>29059.345541052106</v>
      </c>
      <c r="F15" s="12">
        <f>IF(AND(F4&gt;=1,F4&lt;=a_carbon_years),t_ER*a_cer_ratio*F6,0)</f>
        <v>29059.345541052106</v>
      </c>
      <c r="G15" s="12">
        <f>IF(AND(G4&gt;=1,G4&lt;=a_carbon_years),t_ER*a_cer_ratio*G6,0)</f>
        <v>29059.345541052106</v>
      </c>
      <c r="H15" s="12">
        <f>IF(AND(H4&gt;=1,H4&lt;=a_carbon_years),t_ER*a_cer_ratio*H6,0)</f>
        <v>29059.345541052106</v>
      </c>
      <c r="I15" s="12">
        <f>IF(AND(I4&gt;=1,I4&lt;=a_carbon_years),t_ER*a_cer_ratio*I6,0)</f>
        <v>29059.345541052106</v>
      </c>
      <c r="J15" s="12">
        <f>IF(AND(J4&gt;=1,J4&lt;=a_carbon_years),t_ER*a_cer_ratio*J6,0)</f>
        <v>29059.345541052106</v>
      </c>
      <c r="K15" s="12">
        <f>IF(AND(K4&gt;=1,K4&lt;=a_carbon_years),t_ER*a_cer_ratio*K6,0)</f>
        <v>29059.345541052106</v>
      </c>
      <c r="L15" s="12">
        <f>IF(AND(L4&gt;=1,L4&lt;=a_carbon_years),t_ER*a_cer_ratio*L6,0)</f>
        <v>29059.345541052106</v>
      </c>
      <c r="M15" s="12">
        <f>IF(AND(M4&gt;=1,M4&lt;=a_carbon_years),t_ER*a_cer_ratio*M6,0)</f>
        <v>29059.345541052106</v>
      </c>
      <c r="N15" s="12">
        <f>IF(AND(N4&gt;=1,N4&lt;=a_carbon_years),t_ER*a_cer_ratio*N6,0)</f>
        <v>0.0</v>
      </c>
      <c r="O15" s="12">
        <f>IF(AND(O4&gt;=1,O4&lt;=a_carbon_years),t_ER*a_cer_ratio*O6,0)</f>
        <v>0.0</v>
      </c>
      <c r="P15" s="12">
        <f>IF(AND(P4&gt;=1,P4&lt;=a_carbon_years),t_ER*a_cer_ratio*P6,0)</f>
        <v>0.0</v>
      </c>
      <c r="Q15" s="12">
        <f>IF(AND(Q4&gt;=1,Q4&lt;=a_carbon_years),t_ER*a_cer_ratio*Q6,0)</f>
        <v>0.0</v>
      </c>
      <c r="R15" s="12">
        <f>IF(AND(R4&gt;=1,R4&lt;=a_carbon_years),t_ER*a_cer_ratio*R6,0)</f>
        <v>0.0</v>
      </c>
      <c r="S15" s="12">
        <f>IF(AND(S4&gt;=1,S4&lt;=a_carbon_years),t_ER*a_cer_ratio*S6,0)</f>
        <v>0.0</v>
      </c>
      <c r="T15" s="12">
        <f>IF(AND(T4&gt;=1,T4&lt;=a_carbon_years),t_ER*a_cer_ratio*T6,0)</f>
        <v>0.0</v>
      </c>
      <c r="U15" s="12">
        <f>IF(AND(U4&gt;=1,U4&lt;=a_carbon_years),t_ER*a_cer_ratio*U6,0)</f>
        <v>0.0</v>
      </c>
      <c r="V15" s="12">
        <f>IF(AND(V4&gt;=1,V4&lt;=a_carbon_years),t_ER*a_cer_ratio*V6,0)</f>
        <v>0.0</v>
      </c>
      <c r="W15" s="12">
        <f>IF(AND(W4&gt;=1,W4&lt;=a_carbon_years),t_ER*a_cer_ratio*W6,0)</f>
        <v>0.0</v>
      </c>
    </row>
    <row r="16" spans="1:23">
      <c r="A16" t="s">
        <v>308</v>
      </c>
      <c r="C16" s="13">
        <v>0</v>
      </c>
      <c r="D16" s="13">
        <v>0</v>
      </c>
      <c r="E16" s="13">
        <f>D15*(a_p_carbon-a_c_levy)</f>
        <v>103959.80867311389</v>
      </c>
      <c r="F16" s="13">
        <f>E15*(a_p_carbon-a_c_levy)</f>
        <v>138613.07823081853</v>
      </c>
      <c r="G16" s="13">
        <f>F15*(a_p_carbon-a_c_levy)</f>
        <v>138613.07823081853</v>
      </c>
      <c r="H16" s="13">
        <f>G15*(a_p_carbon-a_c_levy)</f>
        <v>138613.07823081853</v>
      </c>
      <c r="I16" s="13">
        <f>H15*(a_p_carbon-a_c_levy)</f>
        <v>138613.07823081853</v>
      </c>
      <c r="J16" s="13">
        <f>I15*(a_p_carbon-a_c_levy)</f>
        <v>138613.07823081853</v>
      </c>
      <c r="K16" s="13">
        <f>J15*(a_p_carbon-a_c_levy)</f>
        <v>138613.07823081853</v>
      </c>
      <c r="L16" s="13">
        <f>K15*(a_p_carbon-a_c_levy)</f>
        <v>138613.07823081853</v>
      </c>
      <c r="M16" s="13">
        <f>L15*(a_p_carbon-a_c_levy)</f>
        <v>138613.07823081853</v>
      </c>
      <c r="N16" s="13">
        <f>M15*(a_p_carbon-a_c_levy)</f>
        <v>138613.07823081853</v>
      </c>
      <c r="O16" s="13">
        <f>N15*(a_p_carbon-a_c_levy)</f>
        <v>0.0</v>
      </c>
      <c r="P16" s="13">
        <f>O15*(a_p_carbon-a_c_levy)</f>
        <v>0.0</v>
      </c>
      <c r="Q16" s="13">
        <f>P15*(a_p_carbon-a_c_levy)</f>
        <v>0.0</v>
      </c>
      <c r="R16" s="13">
        <f>Q15*(a_p_carbon-a_c_levy)</f>
        <v>0.0</v>
      </c>
      <c r="S16" s="13">
        <f>R15*(a_p_carbon-a_c_levy)</f>
        <v>0.0</v>
      </c>
      <c r="T16" s="13">
        <f>S15*(a_p_carbon-a_c_levy)</f>
        <v>0.0</v>
      </c>
      <c r="U16" s="13">
        <f>T15*(a_p_carbon-a_c_levy)</f>
        <v>0.0</v>
      </c>
      <c r="V16" s="13">
        <f>U15*(a_p_carbon-a_c_levy)</f>
        <v>0.0</v>
      </c>
      <c r="W16" s="13">
        <f>V15*(a_p_carbon-a_c_levy)</f>
        <v>0.0</v>
      </c>
    </row>
    <row r="17" spans="1:23">
      <c r="A17" s="9" t="s">
        <v>309</v>
      </c>
      <c r="C17" s="14">
        <f>C12+C13+C14+C16</f>
        <v>0.0</v>
      </c>
      <c r="D17" s="14">
        <f>D12+D13+D14+D16</f>
        <v>1046308.8272808853</v>
      </c>
      <c r="E17" s="14">
        <f>E12+E13+E14+E16</f>
        <v>1338460.7450156277</v>
      </c>
      <c r="F17" s="14">
        <f>F12+F13+F14+F16</f>
        <v>1385061.009340692</v>
      </c>
      <c r="G17" s="14">
        <f>G12+G13+G14+G16</f>
        <v>1397246.9440033995</v>
      </c>
      <c r="H17" s="14">
        <f>H12+H13+H14+H16</f>
        <v>1409676.597359361</v>
      </c>
      <c r="I17" s="14">
        <f>I12+I13+I14+I16</f>
        <v>1422354.8437824415</v>
      </c>
      <c r="J17" s="14">
        <f>J12+J13+J14+J16</f>
        <v>1435286.6551339838</v>
      </c>
      <c r="K17" s="14">
        <f>K12+K13+K14+K16</f>
        <v>1448477.1027125567</v>
      </c>
      <c r="L17" s="14">
        <f>L12+L13+L14+L16</f>
        <v>1461931.3592427012</v>
      </c>
      <c r="M17" s="14">
        <f>M12+M13+M14+M16</f>
        <v>1475654.7009034485</v>
      </c>
      <c r="N17" s="14">
        <f>N12+N13+N14+N16</f>
        <v>1200152.125820493</v>
      </c>
      <c r="O17" s="14">
        <f>O12+O13+O14+O16</f>
        <v>1075816.8122535162</v>
      </c>
      <c r="P17" s="14">
        <f>P12+P13+P14+P16</f>
        <v>1090380.1322106346</v>
      </c>
      <c r="Q17" s="14">
        <f>Q12+Q13+Q14+Q16</f>
        <v>1105234.7185668955</v>
      </c>
      <c r="R17" s="14">
        <f>R12+R13+R14+R16</f>
        <v>1120386.3966502813</v>
      </c>
      <c r="S17" s="14">
        <f>S12+S13+S14+S16</f>
        <v>1135841.108295335</v>
      </c>
      <c r="T17" s="14">
        <f>T12+T13+T14+T16</f>
        <v>1151604.91417329</v>
      </c>
      <c r="U17" s="14">
        <f>U12+U13+U14+U16</f>
        <v>1167683.9961688037</v>
      </c>
      <c r="V17" s="14">
        <f>V12+V13+V14+V16</f>
        <v>1184084.6598042278</v>
      </c>
      <c r="W17" s="14">
        <f>W12+W13+W14+W16</f>
        <v>1200813.3367123604</v>
      </c>
    </row>
    <row r="18" spans="1:23">
      <c r="A18" t="s">
        <v>310</v>
      </c>
      <c r="C18" s="13">
        <f>IF(C4=0,0,-(OPEX_F+OPEX_V*C7/(t_E_nom*a_util*a_avail))*(1+a_infl)^(C5-2026))</f>
        <v>-0.0</v>
      </c>
      <c r="D18" s="13">
        <f>IF(D4=0,0,-(OPEX_F+OPEX_V*D7/(t_E_nom*a_util*a_avail))*(1+a_infl)^(D5-2026))</f>
        <v>-301499.6163222575</v>
      </c>
      <c r="E18" s="13">
        <f>IF(E4=0,0,-(OPEX_F+OPEX_V*E7/(t_E_nom*a_util*a_avail))*(1+a_infl)^(E5-2026))</f>
        <v>-337558.4171956509</v>
      </c>
      <c r="F18" s="13">
        <f>IF(F4=0,0,-(OPEX_F+OPEX_V*F7/(t_E_nom*a_util*a_avail))*(1+a_infl)^(F5-2026))</f>
        <v>-344309.58553956385</v>
      </c>
      <c r="G18" s="13">
        <f>IF(G4=0,0,-(OPEX_F+OPEX_V*G7/(t_E_nom*a_util*a_avail))*(1+a_infl)^(G5-2026))</f>
        <v>-351195.77725035517</v>
      </c>
      <c r="H18" s="13">
        <f>IF(H4=0,0,-(OPEX_F+OPEX_V*H7/(t_E_nom*a_util*a_avail))*(1+a_infl)^(H5-2026))</f>
        <v>-358219.69279536227</v>
      </c>
      <c r="I18" s="13">
        <f>IF(I4=0,0,-(OPEX_F+OPEX_V*I7/(t_E_nom*a_util*a_avail))*(1+a_infl)^(I5-2026))</f>
        <v>-365384.0866512695</v>
      </c>
      <c r="J18" s="13">
        <f>IF(J4=0,0,-(OPEX_F+OPEX_V*J7/(t_E_nom*a_util*a_avail))*(1+a_infl)^(J5-2026))</f>
        <v>-372691.76838429493</v>
      </c>
      <c r="K18" s="13">
        <f>IF(K4=0,0,-(OPEX_F+OPEX_V*K7/(t_E_nom*a_util*a_avail))*(1+a_infl)^(K5-2026))</f>
        <v>-380145.6037519809</v>
      </c>
      <c r="L18" s="13">
        <f>IF(L4=0,0,-(OPEX_F+OPEX_V*L7/(t_E_nom*a_util*a_avail))*(1+a_infl)^(L5-2026))</f>
        <v>-387748.51582702046</v>
      </c>
      <c r="M18" s="13">
        <f>IF(M4=0,0,-(OPEX_F+OPEX_V*M7/(t_E_nom*a_util*a_avail))*(1+a_infl)^(M5-2026))</f>
        <v>-395503.4861435609</v>
      </c>
      <c r="N18" s="13">
        <f>IF(N4=0,0,-(OPEX_F+OPEX_V*N7/(t_E_nom*a_util*a_avail))*(1+a_infl)^(N5-2026))</f>
        <v>-403413.5558664321</v>
      </c>
      <c r="O18" s="13">
        <f>IF(O4=0,0,-(OPEX_F+OPEX_V*O7/(t_E_nom*a_util*a_avail))*(1+a_infl)^(O5-2026))</f>
        <v>-411481.82698376075</v>
      </c>
      <c r="P18" s="13">
        <f>IF(P4=0,0,-(OPEX_F+OPEX_V*P7/(t_E_nom*a_util*a_avail))*(1+a_infl)^(P5-2026))</f>
        <v>-419711.463523436</v>
      </c>
      <c r="Q18" s="13">
        <f>IF(Q4=0,0,-(OPEX_F+OPEX_V*Q7/(t_E_nom*a_util*a_avail))*(1+a_infl)^(Q5-2026))</f>
        <v>-428105.6927939047</v>
      </c>
      <c r="R18" s="13">
        <f>IF(R4=0,0,-(OPEX_F+OPEX_V*R7/(t_E_nom*a_util*a_avail))*(1+a_infl)^(R5-2026))</f>
        <v>-436667.8066497828</v>
      </c>
      <c r="S18" s="13">
        <f>IF(S4=0,0,-(OPEX_F+OPEX_V*S7/(t_E_nom*a_util*a_avail))*(1+a_infl)^(S5-2026))</f>
        <v>-445401.1627827785</v>
      </c>
      <c r="T18" s="13">
        <f>IF(T4=0,0,-(OPEX_F+OPEX_V*T7/(t_E_nom*a_util*a_avail))*(1+a_infl)^(T5-2026))</f>
        <v>-454309.1860384341</v>
      </c>
      <c r="U18" s="13">
        <f>IF(U4=0,0,-(OPEX_F+OPEX_V*U7/(t_E_nom*a_util*a_avail))*(1+a_infl)^(U5-2026))</f>
        <v>-463395.36975920276</v>
      </c>
      <c r="V18" s="13">
        <f>IF(V4=0,0,-(OPEX_F+OPEX_V*V7/(t_E_nom*a_util*a_avail))*(1+a_infl)^(V5-2026))</f>
        <v>-472663.27715438686</v>
      </c>
      <c r="W18" s="13">
        <f>IF(W4=0,0,-(OPEX_F+OPEX_V*W7/(t_E_nom*a_util*a_avail))*(1+a_infl)^(W5-2026))</f>
        <v>-482116.54269747454</v>
      </c>
    </row>
    <row r="19" spans="1:23">
      <c r="A19" t="s">
        <v>311</v>
      </c>
      <c r="C19" s="13">
        <f>IF(C4=0,0,-(IF(C4&lt;=a_carbon_years+1,a_c_mrv,0)+IF(C4=1,a_c_val,0))*(1+a_infl)^(C5-2026))</f>
        <v>-0.0</v>
      </c>
      <c r="D19" s="13">
        <f>IF(D4=0,0,-(IF(D4&lt;=a_carbon_years+1,a_c_mrv,0)+IF(D4=1,a_c_val,0))*(1+a_infl)^(D5-2026))</f>
        <v>-88434.0</v>
      </c>
      <c r="E19" s="13">
        <f>IF(E4=0,0,-(IF(E4&lt;=a_carbon_years+1,a_c_mrv,0)+IF(E4=1,a_c_val,0))*(1+a_infl)^(E5-2026))</f>
        <v>-26530.200000000004</v>
      </c>
      <c r="F19" s="13">
        <f>IF(F4=0,0,-(IF(F4&lt;=a_carbon_years+1,a_c_mrv,0)+IF(F4=1,a_c_val,0))*(1+a_infl)^(F5-2026))</f>
        <v>-27060.804</v>
      </c>
      <c r="G19" s="13">
        <f>IF(G4=0,0,-(IF(G4&lt;=a_carbon_years+1,a_c_mrv,0)+IF(G4=1,a_c_val,0))*(1+a_infl)^(G5-2026))</f>
        <v>-27602.020080000002</v>
      </c>
      <c r="H19" s="13">
        <f>IF(H4=0,0,-(IF(H4&lt;=a_carbon_years+1,a_c_mrv,0)+IF(H4=1,a_c_val,0))*(1+a_infl)^(H5-2026))</f>
        <v>-28154.0604816</v>
      </c>
      <c r="I19" s="13">
        <f>IF(I4=0,0,-(IF(I4&lt;=a_carbon_years+1,a_c_mrv,0)+IF(I4=1,a_c_val,0))*(1+a_infl)^(I5-2026))</f>
        <v>-28717.141691232002</v>
      </c>
      <c r="J19" s="13">
        <f>IF(J4=0,0,-(IF(J4&lt;=a_carbon_years+1,a_c_mrv,0)+IF(J4=1,a_c_val,0))*(1+a_infl)^(J5-2026))</f>
        <v>-29291.484525056643</v>
      </c>
      <c r="K19" s="13">
        <f>IF(K4=0,0,-(IF(K4&lt;=a_carbon_years+1,a_c_mrv,0)+IF(K4=1,a_c_val,0))*(1+a_infl)^(K5-2026))</f>
        <v>-29877.314215557777</v>
      </c>
      <c r="L19" s="13">
        <f>IF(L4=0,0,-(IF(L4&lt;=a_carbon_years+1,a_c_mrv,0)+IF(L4=1,a_c_val,0))*(1+a_infl)^(L5-2026))</f>
        <v>-30474.860499868933</v>
      </c>
      <c r="M19" s="13">
        <f>IF(M4=0,0,-(IF(M4&lt;=a_carbon_years+1,a_c_mrv,0)+IF(M4=1,a_c_val,0))*(1+a_infl)^(M5-2026))</f>
        <v>-31084.35770986631</v>
      </c>
      <c r="N19" s="13">
        <f>IF(N4=0,0,-(IF(N4&lt;=a_carbon_years+1,a_c_mrv,0)+IF(N4=1,a_c_val,0))*(1+a_infl)^(N5-2026))</f>
        <v>-31706.04486406364</v>
      </c>
      <c r="O19" s="13">
        <f>IF(O4=0,0,-(IF(O4&lt;=a_carbon_years+1,a_c_mrv,0)+IF(O4=1,a_c_val,0))*(1+a_infl)^(O5-2026))</f>
        <v>-0.0</v>
      </c>
      <c r="P19" s="13">
        <f>IF(P4=0,0,-(IF(P4&lt;=a_carbon_years+1,a_c_mrv,0)+IF(P4=1,a_c_val,0))*(1+a_infl)^(P5-2026))</f>
        <v>-0.0</v>
      </c>
      <c r="Q19" s="13">
        <f>IF(Q4=0,0,-(IF(Q4&lt;=a_carbon_years+1,a_c_mrv,0)+IF(Q4=1,a_c_val,0))*(1+a_infl)^(Q5-2026))</f>
        <v>-0.0</v>
      </c>
      <c r="R19" s="13">
        <f>IF(R4=0,0,-(IF(R4&lt;=a_carbon_years+1,a_c_mrv,0)+IF(R4=1,a_c_val,0))*(1+a_infl)^(R5-2026))</f>
        <v>-0.0</v>
      </c>
      <c r="S19" s="13">
        <f>IF(S4=0,0,-(IF(S4&lt;=a_carbon_years+1,a_c_mrv,0)+IF(S4=1,a_c_val,0))*(1+a_infl)^(S5-2026))</f>
        <v>-0.0</v>
      </c>
      <c r="T19" s="13">
        <f>IF(T4=0,0,-(IF(T4&lt;=a_carbon_years+1,a_c_mrv,0)+IF(T4=1,a_c_val,0))*(1+a_infl)^(T5-2026))</f>
        <v>-0.0</v>
      </c>
      <c r="U19" s="13">
        <f>IF(U4=0,0,-(IF(U4&lt;=a_carbon_years+1,a_c_mrv,0)+IF(U4=1,a_c_val,0))*(1+a_infl)^(U5-2026))</f>
        <v>-0.0</v>
      </c>
      <c r="V19" s="13">
        <f>IF(V4=0,0,-(IF(V4&lt;=a_carbon_years+1,a_c_mrv,0)+IF(V4=1,a_c_val,0))*(1+a_infl)^(V5-2026))</f>
        <v>-0.0</v>
      </c>
      <c r="W19" s="13">
        <f>IF(W4=0,0,-(IF(W4&lt;=a_carbon_years+1,a_c_mrv,0)+IF(W4=1,a_c_val,0))*(1+a_infl)^(W5-2026))</f>
        <v>-0.0</v>
      </c>
    </row>
    <row r="20" spans="1:23">
      <c r="A20" s="9" t="s">
        <v>312</v>
      </c>
      <c r="C20" s="14">
        <f>C17+C18+C19</f>
        <v>0.0</v>
      </c>
      <c r="D20" s="14">
        <f>D17+D18+D19</f>
        <v>656375.2109586278</v>
      </c>
      <c r="E20" s="14">
        <f>E17+E18+E19</f>
        <v>974372.1278199768</v>
      </c>
      <c r="F20" s="14">
        <f>F17+F18+F19</f>
        <v>1013690.6198011283</v>
      </c>
      <c r="G20" s="14">
        <f>G17+G18+G19</f>
        <v>1018449.1466730443</v>
      </c>
      <c r="H20" s="14">
        <f>H17+H18+H19</f>
        <v>1023302.8440823986</v>
      </c>
      <c r="I20" s="14">
        <f>I17+I18+I19</f>
        <v>1028253.61543994</v>
      </c>
      <c r="J20" s="14">
        <f>J17+J18+J19</f>
        <v>1033303.4022246322</v>
      </c>
      <c r="K20" s="14">
        <f>K17+K18+K19</f>
        <v>1038454.1847450181</v>
      </c>
      <c r="L20" s="14">
        <f>L17+L18+L19</f>
        <v>1043707.9829158118</v>
      </c>
      <c r="M20" s="14">
        <f>M17+M18+M19</f>
        <v>1049066.8570500212</v>
      </c>
      <c r="N20" s="14">
        <f>N17+N18+N19</f>
        <v>765032.5250899973</v>
      </c>
      <c r="O20" s="14">
        <f>O17+O18+O19</f>
        <v>664334.9852697554</v>
      </c>
      <c r="P20" s="14">
        <f>P17+P18+P19</f>
        <v>670668.6686871987</v>
      </c>
      <c r="Q20" s="14">
        <f>Q17+Q18+Q19</f>
        <v>677129.0257729908</v>
      </c>
      <c r="R20" s="14">
        <f>R17+R18+R19</f>
        <v>683718.5900004985</v>
      </c>
      <c r="S20" s="14">
        <f>S17+S18+S19</f>
        <v>690439.9455125565</v>
      </c>
      <c r="T20" s="14">
        <f>T17+T18+T19</f>
        <v>697295.7281348559</v>
      </c>
      <c r="U20" s="14">
        <f>U17+U18+U19</f>
        <v>704288.626409601</v>
      </c>
      <c r="V20" s="14">
        <f>V17+V18+V19</f>
        <v>711421.3826498409</v>
      </c>
      <c r="W20" s="14">
        <f>W17+W18+W19</f>
        <v>718696.7940148858</v>
      </c>
    </row>
    <row r="21" spans="1:23">
      <c r="A21" t="s">
        <v>313</v>
      </c>
      <c r="C21" s="13">
        <f>IF(C4=0,-FCI,0)</f>
        <v>-5530981.838020481</v>
      </c>
      <c r="D21" s="13">
        <f>IF(D4=0,-FCI,0)</f>
        <v>-0.0</v>
      </c>
      <c r="E21" s="13">
        <f>IF(E4=0,-FCI,0)</f>
        <v>-0.0</v>
      </c>
      <c r="F21" s="13">
        <f>IF(F4=0,-FCI,0)</f>
        <v>-0.0</v>
      </c>
      <c r="G21" s="13">
        <f>IF(G4=0,-FCI,0)</f>
        <v>-0.0</v>
      </c>
      <c r="H21" s="13">
        <f>IF(H4=0,-FCI,0)</f>
        <v>-0.0</v>
      </c>
      <c r="I21" s="13">
        <f>IF(I4=0,-FCI,0)</f>
        <v>-0.0</v>
      </c>
      <c r="J21" s="13">
        <f>IF(J4=0,-FCI,0)</f>
        <v>-0.0</v>
      </c>
      <c r="K21" s="13">
        <f>IF(K4=0,-FCI,0)</f>
        <v>-0.0</v>
      </c>
      <c r="L21" s="13">
        <f>IF(L4=0,-FCI,0)</f>
        <v>-0.0</v>
      </c>
      <c r="M21" s="13">
        <f>IF(M4=0,-FCI,0)</f>
        <v>-0.0</v>
      </c>
      <c r="N21" s="13">
        <f>IF(N4=0,-FCI,0)</f>
        <v>-0.0</v>
      </c>
      <c r="O21" s="13">
        <f>IF(O4=0,-FCI,0)</f>
        <v>-0.0</v>
      </c>
      <c r="P21" s="13">
        <f>IF(P4=0,-FCI,0)</f>
        <v>-0.0</v>
      </c>
      <c r="Q21" s="13">
        <f>IF(Q4=0,-FCI,0)</f>
        <v>-0.0</v>
      </c>
      <c r="R21" s="13">
        <f>IF(R4=0,-FCI,0)</f>
        <v>-0.0</v>
      </c>
      <c r="S21" s="13">
        <f>IF(S4=0,-FCI,0)</f>
        <v>-0.0</v>
      </c>
      <c r="T21" s="13">
        <f>IF(T4=0,-FCI,0)</f>
        <v>-0.0</v>
      </c>
      <c r="U21" s="13">
        <f>IF(U4=0,-FCI,0)</f>
        <v>-0.0</v>
      </c>
      <c r="V21" s="13">
        <f>IF(V4=0,-FCI,0)</f>
        <v>-0.0</v>
      </c>
      <c r="W21" s="13">
        <f>IF(W4=0,-FCI,0)</f>
        <v>-0.0</v>
      </c>
    </row>
    <row r="22" spans="1:23">
      <c r="A22" t="s">
        <v>314</v>
      </c>
      <c r="C22" s="13">
        <f>-(IF(OR(C4=8,C4=16),a_overhaul*t_chp_kWe,0)+IF(OR(C4=8,C4=15),a_mem_repl*a_c_mem*t_area_mem,0))*(1+a_infl)^(C5-2026)</f>
        <v>-0.0</v>
      </c>
      <c r="D22" s="13">
        <f>-(IF(OR(D4=8,D4=16),a_overhaul*t_chp_kWe,0)+IF(OR(D4=8,D4=15),a_mem_repl*a_c_mem*t_area_mem,0))*(1+a_infl)^(D5-2026)</f>
        <v>-0.0</v>
      </c>
      <c r="E22" s="13">
        <f>-(IF(OR(E4=8,E4=16),a_overhaul*t_chp_kWe,0)+IF(OR(E4=8,E4=15),a_mem_repl*a_c_mem*t_area_mem,0))*(1+a_infl)^(E5-2026)</f>
        <v>-0.0</v>
      </c>
      <c r="F22" s="13">
        <f>-(IF(OR(F4=8,F4=16),a_overhaul*t_chp_kWe,0)+IF(OR(F4=8,F4=15),a_mem_repl*a_c_mem*t_area_mem,0))*(1+a_infl)^(F5-2026)</f>
        <v>-0.0</v>
      </c>
      <c r="G22" s="13">
        <f>-(IF(OR(G4=8,G4=16),a_overhaul*t_chp_kWe,0)+IF(OR(G4=8,G4=15),a_mem_repl*a_c_mem*t_area_mem,0))*(1+a_infl)^(G5-2026)</f>
        <v>-0.0</v>
      </c>
      <c r="H22" s="13">
        <f>-(IF(OR(H4=8,H4=16),a_overhaul*t_chp_kWe,0)+IF(OR(H4=8,H4=15),a_mem_repl*a_c_mem*t_area_mem,0))*(1+a_infl)^(H5-2026)</f>
        <v>-0.0</v>
      </c>
      <c r="I22" s="13">
        <f>-(IF(OR(I4=8,I4=16),a_overhaul*t_chp_kWe,0)+IF(OR(I4=8,I4=15),a_mem_repl*a_c_mem*t_area_mem,0))*(1+a_infl)^(I5-2026)</f>
        <v>-0.0</v>
      </c>
      <c r="J22" s="13">
        <f>-(IF(OR(J4=8,J4=16),a_overhaul*t_chp_kWe,0)+IF(OR(J4=8,J4=15),a_mem_repl*a_c_mem*t_area_mem,0))*(1+a_infl)^(J5-2026)</f>
        <v>-0.0</v>
      </c>
      <c r="K22" s="13">
        <f>-(IF(OR(K4=8,K4=16),a_overhaul*t_chp_kWe,0)+IF(OR(K4=8,K4=15),a_mem_repl*a_c_mem*t_area_mem,0))*(1+a_infl)^(K5-2026)</f>
        <v>-477352.4153045074</v>
      </c>
      <c r="L22" s="13">
        <f>-(IF(OR(L4=8,L4=16),a_overhaul*t_chp_kWe,0)+IF(OR(L4=8,L4=15),a_mem_repl*a_c_mem*t_area_mem,0))*(1+a_infl)^(L5-2026)</f>
        <v>-0.0</v>
      </c>
      <c r="M22" s="13">
        <f>-(IF(OR(M4=8,M4=16),a_overhaul*t_chp_kWe,0)+IF(OR(M4=8,M4=15),a_mem_repl*a_c_mem*t_area_mem,0))*(1+a_infl)^(M5-2026)</f>
        <v>-0.0</v>
      </c>
      <c r="N22" s="13">
        <f>-(IF(OR(N4=8,N4=16),a_overhaul*t_chp_kWe,0)+IF(OR(N4=8,N4=15),a_mem_repl*a_c_mem*t_area_mem,0))*(1+a_infl)^(N5-2026)</f>
        <v>-0.0</v>
      </c>
      <c r="O22" s="13">
        <f>-(IF(OR(O4=8,O4=16),a_overhaul*t_chp_kWe,0)+IF(OR(O4=8,O4=15),a_mem_repl*a_c_mem*t_area_mem,0))*(1+a_infl)^(O5-2026)</f>
        <v>-0.0</v>
      </c>
      <c r="P22" s="13">
        <f>-(IF(OR(P4=8,P4=16),a_overhaul*t_chp_kWe,0)+IF(OR(P4=8,P4=15),a_mem_repl*a_c_mem*t_area_mem,0))*(1+a_infl)^(P5-2026)</f>
        <v>-0.0</v>
      </c>
      <c r="Q22" s="13">
        <f>-(IF(OR(Q4=8,Q4=16),a_overhaul*t_chp_kWe,0)+IF(OR(Q4=8,Q4=15),a_mem_repl*a_c_mem*t_area_mem,0))*(1+a_infl)^(Q5-2026)</f>
        <v>-0.0</v>
      </c>
      <c r="R22" s="13">
        <f>-(IF(OR(R4=8,R4=16),a_overhaul*t_chp_kWe,0)+IF(OR(R4=8,R4=15),a_mem_repl*a_c_mem*t_area_mem,0))*(1+a_infl)^(R5-2026)</f>
        <v>-218859.30865630758</v>
      </c>
      <c r="S22" s="13">
        <f>-(IF(OR(S4=8,S4=16),a_overhaul*t_chp_kWe,0)+IF(OR(S4=8,S4=15),a_mem_repl*a_c_mem*t_area_mem,0))*(1+a_infl)^(S5-2026)</f>
        <v>-336057.940606182</v>
      </c>
      <c r="T22" s="13">
        <f>-(IF(OR(T4=8,T4=16),a_overhaul*t_chp_kWe,0)+IF(OR(T4=8,T4=15),a_mem_repl*a_c_mem*t_area_mem,0))*(1+a_infl)^(T5-2026)</f>
        <v>-0.0</v>
      </c>
      <c r="U22" s="13">
        <f>-(IF(OR(U4=8,U4=16),a_overhaul*t_chp_kWe,0)+IF(OR(U4=8,U4=15),a_mem_repl*a_c_mem*t_area_mem,0))*(1+a_infl)^(U5-2026)</f>
        <v>-0.0</v>
      </c>
      <c r="V22" s="13">
        <f>-(IF(OR(V4=8,V4=16),a_overhaul*t_chp_kWe,0)+IF(OR(V4=8,V4=15),a_mem_repl*a_c_mem*t_area_mem,0))*(1+a_infl)^(V5-2026)</f>
        <v>-0.0</v>
      </c>
      <c r="W22" s="13">
        <f>-(IF(OR(W4=8,W4=16),a_overhaul*t_chp_kWe,0)+IF(OR(W4=8,W4=15),a_mem_repl*a_c_mem*t_area_mem,0))*(1+a_infl)^(W5-2026)</f>
        <v>-0.0</v>
      </c>
    </row>
    <row r="23" spans="1:23">
      <c r="A23" t="s">
        <v>315</v>
      </c>
      <c r="C23" s="13">
        <f>IF(C4=0,-a_vat*FCI,IF(C4=2,a_vat*FCI,0))</f>
        <v>-608408.0021822529</v>
      </c>
      <c r="D23" s="13">
        <f>IF(D4=0,-a_vat*FCI,IF(D4=2,a_vat*FCI,0))</f>
        <v>-0.0</v>
      </c>
      <c r="E23" s="13">
        <f>IF(E4=0,-a_vat*FCI,IF(E4=2,a_vat*FCI,0))</f>
        <v>608408.0021822529</v>
      </c>
      <c r="F23" s="13">
        <f>IF(F4=0,-a_vat*FCI,IF(F4=2,a_vat*FCI,0))</f>
        <v>-0.0</v>
      </c>
      <c r="G23" s="13">
        <f>IF(G4=0,-a_vat*FCI,IF(G4=2,a_vat*FCI,0))</f>
        <v>-0.0</v>
      </c>
      <c r="H23" s="13">
        <f>IF(H4=0,-a_vat*FCI,IF(H4=2,a_vat*FCI,0))</f>
        <v>-0.0</v>
      </c>
      <c r="I23" s="13">
        <f>IF(I4=0,-a_vat*FCI,IF(I4=2,a_vat*FCI,0))</f>
        <v>-0.0</v>
      </c>
      <c r="J23" s="13">
        <f>IF(J4=0,-a_vat*FCI,IF(J4=2,a_vat*FCI,0))</f>
        <v>-0.0</v>
      </c>
      <c r="K23" s="13">
        <f>IF(K4=0,-a_vat*FCI,IF(K4=2,a_vat*FCI,0))</f>
        <v>-0.0</v>
      </c>
      <c r="L23" s="13">
        <f>IF(L4=0,-a_vat*FCI,IF(L4=2,a_vat*FCI,0))</f>
        <v>-0.0</v>
      </c>
      <c r="M23" s="13">
        <f>IF(M4=0,-a_vat*FCI,IF(M4=2,a_vat*FCI,0))</f>
        <v>-0.0</v>
      </c>
      <c r="N23" s="13">
        <f>IF(N4=0,-a_vat*FCI,IF(N4=2,a_vat*FCI,0))</f>
        <v>-0.0</v>
      </c>
      <c r="O23" s="13">
        <f>IF(O4=0,-a_vat*FCI,IF(O4=2,a_vat*FCI,0))</f>
        <v>-0.0</v>
      </c>
      <c r="P23" s="13">
        <f>IF(P4=0,-a_vat*FCI,IF(P4=2,a_vat*FCI,0))</f>
        <v>-0.0</v>
      </c>
      <c r="Q23" s="13">
        <f>IF(Q4=0,-a_vat*FCI,IF(Q4=2,a_vat*FCI,0))</f>
        <v>-0.0</v>
      </c>
      <c r="R23" s="13">
        <f>IF(R4=0,-a_vat*FCI,IF(R4=2,a_vat*FCI,0))</f>
        <v>-0.0</v>
      </c>
      <c r="S23" s="13">
        <f>IF(S4=0,-a_vat*FCI,IF(S4=2,a_vat*FCI,0))</f>
        <v>-0.0</v>
      </c>
      <c r="T23" s="13">
        <f>IF(T4=0,-a_vat*FCI,IF(T4=2,a_vat*FCI,0))</f>
        <v>-0.0</v>
      </c>
      <c r="U23" s="13">
        <f>IF(U4=0,-a_vat*FCI,IF(U4=2,a_vat*FCI,0))</f>
        <v>-0.0</v>
      </c>
      <c r="V23" s="13">
        <f>IF(V4=0,-a_vat*FCI,IF(V4=2,a_vat*FCI,0))</f>
        <v>-0.0</v>
      </c>
      <c r="W23" s="13">
        <f>IF(W4=0,-a_vat*FCI,IF(W4=2,a_vat*FCI,0))</f>
        <v>-0.0</v>
      </c>
    </row>
    <row r="24" spans="1:23">
      <c r="A24" t="s">
        <v>316</v>
      </c>
      <c r="C24" s="13">
        <f>C17*a_rec_days/365+(C18+C19)*a_pay_days/365</f>
        <v>0.0</v>
      </c>
      <c r="D24" s="13">
        <f>D17*a_rec_days/365+(D18+D19)*a_pay_days/365</f>
        <v>139946.63327996</v>
      </c>
      <c r="E24" s="13">
        <f>E17*a_rec_days/365+(E18+E19)*a_pay_days/365</f>
        <v>190095.85256183048</v>
      </c>
      <c r="F24" s="13">
        <f>F17*a_rec_days/365+(F18+F19)*a_pay_days/365</f>
        <v>197157.66814864276</v>
      </c>
      <c r="G24" s="13">
        <f>G17*a_rec_days/365+(G18+G19)*a_pay_days/365</f>
        <v>198550.36361724194</v>
      </c>
      <c r="H24" s="13">
        <f>H17*a_rec_days/365+(H18+H19)*a_pay_days/365</f>
        <v>199970.91299521315</v>
      </c>
      <c r="I24" s="13">
        <f>I17*a_rec_days/365+(I18+I19)*a_pay_days/365</f>
        <v>201419.8733607437</v>
      </c>
      <c r="J24" s="13">
        <f>J17*a_rec_days/365+(J18+J19)*a_pay_days/365</f>
        <v>202897.81293358485</v>
      </c>
      <c r="K24" s="13">
        <f>K17*a_rec_days/365+(K18+K19)*a_pay_days/365</f>
        <v>204405.31129788287</v>
      </c>
      <c r="L24" s="13">
        <f>L17*a_rec_days/365+(L18+L19)*a_pay_days/365</f>
        <v>205942.95962946682</v>
      </c>
      <c r="M24" s="13">
        <f>M17*a_rec_days/365+(M18+M19)*a_pay_days/365</f>
        <v>207511.36092768246</v>
      </c>
      <c r="N24" s="13">
        <f>N17*a_rec_days/365+(N18+N19)*a_pay_days/365</f>
        <v>161522.0261022321</v>
      </c>
      <c r="O24" s="13">
        <f>O17*a_rec_days/365+(O18+O19)*a_pay_days/365</f>
        <v>143026.175138899</v>
      </c>
      <c r="P24" s="13">
        <f>P17*a_rec_days/365+(P18+P19)*a_pay_days/365</f>
        <v>144743.73706009588</v>
      </c>
      <c r="Q24" s="13">
        <f>Q17*a_rec_days/365+(Q18+Q19)*a_pay_days/365</f>
        <v>146495.65021971668</v>
      </c>
      <c r="R24" s="13">
        <f>R17*a_rec_days/365+(R18+R19)*a_pay_days/365</f>
        <v>148282.60164252983</v>
      </c>
      <c r="S24" s="13">
        <f>S17*a_rec_days/365+(S18+S19)*a_pay_days/365</f>
        <v>150105.2920937993</v>
      </c>
      <c r="T24" s="13">
        <f>T17*a_rec_days/365+(T18+T19)*a_pay_days/365</f>
        <v>151964.43635409418</v>
      </c>
      <c r="U24" s="13">
        <f>U17*a_rec_days/365+(U18+U19)*a_pay_days/365</f>
        <v>153860.76349959488</v>
      </c>
      <c r="V24" s="13">
        <f>V17*a_rec_days/365+(V18+V19)*a_pay_days/365</f>
        <v>155795.01718800564</v>
      </c>
      <c r="W24" s="13">
        <v>0</v>
      </c>
    </row>
    <row r="25" spans="1:23">
      <c r="A25" t="s">
        <v>317</v>
      </c>
      <c r="C25" s="13">
        <f>-C24</f>
        <v>-0.0</v>
      </c>
      <c r="D25" s="13">
        <f>-(D24-C24)</f>
        <v>-139946.63327996</v>
      </c>
      <c r="E25" s="13">
        <f>-(E24-D24)</f>
        <v>-50149.21928187049</v>
      </c>
      <c r="F25" s="13">
        <f>-(F24-E24)</f>
        <v>-7061.81558681227</v>
      </c>
      <c r="G25" s="13">
        <f>-(G24-F24)</f>
        <v>-1392.6954685991805</v>
      </c>
      <c r="H25" s="13">
        <f>-(H24-G24)</f>
        <v>-1420.5493779712124</v>
      </c>
      <c r="I25" s="13">
        <f>-(I24-H24)</f>
        <v>-1448.96036553054</v>
      </c>
      <c r="J25" s="13">
        <f>-(J24-I24)</f>
        <v>-1477.9395728411619</v>
      </c>
      <c r="K25" s="13">
        <f>-(K24-J24)</f>
        <v>-1507.4983642980224</v>
      </c>
      <c r="L25" s="13">
        <f>-(L24-K24)</f>
        <v>-1537.6483315839432</v>
      </c>
      <c r="M25" s="13">
        <f>-(M24-L24)</f>
        <v>-1568.4012982156419</v>
      </c>
      <c r="N25" s="13">
        <f>-(N24-M24)</f>
        <v>45989.33482545035</v>
      </c>
      <c r="O25" s="13">
        <f>-(O24-N24)</f>
        <v>18495.850963333098</v>
      </c>
      <c r="P25" s="13">
        <f>-(P24-O24)</f>
        <v>-1717.5619211968733</v>
      </c>
      <c r="Q25" s="13">
        <f>-(Q24-P24)</f>
        <v>-1751.9131596208026</v>
      </c>
      <c r="R25" s="13">
        <f>-(R24-Q24)</f>
        <v>-1786.9514228131447</v>
      </c>
      <c r="S25" s="13">
        <f>-(S24-R24)</f>
        <v>-1822.6904512694746</v>
      </c>
      <c r="T25" s="13">
        <f>-(T24-S24)</f>
        <v>-1859.144260294881</v>
      </c>
      <c r="U25" s="13">
        <f>-(U24-T24)</f>
        <v>-1896.3271455006907</v>
      </c>
      <c r="V25" s="13">
        <f>-(V24-U24)</f>
        <v>-1934.2536884107685</v>
      </c>
      <c r="W25" s="13">
        <f>-(W24-V24)</f>
        <v>155795.01718800564</v>
      </c>
    </row>
    <row r="26" spans="1:23">
      <c r="A26" t="s">
        <v>318</v>
      </c>
      <c r="C26" s="13">
        <v>0</v>
      </c>
      <c r="D26" s="13">
        <f>IF(D4&lt;=a_dep_life,(FCI+IDC)/a_dep_life,0)-SUM(D22:D22)/8</f>
        <v>707965.6752666216</v>
      </c>
      <c r="E26" s="13">
        <f>IF(E4&lt;=a_dep_life,(FCI+IDC)/a_dep_life,0)-SUM(D22:E22)/8</f>
        <v>707965.6752666216</v>
      </c>
      <c r="F26" s="13">
        <f>IF(F4&lt;=a_dep_life,(FCI+IDC)/a_dep_life,0)-SUM(D22:F22)/8</f>
        <v>707965.6752666216</v>
      </c>
      <c r="G26" s="13">
        <f>IF(G4&lt;=a_dep_life,(FCI+IDC)/a_dep_life,0)-SUM(D22:G22)/8</f>
        <v>707965.6752666216</v>
      </c>
      <c r="H26" s="13">
        <f>IF(H4&lt;=a_dep_life,(FCI+IDC)/a_dep_life,0)-SUM(D22:H22)/8</f>
        <v>707965.6752666216</v>
      </c>
      <c r="I26" s="13">
        <f>IF(I4&lt;=a_dep_life,(FCI+IDC)/a_dep_life,0)-SUM(D22:I22)/8</f>
        <v>707965.6752666216</v>
      </c>
      <c r="J26" s="13">
        <f>IF(J4&lt;=a_dep_life,(FCI+IDC)/a_dep_life,0)-SUM(D22:J22)/8</f>
        <v>707965.6752666216</v>
      </c>
      <c r="K26" s="13">
        <f>IF(K4&lt;=a_dep_life,(FCI+IDC)/a_dep_life,0)-SUM(D22:K22)/8</f>
        <v>767634.727179685</v>
      </c>
      <c r="L26" s="13">
        <f>IF(L4&lt;=a_dep_life,(FCI+IDC)/a_dep_life,0)-SUM(E22:L22)/8</f>
        <v>59669.05191306343</v>
      </c>
      <c r="M26" s="13">
        <f>IF(M4&lt;=a_dep_life,(FCI+IDC)/a_dep_life,0)-SUM(F22:M22)/8</f>
        <v>59669.05191306343</v>
      </c>
      <c r="N26" s="13">
        <f>IF(N4&lt;=a_dep_life,(FCI+IDC)/a_dep_life,0)-SUM(G22:N22)/8</f>
        <v>59669.05191306343</v>
      </c>
      <c r="O26" s="13">
        <f>IF(O4&lt;=a_dep_life,(FCI+IDC)/a_dep_life,0)-SUM(H22:O22)/8</f>
        <v>59669.05191306343</v>
      </c>
      <c r="P26" s="13">
        <f>IF(P4&lt;=a_dep_life,(FCI+IDC)/a_dep_life,0)-SUM(I22:P22)/8</f>
        <v>59669.05191306343</v>
      </c>
      <c r="Q26" s="13">
        <f>IF(Q4&lt;=a_dep_life,(FCI+IDC)/a_dep_life,0)-SUM(J22:Q22)/8</f>
        <v>59669.05191306343</v>
      </c>
      <c r="R26" s="13">
        <f>IF(R4&lt;=a_dep_life,(FCI+IDC)/a_dep_life,0)-SUM(K22:R22)/8</f>
        <v>87026.46549510187</v>
      </c>
      <c r="S26" s="13">
        <f>IF(S4&lt;=a_dep_life,(FCI+IDC)/a_dep_life,0)-SUM(L22:S22)/8</f>
        <v>69364.6561578112</v>
      </c>
      <c r="T26" s="13">
        <f>IF(T4&lt;=a_dep_life,(FCI+IDC)/a_dep_life,0)-SUM(M22:T22)/8</f>
        <v>69364.6561578112</v>
      </c>
      <c r="U26" s="13">
        <f>IF(U4&lt;=a_dep_life,(FCI+IDC)/a_dep_life,0)-SUM(N22:U22)/8</f>
        <v>69364.6561578112</v>
      </c>
      <c r="V26" s="13">
        <f>IF(V4&lt;=a_dep_life,(FCI+IDC)/a_dep_life,0)-SUM(O22:V22)/8</f>
        <v>69364.6561578112</v>
      </c>
      <c r="W26" s="13">
        <f>IF(W4&lt;=a_dep_life,(FCI+IDC)/a_dep_life,0)-SUM(P22:W22)/8</f>
        <v>69364.6561578112</v>
      </c>
    </row>
    <row r="27" spans="1:23">
      <c r="A27" t="s">
        <v>319</v>
      </c>
      <c r="C27" s="13">
        <f>IF(AND(C4&gt;=1,C4&lt;=6),a_allow*TANG/6,0)</f>
        <v>0.0</v>
      </c>
      <c r="D27" s="13">
        <f>IF(AND(D4&gt;=1,D4&lt;=6),a_allow*TANG/6,0)</f>
        <v>260474.24296621347</v>
      </c>
      <c r="E27" s="13">
        <f>IF(AND(E4&gt;=1,E4&lt;=6),a_allow*TANG/6,0)</f>
        <v>260474.24296621347</v>
      </c>
      <c r="F27" s="13">
        <f>IF(AND(F4&gt;=1,F4&lt;=6),a_allow*TANG/6,0)</f>
        <v>260474.24296621347</v>
      </c>
      <c r="G27" s="13">
        <f>IF(AND(G4&gt;=1,G4&lt;=6),a_allow*TANG/6,0)</f>
        <v>260474.24296621347</v>
      </c>
      <c r="H27" s="13">
        <f>IF(AND(H4&gt;=1,H4&lt;=6),a_allow*TANG/6,0)</f>
        <v>260474.24296621347</v>
      </c>
      <c r="I27" s="13">
        <f>IF(AND(I4&gt;=1,I4&lt;=6),a_allow*TANG/6,0)</f>
        <v>260474.24296621347</v>
      </c>
      <c r="J27" s="13">
        <f>IF(AND(J4&gt;=1,J4&lt;=6),a_allow*TANG/6,0)</f>
        <v>0.0</v>
      </c>
      <c r="K27" s="13">
        <f>IF(AND(K4&gt;=1,K4&lt;=6),a_allow*TANG/6,0)</f>
        <v>0.0</v>
      </c>
      <c r="L27" s="13">
        <f>IF(AND(L4&gt;=1,L4&lt;=6),a_allow*TANG/6,0)</f>
        <v>0.0</v>
      </c>
      <c r="M27" s="13">
        <f>IF(AND(M4&gt;=1,M4&lt;=6),a_allow*TANG/6,0)</f>
        <v>0.0</v>
      </c>
      <c r="N27" s="13">
        <f>IF(AND(N4&gt;=1,N4&lt;=6),a_allow*TANG/6,0)</f>
        <v>0.0</v>
      </c>
      <c r="O27" s="13">
        <f>IF(AND(O4&gt;=1,O4&lt;=6),a_allow*TANG/6,0)</f>
        <v>0.0</v>
      </c>
      <c r="P27" s="13">
        <f>IF(AND(P4&gt;=1,P4&lt;=6),a_allow*TANG/6,0)</f>
        <v>0.0</v>
      </c>
      <c r="Q27" s="13">
        <f>IF(AND(Q4&gt;=1,Q4&lt;=6),a_allow*TANG/6,0)</f>
        <v>0.0</v>
      </c>
      <c r="R27" s="13">
        <f>IF(AND(R4&gt;=1,R4&lt;=6),a_allow*TANG/6,0)</f>
        <v>0.0</v>
      </c>
      <c r="S27" s="13">
        <f>IF(AND(S4&gt;=1,S4&lt;=6),a_allow*TANG/6,0)</f>
        <v>0.0</v>
      </c>
      <c r="T27" s="13">
        <f>IF(AND(T4&gt;=1,T4&lt;=6),a_allow*TANG/6,0)</f>
        <v>0.0</v>
      </c>
      <c r="U27" s="13">
        <f>IF(AND(U4&gt;=1,U4&lt;=6),a_allow*TANG/6,0)</f>
        <v>0.0</v>
      </c>
      <c r="V27" s="13">
        <f>IF(AND(V4&gt;=1,V4&lt;=6),a_allow*TANG/6,0)</f>
        <v>0.0</v>
      </c>
      <c r="W27" s="13">
        <f>IF(AND(W4&gt;=1,W4&lt;=6),a_allow*TANG/6,0)</f>
        <v>0.0</v>
      </c>
    </row>
    <row r="28" spans="1:23">
      <c r="A28" t="s">
        <v>320</v>
      </c>
      <c r="C28" s="13">
        <f>C20-C26-C27</f>
        <v>0.0</v>
      </c>
      <c r="D28" s="13">
        <f>D20-D26-D27</f>
        <v>-312064.7072742074</v>
      </c>
      <c r="E28" s="13">
        <f>E20-E26-E27</f>
        <v>5932.209587141668</v>
      </c>
      <c r="F28" s="13">
        <f>F20-F26-F27</f>
        <v>45250.70156829318</v>
      </c>
      <c r="G28" s="13">
        <f>G20-G26-G27</f>
        <v>50009.228440209205</v>
      </c>
      <c r="H28" s="13">
        <f>H20-H26-H27</f>
        <v>54862.92584956347</v>
      </c>
      <c r="I28" s="13">
        <f>I20-I26-I27</f>
        <v>59813.69720710491</v>
      </c>
      <c r="J28" s="13">
        <f>J20-J26-J27</f>
        <v>325337.7269580106</v>
      </c>
      <c r="K28" s="13">
        <f>K20-K26-K27</f>
        <v>270819.4575653331</v>
      </c>
      <c r="L28" s="13">
        <f>L20-L26-L27</f>
        <v>984038.9310027484</v>
      </c>
      <c r="M28" s="13">
        <f>M20-M26-M27</f>
        <v>989397.8051369578</v>
      </c>
      <c r="N28" s="13">
        <f>N20-N26-N27</f>
        <v>705363.4731769339</v>
      </c>
      <c r="O28" s="13">
        <f>O20-O26-O27</f>
        <v>604665.933356692</v>
      </c>
      <c r="P28" s="13">
        <f>P20-P26-P27</f>
        <v>610999.6167741353</v>
      </c>
      <c r="Q28" s="13">
        <f>Q20-Q26-Q27</f>
        <v>617459.9738599274</v>
      </c>
      <c r="R28" s="13">
        <f>R20-R26-R27</f>
        <v>596692.1245053966</v>
      </c>
      <c r="S28" s="13">
        <f>S20-S26-S27</f>
        <v>621075.2893547453</v>
      </c>
      <c r="T28" s="13">
        <f>T20-T26-T27</f>
        <v>627931.0719770447</v>
      </c>
      <c r="U28" s="13">
        <f>U20-U26-U27</f>
        <v>634923.9702517898</v>
      </c>
      <c r="V28" s="13">
        <f>V20-V26-V27</f>
        <v>642056.7264920297</v>
      </c>
      <c r="W28" s="13">
        <f>W20-W26-W27</f>
        <v>649332.1378570746</v>
      </c>
    </row>
    <row r="29" spans="1:23">
      <c r="A29" t="s">
        <v>321</v>
      </c>
      <c r="C29" s="13">
        <f>MAX(0,-C28)</f>
        <v>0.0</v>
      </c>
      <c r="D29" s="13">
        <f>MAX(0,C29-D28)</f>
        <v>0.0</v>
      </c>
      <c r="E29" s="13">
        <f>MAX(0,D29-E28)</f>
        <v>0.0</v>
      </c>
      <c r="F29" s="13">
        <f>MAX(0,E29-F28)</f>
        <v>0.0</v>
      </c>
      <c r="G29" s="13">
        <f>MAX(0,F29-G28)</f>
        <v>0.0</v>
      </c>
      <c r="H29" s="13">
        <f>MAX(0,G29-H28)</f>
        <v>0.0</v>
      </c>
      <c r="I29" s="13">
        <f>MAX(0,H29-I28)</f>
        <v>0.0</v>
      </c>
      <c r="J29" s="13">
        <f>MAX(0,I29-J28)</f>
        <v>0.0</v>
      </c>
      <c r="K29" s="13">
        <f>MAX(0,J29-K28)</f>
        <v>0.0</v>
      </c>
      <c r="L29" s="13">
        <f>MAX(0,K29-L28)</f>
        <v>0.0</v>
      </c>
      <c r="M29" s="13">
        <f>MAX(0,L29-M28)</f>
        <v>0.0</v>
      </c>
      <c r="N29" s="13">
        <f>MAX(0,M29-N28)</f>
        <v>0.0</v>
      </c>
      <c r="O29" s="13">
        <f>MAX(0,N29-O28)</f>
        <v>0.0</v>
      </c>
      <c r="P29" s="13">
        <f>MAX(0,O29-P28)</f>
        <v>0.0</v>
      </c>
      <c r="Q29" s="13">
        <f>MAX(0,P29-Q28)</f>
        <v>0.0</v>
      </c>
      <c r="R29" s="13">
        <f>MAX(0,Q29-R28)</f>
        <v>0.0</v>
      </c>
      <c r="S29" s="13">
        <f>MAX(0,R29-S28)</f>
        <v>0.0</v>
      </c>
      <c r="T29" s="13">
        <f>MAX(0,S29-T28)</f>
        <v>0.0</v>
      </c>
      <c r="U29" s="13">
        <f>MAX(0,T29-U28)</f>
        <v>0.0</v>
      </c>
      <c r="V29" s="13">
        <f>MAX(0,U29-V28)</f>
        <v>0.0</v>
      </c>
      <c r="W29" s="13">
        <f>MAX(0,V29-W28)</f>
        <v>0.0</v>
      </c>
    </row>
    <row r="30" spans="1:23">
      <c r="A30" t="s">
        <v>322</v>
      </c>
      <c r="C30" s="13">
        <f>-a_tax*MAX(0,C28)</f>
        <v>-0.0</v>
      </c>
      <c r="D30" s="13">
        <f>-a_tax*MAX(0,D28-C29)</f>
        <v>-0.0</v>
      </c>
      <c r="E30" s="13">
        <f>-a_tax*MAX(0,E28-D29)</f>
        <v>-0.0</v>
      </c>
      <c r="F30" s="13">
        <f>-a_tax*MAX(0,F28-E29)</f>
        <v>-0.0</v>
      </c>
      <c r="G30" s="13">
        <f>-a_tax*MAX(0,G28-F29)</f>
        <v>-0.0</v>
      </c>
      <c r="H30" s="13">
        <f>-a_tax*MAX(0,H28-G29)</f>
        <v>-0.0</v>
      </c>
      <c r="I30" s="13">
        <f>-a_tax*MAX(0,I28-H29)</f>
        <v>-0.0</v>
      </c>
      <c r="J30" s="13">
        <f>-a_tax*MAX(0,J28-I29)</f>
        <v>-50411.192113945435</v>
      </c>
      <c r="K30" s="13">
        <f>-a_tax*MAX(0,K28-J29)</f>
        <v>-59580.280664373284</v>
      </c>
      <c r="L30" s="13">
        <f>-a_tax*MAX(0,L28-K29)</f>
        <v>-216488.56482060466</v>
      </c>
      <c r="M30" s="13">
        <f>-a_tax*MAX(0,M28-L29)</f>
        <v>-217667.51713013073</v>
      </c>
      <c r="N30" s="13">
        <f>-a_tax*MAX(0,N28-M29)</f>
        <v>-155179.96409892547</v>
      </c>
      <c r="O30" s="13">
        <f>-a_tax*MAX(0,O28-N29)</f>
        <v>-133026.50533847223</v>
      </c>
      <c r="P30" s="13">
        <f>-a_tax*MAX(0,P28-O29)</f>
        <v>-134419.91569030975</v>
      </c>
      <c r="Q30" s="13">
        <f>-a_tax*MAX(0,Q28-P29)</f>
        <v>-135841.19424918402</v>
      </c>
      <c r="R30" s="13">
        <f>-a_tax*MAX(0,R28-Q29)</f>
        <v>-131272.26739118726</v>
      </c>
      <c r="S30" s="13">
        <f>-a_tax*MAX(0,S28-R29)</f>
        <v>-136636.56365804398</v>
      </c>
      <c r="T30" s="13">
        <f>-a_tax*MAX(0,T28-S29)</f>
        <v>-138144.83583494983</v>
      </c>
      <c r="U30" s="13">
        <f>-a_tax*MAX(0,U28-T29)</f>
        <v>-139683.27345539376</v>
      </c>
      <c r="V30" s="13">
        <f>-a_tax*MAX(0,V28-U29)</f>
        <v>-141252.47982824655</v>
      </c>
      <c r="W30" s="13">
        <f>-a_tax*MAX(0,W28-V29)</f>
        <v>-142853.0703285564</v>
      </c>
    </row>
    <row r="31" spans="1:23">
      <c r="A31" s="9" t="s">
        <v>323</v>
      </c>
      <c r="C31" s="14">
        <f>C20+C30+C21+C22+C23+C25</f>
        <v>-6139389.840202734</v>
      </c>
      <c r="D31" s="14">
        <f>D20+D30+D21+D22+D23+D25</f>
        <v>516428.57767866773</v>
      </c>
      <c r="E31" s="14">
        <f>E20+E30+E21+E22+E23+E25</f>
        <v>1532630.9107203593</v>
      </c>
      <c r="F31" s="14">
        <f>F20+F30+F21+F22+F23+F25</f>
        <v>1006628.804214316</v>
      </c>
      <c r="G31" s="14">
        <f>G20+G30+G21+G22+G23+G25</f>
        <v>1017056.4512044451</v>
      </c>
      <c r="H31" s="14">
        <f>H20+H30+H21+H22+H23+H25</f>
        <v>1021882.2947044274</v>
      </c>
      <c r="I31" s="14">
        <f>I20+I30+I21+I22+I23+I25</f>
        <v>1026804.6550744094</v>
      </c>
      <c r="J31" s="14">
        <f>J20+J30+J21+J22+J23+J25</f>
        <v>981414.2705378456</v>
      </c>
      <c r="K31" s="14">
        <f>K20+K30+K21+K22+K23+K25</f>
        <v>500013.9904118394</v>
      </c>
      <c r="L31" s="14">
        <f>L20+L30+L21+L22+L23+L25</f>
        <v>825681.7697636232</v>
      </c>
      <c r="M31" s="14">
        <f>M20+M30+M21+M22+M23+M25</f>
        <v>829830.9386216749</v>
      </c>
      <c r="N31" s="14">
        <f>N20+N30+N21+N22+N23+N25</f>
        <v>655841.8958165222</v>
      </c>
      <c r="O31" s="14">
        <f>O20+O30+O21+O22+O23+O25</f>
        <v>549804.3308946162</v>
      </c>
      <c r="P31" s="14">
        <f>P20+P30+P21+P22+P23+P25</f>
        <v>534531.1910756921</v>
      </c>
      <c r="Q31" s="14">
        <f>Q20+Q30+Q21+Q22+Q23+Q25</f>
        <v>539535.918364186</v>
      </c>
      <c r="R31" s="14">
        <f>R20+R30+R21+R22+R23+R25</f>
        <v>331800.06253019045</v>
      </c>
      <c r="S31" s="14">
        <f>S20+S30+S21+S22+S23+S25</f>
        <v>215922.75079706105</v>
      </c>
      <c r="T31" s="14">
        <f>T20+T30+T21+T22+T23+T25</f>
        <v>557291.7480396111</v>
      </c>
      <c r="U31" s="14">
        <f>U20+U30+U21+U22+U23+U25</f>
        <v>562709.0258087065</v>
      </c>
      <c r="V31" s="14">
        <f>V20+V30+V21+V22+V23+V25</f>
        <v>568234.6491331836</v>
      </c>
      <c r="W31" s="14">
        <f>W20+W30+W21+W22+W23+W25</f>
        <v>731638.7408743349</v>
      </c>
    </row>
    <row r="32" spans="1:23">
      <c r="A32" t="s">
        <v>324</v>
      </c>
      <c r="C32" s="13">
        <f>C31</f>
        <v>-6139389.840202734</v>
      </c>
      <c r="D32" s="13">
        <f>C32+D31</f>
        <v>-5622961.2625240665</v>
      </c>
      <c r="E32" s="13">
        <f>D32+E31</f>
        <v>-4090330.351803707</v>
      </c>
      <c r="F32" s="13">
        <f>E32+F31</f>
        <v>-3083701.547589391</v>
      </c>
      <c r="G32" s="13">
        <f>F32+G31</f>
        <v>-2066645.0963849458</v>
      </c>
      <c r="H32" s="13">
        <f>G32+H31</f>
        <v>-1044762.8016805184</v>
      </c>
      <c r="I32" s="13">
        <f>H32+I31</f>
        <v>-17958.14660610899</v>
      </c>
      <c r="J32" s="13">
        <f>I32+J31</f>
        <v>963456.1239317366</v>
      </c>
      <c r="K32" s="13">
        <f>J32+K31</f>
        <v>1463470.114343576</v>
      </c>
      <c r="L32" s="13">
        <f>K32+L31</f>
        <v>2289151.884107199</v>
      </c>
      <c r="M32" s="13">
        <f>L32+M31</f>
        <v>3118982.822728874</v>
      </c>
      <c r="N32" s="13">
        <f>M32+N31</f>
        <v>3774824.7185453963</v>
      </c>
      <c r="O32" s="13">
        <f>N32+O31</f>
        <v>4324629.049440012</v>
      </c>
      <c r="P32" s="13">
        <f>O32+P31</f>
        <v>4859160.240515704</v>
      </c>
      <c r="Q32" s="13">
        <f>P32+Q31</f>
        <v>5398696.15887989</v>
      </c>
      <c r="R32" s="13">
        <f>Q32+R31</f>
        <v>5730496.221410081</v>
      </c>
      <c r="S32" s="13">
        <f>R32+S31</f>
        <v>5946418.972207142</v>
      </c>
      <c r="T32" s="13">
        <f>S32+T31</f>
        <v>6503710.720246753</v>
      </c>
      <c r="U32" s="13">
        <f>T32+U31</f>
        <v>7066419.74605546</v>
      </c>
      <c r="V32" s="13">
        <f>U32+V31</f>
        <v>7634654.395188644</v>
      </c>
      <c r="W32" s="13">
        <f>V32+W31</f>
        <v>8366293.136062979</v>
      </c>
    </row>
    <row r="33" spans="1:23">
      <c r="A33" t="s">
        <v>325</v>
      </c>
      <c r="C33" s="11">
        <f>1/(1+WACC)^0</f>
        <v>1.0</v>
      </c>
      <c r="D33" s="11">
        <f>1/(1+WACC)^1</f>
        <v>0.911211546872722</v>
      </c>
      <c r="E33" s="11">
        <f>1/(1+WACC)^2</f>
        <v>0.8303064831541789</v>
      </c>
      <c r="F33" s="11">
        <f>1/(1+WACC)^3</f>
        <v>0.756584854893369</v>
      </c>
      <c r="G33" s="11">
        <f>1/(1+WACC)^4</f>
        <v>0.6894088559678606</v>
      </c>
      <c r="H33" s="11">
        <f>1/(1+WACC)^5</f>
        <v>0.6281973100742279</v>
      </c>
      <c r="I33" s="11">
        <f>1/(1+WACC)^6</f>
        <v>0.5724206426540202</v>
      </c>
      <c r="J33" s="11">
        <f>1/(1+WACC)^7</f>
        <v>0.5215962992546473</v>
      </c>
      <c r="K33" s="11">
        <f>1/(1+WACC)^8</f>
        <v>0.47528457068691443</v>
      </c>
      <c r="L33" s="11">
        <f>1/(1+WACC)^9</f>
        <v>0.4330847888603609</v>
      </c>
      <c r="M33" s="11">
        <f>1/(1+WACC)^10</f>
        <v>0.39463186038449566</v>
      </c>
      <c r="N33" s="11">
        <f>1/(1+WACC)^11</f>
        <v>0.35959310794621635</v>
      </c>
      <c r="O33" s="11">
        <f>1/(1+WACC)^12</f>
        <v>0.32766539213644147</v>
      </c>
      <c r="P33" s="11">
        <f>1/(1+WACC)^13</f>
        <v>0.2985724888253039</v>
      </c>
      <c r="Q33" s="11">
        <f>1/(1+WACC)^14</f>
        <v>0.27206269939614364</v>
      </c>
      <c r="R33" s="11">
        <f>1/(1+WACC)^15</f>
        <v>0.24790667316312842</v>
      </c>
      <c r="S33" s="11">
        <f>1/(1+WACC)^16</f>
        <v>0.22589542313304456</v>
      </c>
      <c r="T33" s="11">
        <f>1/(1+WACC)^17</f>
        <v>0.20583851794452962</v>
      </c>
      <c r="U33" s="11">
        <f>1/(1+WACC)^18</f>
        <v>0.18756243434222336</v>
      </c>
      <c r="V33" s="11">
        <f>1/(1+WACC)^19</f>
        <v>0.17090905593219072</v>
      </c>
      <c r="W33" s="11">
        <f>1/(1+WACC)^20</f>
        <v>0.15573430523052806</v>
      </c>
    </row>
    <row r="34" spans="1:23">
      <c r="A34" t="s">
        <v>326</v>
      </c>
      <c r="C34" s="13">
        <f>C31*C33</f>
        <v>-6139389.840202734</v>
      </c>
      <c r="D34" s="13">
        <f>D31*D33</f>
        <v>470575.68311585847</v>
      </c>
      <c r="E34" s="13">
        <f>E31*E33</f>
        <v>1272553.381453608</v>
      </c>
      <c r="F34" s="13">
        <f>F31*F33</f>
        <v>761600.1077679738</v>
      </c>
      <c r="G34" s="13">
        <f>G31*G33</f>
        <v>701167.7244795888</v>
      </c>
      <c r="H34" s="13">
        <f>H31*H33</f>
        <v>641943.7087458007</v>
      </c>
      <c r="I34" s="13">
        <f>I31*I33</f>
        <v>587764.1805378329</v>
      </c>
      <c r="J34" s="13">
        <f>J31*J33</f>
        <v>511902.05154823954</v>
      </c>
      <c r="K34" s="13">
        <f>K31*K33</f>
        <v>237648.93477034202</v>
      </c>
      <c r="L34" s="13">
        <f>L31*L33</f>
        <v>357590.2149239279</v>
      </c>
      <c r="M34" s="13">
        <f>M31*M33</f>
        <v>327477.7271128838</v>
      </c>
      <c r="N34" s="13">
        <f>N31*N33</f>
        <v>235836.22563800184</v>
      </c>
      <c r="O34" s="13">
        <f>O31*O33</f>
        <v>180151.85168089822</v>
      </c>
      <c r="P34" s="13">
        <f>P31*P33</f>
        <v>159596.30807422346</v>
      </c>
      <c r="Q34" s="13">
        <f>Q31*Q33</f>
        <v>146787.5983713378</v>
      </c>
      <c r="R34" s="13">
        <f>R31*R33</f>
        <v>82255.4496571775</v>
      </c>
      <c r="S34" s="13">
        <f>S31*S33</f>
        <v>48775.96115535304</v>
      </c>
      <c r="T34" s="13">
        <f>T31*T33</f>
        <v>114712.10747918978</v>
      </c>
      <c r="U34" s="13">
        <f>U31*U33</f>
        <v>105543.074707022</v>
      </c>
      <c r="V34" s="13">
        <f>V31*V33</f>
        <v>97116.44743131204</v>
      </c>
      <c r="W34" s="13">
        <f>W31*W33</f>
        <v>113941.25098980291</v>
      </c>
    </row>
    <row r="35" spans="1:23">
      <c r="A35" t="s">
        <v>327</v>
      </c>
      <c r="C35" s="13">
        <f>C34</f>
        <v>-6139389.840202734</v>
      </c>
      <c r="D35" s="13">
        <f>C35+D34</f>
        <v>-5668814.157086875</v>
      </c>
      <c r="E35" s="13">
        <f>D35+E34</f>
        <v>-4396260.775633267</v>
      </c>
      <c r="F35" s="13">
        <f>E35+F34</f>
        <v>-3634660.667865293</v>
      </c>
      <c r="G35" s="13">
        <f>F35+G34</f>
        <v>-2933492.9433857044</v>
      </c>
      <c r="H35" s="13">
        <f>G35+H34</f>
        <v>-2291549.2346399035</v>
      </c>
      <c r="I35" s="13">
        <f>H35+I34</f>
        <v>-1703785.0541020706</v>
      </c>
      <c r="J35" s="13">
        <f>I35+J34</f>
        <v>-1191883.002553831</v>
      </c>
      <c r="K35" s="13">
        <f>J35+K34</f>
        <v>-954234.0677834891</v>
      </c>
      <c r="L35" s="13">
        <f>K35+L34</f>
        <v>-596643.8528595612</v>
      </c>
      <c r="M35" s="13">
        <f>L35+M34</f>
        <v>-269166.1257466774</v>
      </c>
      <c r="N35" s="13">
        <f>M35+N34</f>
        <v>-33329.90010867556</v>
      </c>
      <c r="O35" s="13">
        <f>N35+O34</f>
        <v>146821.95157222266</v>
      </c>
      <c r="P35" s="13">
        <f>O35+P34</f>
        <v>306418.2596464461</v>
      </c>
      <c r="Q35" s="13">
        <f>P35+Q34</f>
        <v>453205.8580177839</v>
      </c>
      <c r="R35" s="13">
        <f>Q35+R34</f>
        <v>535461.3076749614</v>
      </c>
      <c r="S35" s="13">
        <f>R35+S34</f>
        <v>584237.2688303144</v>
      </c>
      <c r="T35" s="13">
        <f>S35+T34</f>
        <v>698949.3763095042</v>
      </c>
      <c r="U35" s="13">
        <f>T35+U34</f>
        <v>804492.4510165262</v>
      </c>
      <c r="V35" s="13">
        <f>U35+V34</f>
        <v>901608.8984478383</v>
      </c>
      <c r="W35" s="13">
        <f>V35+W34</f>
        <v>1015550.1494376411</v>
      </c>
    </row>
    <row r="36" spans="1:23">
      <c r="A36" t="s">
        <v>328</v>
      </c>
      <c r="C36" s="10">
        <f>""</f>
        <v>0.0</v>
      </c>
      <c r="D36" s="10">
        <f>IF(AND(C32&lt;0,D32&gt;=0),0+(-C32/D31),"")</f>
        <v>0.0</v>
      </c>
      <c r="E36" s="10">
        <f>IF(AND(D32&lt;0,E32&gt;=0),1+(-D32/E31),"")</f>
        <v>0.0</v>
      </c>
      <c r="F36" s="10">
        <f>IF(AND(E32&lt;0,F32&gt;=0),2+(-E32/F31),"")</f>
        <v>0.0</v>
      </c>
      <c r="G36" s="10">
        <f>IF(AND(F32&lt;0,G32&gt;=0),3+(-F32/G31),"")</f>
        <v>0.0</v>
      </c>
      <c r="H36" s="10">
        <f>IF(AND(G32&lt;0,H32&gt;=0),4+(-G32/H31),"")</f>
        <v>0.0</v>
      </c>
      <c r="I36" s="10">
        <f>IF(AND(H32&lt;0,I32&gt;=0),5+(-H32/I31),"")</f>
        <v>0.0</v>
      </c>
      <c r="J36" s="10">
        <f>IF(AND(I32&lt;0,J32&gt;=0),6+(-I32/J31),"")</f>
        <v>0.0</v>
      </c>
      <c r="K36" s="10">
        <f>IF(AND(J32&lt;0,K32&gt;=0),7+(-J32/K31),"")</f>
        <v>0.0</v>
      </c>
      <c r="L36" s="10">
        <f>IF(AND(K32&lt;0,L32&gt;=0),8+(-K32/L31),"")</f>
        <v>0.0</v>
      </c>
      <c r="M36" s="10">
        <f>IF(AND(L32&lt;0,M32&gt;=0),9+(-L32/M31),"")</f>
        <v>0.0</v>
      </c>
      <c r="N36" s="10">
        <f>IF(AND(M32&lt;0,N32&gt;=0),10+(-M32/N31),"")</f>
        <v>0.0</v>
      </c>
      <c r="O36" s="10">
        <f>IF(AND(N32&lt;0,O32&gt;=0),11+(-N32/O31),"")</f>
        <v>0.0</v>
      </c>
      <c r="P36" s="10">
        <f>IF(AND(O32&lt;0,P32&gt;=0),12+(-O32/P31),"")</f>
        <v>0.0</v>
      </c>
      <c r="Q36" s="10">
        <f>IF(AND(P32&lt;0,Q32&gt;=0),13+(-P32/Q31),"")</f>
        <v>0.0</v>
      </c>
      <c r="R36" s="10">
        <f>IF(AND(Q32&lt;0,R32&gt;=0),14+(-Q32/R31),"")</f>
        <v>0.0</v>
      </c>
      <c r="S36" s="10">
        <f>IF(AND(R32&lt;0,S32&gt;=0),15+(-R32/S31),"")</f>
        <v>0.0</v>
      </c>
      <c r="T36" s="10">
        <f>IF(AND(S32&lt;0,T32&gt;=0),16+(-S32/T31),"")</f>
        <v>0.0</v>
      </c>
      <c r="U36" s="10">
        <f>IF(AND(T32&lt;0,U32&gt;=0),17+(-T32/U31),"")</f>
        <v>0.0</v>
      </c>
      <c r="V36" s="10">
        <f>IF(AND(U32&lt;0,V32&gt;=0),18+(-U32/V31),"")</f>
        <v>0.0</v>
      </c>
      <c r="W36" s="10">
        <f>IF(AND(V32&lt;0,W32&gt;=0),19+(-V32/W31),"")</f>
        <v>0.0</v>
      </c>
    </row>
    <row r="37" spans="1:23">
      <c r="A37" t="s">
        <v>329</v>
      </c>
      <c r="C37" s="10">
        <f>""</f>
        <v>0.0</v>
      </c>
      <c r="D37" s="10">
        <f>IF(AND(C35&lt;0,D35&gt;=0),0+(-C35/D34),"")</f>
        <v>0.0</v>
      </c>
      <c r="E37" s="10">
        <f>IF(AND(D35&lt;0,E35&gt;=0),1+(-D35/E34),"")</f>
        <v>0.0</v>
      </c>
      <c r="F37" s="10">
        <f>IF(AND(E35&lt;0,F35&gt;=0),2+(-E35/F34),"")</f>
        <v>0.0</v>
      </c>
      <c r="G37" s="10">
        <f>IF(AND(F35&lt;0,G35&gt;=0),3+(-F35/G34),"")</f>
        <v>0.0</v>
      </c>
      <c r="H37" s="10">
        <f>IF(AND(G35&lt;0,H35&gt;=0),4+(-G35/H34),"")</f>
        <v>0.0</v>
      </c>
      <c r="I37" s="10">
        <f>IF(AND(H35&lt;0,I35&gt;=0),5+(-H35/I34),"")</f>
        <v>0.0</v>
      </c>
      <c r="J37" s="10">
        <f>IF(AND(I35&lt;0,J35&gt;=0),6+(-I35/J34),"")</f>
        <v>0.0</v>
      </c>
      <c r="K37" s="10">
        <f>IF(AND(J35&lt;0,K35&gt;=0),7+(-J35/K34),"")</f>
        <v>0.0</v>
      </c>
      <c r="L37" s="10">
        <f>IF(AND(K35&lt;0,L35&gt;=0),8+(-K35/L34),"")</f>
        <v>0.0</v>
      </c>
      <c r="M37" s="10">
        <f>IF(AND(L35&lt;0,M35&gt;=0),9+(-L35/M34),"")</f>
        <v>0.0</v>
      </c>
      <c r="N37" s="10">
        <f>IF(AND(M35&lt;0,N35&gt;=0),10+(-M35/N34),"")</f>
        <v>0.0</v>
      </c>
      <c r="O37" s="10">
        <f>IF(AND(N35&lt;0,O35&gt;=0),11+(-N35/O34),"")</f>
        <v>0.0</v>
      </c>
      <c r="P37" s="10">
        <f>IF(AND(O35&lt;0,P35&gt;=0),12+(-O35/P34),"")</f>
        <v>0.0</v>
      </c>
      <c r="Q37" s="10">
        <f>IF(AND(P35&lt;0,Q35&gt;=0),13+(-P35/Q34),"")</f>
        <v>0.0</v>
      </c>
      <c r="R37" s="10">
        <f>IF(AND(Q35&lt;0,R35&gt;=0),14+(-Q35/R34),"")</f>
        <v>0.0</v>
      </c>
      <c r="S37" s="10">
        <f>IF(AND(R35&lt;0,S35&gt;=0),15+(-R35/S34),"")</f>
        <v>0.0</v>
      </c>
      <c r="T37" s="10">
        <f>IF(AND(S35&lt;0,T35&gt;=0),16+(-S35/T34),"")</f>
        <v>0.0</v>
      </c>
      <c r="U37" s="10">
        <f>IF(AND(T35&lt;0,U35&gt;=0),17+(-T35/U34),"")</f>
        <v>0.0</v>
      </c>
      <c r="V37" s="10">
        <f>IF(AND(U35&lt;0,V35&gt;=0),18+(-U35/V34),"")</f>
        <v>0.0</v>
      </c>
      <c r="W37" s="10">
        <f>IF(AND(V35&lt;0,W35&gt;=0),19+(-V35/W34),"")</f>
        <v>0.0</v>
      </c>
    </row>
    <row r="38" spans="1:23">
      <c r="A38" t="s">
        <v>330</v>
      </c>
      <c r="C38" s="13">
        <v>0</v>
      </c>
      <c r="D38" s="13">
        <f>IF(D4&lt;=a_tenor,C40*a_r_debt,0)</f>
        <v>276106.61335398245</v>
      </c>
      <c r="E38" s="13">
        <f>IF(E4&lt;=a_tenor,D40*a_r_debt,0)</f>
        <v>276106.61335398245</v>
      </c>
      <c r="F38" s="13">
        <f>IF(F4&lt;=a_tenor,E40*a_r_debt,0)</f>
        <v>253996.07605613113</v>
      </c>
      <c r="G38" s="13">
        <f>IF(G4&lt;=a_tenor,F40*a_r_debt,0)</f>
        <v>230116.6957744517</v>
      </c>
      <c r="H38" s="13">
        <f>IF(H4&lt;=a_tenor,G40*a_r_debt,0)</f>
        <v>204326.96507023796</v>
      </c>
      <c r="I38" s="13">
        <f>IF(I4&lt;=a_tenor,H40*a_r_debt,0)</f>
        <v>176474.05590968713</v>
      </c>
      <c r="J38" s="13">
        <f>IF(J4&lt;=a_tenor,I40*a_r_debt,0)</f>
        <v>146392.9140162922</v>
      </c>
      <c r="K38" s="13">
        <f>IF(K4&lt;=a_tenor,J40*a_r_debt,0)</f>
        <v>113905.2807714257</v>
      </c>
      <c r="L38" s="13">
        <f>IF(L4&lt;=a_tenor,K40*a_r_debt,0)</f>
        <v>78818.63686696987</v>
      </c>
      <c r="M38" s="13">
        <f>IF(M4&lt;=a_tenor,L40*a_r_debt,0)</f>
        <v>40925.06145015757</v>
      </c>
      <c r="N38" s="13">
        <f>IF(N4&lt;=a_tenor,M40*a_r_debt,0)</f>
        <v>0.0</v>
      </c>
      <c r="O38" s="13">
        <f>IF(O4&lt;=a_tenor,N40*a_r_debt,0)</f>
        <v>0.0</v>
      </c>
      <c r="P38" s="13">
        <f>IF(P4&lt;=a_tenor,O40*a_r_debt,0)</f>
        <v>0.0</v>
      </c>
      <c r="Q38" s="13">
        <f>IF(Q4&lt;=a_tenor,P40*a_r_debt,0)</f>
        <v>0.0</v>
      </c>
      <c r="R38" s="13">
        <f>IF(R4&lt;=a_tenor,Q40*a_r_debt,0)</f>
        <v>0.0</v>
      </c>
      <c r="S38" s="13">
        <f>IF(S4&lt;=a_tenor,R40*a_r_debt,0)</f>
        <v>0.0</v>
      </c>
      <c r="T38" s="13">
        <f>IF(T4&lt;=a_tenor,S40*a_r_debt,0)</f>
        <v>0.0</v>
      </c>
      <c r="U38" s="13">
        <f>IF(U4&lt;=a_tenor,T40*a_r_debt,0)</f>
        <v>0.0</v>
      </c>
      <c r="V38" s="13">
        <f>IF(V4&lt;=a_tenor,U40*a_r_debt,0)</f>
        <v>0.0</v>
      </c>
      <c r="W38" s="13">
        <f>IF(W4&lt;=a_tenor,V40*a_r_debt,0)</f>
        <v>0.0</v>
      </c>
    </row>
    <row r="39" spans="1:23">
      <c r="A39" t="s">
        <v>331</v>
      </c>
      <c r="C39" s="13">
        <v>0</v>
      </c>
      <c r="D39" s="13">
        <f>IF(AND(D4&gt;=2,D4&lt;=a_tenor),ANN-D38,0)</f>
        <v>0.0</v>
      </c>
      <c r="E39" s="13">
        <f>IF(AND(E4&gt;=2,E4&lt;=a_tenor),ANN-E38,0)</f>
        <v>276381.7162231412</v>
      </c>
      <c r="F39" s="13">
        <f>IF(AND(F4&gt;=2,F4&lt;=a_tenor),ANN-F38,0)</f>
        <v>298492.25352099247</v>
      </c>
      <c r="G39" s="13">
        <f>IF(AND(G4&gt;=2,G4&lt;=a_tenor),ANN-G38,0)</f>
        <v>322371.6338026719</v>
      </c>
      <c r="H39" s="13">
        <f>IF(AND(H4&gt;=2,H4&lt;=a_tenor),ANN-H38,0)</f>
        <v>348161.36450688564</v>
      </c>
      <c r="I39" s="13">
        <f>IF(AND(I4&gt;=2,I4&lt;=a_tenor),ANN-I38,0)</f>
        <v>376014.2736674365</v>
      </c>
      <c r="J39" s="13">
        <f>IF(AND(J4&gt;=2,J4&lt;=a_tenor),ANN-J38,0)</f>
        <v>406095.41556083143</v>
      </c>
      <c r="K39" s="13">
        <f>IF(AND(K4&gt;=2,K4&lt;=a_tenor),ANN-K38,0)</f>
        <v>438583.04880569794</v>
      </c>
      <c r="L39" s="13">
        <f>IF(AND(L4&gt;=2,L4&lt;=a_tenor),ANN-L38,0)</f>
        <v>473669.69271015376</v>
      </c>
      <c r="M39" s="13">
        <f>IF(AND(M4&gt;=2,M4&lt;=a_tenor),ANN-M38,0)</f>
        <v>511563.2681269661</v>
      </c>
      <c r="N39" s="13">
        <f>IF(AND(N4&gt;=2,N4&lt;=a_tenor),ANN-N38,0)</f>
        <v>0.0</v>
      </c>
      <c r="O39" s="13">
        <f>IF(AND(O4&gt;=2,O4&lt;=a_tenor),ANN-O38,0)</f>
        <v>0.0</v>
      </c>
      <c r="P39" s="13">
        <f>IF(AND(P4&gt;=2,P4&lt;=a_tenor),ANN-P38,0)</f>
        <v>0.0</v>
      </c>
      <c r="Q39" s="13">
        <f>IF(AND(Q4&gt;=2,Q4&lt;=a_tenor),ANN-Q38,0)</f>
        <v>0.0</v>
      </c>
      <c r="R39" s="13">
        <f>IF(AND(R4&gt;=2,R4&lt;=a_tenor),ANN-R38,0)</f>
        <v>0.0</v>
      </c>
      <c r="S39" s="13">
        <f>IF(AND(S4&gt;=2,S4&lt;=a_tenor),ANN-S38,0)</f>
        <v>0.0</v>
      </c>
      <c r="T39" s="13">
        <f>IF(AND(T4&gt;=2,T4&lt;=a_tenor),ANN-T38,0)</f>
        <v>0.0</v>
      </c>
      <c r="U39" s="13">
        <f>IF(AND(U4&gt;=2,U4&lt;=a_tenor),ANN-U38,0)</f>
        <v>0.0</v>
      </c>
      <c r="V39" s="13">
        <f>IF(AND(V4&gt;=2,V4&lt;=a_tenor),ANN-V38,0)</f>
        <v>0.0</v>
      </c>
      <c r="W39" s="13">
        <f>IF(AND(W4&gt;=2,W4&lt;=a_tenor),ANN-W38,0)</f>
        <v>0.0</v>
      </c>
    </row>
    <row r="40" spans="1:23">
      <c r="A40" t="s">
        <v>332</v>
      </c>
      <c r="C40" s="13">
        <f>DEBT</f>
        <v>3451332.6669247802</v>
      </c>
      <c r="D40" s="13">
        <f>C40-D39</f>
        <v>3451332.6669247802</v>
      </c>
      <c r="E40" s="13">
        <f>D40-E39</f>
        <v>3174950.950701639</v>
      </c>
      <c r="F40" s="13">
        <f>E40-F39</f>
        <v>2876458.6971806465</v>
      </c>
      <c r="G40" s="13">
        <f>F40-G39</f>
        <v>2554087.0633779746</v>
      </c>
      <c r="H40" s="13">
        <f>G40-H39</f>
        <v>2205925.698871089</v>
      </c>
      <c r="I40" s="13">
        <f>H40-I39</f>
        <v>1829911.4252036526</v>
      </c>
      <c r="J40" s="13">
        <f>I40-J39</f>
        <v>1423816.0096428213</v>
      </c>
      <c r="K40" s="13">
        <f>J40-K39</f>
        <v>985232.9608371233</v>
      </c>
      <c r="L40" s="13">
        <f>K40-L39</f>
        <v>511563.2681269696</v>
      </c>
      <c r="M40" s="13">
        <f>L40-M39</f>
        <v>3.4924596548080444e-09</v>
      </c>
      <c r="N40" s="13">
        <f>M40-N39</f>
        <v>3.4924596548080444e-09</v>
      </c>
      <c r="O40" s="13">
        <f>N40-O39</f>
        <v>3.4924596548080444e-09</v>
      </c>
      <c r="P40" s="13">
        <f>O40-P39</f>
        <v>3.4924596548080444e-09</v>
      </c>
      <c r="Q40" s="13">
        <f>P40-Q39</f>
        <v>3.4924596548080444e-09</v>
      </c>
      <c r="R40" s="13">
        <f>Q40-R39</f>
        <v>3.4924596548080444e-09</v>
      </c>
      <c r="S40" s="13">
        <f>R40-S39</f>
        <v>3.4924596548080444e-09</v>
      </c>
      <c r="T40" s="13">
        <f>S40-T39</f>
        <v>3.4924596548080444e-09</v>
      </c>
      <c r="U40" s="13">
        <f>T40-U39</f>
        <v>3.4924596548080444e-09</v>
      </c>
      <c r="V40" s="13">
        <f>U40-V39</f>
        <v>3.4924596548080444e-09</v>
      </c>
      <c r="W40" s="13">
        <f>V40-W39</f>
        <v>3.4924596548080444e-09</v>
      </c>
    </row>
    <row r="41" spans="1:23">
      <c r="A41" t="s">
        <v>148</v>
      </c>
      <c r="C41" s="13">
        <f>-a_fee_debt*DEBT</f>
        <v>-51769.9900038717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0</v>
      </c>
      <c r="N41" s="13">
        <v>0</v>
      </c>
      <c r="O41" s="13">
        <v>0</v>
      </c>
      <c r="P41" s="13">
        <v>0</v>
      </c>
      <c r="Q41" s="13">
        <v>0</v>
      </c>
      <c r="R41" s="13">
        <v>0</v>
      </c>
      <c r="S41" s="13">
        <v>0</v>
      </c>
      <c r="T41" s="13">
        <v>0</v>
      </c>
      <c r="U41" s="13">
        <v>0</v>
      </c>
      <c r="V41" s="13">
        <v>0</v>
      </c>
      <c r="W41" s="13">
        <v>0</v>
      </c>
    </row>
    <row r="42" spans="1:23">
      <c r="A42" t="s">
        <v>333</v>
      </c>
      <c r="C42" s="13">
        <f>IF(C4=1,-ANN*a_dsra_m/12,IF(C4=a_tenor,ANN*a_dsra_m/12,0))</f>
        <v>-0.0</v>
      </c>
      <c r="D42" s="13">
        <f>IF(D4=1,-ANN*a_dsra_m/12,IF(D4=a_tenor,ANN*a_dsra_m/12,0))</f>
        <v>-276244.1647885618</v>
      </c>
      <c r="E42" s="13">
        <f>IF(E4=1,-ANN*a_dsra_m/12,IF(E4=a_tenor,ANN*a_dsra_m/12,0))</f>
        <v>-0.0</v>
      </c>
      <c r="F42" s="13">
        <f>IF(F4=1,-ANN*a_dsra_m/12,IF(F4=a_tenor,ANN*a_dsra_m/12,0))</f>
        <v>-0.0</v>
      </c>
      <c r="G42" s="13">
        <f>IF(G4=1,-ANN*a_dsra_m/12,IF(G4=a_tenor,ANN*a_dsra_m/12,0))</f>
        <v>-0.0</v>
      </c>
      <c r="H42" s="13">
        <f>IF(H4=1,-ANN*a_dsra_m/12,IF(H4=a_tenor,ANN*a_dsra_m/12,0))</f>
        <v>-0.0</v>
      </c>
      <c r="I42" s="13">
        <f>IF(I4=1,-ANN*a_dsra_m/12,IF(I4=a_tenor,ANN*a_dsra_m/12,0))</f>
        <v>-0.0</v>
      </c>
      <c r="J42" s="13">
        <f>IF(J4=1,-ANN*a_dsra_m/12,IF(J4=a_tenor,ANN*a_dsra_m/12,0))</f>
        <v>-0.0</v>
      </c>
      <c r="K42" s="13">
        <f>IF(K4=1,-ANN*a_dsra_m/12,IF(K4=a_tenor,ANN*a_dsra_m/12,0))</f>
        <v>-0.0</v>
      </c>
      <c r="L42" s="13">
        <f>IF(L4=1,-ANN*a_dsra_m/12,IF(L4=a_tenor,ANN*a_dsra_m/12,0))</f>
        <v>-0.0</v>
      </c>
      <c r="M42" s="13">
        <f>IF(M4=1,-ANN*a_dsra_m/12,IF(M4=a_tenor,ANN*a_dsra_m/12,0))</f>
        <v>276244.1647885618</v>
      </c>
      <c r="N42" s="13">
        <f>IF(N4=1,-ANN*a_dsra_m/12,IF(N4=a_tenor,ANN*a_dsra_m/12,0))</f>
        <v>-0.0</v>
      </c>
      <c r="O42" s="13">
        <f>IF(O4=1,-ANN*a_dsra_m/12,IF(O4=a_tenor,ANN*a_dsra_m/12,0))</f>
        <v>-0.0</v>
      </c>
      <c r="P42" s="13">
        <f>IF(P4=1,-ANN*a_dsra_m/12,IF(P4=a_tenor,ANN*a_dsra_m/12,0))</f>
        <v>-0.0</v>
      </c>
      <c r="Q42" s="13">
        <f>IF(Q4=1,-ANN*a_dsra_m/12,IF(Q4=a_tenor,ANN*a_dsra_m/12,0))</f>
        <v>-0.0</v>
      </c>
      <c r="R42" s="13">
        <f>IF(R4=1,-ANN*a_dsra_m/12,IF(R4=a_tenor,ANN*a_dsra_m/12,0))</f>
        <v>-0.0</v>
      </c>
      <c r="S42" s="13">
        <f>IF(S4=1,-ANN*a_dsra_m/12,IF(S4=a_tenor,ANN*a_dsra_m/12,0))</f>
        <v>-0.0</v>
      </c>
      <c r="T42" s="13">
        <f>IF(T4=1,-ANN*a_dsra_m/12,IF(T4=a_tenor,ANN*a_dsra_m/12,0))</f>
        <v>-0.0</v>
      </c>
      <c r="U42" s="13">
        <f>IF(U4=1,-ANN*a_dsra_m/12,IF(U4=a_tenor,ANN*a_dsra_m/12,0))</f>
        <v>-0.0</v>
      </c>
      <c r="V42" s="13">
        <f>IF(V4=1,-ANN*a_dsra_m/12,IF(V4=a_tenor,ANN*a_dsra_m/12,0))</f>
        <v>-0.0</v>
      </c>
      <c r="W42" s="13">
        <f>IF(W4=1,-ANN*a_dsra_m/12,IF(W4=a_tenor,ANN*a_dsra_m/12,0))</f>
        <v>-0.0</v>
      </c>
    </row>
    <row r="43" spans="1:23">
      <c r="A43" t="s">
        <v>334</v>
      </c>
      <c r="C43" s="13">
        <f>C28-C38+IF(C4=1,C41,0)</f>
        <v>0.0</v>
      </c>
      <c r="D43" s="13">
        <f>D28-D38+IF(D4=1,C41,0)</f>
        <v>-639941.3106320616</v>
      </c>
      <c r="E43" s="13">
        <f>E28-E38+IF(E4=1,C41,0)</f>
        <v>-270174.4037668408</v>
      </c>
      <c r="F43" s="13">
        <f>F28-F38+IF(F4=1,C41,0)</f>
        <v>-208745.37448783795</v>
      </c>
      <c r="G43" s="13">
        <f>G28-G38+IF(G4=1,C41,0)</f>
        <v>-180107.4673342425</v>
      </c>
      <c r="H43" s="13">
        <f>H28-H38+IF(H4=1,C41,0)</f>
        <v>-149464.0392206745</v>
      </c>
      <c r="I43" s="13">
        <f>I28-I38+IF(I4=1,C41,0)</f>
        <v>-116660.35870258222</v>
      </c>
      <c r="J43" s="13">
        <f>J28-J38+IF(J4=1,C41,0)</f>
        <v>178944.81294171838</v>
      </c>
      <c r="K43" s="13">
        <f>K28-K38+IF(K4=1,C41,0)</f>
        <v>156914.17679390742</v>
      </c>
      <c r="L43" s="13">
        <f>L28-L38+IF(L4=1,C41,0)</f>
        <v>905220.2941357786</v>
      </c>
      <c r="M43" s="13">
        <f>M28-M38+IF(M4=1,C41,0)</f>
        <v>948472.7436868002</v>
      </c>
      <c r="N43" s="13">
        <f>N28-N38+IF(N4=1,C41,0)</f>
        <v>705363.4731769339</v>
      </c>
      <c r="O43" s="13">
        <f>O28-O38+IF(O4=1,C41,0)</f>
        <v>604665.933356692</v>
      </c>
      <c r="P43" s="13">
        <f>P28-P38+IF(P4=1,C41,0)</f>
        <v>610999.6167741353</v>
      </c>
      <c r="Q43" s="13">
        <f>Q28-Q38+IF(Q4=1,C41,0)</f>
        <v>617459.9738599274</v>
      </c>
      <c r="R43" s="13">
        <f>R28-R38+IF(R4=1,C41,0)</f>
        <v>596692.1245053966</v>
      </c>
      <c r="S43" s="13">
        <f>S28-S38+IF(S4=1,C41,0)</f>
        <v>621075.2893547453</v>
      </c>
      <c r="T43" s="13">
        <f>T28-T38+IF(T4=1,C41,0)</f>
        <v>627931.0719770447</v>
      </c>
      <c r="U43" s="13">
        <f>U28-U38+IF(U4=1,C41,0)</f>
        <v>634923.9702517898</v>
      </c>
      <c r="V43" s="13">
        <f>V28-V38+IF(V4=1,C41,0)</f>
        <v>642056.7264920297</v>
      </c>
      <c r="W43" s="13">
        <f>W28-W38+IF(W4=1,C41,0)</f>
        <v>649332.1378570746</v>
      </c>
    </row>
    <row r="44" spans="1:23">
      <c r="A44" t="s">
        <v>335</v>
      </c>
      <c r="C44" s="13">
        <f>MAX(0,-C43)</f>
        <v>0.0</v>
      </c>
      <c r="D44" s="13">
        <f>MAX(0,C44-D43)</f>
        <v>0.0</v>
      </c>
      <c r="E44" s="13">
        <f>MAX(0,D44-E43)</f>
        <v>0.0</v>
      </c>
      <c r="F44" s="13">
        <f>MAX(0,E44-F43)</f>
        <v>0.0</v>
      </c>
      <c r="G44" s="13">
        <f>MAX(0,F44-G43)</f>
        <v>0.0</v>
      </c>
      <c r="H44" s="13">
        <f>MAX(0,G44-H43)</f>
        <v>0.0</v>
      </c>
      <c r="I44" s="13">
        <f>MAX(0,H44-I43)</f>
        <v>0.0</v>
      </c>
      <c r="J44" s="13">
        <f>MAX(0,I44-J43)</f>
        <v>0.0</v>
      </c>
      <c r="K44" s="13">
        <f>MAX(0,J44-K43)</f>
        <v>0.0</v>
      </c>
      <c r="L44" s="13">
        <f>MAX(0,K44-L43)</f>
        <v>0.0</v>
      </c>
      <c r="M44" s="13">
        <f>MAX(0,L44-M43)</f>
        <v>0.0</v>
      </c>
      <c r="N44" s="13">
        <f>MAX(0,M44-N43)</f>
        <v>0.0</v>
      </c>
      <c r="O44" s="13">
        <f>MAX(0,N44-O43)</f>
        <v>0.0</v>
      </c>
      <c r="P44" s="13">
        <f>MAX(0,O44-P43)</f>
        <v>0.0</v>
      </c>
      <c r="Q44" s="13">
        <f>MAX(0,P44-Q43)</f>
        <v>0.0</v>
      </c>
      <c r="R44" s="13">
        <f>MAX(0,Q44-R43)</f>
        <v>0.0</v>
      </c>
      <c r="S44" s="13">
        <f>MAX(0,R44-S43)</f>
        <v>0.0</v>
      </c>
      <c r="T44" s="13">
        <f>MAX(0,S44-T43)</f>
        <v>0.0</v>
      </c>
      <c r="U44" s="13">
        <f>MAX(0,T44-U43)</f>
        <v>0.0</v>
      </c>
      <c r="V44" s="13">
        <f>MAX(0,U44-V43)</f>
        <v>0.0</v>
      </c>
      <c r="W44" s="13">
        <f>MAX(0,V44-W43)</f>
        <v>0.0</v>
      </c>
    </row>
    <row r="45" spans="1:23">
      <c r="A45" t="s">
        <v>336</v>
      </c>
      <c r="C45" s="13">
        <f>-a_tax*MAX(0,C43)</f>
        <v>-0.0</v>
      </c>
      <c r="D45" s="13">
        <f>-a_tax*MAX(0,D43-C44)</f>
        <v>-0.0</v>
      </c>
      <c r="E45" s="13">
        <f>-a_tax*MAX(0,E43-D44)</f>
        <v>-0.0</v>
      </c>
      <c r="F45" s="13">
        <f>-a_tax*MAX(0,F43-E44)</f>
        <v>-0.0</v>
      </c>
      <c r="G45" s="13">
        <f>-a_tax*MAX(0,G43-F44)</f>
        <v>-0.0</v>
      </c>
      <c r="H45" s="13">
        <f>-a_tax*MAX(0,H43-G44)</f>
        <v>-0.0</v>
      </c>
      <c r="I45" s="13">
        <f>-a_tax*MAX(0,I43-H44)</f>
        <v>-0.0</v>
      </c>
      <c r="J45" s="13">
        <f>-a_tax*MAX(0,J43-I44)</f>
        <v>-0.0</v>
      </c>
      <c r="K45" s="13">
        <f>-a_tax*MAX(0,K43-J44)</f>
        <v>-0.0</v>
      </c>
      <c r="L45" s="13">
        <f>-a_tax*MAX(0,L43-K44)</f>
        <v>-0.0</v>
      </c>
      <c r="M45" s="13">
        <f>-a_tax*MAX(0,M43-L44)</f>
        <v>-137380.99615107235</v>
      </c>
      <c r="N45" s="13">
        <f>-a_tax*MAX(0,N43-M44)</f>
        <v>-155179.96409892547</v>
      </c>
      <c r="O45" s="13">
        <f>-a_tax*MAX(0,O43-N44)</f>
        <v>-133026.50533847223</v>
      </c>
      <c r="P45" s="13">
        <f>-a_tax*MAX(0,P43-O44)</f>
        <v>-134419.91569030975</v>
      </c>
      <c r="Q45" s="13">
        <f>-a_tax*MAX(0,Q43-P44)</f>
        <v>-135841.19424918402</v>
      </c>
      <c r="R45" s="13">
        <f>-a_tax*MAX(0,R43-Q44)</f>
        <v>-131272.26739118726</v>
      </c>
      <c r="S45" s="13">
        <f>-a_tax*MAX(0,S43-R44)</f>
        <v>-136636.56365804398</v>
      </c>
      <c r="T45" s="13">
        <f>-a_tax*MAX(0,T43-S44)</f>
        <v>-138144.83583494983</v>
      </c>
      <c r="U45" s="13">
        <f>-a_tax*MAX(0,U43-T44)</f>
        <v>-139683.27345539376</v>
      </c>
      <c r="V45" s="13">
        <f>-a_tax*MAX(0,V43-U44)</f>
        <v>-141252.47982824655</v>
      </c>
      <c r="W45" s="13">
        <f>-a_tax*MAX(0,W43-V44)</f>
        <v>-142853.0703285564</v>
      </c>
    </row>
    <row r="46" spans="1:23">
      <c r="A46" t="s">
        <v>337</v>
      </c>
      <c r="C46" s="13">
        <v>0</v>
      </c>
      <c r="D46" s="13">
        <f>SUM(D22:W22)/a_n_op</f>
        <v>-51613.48322834985</v>
      </c>
      <c r="E46" s="13">
        <f>SUM(D22:W22)/a_n_op</f>
        <v>-51613.48322834985</v>
      </c>
      <c r="F46" s="13">
        <f>SUM(D22:W22)/a_n_op</f>
        <v>-51613.48322834985</v>
      </c>
      <c r="G46" s="13">
        <f>SUM(D22:W22)/a_n_op</f>
        <v>-51613.48322834985</v>
      </c>
      <c r="H46" s="13">
        <f>SUM(D22:W22)/a_n_op</f>
        <v>-51613.48322834985</v>
      </c>
      <c r="I46" s="13">
        <f>SUM(D22:W22)/a_n_op</f>
        <v>-51613.48322834985</v>
      </c>
      <c r="J46" s="13">
        <f>SUM(D22:W22)/a_n_op</f>
        <v>-51613.48322834985</v>
      </c>
      <c r="K46" s="13">
        <f>SUM(D22:W22)/a_n_op</f>
        <v>-51613.48322834985</v>
      </c>
      <c r="L46" s="13">
        <f>SUM(D22:W22)/a_n_op</f>
        <v>-51613.48322834985</v>
      </c>
      <c r="M46" s="13">
        <f>SUM(D22:W22)/a_n_op</f>
        <v>-51613.48322834985</v>
      </c>
      <c r="N46" s="13">
        <f>SUM(D22:W22)/a_n_op</f>
        <v>-51613.48322834985</v>
      </c>
      <c r="O46" s="13">
        <f>SUM(D22:W22)/a_n_op</f>
        <v>-51613.48322834985</v>
      </c>
      <c r="P46" s="13">
        <f>SUM(D22:W22)/a_n_op</f>
        <v>-51613.48322834985</v>
      </c>
      <c r="Q46" s="13">
        <f>SUM(D22:W22)/a_n_op</f>
        <v>-51613.48322834985</v>
      </c>
      <c r="R46" s="13">
        <f>SUM(D22:W22)/a_n_op</f>
        <v>-51613.48322834985</v>
      </c>
      <c r="S46" s="13">
        <f>SUM(D22:W22)/a_n_op</f>
        <v>-51613.48322834985</v>
      </c>
      <c r="T46" s="13">
        <f>SUM(D22:W22)/a_n_op</f>
        <v>-51613.48322834985</v>
      </c>
      <c r="U46" s="13">
        <f>SUM(D22:W22)/a_n_op</f>
        <v>-51613.48322834985</v>
      </c>
      <c r="V46" s="13">
        <f>SUM(D22:W22)/a_n_op</f>
        <v>-51613.48322834985</v>
      </c>
      <c r="W46" s="13">
        <f>SUM(D22:W22)/a_n_op</f>
        <v>-51613.48322834985</v>
      </c>
    </row>
    <row r="47" spans="1:23">
      <c r="A47" t="s">
        <v>338</v>
      </c>
      <c r="C47" s="10">
        <f>""</f>
        <v>0.0</v>
      </c>
      <c r="D47" s="10">
        <f>IF(D38+D39&gt;0,(D20+D45+D25+D46)/(D38+D39),"")</f>
        <v>0.0</v>
      </c>
      <c r="E47" s="10">
        <f>IF(E38+E39&gt;0,(E20+E45+E25+E46)/(E38+E39),"")</f>
        <v>0.0</v>
      </c>
      <c r="F47" s="10">
        <f>IF(F38+F39&gt;0,(F20+F45+F25+F46)/(F38+F39),"")</f>
        <v>0.0</v>
      </c>
      <c r="G47" s="10">
        <f>IF(G38+G39&gt;0,(G20+G45+G25+G46)/(G38+G39),"")</f>
        <v>0.0</v>
      </c>
      <c r="H47" s="10">
        <f>IF(H38+H39&gt;0,(H20+H45+H25+H46)/(H38+H39),"")</f>
        <v>0.0</v>
      </c>
      <c r="I47" s="10">
        <f>IF(I38+I39&gt;0,(I20+I45+I25+I46)/(I38+I39),"")</f>
        <v>0.0</v>
      </c>
      <c r="J47" s="10">
        <f>IF(J38+J39&gt;0,(J20+J45+J25+J46)/(J38+J39),"")</f>
        <v>0.0</v>
      </c>
      <c r="K47" s="10">
        <f>IF(K38+K39&gt;0,(K20+K45+K25+K46)/(K38+K39),"")</f>
        <v>0.0</v>
      </c>
      <c r="L47" s="10">
        <f>IF(L38+L39&gt;0,(L20+L45+L25+L46)/(L38+L39),"")</f>
        <v>0.0</v>
      </c>
      <c r="M47" s="10">
        <f>IF(M38+M39&gt;0,(M20+M45+M25+M46)/(M38+M39),"")</f>
        <v>0.0</v>
      </c>
      <c r="N47" s="10">
        <f>IF(N38+N39&gt;0,(N20+N45+N25+N46)/(N38+N39),"")</f>
        <v>0.0</v>
      </c>
      <c r="O47" s="10">
        <f>IF(O38+O39&gt;0,(O20+O45+O25+O46)/(O38+O39),"")</f>
        <v>0.0</v>
      </c>
      <c r="P47" s="10">
        <f>IF(P38+P39&gt;0,(P20+P45+P25+P46)/(P38+P39),"")</f>
        <v>0.0</v>
      </c>
      <c r="Q47" s="10">
        <f>IF(Q38+Q39&gt;0,(Q20+Q45+Q25+Q46)/(Q38+Q39),"")</f>
        <v>0.0</v>
      </c>
      <c r="R47" s="10">
        <f>IF(R38+R39&gt;0,(R20+R45+R25+R46)/(R38+R39),"")</f>
        <v>0.0</v>
      </c>
      <c r="S47" s="10">
        <f>IF(S38+S39&gt;0,(S20+S45+S25+S46)/(S38+S39),"")</f>
        <v>0.0</v>
      </c>
      <c r="T47" s="10">
        <f>IF(T38+T39&gt;0,(T20+T45+T25+T46)/(T38+T39),"")</f>
        <v>0.0</v>
      </c>
      <c r="U47" s="10">
        <f>IF(U38+U39&gt;0,(U20+U45+U25+U46)/(U38+U39),"")</f>
        <v>0.0</v>
      </c>
      <c r="V47" s="10">
        <f>IF(V38+V39&gt;0,(V20+V45+V25+V46)/(V38+V39),"")</f>
        <v>0.0</v>
      </c>
      <c r="W47" s="10">
        <f>IF(W38+W39&gt;0,(W20+W45+W25+W46)/(W38+W39),"")</f>
        <v>0.0</v>
      </c>
    </row>
    <row r="48" spans="1:23">
      <c r="A48" s="9" t="s">
        <v>339</v>
      </c>
      <c r="C48" s="14">
        <f>C20+C45+C21*(1-a_debt_frac)+C22+C23+C25-C38-C39+C41+C42</f>
        <v>-2872570.7273943173</v>
      </c>
      <c r="D48" s="14">
        <f>D20+D45+D21*(1-a_debt_frac)+D22+D23+D25-D38-D39+D41+D42</f>
        <v>-35922.200463876536</v>
      </c>
      <c r="E48" s="14">
        <f>E20+E45+E21*(1-a_debt_frac)+E22+E23+E25-E38-E39+E41+E42</f>
        <v>980142.5811432358</v>
      </c>
      <c r="F48" s="14">
        <f>F20+F45+F21*(1-a_debt_frac)+F22+F23+F25-F38-F39+F41+F42</f>
        <v>454140.4746371923</v>
      </c>
      <c r="G48" s="14">
        <f>G20+G45+G21*(1-a_debt_frac)+G22+G23+G25-G38-G39+G41+G42</f>
        <v>464568.12162732147</v>
      </c>
      <c r="H48" s="14">
        <f>H20+H45+H21*(1-a_debt_frac)+H22+H23+H25-H38-H39+H41+H42</f>
        <v>469393.96512730373</v>
      </c>
      <c r="I48" s="14">
        <f>I20+I45+I21*(1-a_debt_frac)+I22+I23+I25-I38-I39+I41+I42</f>
        <v>474316.32549728575</v>
      </c>
      <c r="J48" s="14">
        <f>J20+J45+J21*(1-a_debt_frac)+J22+J23+J25-J38-J39+J41+J42</f>
        <v>479337.1330746674</v>
      </c>
      <c r="K48" s="14">
        <f>K20+K45+K21*(1-a_debt_frac)+K22+K23+K25-K38-K39+K41+K42</f>
        <v>7105.941499089124</v>
      </c>
      <c r="L48" s="14">
        <f>L20+L45+L21*(1-a_debt_frac)+L22+L23+L25-L38-L39+L41+L42</f>
        <v>489682.00500710425</v>
      </c>
      <c r="M48" s="14">
        <f>M20+M45+M21*(1-a_debt_frac)+M22+M23+M25-M38-M39+M41+M42</f>
        <v>633873.2948121715</v>
      </c>
      <c r="N48" s="14">
        <f>N20+N45+N21*(1-a_debt_frac)+N22+N23+N25-N38-N39+N41+N42</f>
        <v>655841.8958165222</v>
      </c>
      <c r="O48" s="14">
        <f>O20+O45+O21*(1-a_debt_frac)+O22+O23+O25-O38-O39+O41+O42</f>
        <v>549804.3308946162</v>
      </c>
      <c r="P48" s="14">
        <f>P20+P45+P21*(1-a_debt_frac)+P22+P23+P25-P38-P39+P41+P42</f>
        <v>534531.1910756921</v>
      </c>
      <c r="Q48" s="14">
        <f>Q20+Q45+Q21*(1-a_debt_frac)+Q22+Q23+Q25-Q38-Q39+Q41+Q42</f>
        <v>539535.918364186</v>
      </c>
      <c r="R48" s="14">
        <f>R20+R45+R21*(1-a_debt_frac)+R22+R23+R25-R38-R39+R41+R42</f>
        <v>331800.06253019045</v>
      </c>
      <c r="S48" s="14">
        <f>S20+S45+S21*(1-a_debt_frac)+S22+S23+S25-S38-S39+S41+S42</f>
        <v>215922.75079706105</v>
      </c>
      <c r="T48" s="14">
        <f>T20+T45+T21*(1-a_debt_frac)+T22+T23+T25-T38-T39+T41+T42</f>
        <v>557291.7480396111</v>
      </c>
      <c r="U48" s="14">
        <f>U20+U45+U21*(1-a_debt_frac)+U22+U23+U25-U38-U39+U41+U42</f>
        <v>562709.0258087065</v>
      </c>
      <c r="V48" s="14">
        <f>V20+V45+V21*(1-a_debt_frac)+V22+V23+V25-V38-V39+V41+V42</f>
        <v>568234.6491331836</v>
      </c>
      <c r="W48" s="14">
        <f>W20+W45+W21*(1-a_debt_frac)+W22+W23+W25-W38-W39+W41+W42</f>
        <v>731638.7408743349</v>
      </c>
    </row>
    <row r="50" spans="1:1">
      <c r="A50" s="2" t="s">
        <v>340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24"/>
  <sheetViews>
    <sheetView workbookViewId="0"/>
  </sheetViews>
  <sheetFormatPr defaultRowHeight="15"/>
  <cols>
    <col min="1" max="1" width="50.7109375" customWidth="1"/>
    <col min="2" max="2" width="16.7109375" customWidth="1"/>
    <col min="3" max="3" width="24.7109375" customWidth="1"/>
    <col min="4" max="4" width="14.7109375" customWidth="1"/>
  </cols>
  <sheetData>
    <row r="1" spans="1:4">
      <c r="A1" s="1" t="s">
        <v>341</v>
      </c>
    </row>
    <row r="3" spans="1:4">
      <c r="A3" s="6" t="s">
        <v>342</v>
      </c>
      <c r="B3" s="6" t="s">
        <v>343</v>
      </c>
      <c r="C3" s="6" t="s">
        <v>344</v>
      </c>
      <c r="D3" s="6" t="s">
        <v>345</v>
      </c>
    </row>
    <row r="4" spans="1:4">
      <c r="A4" s="8" t="s">
        <v>346</v>
      </c>
      <c r="B4" s="3">
        <f>SUMPRODUCT('Arus Kas'!$C$31:$W$31,'Arus Kas'!$C$33:$W$33)</f>
        <v>1015550.1494376402</v>
      </c>
      <c r="C4" s="8" t="s">
        <v>347</v>
      </c>
      <c r="D4" s="8">
        <f>IF(B4&gt;0,"Layak","Tidak layak")</f>
        <v>0</v>
      </c>
    </row>
    <row r="5" spans="1:4">
      <c r="A5" s="8" t="s">
        <v>348</v>
      </c>
      <c r="B5" s="4">
        <f>IRR('Arus Kas'!$C$31:$W$31)</f>
        <v>0.12524434380392435</v>
      </c>
      <c r="C5" s="8" t="s">
        <v>349</v>
      </c>
      <c r="D5" s="8">
        <f>IF(B5&gt;WACC,"Layak","Tidak layak")</f>
        <v>0</v>
      </c>
    </row>
    <row r="6" spans="1:4">
      <c r="A6" s="8" t="s">
        <v>350</v>
      </c>
      <c r="B6" s="4">
        <f>IRR('Arus Kas'!$C$48:$W$48)</f>
        <v>0.14827814128629258</v>
      </c>
      <c r="C6" s="8" t="s">
        <v>351</v>
      </c>
      <c r="D6" s="8">
        <f>IF(B6&gt;=a_r_eq-0.0005,"Layak","Tidak layak")</f>
        <v>0</v>
      </c>
    </row>
    <row r="7" spans="1:4">
      <c r="A7" s="8" t="s">
        <v>203</v>
      </c>
      <c r="B7" s="4">
        <f>WACC</f>
        <v>0.09744</v>
      </c>
      <c r="C7" s="8" t="s">
        <v>12</v>
      </c>
      <c r="D7" s="8">
        <f>"Informasi"</f>
        <v>0</v>
      </c>
    </row>
    <row r="8" spans="1:4">
      <c r="A8" s="8" t="s">
        <v>352</v>
      </c>
      <c r="B8" s="5">
        <f>SUM('Arus Kas'!$C$36:$W$36)</f>
        <v>6.018298232606978</v>
      </c>
      <c r="C8" s="8" t="s">
        <v>353</v>
      </c>
      <c r="D8" s="8">
        <f>IF(B8&lt;a_n_op,"Layak","Tidak layak")</f>
        <v>0</v>
      </c>
    </row>
    <row r="9" spans="1:4">
      <c r="A9" s="8" t="s">
        <v>354</v>
      </c>
      <c r="B9" s="5">
        <f>IF(SUM('Arus Kas'!$C$37:$W$37)=0,"&gt; umur",SUM('Arus Kas'!$C$37:$W$37))</f>
        <v>11.18501003346728</v>
      </c>
      <c r="C9" s="8" t="s">
        <v>353</v>
      </c>
      <c r="D9" s="8">
        <f>IF(ISNUMBER(B9),IF(B9&lt;a_n_op,"Layak","Tidak layak"),"Tidak layak")</f>
        <v>0</v>
      </c>
    </row>
    <row r="10" spans="1:4">
      <c r="A10" s="8" t="s">
        <v>355</v>
      </c>
      <c r="B10" s="5">
        <f>SUMPRODUCT('Arus Kas'!$D$31:$W$31,'Arus Kas'!$D$33:$W$33)/FCI</f>
        <v>1.2936111886060906</v>
      </c>
      <c r="C10" s="8" t="s">
        <v>356</v>
      </c>
      <c r="D10" s="8">
        <f>IF(B10&gt;1,"Layak","Tidak layak")</f>
        <v>0</v>
      </c>
    </row>
    <row r="11" spans="1:4">
      <c r="A11" s="8" t="s">
        <v>357</v>
      </c>
      <c r="B11" s="5">
        <f>MIN('Arus Kas'!$C$47:$W$47)</f>
        <v>1.5538861735405074</v>
      </c>
      <c r="C11" s="8" t="s">
        <v>358</v>
      </c>
      <c r="D11" s="8">
        <f>IF(B11&gt;=1.3,"Layak","Tidak layak")</f>
        <v>0</v>
      </c>
    </row>
    <row r="12" spans="1:4">
      <c r="A12" s="8" t="s">
        <v>359</v>
      </c>
      <c r="B12" s="11">
        <f>(FCI-SUMPRODUCT('Arus Kas'!$C$18:$W$18,'Arus Kas'!$C$33:$W$33)-SUMPRODUCT('Arus Kas'!$C$19:$W$19,'Arus Kas'!$C$33:$W$33)-SUMPRODUCT('Arus Kas'!$C$22:$W$22,'Arus Kas'!$C$33:$W$33))/(SUMPRODUCT('Arus Kas'!$C$7:$W$7,'Arus Kas'!$C$33:$W$33)*1000000)</f>
        <v>0.1802609235287212</v>
      </c>
      <c r="C12" s="8" t="s">
        <v>360</v>
      </c>
      <c r="D12" s="8">
        <f>"Informasi"</f>
        <v>0</v>
      </c>
    </row>
    <row r="13" spans="1:4">
      <c r="A13" s="8" t="s">
        <v>361</v>
      </c>
      <c r="B13" s="3">
        <f>-MIN('Arus Kas'!$C$32:$W$32)</f>
        <v>6139389.840202734</v>
      </c>
      <c r="C13" s="8" t="s">
        <v>362</v>
      </c>
      <c r="D13" s="8">
        <f>"Informasi"</f>
        <v>0</v>
      </c>
    </row>
    <row r="14" spans="1:4">
      <c r="A14" s="8" t="s">
        <v>363</v>
      </c>
      <c r="B14" s="4">
        <f>SUM('Arus Kas'!$C$12:$W$12)/SUM('Arus Kas'!$C$17:$W$17)</f>
        <v>0.4973218657225462</v>
      </c>
      <c r="C14" s="8" t="s">
        <v>360</v>
      </c>
      <c r="D14" s="8">
        <f>"Informasi"</f>
        <v>0</v>
      </c>
    </row>
    <row r="16" spans="1:4">
      <c r="A16" s="9" t="s">
        <v>364</v>
      </c>
    </row>
    <row r="17" spans="1:2">
      <c r="A17" s="8" t="s">
        <v>365</v>
      </c>
      <c r="B17" s="10">
        <v>1.507947294378842</v>
      </c>
    </row>
    <row r="18" spans="1:2">
      <c r="A18" s="8" t="s">
        <v>366</v>
      </c>
      <c r="B18" s="10">
        <v>7.180701401804011</v>
      </c>
    </row>
    <row r="19" spans="1:2">
      <c r="A19" s="8" t="s">
        <v>367</v>
      </c>
      <c r="B19" s="10">
        <v>6.90588018060877</v>
      </c>
    </row>
    <row r="20" spans="1:2">
      <c r="A20" s="8" t="s">
        <v>368</v>
      </c>
      <c r="B20" s="10">
        <v>-2.854088267985678</v>
      </c>
    </row>
    <row r="21" spans="1:2">
      <c r="A21" s="8" t="s">
        <v>369</v>
      </c>
      <c r="B21" s="10">
        <v>0.6632180302060329</v>
      </c>
    </row>
    <row r="22" spans="1:2">
      <c r="A22" s="8" t="s">
        <v>370</v>
      </c>
      <c r="B22" s="10">
        <v>1.175658537676751</v>
      </c>
    </row>
    <row r="23" spans="1:2">
      <c r="A23" s="8" t="s">
        <v>371</v>
      </c>
      <c r="B23" s="15">
        <v>0</v>
      </c>
    </row>
    <row r="24" spans="1:2">
      <c r="A24" s="8" t="s">
        <v>372</v>
      </c>
      <c r="B24" s="15">
        <v>0.3898225780457353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E69"/>
  <sheetViews>
    <sheetView workbookViewId="0"/>
  </sheetViews>
  <sheetFormatPr defaultRowHeight="15"/>
  <cols>
    <col min="1" max="1" width="36.7109375" customWidth="1"/>
    <col min="2" max="5" width="15.7109375" customWidth="1"/>
  </cols>
  <sheetData>
    <row r="1" spans="1:5">
      <c r="A1" s="1" t="s">
        <v>373</v>
      </c>
    </row>
    <row r="3" spans="1:5">
      <c r="A3" s="6" t="s">
        <v>374</v>
      </c>
      <c r="B3" s="6" t="s">
        <v>375</v>
      </c>
      <c r="C3" s="6" t="s">
        <v>376</v>
      </c>
      <c r="D3" s="6" t="s">
        <v>377</v>
      </c>
      <c r="E3" s="6" t="s">
        <v>378</v>
      </c>
    </row>
    <row r="4" spans="1:5">
      <c r="A4" s="8" t="s">
        <v>379</v>
      </c>
      <c r="B4" s="13">
        <v>2108401.827330354</v>
      </c>
      <c r="C4" s="13">
        <v>-143147.9925689128</v>
      </c>
      <c r="D4" s="12">
        <f>ABS(C4-B4)</f>
        <v>2251549.8198992666</v>
      </c>
      <c r="E4" s="12">
        <v>1015550.14943764</v>
      </c>
    </row>
    <row r="5" spans="1:5">
      <c r="A5" s="8" t="s">
        <v>380</v>
      </c>
      <c r="B5" s="13">
        <v>-516536.4524184989</v>
      </c>
      <c r="C5" s="13">
        <v>1514709.948806407</v>
      </c>
      <c r="D5" s="12">
        <f>ABS(C5-B5)</f>
        <v>2031246.401224906</v>
      </c>
      <c r="E5" s="12">
        <v>1015550.14943764</v>
      </c>
    </row>
    <row r="6" spans="1:5">
      <c r="A6" s="8" t="s">
        <v>381</v>
      </c>
      <c r="B6" s="13">
        <v>191293.1687133785</v>
      </c>
      <c r="C6" s="13">
        <v>1816095.523573614</v>
      </c>
      <c r="D6" s="12">
        <f>ABS(C6-B6)</f>
        <v>1624802.354860236</v>
      </c>
      <c r="E6" s="12">
        <v>1015550.14943764</v>
      </c>
    </row>
    <row r="7" spans="1:5">
      <c r="A7" s="8" t="s">
        <v>382</v>
      </c>
      <c r="B7" s="13">
        <v>257661.32955609</v>
      </c>
      <c r="C7" s="13">
        <v>1744933.533424495</v>
      </c>
      <c r="D7" s="12">
        <f>ABS(C7-B7)</f>
        <v>1487272.203868405</v>
      </c>
      <c r="E7" s="12">
        <v>1015550.14943764</v>
      </c>
    </row>
    <row r="8" spans="1:5">
      <c r="A8" s="8" t="s">
        <v>383</v>
      </c>
      <c r="B8" s="13">
        <v>1530993.103615266</v>
      </c>
      <c r="C8" s="13">
        <v>490388.8995199176</v>
      </c>
      <c r="D8" s="12">
        <f>ABS(C8-B8)</f>
        <v>1040604.2040953485</v>
      </c>
      <c r="E8" s="12">
        <v>1015550.14943764</v>
      </c>
    </row>
    <row r="9" spans="1:5">
      <c r="A9" s="8" t="s">
        <v>153</v>
      </c>
      <c r="B9" s="13">
        <v>1546591.261610003</v>
      </c>
      <c r="C9" s="13">
        <v>544170.3729246111</v>
      </c>
      <c r="D9" s="12">
        <f>ABS(C9-B9)</f>
        <v>1002420.8886853919</v>
      </c>
      <c r="E9" s="12">
        <v>1015550.14943764</v>
      </c>
    </row>
    <row r="10" spans="1:5">
      <c r="A10" s="8" t="s">
        <v>384</v>
      </c>
      <c r="B10" s="13">
        <v>471661.9173971948</v>
      </c>
      <c r="C10" s="13">
        <v>1090343.842907527</v>
      </c>
      <c r="D10" s="12">
        <f>ABS(C10-B10)</f>
        <v>618681.9255103325</v>
      </c>
      <c r="E10" s="12">
        <v>1015550.14943764</v>
      </c>
    </row>
    <row r="11" spans="1:5">
      <c r="A11" s="8" t="s">
        <v>385</v>
      </c>
      <c r="B11" s="13">
        <v>889190.0661412104</v>
      </c>
      <c r="C11" s="13">
        <v>1141442.450139359</v>
      </c>
      <c r="D11" s="12">
        <f>ABS(C11-B11)</f>
        <v>252252.38399814826</v>
      </c>
      <c r="E11" s="12">
        <v>1015550.14943764</v>
      </c>
    </row>
    <row r="12" spans="1:5">
      <c r="A12" s="8" t="s">
        <v>386</v>
      </c>
      <c r="B12" s="13">
        <v>909790.3929611105</v>
      </c>
      <c r="C12" s="13">
        <v>1121309.905914171</v>
      </c>
      <c r="D12" s="12">
        <f>ABS(C12-B12)</f>
        <v>211519.5129530602</v>
      </c>
      <c r="E12" s="12">
        <v>1015550.14943764</v>
      </c>
    </row>
    <row r="15" spans="1:5">
      <c r="A15" s="9" t="s">
        <v>387</v>
      </c>
    </row>
    <row r="16" spans="1:5">
      <c r="A16" s="6" t="s">
        <v>388</v>
      </c>
      <c r="B16" s="6" t="s">
        <v>389</v>
      </c>
    </row>
    <row r="17" spans="1:2">
      <c r="A17" s="15">
        <v>0.04</v>
      </c>
      <c r="B17" s="13">
        <f>'Arus Kas'!$C$31+NPV(A17,'Arus Kas'!$D$31:$W$31)</f>
        <v>4310759.7166993</v>
      </c>
    </row>
    <row r="18" spans="1:2">
      <c r="A18" s="15">
        <v>0.045</v>
      </c>
      <c r="B18" s="13">
        <f>'Arus Kas'!$C$31+NPV(A18,'Arus Kas'!$D$31:$W$31)</f>
        <v>3932042.1579384236</v>
      </c>
    </row>
    <row r="19" spans="1:2">
      <c r="A19" s="15">
        <v>0.05</v>
      </c>
      <c r="B19" s="13">
        <f>'Arus Kas'!$C$31+NPV(A19,'Arus Kas'!$D$31:$W$31)</f>
        <v>3575045.001190995</v>
      </c>
    </row>
    <row r="20" spans="1:2">
      <c r="A20" s="15">
        <v>0.055</v>
      </c>
      <c r="B20" s="13">
        <f>'Arus Kas'!$C$31+NPV(A20,'Arus Kas'!$D$31:$W$31)</f>
        <v>3238196.9824291235</v>
      </c>
    </row>
    <row r="21" spans="1:2">
      <c r="A21" s="15">
        <v>0.06</v>
      </c>
      <c r="B21" s="13">
        <f>'Arus Kas'!$C$31+NPV(A21,'Arus Kas'!$D$31:$W$31)</f>
        <v>2920057.748961208</v>
      </c>
    </row>
    <row r="22" spans="1:2">
      <c r="A22" s="15">
        <v>0.065</v>
      </c>
      <c r="B22" s="13">
        <f>'Arus Kas'!$C$31+NPV(A22,'Arus Kas'!$D$31:$W$31)</f>
        <v>2619305.8339489903</v>
      </c>
    </row>
    <row r="23" spans="1:2">
      <c r="A23" s="15">
        <v>0.06999999999999999</v>
      </c>
      <c r="B23" s="13">
        <f>'Arus Kas'!$C$31+NPV(A23,'Arus Kas'!$D$31:$W$31)</f>
        <v>2334727.820455118</v>
      </c>
    </row>
    <row r="24" spans="1:2">
      <c r="A24" s="15">
        <v>0.075</v>
      </c>
      <c r="B24" s="13">
        <f>'Arus Kas'!$C$31+NPV(A24,'Arus Kas'!$D$31:$W$31)</f>
        <v>2065208.570079113</v>
      </c>
    </row>
    <row r="25" spans="1:2">
      <c r="A25" s="15">
        <v>0.07999999999999999</v>
      </c>
      <c r="B25" s="13">
        <f>'Arus Kas'!$C$31+NPV(A25,'Arus Kas'!$D$31:$W$31)</f>
        <v>1809722.4050491592</v>
      </c>
    </row>
    <row r="26" spans="1:2">
      <c r="A26" s="15">
        <v>0.08499999999999999</v>
      </c>
      <c r="B26" s="13">
        <f>'Arus Kas'!$C$31+NPV(A26,'Arus Kas'!$D$31:$W$31)</f>
        <v>1567325.1448516184</v>
      </c>
    </row>
    <row r="27" spans="1:2">
      <c r="A27" s="15">
        <v>0.09</v>
      </c>
      <c r="B27" s="13">
        <f>'Arus Kas'!$C$31+NPV(A27,'Arus Kas'!$D$31:$W$31)</f>
        <v>1337146.9092888408</v>
      </c>
    </row>
    <row r="28" spans="1:2">
      <c r="A28" s="15">
        <v>0.095</v>
      </c>
      <c r="B28" s="13">
        <f>'Arus Kas'!$C$31+NPV(A28,'Arus Kas'!$D$31:$W$31)</f>
        <v>1118385.6094297145</v>
      </c>
    </row>
    <row r="29" spans="1:2">
      <c r="A29" s="15">
        <v>0.09999999999999999</v>
      </c>
      <c r="B29" s="13">
        <f>'Arus Kas'!$C$31+NPV(A29,'Arus Kas'!$D$31:$W$31)</f>
        <v>910301.056400998</v>
      </c>
    </row>
    <row r="30" spans="1:2">
      <c r="A30" s="15">
        <v>0.105</v>
      </c>
      <c r="B30" s="13">
        <f>'Arus Kas'!$C$31+NPV(A30,'Arus Kas'!$D$31:$W$31)</f>
        <v>712209.6254925507</v>
      </c>
    </row>
    <row r="31" spans="1:2">
      <c r="A31" s="15">
        <v>0.11</v>
      </c>
      <c r="B31" s="13">
        <f>'Arus Kas'!$C$31+NPV(A31,'Arus Kas'!$D$31:$W$31)</f>
        <v>523479.41972666344</v>
      </c>
    </row>
    <row r="32" spans="1:2">
      <c r="A32" s="15">
        <v>0.115</v>
      </c>
      <c r="B32" s="13">
        <f>'Arus Kas'!$C$31+NPV(A32,'Arus Kas'!$D$31:$W$31)</f>
        <v>343525.8829726443</v>
      </c>
    </row>
    <row r="33" spans="1:2">
      <c r="A33" s="15">
        <v>0.12</v>
      </c>
      <c r="B33" s="13">
        <f>'Arus Kas'!$C$31+NPV(A33,'Arus Kas'!$D$31:$W$31)</f>
        <v>171807.81795765963</v>
      </c>
    </row>
    <row r="34" spans="1:2">
      <c r="A34" s="15">
        <v>0.125</v>
      </c>
      <c r="B34" s="13">
        <f>'Arus Kas'!$C$31+NPV(A34,'Arus Kas'!$D$31:$W$31)</f>
        <v>7823.769211669467</v>
      </c>
    </row>
    <row r="35" spans="1:2">
      <c r="A35" s="15">
        <v>0.13</v>
      </c>
      <c r="B35" s="13">
        <f>'Arus Kas'!$C$31+NPV(A35,'Arus Kas'!$D$31:$W$31)</f>
        <v>-148891.26484499482</v>
      </c>
    </row>
    <row r="36" spans="1:2">
      <c r="A36" s="15">
        <v>0.135</v>
      </c>
      <c r="B36" s="13">
        <f>'Arus Kas'!$C$31+NPV(A36,'Arus Kas'!$D$31:$W$31)</f>
        <v>-298768.8227490627</v>
      </c>
    </row>
    <row r="37" spans="1:2">
      <c r="A37" s="15">
        <v>0.14</v>
      </c>
      <c r="B37" s="13">
        <f>'Arus Kas'!$C$31+NPV(A37,'Arus Kas'!$D$31:$W$31)</f>
        <v>-442209.7025451669</v>
      </c>
    </row>
    <row r="38" spans="1:2">
      <c r="A38" s="15">
        <v>0.145</v>
      </c>
      <c r="B38" s="13">
        <f>'Arus Kas'!$C$31+NPV(A38,'Arus Kas'!$D$31:$W$31)</f>
        <v>-579586.4418578391</v>
      </c>
    </row>
    <row r="39" spans="1:2">
      <c r="A39" s="15">
        <v>0.15</v>
      </c>
      <c r="B39" s="13">
        <f>'Arus Kas'!$C$31+NPV(A39,'Arus Kas'!$D$31:$W$31)</f>
        <v>-711245.5786693954</v>
      </c>
    </row>
    <row r="40" spans="1:2">
      <c r="A40" s="15">
        <v>0.155</v>
      </c>
      <c r="B40" s="13">
        <f>'Arus Kas'!$C$31+NPV(A40,'Arus Kas'!$D$31:$W$31)</f>
        <v>-837509.7136382969</v>
      </c>
    </row>
    <row r="41" spans="1:2">
      <c r="A41" s="15">
        <v>0.16</v>
      </c>
      <c r="B41" s="13">
        <f>'Arus Kas'!$C$31+NPV(A41,'Arus Kas'!$D$31:$W$31)</f>
        <v>-958679.3926921386</v>
      </c>
    </row>
    <row r="42" spans="1:2">
      <c r="A42" s="15">
        <v>0.165</v>
      </c>
      <c r="B42" s="13">
        <f>'Arus Kas'!$C$31+NPV(A42,'Arus Kas'!$D$31:$W$31)</f>
        <v>-1075034.8267524978</v>
      </c>
    </row>
    <row r="43" spans="1:2">
      <c r="A43" s="15">
        <v>0.17</v>
      </c>
      <c r="B43" s="13">
        <f>'Arus Kas'!$C$31+NPV(A43,'Arus Kas'!$D$31:$W$31)</f>
        <v>-1186837.463769162</v>
      </c>
    </row>
    <row r="44" spans="1:2">
      <c r="A44" s="15">
        <v>0.175</v>
      </c>
      <c r="B44" s="13">
        <f>'Arus Kas'!$C$31+NPV(A44,'Arus Kas'!$D$31:$W$31)</f>
        <v>-1294331.4267383332</v>
      </c>
    </row>
    <row r="45" spans="1:2">
      <c r="A45" s="15">
        <v>0.18</v>
      </c>
      <c r="B45" s="13">
        <f>'Arus Kas'!$C$31+NPV(A45,'Arus Kas'!$D$31:$W$31)</f>
        <v>-1397744.8300327032</v>
      </c>
    </row>
    <row r="46" spans="1:2">
      <c r="A46" s="15">
        <v>0.185</v>
      </c>
      <c r="B46" s="13">
        <f>'Arus Kas'!$C$31+NPV(A46,'Arus Kas'!$D$31:$W$31)</f>
        <v>-1497290.985164853</v>
      </c>
    </row>
    <row r="47" spans="1:2">
      <c r="A47" s="15">
        <v>0.19</v>
      </c>
      <c r="B47" s="13">
        <f>'Arus Kas'!$C$31+NPV(A47,'Arus Kas'!$D$31:$W$31)</f>
        <v>-1593169.5060229183</v>
      </c>
    </row>
    <row r="48" spans="1:2">
      <c r="A48" s="15">
        <v>0.195</v>
      </c>
      <c r="B48" s="13">
        <f>'Arus Kas'!$C$31+NPV(A48,'Arus Kas'!$D$31:$W$31)</f>
        <v>-1685567.3226466118</v>
      </c>
    </row>
    <row r="49" spans="1:5">
      <c r="A49" s="15">
        <v>0.2</v>
      </c>
      <c r="B49" s="13">
        <f>'Arus Kas'!$C$31+NPV(A49,'Arus Kas'!$D$31:$W$31)</f>
        <v>-1774659.611739371</v>
      </c>
    </row>
    <row r="50" spans="1:5">
      <c r="A50" s="15">
        <v>0.205</v>
      </c>
      <c r="B50" s="13">
        <f>'Arus Kas'!$C$31+NPV(A50,'Arus Kas'!$D$31:$W$31)</f>
        <v>-1860610.6513291749</v>
      </c>
    </row>
    <row r="51" spans="1:5">
      <c r="A51" s="15">
        <v>0.21</v>
      </c>
      <c r="B51" s="13">
        <f>'Arus Kas'!$C$31+NPV(A51,'Arus Kas'!$D$31:$W$31)</f>
        <v>-1943574.606285891</v>
      </c>
    </row>
    <row r="52" spans="1:5">
      <c r="A52" s="15">
        <v>0.215</v>
      </c>
      <c r="B52" s="13">
        <f>'Arus Kas'!$C$31+NPV(A52,'Arus Kas'!$D$31:$W$31)</f>
        <v>-2023696.2507696021</v>
      </c>
    </row>
    <row r="53" spans="1:5">
      <c r="A53" s="15">
        <v>0.22</v>
      </c>
      <c r="B53" s="13">
        <f>'Arus Kas'!$C$31+NPV(A53,'Arus Kas'!$D$31:$W$31)</f>
        <v>-2101111.6331136976</v>
      </c>
    </row>
    <row r="54" spans="1:5">
      <c r="A54" s="15">
        <v>0.225</v>
      </c>
      <c r="B54" s="13">
        <f>'Arus Kas'!$C$31+NPV(A54,'Arus Kas'!$D$31:$W$31)</f>
        <v>-2175948.6881329813</v>
      </c>
    </row>
    <row r="55" spans="1:5">
      <c r="A55" s="15">
        <v>0.23</v>
      </c>
      <c r="B55" s="13">
        <f>'Arus Kas'!$C$31+NPV(A55,'Arus Kas'!$D$31:$W$31)</f>
        <v>-2248327.801383878</v>
      </c>
    </row>
    <row r="56" spans="1:5">
      <c r="A56" s="15">
        <v>0.235</v>
      </c>
      <c r="B56" s="13">
        <f>'Arus Kas'!$C$31+NPV(A56,'Arus Kas'!$D$31:$W$31)</f>
        <v>-2318362.3294863994</v>
      </c>
    </row>
    <row r="57" spans="1:5">
      <c r="A57" s="15">
        <v>0.24</v>
      </c>
      <c r="B57" s="13">
        <f>'Arus Kas'!$C$31+NPV(A57,'Arus Kas'!$D$31:$W$31)</f>
        <v>-2386159.080240661</v>
      </c>
    </row>
    <row r="60" spans="1:5">
      <c r="A60" s="9" t="s">
        <v>390</v>
      </c>
    </row>
    <row r="61" spans="1:5">
      <c r="A61" s="6" t="s">
        <v>391</v>
      </c>
      <c r="B61" s="6" t="s">
        <v>392</v>
      </c>
      <c r="C61" s="6" t="s">
        <v>393</v>
      </c>
      <c r="D61" s="6" t="s">
        <v>394</v>
      </c>
      <c r="E61" s="6" t="s">
        <v>395</v>
      </c>
    </row>
    <row r="62" spans="1:5">
      <c r="A62" s="8" t="s">
        <v>396</v>
      </c>
      <c r="B62" s="12">
        <v>5530981.838020481</v>
      </c>
      <c r="C62" s="13">
        <v>1015550.14943764</v>
      </c>
      <c r="D62" s="15">
        <v>0.1252443438039244</v>
      </c>
      <c r="E62" s="10">
        <v>6.018298232606978</v>
      </c>
    </row>
    <row r="63" spans="1:5">
      <c r="A63" s="8" t="s">
        <v>397</v>
      </c>
      <c r="B63" s="12">
        <v>5530981.838020481</v>
      </c>
      <c r="C63" s="13">
        <v>-3466015.407880535</v>
      </c>
      <c r="D63" s="15">
        <v>-1</v>
      </c>
      <c r="E63" s="10">
        <v>99</v>
      </c>
    </row>
    <row r="64" spans="1:5">
      <c r="A64" s="8" t="s">
        <v>398</v>
      </c>
      <c r="B64" s="12">
        <v>5530981.838020481</v>
      </c>
      <c r="C64" s="13">
        <v>880032.4976296766</v>
      </c>
      <c r="D64" s="15">
        <v>0.1215923509122054</v>
      </c>
      <c r="E64" s="10">
        <v>6.1483998470435</v>
      </c>
    </row>
    <row r="65" spans="1:5">
      <c r="A65" s="8" t="s">
        <v>399</v>
      </c>
      <c r="B65" s="12">
        <v>5530981.838020481</v>
      </c>
      <c r="C65" s="13">
        <v>1876797.966916304</v>
      </c>
      <c r="D65" s="15">
        <v>0.148220078832189</v>
      </c>
      <c r="E65" s="10">
        <v>5.382909689888612</v>
      </c>
    </row>
    <row r="66" spans="1:5">
      <c r="A66" s="8" t="s">
        <v>400</v>
      </c>
      <c r="B66" s="12">
        <v>5530981.838020481</v>
      </c>
      <c r="C66" s="13">
        <v>1248536.773878639</v>
      </c>
      <c r="D66" s="15">
        <v>0.1288695785563392</v>
      </c>
      <c r="E66" s="10">
        <v>6.018298232606978</v>
      </c>
    </row>
    <row r="67" spans="1:5">
      <c r="A67" s="8" t="s">
        <v>401</v>
      </c>
      <c r="B67" s="12">
        <v>4550962.817201911</v>
      </c>
      <c r="C67" s="13">
        <v>1985417.703658881</v>
      </c>
      <c r="D67" s="15">
        <v>0.1605382490619922</v>
      </c>
      <c r="E67" s="10">
        <v>5.144366577642857</v>
      </c>
    </row>
    <row r="68" spans="1:5">
      <c r="A68" s="8" t="s">
        <v>402</v>
      </c>
      <c r="B68" s="12">
        <v>4285129.527851385</v>
      </c>
      <c r="C68" s="13">
        <v>-253555.1037619148</v>
      </c>
      <c r="D68" s="15">
        <v>0.08816545864270742</v>
      </c>
      <c r="E68" s="10">
        <v>8.022263410326335</v>
      </c>
    </row>
    <row r="69" spans="1:5">
      <c r="A69" s="8" t="s">
        <v>403</v>
      </c>
      <c r="B69" s="12">
        <v>6678152.975085169</v>
      </c>
      <c r="C69" s="13">
        <v>2367540.226690114</v>
      </c>
      <c r="D69" s="15">
        <v>0.1495683076021697</v>
      </c>
      <c r="E69" s="10">
        <v>5.403990545761495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D60"/>
  <sheetViews>
    <sheetView workbookViewId="0"/>
  </sheetViews>
  <sheetFormatPr defaultRowHeight="15"/>
  <cols>
    <col min="1" max="1" width="34.7109375" customWidth="1"/>
    <col min="2" max="3" width="14.7109375" customWidth="1"/>
    <col min="4" max="4" width="60.7109375" customWidth="1"/>
  </cols>
  <sheetData>
    <row r="1" spans="1:4">
      <c r="A1" s="1" t="s">
        <v>404</v>
      </c>
    </row>
    <row r="3" spans="1:4">
      <c r="A3" s="6" t="s">
        <v>405</v>
      </c>
      <c r="B3" s="6" t="s">
        <v>393</v>
      </c>
      <c r="C3" s="6" t="s">
        <v>394</v>
      </c>
      <c r="D3" s="6" t="s">
        <v>395</v>
      </c>
    </row>
    <row r="4" spans="1:4">
      <c r="A4" t="s">
        <v>406</v>
      </c>
      <c r="B4" s="13">
        <v>-782635.9283248998</v>
      </c>
      <c r="C4" s="15">
        <v>0.07843595403592765</v>
      </c>
      <c r="D4" s="10">
        <v>5.747123261555326</v>
      </c>
    </row>
    <row r="5" spans="1:4">
      <c r="A5" t="s">
        <v>407</v>
      </c>
      <c r="B5" s="13">
        <v>343128.1047924191</v>
      </c>
      <c r="C5" s="15">
        <v>0.1070411094060182</v>
      </c>
      <c r="D5" s="10">
        <v>6.6830005297622</v>
      </c>
    </row>
    <row r="6" spans="1:4">
      <c r="A6" t="s">
        <v>408</v>
      </c>
      <c r="B6" s="13">
        <v>1359970.690104575</v>
      </c>
      <c r="C6" s="15">
        <v>0.1343608481557116</v>
      </c>
      <c r="D6" s="10">
        <v>8.590355522784245</v>
      </c>
    </row>
    <row r="7" spans="1:4">
      <c r="A7" t="s">
        <v>409</v>
      </c>
      <c r="B7" s="13">
        <v>300883.4662634041</v>
      </c>
    </row>
    <row r="9" spans="1:4">
      <c r="A9" s="9" t="s">
        <v>410</v>
      </c>
      <c r="B9" s="4">
        <v>0.6436666666666667</v>
      </c>
    </row>
    <row r="10" spans="1:4">
      <c r="A10" s="9" t="s">
        <v>411</v>
      </c>
      <c r="B10" s="4">
        <v>0.657</v>
      </c>
    </row>
    <row r="11" spans="1:4">
      <c r="A11" t="s">
        <v>412</v>
      </c>
      <c r="B11">
        <v>0</v>
      </c>
      <c r="C11">
        <v>0</v>
      </c>
    </row>
    <row r="13" spans="1:4">
      <c r="A13" s="9" t="s">
        <v>413</v>
      </c>
    </row>
    <row r="14" spans="1:4">
      <c r="A14" s="6" t="s">
        <v>414</v>
      </c>
      <c r="B14" s="6" t="s">
        <v>415</v>
      </c>
      <c r="C14" s="6"/>
      <c r="D14" s="6" t="s">
        <v>416</v>
      </c>
    </row>
    <row r="15" spans="1:4">
      <c r="A15" t="s">
        <v>417</v>
      </c>
      <c r="B15" s="10">
        <v>-0.5929544623282734</v>
      </c>
      <c r="D15" s="8" t="s">
        <v>418</v>
      </c>
    </row>
    <row r="16" spans="1:4">
      <c r="A16" t="s">
        <v>419</v>
      </c>
      <c r="B16" s="10">
        <v>0.4974993450554827</v>
      </c>
      <c r="D16" s="8" t="s">
        <v>420</v>
      </c>
    </row>
    <row r="17" spans="1:4">
      <c r="A17" t="s">
        <v>48</v>
      </c>
      <c r="B17" s="10">
        <v>0.3075731928414658</v>
      </c>
      <c r="D17" s="8" t="s">
        <v>421</v>
      </c>
    </row>
    <row r="18" spans="1:4">
      <c r="A18" t="s">
        <v>422</v>
      </c>
      <c r="B18" s="10">
        <v>0.2815315308368367</v>
      </c>
      <c r="D18" s="8" t="s">
        <v>423</v>
      </c>
    </row>
    <row r="19" spans="1:4">
      <c r="A19" t="s">
        <v>11</v>
      </c>
      <c r="B19" s="10">
        <v>0.2721460542384505</v>
      </c>
      <c r="D19" s="8" t="s">
        <v>424</v>
      </c>
    </row>
    <row r="20" spans="1:4">
      <c r="A20" t="s">
        <v>425</v>
      </c>
      <c r="B20" s="10">
        <v>-0.1741726531302948</v>
      </c>
      <c r="D20" s="8" t="s">
        <v>426</v>
      </c>
    </row>
    <row r="21" spans="1:4">
      <c r="A21" t="s">
        <v>142</v>
      </c>
      <c r="B21" s="10">
        <v>-0.1320050480005609</v>
      </c>
      <c r="D21" s="8" t="s">
        <v>427</v>
      </c>
    </row>
    <row r="22" spans="1:4">
      <c r="A22" t="s">
        <v>38</v>
      </c>
      <c r="B22" s="10">
        <v>0.1301516433501826</v>
      </c>
      <c r="D22" s="8" t="s">
        <v>428</v>
      </c>
    </row>
    <row r="23" spans="1:4">
      <c r="A23" t="s">
        <v>429</v>
      </c>
      <c r="B23" s="10">
        <v>-0.04460226406691823</v>
      </c>
      <c r="D23" s="8" t="s">
        <v>430</v>
      </c>
    </row>
    <row r="24" spans="1:4">
      <c r="A24" t="s">
        <v>18</v>
      </c>
      <c r="B24" s="10">
        <v>0.03656728495192055</v>
      </c>
      <c r="D24" s="8" t="s">
        <v>431</v>
      </c>
    </row>
    <row r="25" spans="1:4">
      <c r="A25" t="s">
        <v>52</v>
      </c>
      <c r="B25" s="10">
        <v>0.02759819862202207</v>
      </c>
      <c r="D25" s="8" t="s">
        <v>432</v>
      </c>
    </row>
    <row r="26" spans="1:4">
      <c r="A26" t="s">
        <v>67</v>
      </c>
      <c r="B26" s="10">
        <v>0.02415041957226884</v>
      </c>
      <c r="D26" s="8" t="s">
        <v>433</v>
      </c>
    </row>
    <row r="27" spans="1:4">
      <c r="A27" t="s">
        <v>15</v>
      </c>
      <c r="B27" s="10">
        <v>0.01764397129377459</v>
      </c>
      <c r="D27" s="8" t="s">
        <v>434</v>
      </c>
    </row>
    <row r="30" spans="1:4">
      <c r="A30" s="6" t="s">
        <v>435</v>
      </c>
      <c r="B30" s="6" t="s">
        <v>436</v>
      </c>
    </row>
    <row r="31" spans="1:4">
      <c r="A31" s="12">
        <v>-2310432.86896628</v>
      </c>
      <c r="B31" s="12">
        <v>5</v>
      </c>
    </row>
    <row r="32" spans="1:4">
      <c r="A32" s="12">
        <v>-2123506.581817103</v>
      </c>
      <c r="B32" s="12">
        <v>4</v>
      </c>
    </row>
    <row r="33" spans="1:2">
      <c r="A33" s="12">
        <v>-1936580.294667926</v>
      </c>
      <c r="B33" s="12">
        <v>7</v>
      </c>
    </row>
    <row r="34" spans="1:2">
      <c r="A34" s="12">
        <v>-1749654.00751875</v>
      </c>
      <c r="B34" s="12">
        <v>26</v>
      </c>
    </row>
    <row r="35" spans="1:2">
      <c r="A35" s="12">
        <v>-1562727.720369573</v>
      </c>
      <c r="B35" s="12">
        <v>27</v>
      </c>
    </row>
    <row r="36" spans="1:2">
      <c r="A36" s="12">
        <v>-1375801.433220396</v>
      </c>
      <c r="B36" s="12">
        <v>31</v>
      </c>
    </row>
    <row r="37" spans="1:2">
      <c r="A37" s="12">
        <v>-1188875.14607122</v>
      </c>
      <c r="B37" s="12">
        <v>54</v>
      </c>
    </row>
    <row r="38" spans="1:2">
      <c r="A38" s="12">
        <v>-1001948.858922043</v>
      </c>
      <c r="B38" s="12">
        <v>86</v>
      </c>
    </row>
    <row r="39" spans="1:2">
      <c r="A39" s="12">
        <v>-815022.5717728663</v>
      </c>
      <c r="B39" s="12">
        <v>101</v>
      </c>
    </row>
    <row r="40" spans="1:2">
      <c r="A40" s="12">
        <v>-628096.2846236896</v>
      </c>
      <c r="B40" s="12">
        <v>150</v>
      </c>
    </row>
    <row r="41" spans="1:2">
      <c r="A41" s="12">
        <v>-441169.9974745129</v>
      </c>
      <c r="B41" s="12">
        <v>172</v>
      </c>
    </row>
    <row r="42" spans="1:2">
      <c r="A42" s="12">
        <v>-254243.7103253363</v>
      </c>
      <c r="B42" s="12">
        <v>192</v>
      </c>
    </row>
    <row r="43" spans="1:2">
      <c r="A43" s="12">
        <v>-67317.42317615962</v>
      </c>
      <c r="B43" s="12">
        <v>244</v>
      </c>
    </row>
    <row r="44" spans="1:2">
      <c r="A44" s="12">
        <v>119608.8639730171</v>
      </c>
      <c r="B44" s="12">
        <v>233</v>
      </c>
    </row>
    <row r="45" spans="1:2">
      <c r="A45" s="12">
        <v>306535.1511221938</v>
      </c>
      <c r="B45" s="12">
        <v>251</v>
      </c>
    </row>
    <row r="46" spans="1:2">
      <c r="A46" s="12">
        <v>493461.4382713705</v>
      </c>
      <c r="B46" s="12">
        <v>269</v>
      </c>
    </row>
    <row r="47" spans="1:2">
      <c r="A47" s="12">
        <v>680387.725420547</v>
      </c>
      <c r="B47" s="12">
        <v>253</v>
      </c>
    </row>
    <row r="48" spans="1:2">
      <c r="A48" s="12">
        <v>867314.0125697237</v>
      </c>
      <c r="B48" s="12">
        <v>243</v>
      </c>
    </row>
    <row r="49" spans="1:2">
      <c r="A49" s="12">
        <v>1054240.2997189</v>
      </c>
      <c r="B49" s="12">
        <v>184</v>
      </c>
    </row>
    <row r="50" spans="1:2">
      <c r="A50" s="12">
        <v>1241166.586868077</v>
      </c>
      <c r="B50" s="12">
        <v>154</v>
      </c>
    </row>
    <row r="51" spans="1:2">
      <c r="A51" s="12">
        <v>1428092.874017254</v>
      </c>
      <c r="B51" s="12">
        <v>112</v>
      </c>
    </row>
    <row r="52" spans="1:2">
      <c r="A52" s="12">
        <v>1615019.16116643</v>
      </c>
      <c r="B52" s="12">
        <v>83</v>
      </c>
    </row>
    <row r="53" spans="1:2">
      <c r="A53" s="12">
        <v>1801945.448315607</v>
      </c>
      <c r="B53" s="12">
        <v>56</v>
      </c>
    </row>
    <row r="54" spans="1:2">
      <c r="A54" s="12">
        <v>1988871.735464784</v>
      </c>
      <c r="B54" s="12">
        <v>33</v>
      </c>
    </row>
    <row r="55" spans="1:2">
      <c r="A55" s="12">
        <v>2175798.02261396</v>
      </c>
      <c r="B55" s="12">
        <v>16</v>
      </c>
    </row>
    <row r="56" spans="1:2">
      <c r="A56" s="12">
        <v>2362724.309763137</v>
      </c>
      <c r="B56" s="12">
        <v>9</v>
      </c>
    </row>
    <row r="57" spans="1:2">
      <c r="A57" s="12">
        <v>2549650.596912314</v>
      </c>
      <c r="B57" s="12">
        <v>4</v>
      </c>
    </row>
    <row r="58" spans="1:2">
      <c r="A58" s="12">
        <v>2736576.88406149</v>
      </c>
      <c r="B58" s="12">
        <v>0</v>
      </c>
    </row>
    <row r="59" spans="1:2">
      <c r="A59" s="12">
        <v>2923503.171210667</v>
      </c>
      <c r="B59" s="12">
        <v>0</v>
      </c>
    </row>
    <row r="60" spans="1:2">
      <c r="A60" s="12">
        <v>3110429.458359844</v>
      </c>
      <c r="B60" s="12">
        <v>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D12"/>
  <sheetViews>
    <sheetView workbookViewId="0"/>
  </sheetViews>
  <sheetFormatPr defaultRowHeight="15"/>
  <cols>
    <col min="1" max="1" width="32.7109375" customWidth="1"/>
    <col min="2" max="4" width="16.7109375" customWidth="1"/>
  </cols>
  <sheetData>
    <row r="1" spans="1:4">
      <c r="A1" s="1" t="s">
        <v>437</v>
      </c>
    </row>
    <row r="3" spans="1:4">
      <c r="A3" s="6" t="s">
        <v>342</v>
      </c>
      <c r="B3" s="6" t="s">
        <v>438</v>
      </c>
      <c r="C3" s="6" t="s">
        <v>439</v>
      </c>
      <c r="D3" s="6" t="s">
        <v>440</v>
      </c>
    </row>
    <row r="4" spans="1:4">
      <c r="A4" t="s">
        <v>441</v>
      </c>
      <c r="B4" s="12">
        <v>10</v>
      </c>
      <c r="C4" s="12">
        <v>14</v>
      </c>
      <c r="D4" s="12">
        <v>19</v>
      </c>
    </row>
    <row r="5" spans="1:4">
      <c r="A5" t="s">
        <v>392</v>
      </c>
      <c r="B5" s="12">
        <v>4285129.527851385</v>
      </c>
      <c r="C5" s="12">
        <v>5530981.838020481</v>
      </c>
      <c r="D5" s="12">
        <v>6678152.975085169</v>
      </c>
    </row>
    <row r="6" spans="1:4">
      <c r="A6" t="s">
        <v>442</v>
      </c>
      <c r="B6" s="10">
        <v>4.030106962900753</v>
      </c>
      <c r="C6" s="10">
        <v>6.173287789097781</v>
      </c>
      <c r="D6" s="10">
        <v>8.4263534595361</v>
      </c>
    </row>
    <row r="7" spans="1:4">
      <c r="A7" t="s">
        <v>443</v>
      </c>
      <c r="B7" s="12">
        <v>901092.5543890357</v>
      </c>
      <c r="C7" s="12">
        <v>1338460.745015628</v>
      </c>
      <c r="D7" s="12">
        <v>1781362.111217359</v>
      </c>
    </row>
    <row r="8" spans="1:4">
      <c r="A8" t="s">
        <v>393</v>
      </c>
      <c r="B8" s="13">
        <v>-253555.1037619148</v>
      </c>
      <c r="C8" s="13">
        <v>1015550.14943764</v>
      </c>
      <c r="D8" s="13">
        <v>2367540.226690114</v>
      </c>
    </row>
    <row r="9" spans="1:4">
      <c r="A9" t="s">
        <v>394</v>
      </c>
      <c r="B9" s="15">
        <v>0.08816545864270742</v>
      </c>
      <c r="C9" s="15">
        <v>0.1252443438039244</v>
      </c>
      <c r="D9" s="15">
        <v>0.1495683076021697</v>
      </c>
    </row>
    <row r="10" spans="1:4">
      <c r="A10" t="s">
        <v>395</v>
      </c>
      <c r="B10" s="10">
        <v>8.022263410326335</v>
      </c>
      <c r="C10" s="10">
        <v>6.018298232606978</v>
      </c>
      <c r="D10" s="10">
        <v>5.403990545761495</v>
      </c>
    </row>
    <row r="12" spans="1:4">
      <c r="A12" s="2" t="s">
        <v>444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D63"/>
  <sheetViews>
    <sheetView workbookViewId="0"/>
  </sheetViews>
  <sheetFormatPr defaultRowHeight="15"/>
  <cols>
    <col min="1" max="1" width="32.7109375" customWidth="1"/>
    <col min="2" max="30" width="11.7109375" customWidth="1"/>
  </cols>
  <sheetData>
    <row r="1" spans="1:30">
      <c r="A1" s="1" t="s">
        <v>445</v>
      </c>
    </row>
    <row r="3" spans="1:30">
      <c r="A3" s="6" t="s">
        <v>295</v>
      </c>
      <c r="B3" s="6">
        <v>2026</v>
      </c>
      <c r="C3" s="6">
        <v>2027</v>
      </c>
      <c r="D3" s="6">
        <v>2028</v>
      </c>
      <c r="E3" s="6">
        <v>2029</v>
      </c>
      <c r="F3" s="6">
        <v>2030</v>
      </c>
      <c r="G3" s="6">
        <v>2031</v>
      </c>
      <c r="H3" s="6">
        <v>2032</v>
      </c>
      <c r="I3" s="6">
        <v>2033</v>
      </c>
      <c r="J3" s="6">
        <v>2034</v>
      </c>
      <c r="K3" s="6">
        <v>2035</v>
      </c>
      <c r="L3" s="6">
        <v>2036</v>
      </c>
      <c r="M3" s="6">
        <v>2037</v>
      </c>
      <c r="N3" s="6">
        <v>2038</v>
      </c>
      <c r="O3" s="6">
        <v>2039</v>
      </c>
      <c r="P3" s="6">
        <v>2040</v>
      </c>
      <c r="Q3" s="6">
        <v>2041</v>
      </c>
      <c r="R3" s="6">
        <v>2042</v>
      </c>
      <c r="S3" s="6">
        <v>2043</v>
      </c>
      <c r="T3" s="6">
        <v>2044</v>
      </c>
      <c r="U3" s="6">
        <v>2045</v>
      </c>
      <c r="V3" s="6">
        <v>2046</v>
      </c>
      <c r="W3" s="6">
        <v>2047</v>
      </c>
      <c r="X3" s="6">
        <v>2048</v>
      </c>
      <c r="Y3" s="6">
        <v>2049</v>
      </c>
      <c r="Z3" s="6">
        <v>2050</v>
      </c>
      <c r="AA3" s="6">
        <v>2051</v>
      </c>
      <c r="AB3" s="6">
        <v>2052</v>
      </c>
      <c r="AC3" s="6">
        <v>2053</v>
      </c>
      <c r="AD3" s="6">
        <v>2054</v>
      </c>
    </row>
    <row r="4" spans="1:30">
      <c r="A4" t="s">
        <v>446</v>
      </c>
      <c r="B4" s="12">
        <v>0</v>
      </c>
      <c r="C4" s="12">
        <v>1</v>
      </c>
      <c r="D4" s="12">
        <v>2</v>
      </c>
      <c r="E4" s="12">
        <v>4</v>
      </c>
      <c r="F4" s="12">
        <v>5</v>
      </c>
      <c r="G4" s="12">
        <v>6</v>
      </c>
      <c r="H4" s="12">
        <v>7</v>
      </c>
      <c r="I4" s="12">
        <v>7</v>
      </c>
      <c r="J4" s="12">
        <v>8</v>
      </c>
      <c r="K4" s="12">
        <v>0</v>
      </c>
      <c r="L4" s="12">
        <v>0</v>
      </c>
      <c r="M4" s="12">
        <v>0</v>
      </c>
      <c r="N4" s="12">
        <v>0</v>
      </c>
      <c r="O4" s="12">
        <v>0</v>
      </c>
      <c r="P4" s="12">
        <v>0</v>
      </c>
      <c r="Q4" s="12">
        <v>0</v>
      </c>
      <c r="R4" s="12">
        <v>0</v>
      </c>
      <c r="S4" s="12">
        <v>0</v>
      </c>
      <c r="T4" s="12">
        <v>0</v>
      </c>
      <c r="U4" s="12">
        <v>0</v>
      </c>
      <c r="V4" s="12">
        <v>0</v>
      </c>
      <c r="W4" s="12">
        <v>0</v>
      </c>
      <c r="X4" s="12">
        <v>0</v>
      </c>
      <c r="Y4" s="12">
        <v>0</v>
      </c>
      <c r="Z4" s="12">
        <v>0</v>
      </c>
      <c r="AA4" s="12">
        <v>0</v>
      </c>
      <c r="AB4" s="12">
        <v>0</v>
      </c>
      <c r="AC4" s="12">
        <v>0</v>
      </c>
      <c r="AD4" s="12">
        <v>0</v>
      </c>
    </row>
    <row r="5" spans="1:30">
      <c r="A5" t="s">
        <v>447</v>
      </c>
      <c r="B5" s="12">
        <v>0</v>
      </c>
      <c r="C5" s="12">
        <v>0</v>
      </c>
      <c r="D5" s="12">
        <v>1</v>
      </c>
      <c r="E5" s="12">
        <v>3</v>
      </c>
      <c r="F5" s="12">
        <v>7</v>
      </c>
      <c r="G5" s="12">
        <v>12</v>
      </c>
      <c r="H5" s="12">
        <v>18</v>
      </c>
      <c r="I5" s="12">
        <v>25</v>
      </c>
      <c r="J5" s="12">
        <v>32</v>
      </c>
      <c r="K5" s="12">
        <v>40</v>
      </c>
      <c r="L5" s="12">
        <v>40</v>
      </c>
      <c r="M5" s="12">
        <v>40</v>
      </c>
      <c r="N5" s="12">
        <v>40</v>
      </c>
      <c r="O5" s="12">
        <v>40</v>
      </c>
      <c r="P5" s="12">
        <v>40</v>
      </c>
      <c r="Q5" s="12">
        <v>40</v>
      </c>
      <c r="R5" s="12">
        <v>40</v>
      </c>
      <c r="S5" s="12">
        <v>40</v>
      </c>
      <c r="T5" s="12">
        <v>40</v>
      </c>
      <c r="U5" s="12">
        <v>40</v>
      </c>
      <c r="V5" s="12">
        <v>40</v>
      </c>
      <c r="W5" s="12">
        <v>40</v>
      </c>
      <c r="X5" s="12">
        <v>39</v>
      </c>
      <c r="Y5" s="12">
        <v>37</v>
      </c>
      <c r="Z5" s="12">
        <v>33</v>
      </c>
      <c r="AA5" s="12">
        <v>28</v>
      </c>
      <c r="AB5" s="12">
        <v>22</v>
      </c>
      <c r="AC5" s="12">
        <v>15</v>
      </c>
      <c r="AD5" s="12">
        <v>8</v>
      </c>
    </row>
    <row r="6" spans="1:30">
      <c r="A6" t="s">
        <v>448</v>
      </c>
      <c r="B6" s="10">
        <v>0</v>
      </c>
      <c r="C6" s="10">
        <v>0</v>
      </c>
      <c r="D6" s="10">
        <v>4.629965841823336</v>
      </c>
      <c r="E6" s="10">
        <v>15.43321947274445</v>
      </c>
      <c r="F6" s="10">
        <v>37.03972673458669</v>
      </c>
      <c r="G6" s="10">
        <v>66.36284373280114</v>
      </c>
      <c r="H6" s="10">
        <v>101.8592485201134</v>
      </c>
      <c r="I6" s="10">
        <v>143.5289410965235</v>
      </c>
      <c r="J6" s="10">
        <v>186.741955620208</v>
      </c>
      <c r="K6" s="10">
        <v>234.5849359857157</v>
      </c>
      <c r="L6" s="10">
        <v>246.9315115639111</v>
      </c>
      <c r="M6" s="10">
        <v>246.9315115639111</v>
      </c>
      <c r="N6" s="10">
        <v>246.9315115639111</v>
      </c>
      <c r="O6" s="10">
        <v>246.9315115639111</v>
      </c>
      <c r="P6" s="10">
        <v>246.9315115639111</v>
      </c>
      <c r="Q6" s="10">
        <v>246.9315115639111</v>
      </c>
      <c r="R6" s="10">
        <v>246.9315115639111</v>
      </c>
      <c r="S6" s="10">
        <v>246.9315115639111</v>
      </c>
      <c r="T6" s="10">
        <v>246.9315115639111</v>
      </c>
      <c r="U6" s="10">
        <v>246.9315115639111</v>
      </c>
      <c r="V6" s="10">
        <v>246.9315115639111</v>
      </c>
      <c r="W6" s="10">
        <v>246.9315115639111</v>
      </c>
      <c r="X6" s="10">
        <v>240.7582237748133</v>
      </c>
      <c r="Y6" s="10">
        <v>228.4116481966178</v>
      </c>
      <c r="Z6" s="10">
        <v>203.7184970402267</v>
      </c>
      <c r="AA6" s="10">
        <v>172.8520580947378</v>
      </c>
      <c r="AB6" s="10">
        <v>135.8123313601512</v>
      </c>
      <c r="AC6" s="10">
        <v>92.59931683646674</v>
      </c>
      <c r="AD6" s="10">
        <v>49.38630231278225</v>
      </c>
    </row>
    <row r="7" spans="1:30">
      <c r="A7" t="s">
        <v>449</v>
      </c>
      <c r="B7" s="12">
        <v>0</v>
      </c>
      <c r="C7" s="12">
        <v>0</v>
      </c>
      <c r="D7" s="12">
        <v>21794.50915578908</v>
      </c>
      <c r="E7" s="12">
        <v>72648.36385263025</v>
      </c>
      <c r="F7" s="12">
        <v>174356.0732463126</v>
      </c>
      <c r="G7" s="12">
        <v>312387.9645663102</v>
      </c>
      <c r="H7" s="12">
        <v>479479.2014273599</v>
      </c>
      <c r="I7" s="12">
        <v>675629.7838294613</v>
      </c>
      <c r="J7" s="12">
        <v>879045.2026168257</v>
      </c>
      <c r="K7" s="12">
        <v>1104255.130559979</v>
      </c>
      <c r="L7" s="12">
        <v>1162373.821642083</v>
      </c>
      <c r="M7" s="12">
        <v>1162373.821642083</v>
      </c>
      <c r="N7" s="12">
        <v>1133314.476101031</v>
      </c>
      <c r="O7" s="12">
        <v>1075195.785018927</v>
      </c>
      <c r="P7" s="12">
        <v>958958.4028547188</v>
      </c>
      <c r="Q7" s="12">
        <v>813661.6751494586</v>
      </c>
      <c r="R7" s="12">
        <v>639305.6019031462</v>
      </c>
      <c r="S7" s="12">
        <v>435890.1831157816</v>
      </c>
      <c r="T7" s="12">
        <v>232474.7643284169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</row>
    <row r="8" spans="1:30">
      <c r="A8" t="s">
        <v>450</v>
      </c>
      <c r="B8" s="12">
        <v>0</v>
      </c>
      <c r="C8" s="12">
        <v>0</v>
      </c>
      <c r="D8" s="12">
        <v>1046308.827280885</v>
      </c>
      <c r="E8" s="12">
        <v>3453816.216729399</v>
      </c>
      <c r="F8" s="12">
        <v>8362972.57932429</v>
      </c>
      <c r="G8" s="12">
        <v>15047626.70522735</v>
      </c>
      <c r="H8" s="12">
        <v>23301854.89143779</v>
      </c>
      <c r="I8" s="12">
        <v>33132779.15933803</v>
      </c>
      <c r="J8" s="12">
        <v>43465770.43603065</v>
      </c>
      <c r="K8" s="12">
        <v>55155322.52297144</v>
      </c>
      <c r="L8" s="12">
        <v>58200028.21324637</v>
      </c>
      <c r="M8" s="12">
        <v>59026188.0361379</v>
      </c>
      <c r="N8" s="12">
        <v>59296599.99231949</v>
      </c>
      <c r="O8" s="12">
        <v>59150096.73348857</v>
      </c>
      <c r="P8" s="12">
        <v>58297401.84100392</v>
      </c>
      <c r="Q8" s="12">
        <v>56889631.06444647</v>
      </c>
      <c r="R8" s="12">
        <v>55065630.49516638</v>
      </c>
      <c r="S8" s="12">
        <v>52825637.80654518</v>
      </c>
      <c r="T8" s="12">
        <v>50459395.80900922</v>
      </c>
      <c r="U8" s="12">
        <v>47816264.47259869</v>
      </c>
      <c r="V8" s="12">
        <v>47363386.3921691</v>
      </c>
      <c r="W8" s="12">
        <v>48032533.46849442</v>
      </c>
      <c r="X8" s="12">
        <v>47497186.89918762</v>
      </c>
      <c r="Y8" s="12">
        <v>45705400.79671343</v>
      </c>
      <c r="Z8" s="12">
        <v>41350112.3764807</v>
      </c>
      <c r="AA8" s="12">
        <v>35591958.25521884</v>
      </c>
      <c r="AB8" s="12">
        <v>28371445.90049041</v>
      </c>
      <c r="AC8" s="12">
        <v>19626755.76829451</v>
      </c>
      <c r="AD8" s="12">
        <v>10621331.0076486</v>
      </c>
    </row>
    <row r="9" spans="1:30">
      <c r="A9" t="s">
        <v>451</v>
      </c>
      <c r="B9" s="12">
        <v>0</v>
      </c>
      <c r="C9" s="12">
        <v>0</v>
      </c>
      <c r="D9" s="12">
        <v>516870.72</v>
      </c>
      <c r="E9" s="12">
        <v>1581624.4032</v>
      </c>
      <c r="F9" s="12">
        <v>3764266.079616</v>
      </c>
      <c r="G9" s="12">
        <v>6582088.116357119</v>
      </c>
      <c r="H9" s="12">
        <v>10070594.8180264</v>
      </c>
      <c r="I9" s="12">
        <v>14266675.99220406</v>
      </c>
      <c r="J9" s="12">
        <v>18626572.17542161</v>
      </c>
      <c r="K9" s="12">
        <v>23748879.52366258</v>
      </c>
      <c r="L9" s="12">
        <v>24223857.11413581</v>
      </c>
      <c r="M9" s="12">
        <v>24708334.25641851</v>
      </c>
      <c r="N9" s="12">
        <v>25202500.94154689</v>
      </c>
      <c r="O9" s="12">
        <v>25706550.96037786</v>
      </c>
      <c r="P9" s="12">
        <v>26220681.97958543</v>
      </c>
      <c r="Q9" s="12">
        <v>26745095.61917708</v>
      </c>
      <c r="R9" s="12">
        <v>27279997.53156066</v>
      </c>
      <c r="S9" s="12">
        <v>27825597.48219188</v>
      </c>
      <c r="T9" s="12">
        <v>28382109.43183571</v>
      </c>
      <c r="U9" s="12">
        <v>28949751.62047241</v>
      </c>
      <c r="V9" s="12">
        <v>29528746.65288184</v>
      </c>
      <c r="W9" s="12">
        <v>30119321.58593952</v>
      </c>
      <c r="X9" s="12">
        <v>29953665.31721684</v>
      </c>
      <c r="Y9" s="12">
        <v>28985931.51466063</v>
      </c>
      <c r="Z9" s="12">
        <v>26369363.64279664</v>
      </c>
      <c r="AA9" s="12">
        <v>22821485.62540218</v>
      </c>
      <c r="AB9" s="12">
        <v>18289790.62264375</v>
      </c>
      <c r="AC9" s="12">
        <v>12719718.02392952</v>
      </c>
      <c r="AD9" s="12">
        <v>6919526.60501766</v>
      </c>
    </row>
    <row r="10" spans="1:30">
      <c r="A10" t="s">
        <v>452</v>
      </c>
      <c r="B10" s="12">
        <v>0</v>
      </c>
      <c r="C10" s="12">
        <v>0</v>
      </c>
      <c r="D10" s="12">
        <v>529438.1072808853</v>
      </c>
      <c r="E10" s="12">
        <v>1768232.004856284</v>
      </c>
      <c r="F10" s="12">
        <v>4252173.804131242</v>
      </c>
      <c r="G10" s="12">
        <v>7633860.119485322</v>
      </c>
      <c r="H10" s="12">
        <v>11741169.48243008</v>
      </c>
      <c r="I10" s="12">
        <v>16578987.37632546</v>
      </c>
      <c r="J10" s="12">
        <v>21616444.1917425</v>
      </c>
      <c r="K10" s="12">
        <v>27213397.38282662</v>
      </c>
      <c r="L10" s="12">
        <v>28708874.12633951</v>
      </c>
      <c r="M10" s="12">
        <v>28773330.65048665</v>
      </c>
      <c r="N10" s="12">
        <v>28549575.92153984</v>
      </c>
      <c r="O10" s="12">
        <v>28037635.72210874</v>
      </c>
      <c r="P10" s="12">
        <v>26948035.96687826</v>
      </c>
      <c r="Q10" s="12">
        <v>25570303.86365242</v>
      </c>
      <c r="R10" s="12">
        <v>23904466.7731428</v>
      </c>
      <c r="S10" s="12">
        <v>21950552.60327531</v>
      </c>
      <c r="T10" s="12">
        <v>19998090.20371124</v>
      </c>
      <c r="U10" s="12">
        <v>17757608.22627975</v>
      </c>
      <c r="V10" s="12">
        <v>17834639.73928725</v>
      </c>
      <c r="W10" s="12">
        <v>17913211.88255491</v>
      </c>
      <c r="X10" s="12">
        <v>17543521.58197074</v>
      </c>
      <c r="Y10" s="12">
        <v>16719469.28205286</v>
      </c>
      <c r="Z10" s="12">
        <v>14980748.73368404</v>
      </c>
      <c r="AA10" s="12">
        <v>12770472.62981663</v>
      </c>
      <c r="AB10" s="12">
        <v>10081655.27784667</v>
      </c>
      <c r="AC10" s="12">
        <v>6907037.744364994</v>
      </c>
      <c r="AD10" s="12">
        <v>3701804.402630943</v>
      </c>
    </row>
    <row r="11" spans="1:30">
      <c r="A11" t="s">
        <v>453</v>
      </c>
      <c r="B11" s="12">
        <v>0</v>
      </c>
      <c r="C11" s="12">
        <v>0</v>
      </c>
      <c r="D11" s="12">
        <v>0</v>
      </c>
      <c r="E11" s="12">
        <v>103959.8086731139</v>
      </c>
      <c r="F11" s="12">
        <v>346532.6955770463</v>
      </c>
      <c r="G11" s="12">
        <v>831678.4693849112</v>
      </c>
      <c r="H11" s="12">
        <v>1490090.590981299</v>
      </c>
      <c r="I11" s="12">
        <v>2287115.790808505</v>
      </c>
      <c r="J11" s="12">
        <v>3222754.068866532</v>
      </c>
      <c r="K11" s="12">
        <v>4193045.616482263</v>
      </c>
      <c r="L11" s="12">
        <v>5267296.972771104</v>
      </c>
      <c r="M11" s="12">
        <v>5544523.129232746</v>
      </c>
      <c r="N11" s="12">
        <v>5544523.129232746</v>
      </c>
      <c r="O11" s="12">
        <v>5405910.051001927</v>
      </c>
      <c r="P11" s="12">
        <v>5128683.894540289</v>
      </c>
      <c r="Q11" s="12">
        <v>4574231.581617014</v>
      </c>
      <c r="R11" s="12">
        <v>3881166.190462921</v>
      </c>
      <c r="S11" s="12">
        <v>3049487.721078009</v>
      </c>
      <c r="T11" s="12">
        <v>2079196.173462278</v>
      </c>
      <c r="U11" s="12">
        <v>1108904.625846548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2">
        <v>0</v>
      </c>
      <c r="AD11" s="12">
        <v>0</v>
      </c>
    </row>
    <row r="12" spans="1:30">
      <c r="A12" t="s">
        <v>454</v>
      </c>
      <c r="B12" s="12">
        <v>0</v>
      </c>
      <c r="C12" s="12">
        <v>0</v>
      </c>
      <c r="D12" s="12">
        <v>411517.4082166848</v>
      </c>
      <c r="E12" s="12">
        <v>1164806.480468385</v>
      </c>
      <c r="F12" s="12">
        <v>2681486.952398389</v>
      </c>
      <c r="G12" s="12">
        <v>4563079.561032617</v>
      </c>
      <c r="H12" s="12">
        <v>6865298.017958951</v>
      </c>
      <c r="I12" s="12">
        <v>9610343.249110548</v>
      </c>
      <c r="J12" s="12">
        <v>12412072.98931964</v>
      </c>
      <c r="K12" s="12">
        <v>15727876.44261355</v>
      </c>
      <c r="L12" s="12">
        <v>15733265.94582405</v>
      </c>
      <c r="M12" s="12">
        <v>16047931.26474053</v>
      </c>
      <c r="N12" s="12">
        <v>16368889.89003534</v>
      </c>
      <c r="O12" s="12">
        <v>16663927.5220747</v>
      </c>
      <c r="P12" s="12">
        <v>16931232.13436306</v>
      </c>
      <c r="Q12" s="12">
        <v>17135269.9432179</v>
      </c>
      <c r="R12" s="12">
        <v>17306377.12894594</v>
      </c>
      <c r="S12" s="12">
        <v>17442468.45864599</v>
      </c>
      <c r="T12" s="12">
        <v>17541374.73449307</v>
      </c>
      <c r="U12" s="12">
        <v>17637260.27399056</v>
      </c>
      <c r="V12" s="12">
        <v>17692816.0002747</v>
      </c>
      <c r="W12" s="12">
        <v>18046672.3202802</v>
      </c>
      <c r="X12" s="12">
        <v>17883774.51377352</v>
      </c>
      <c r="Y12" s="12">
        <v>17263169.62233679</v>
      </c>
      <c r="Z12" s="12">
        <v>15652171.32607795</v>
      </c>
      <c r="AA12" s="12">
        <v>13506046.26801746</v>
      </c>
      <c r="AB12" s="12">
        <v>10794866.9940741</v>
      </c>
      <c r="AC12" s="12">
        <v>7488619.822917489</v>
      </c>
      <c r="AD12" s="12">
        <v>4065457.734266938</v>
      </c>
    </row>
    <row r="13" spans="1:30">
      <c r="A13" t="s">
        <v>455</v>
      </c>
      <c r="B13" s="12">
        <v>0</v>
      </c>
      <c r="C13" s="12">
        <v>0</v>
      </c>
      <c r="D13" s="12">
        <v>634791.4190642005</v>
      </c>
      <c r="E13" s="12">
        <v>2289009.736261013</v>
      </c>
      <c r="F13" s="12">
        <v>5681485.6269259</v>
      </c>
      <c r="G13" s="12">
        <v>10484547.14419474</v>
      </c>
      <c r="H13" s="12">
        <v>16436556.87347883</v>
      </c>
      <c r="I13" s="12">
        <v>23522435.91022748</v>
      </c>
      <c r="J13" s="12">
        <v>31053697.44671101</v>
      </c>
      <c r="K13" s="12">
        <v>39427446.08035789</v>
      </c>
      <c r="L13" s="12">
        <v>42466762.26742237</v>
      </c>
      <c r="M13" s="12">
        <v>42978256.77139741</v>
      </c>
      <c r="N13" s="12">
        <v>42927710.10228416</v>
      </c>
      <c r="O13" s="12">
        <v>42486169.21141382</v>
      </c>
      <c r="P13" s="12">
        <v>41366169.70664088</v>
      </c>
      <c r="Q13" s="12">
        <v>39754361.12122862</v>
      </c>
      <c r="R13" s="12">
        <v>37759253.36622043</v>
      </c>
      <c r="S13" s="12">
        <v>35383169.34789918</v>
      </c>
      <c r="T13" s="12">
        <v>32918021.07451615</v>
      </c>
      <c r="U13" s="12">
        <v>30179004.19860813</v>
      </c>
      <c r="V13" s="12">
        <v>29670570.39189441</v>
      </c>
      <c r="W13" s="12">
        <v>29985861.14821421</v>
      </c>
      <c r="X13" s="12">
        <v>29613412.38541406</v>
      </c>
      <c r="Y13" s="12">
        <v>28442231.17437666</v>
      </c>
      <c r="Z13" s="12">
        <v>25697941.05040273</v>
      </c>
      <c r="AA13" s="12">
        <v>22085911.98720137</v>
      </c>
      <c r="AB13" s="12">
        <v>17576578.90641632</v>
      </c>
      <c r="AC13" s="12">
        <v>12138135.94537703</v>
      </c>
      <c r="AD13" s="12">
        <v>6555873.273381664</v>
      </c>
    </row>
    <row r="14" spans="1:30">
      <c r="A14" t="s">
        <v>456</v>
      </c>
      <c r="B14" s="12">
        <v>0</v>
      </c>
      <c r="C14" s="12">
        <v>6637178.205624578</v>
      </c>
      <c r="D14" s="12">
        <v>10424120.14041527</v>
      </c>
      <c r="E14" s="12">
        <v>19905229.7922301</v>
      </c>
      <c r="F14" s="12">
        <v>24169748.45288122</v>
      </c>
      <c r="G14" s="12">
        <v>28593131.5217894</v>
      </c>
      <c r="H14" s="12">
        <v>33142772.51824699</v>
      </c>
      <c r="I14" s="12">
        <v>33127786.6331345</v>
      </c>
      <c r="J14" s="12">
        <v>37987946.34828659</v>
      </c>
      <c r="K14" s="12">
        <v>477352.4153045074</v>
      </c>
      <c r="L14" s="12">
        <v>973798.9272211952</v>
      </c>
      <c r="M14" s="12">
        <v>1986549.811531238</v>
      </c>
      <c r="N14" s="12">
        <v>2532851.009702329</v>
      </c>
      <c r="O14" s="12">
        <v>3100209.63587565</v>
      </c>
      <c r="P14" s="12">
        <v>3689249.466692024</v>
      </c>
      <c r="Q14" s="12">
        <v>3763034.456025865</v>
      </c>
      <c r="R14" s="12">
        <v>4605482.331680744</v>
      </c>
      <c r="S14" s="12">
        <v>782530.9302650495</v>
      </c>
      <c r="T14" s="12">
        <v>1596363.097740701</v>
      </c>
      <c r="U14" s="12">
        <v>2559814.971729401</v>
      </c>
      <c r="V14" s="12">
        <v>3204539.000403748</v>
      </c>
      <c r="W14" s="12">
        <v>3874028.064236377</v>
      </c>
      <c r="X14" s="12">
        <v>4322543.746507315</v>
      </c>
      <c r="Y14" s="12">
        <v>4660395.172522594</v>
      </c>
      <c r="Z14" s="12">
        <v>3088199.518992435</v>
      </c>
      <c r="AA14" s="12">
        <v>0</v>
      </c>
      <c r="AB14" s="12">
        <v>0</v>
      </c>
      <c r="AC14" s="12">
        <v>0</v>
      </c>
      <c r="AD14" s="12">
        <v>0</v>
      </c>
    </row>
    <row r="15" spans="1:30">
      <c r="A15" t="s">
        <v>457</v>
      </c>
      <c r="B15" s="12">
        <v>1050000</v>
      </c>
      <c r="C15" s="12">
        <v>495000.0000000001</v>
      </c>
      <c r="D15" s="12">
        <v>544500.0000000001</v>
      </c>
      <c r="E15" s="12">
        <v>598950.0000000002</v>
      </c>
      <c r="F15" s="12">
        <v>658845.0000000002</v>
      </c>
      <c r="G15" s="12">
        <v>724729.5000000002</v>
      </c>
      <c r="H15" s="12">
        <v>797202.4500000004</v>
      </c>
      <c r="I15" s="12">
        <v>876922.6950000005</v>
      </c>
      <c r="J15" s="12">
        <v>964614.9645000007</v>
      </c>
      <c r="K15" s="12">
        <v>983907.2637900007</v>
      </c>
      <c r="L15" s="12">
        <v>1003585.409065801</v>
      </c>
      <c r="M15" s="12">
        <v>1023657.117247117</v>
      </c>
      <c r="N15" s="12">
        <v>1044130.259592059</v>
      </c>
      <c r="O15" s="12">
        <v>1065012.8647839</v>
      </c>
      <c r="P15" s="12">
        <v>1086313.122079578</v>
      </c>
      <c r="Q15" s="12">
        <v>1108039.38452117</v>
      </c>
      <c r="R15" s="12">
        <v>1130200.172211593</v>
      </c>
      <c r="S15" s="12">
        <v>1152804.175655825</v>
      </c>
      <c r="T15" s="12">
        <v>1175860.259168942</v>
      </c>
      <c r="U15" s="12">
        <v>1199377.464352321</v>
      </c>
      <c r="V15" s="12">
        <v>1223365.013639367</v>
      </c>
      <c r="W15" s="12">
        <v>1247832.313912154</v>
      </c>
      <c r="X15" s="12">
        <v>1272788.960190397</v>
      </c>
      <c r="Y15" s="12">
        <v>1298244.739394205</v>
      </c>
      <c r="Z15" s="12">
        <v>1324209.63418209</v>
      </c>
      <c r="AA15" s="12">
        <v>1350693.826865732</v>
      </c>
      <c r="AB15" s="12">
        <v>1377707.703403046</v>
      </c>
      <c r="AC15" s="12">
        <v>1405261.857471107</v>
      </c>
      <c r="AD15" s="12">
        <v>1433367.094620529</v>
      </c>
    </row>
    <row r="16" spans="1:30">
      <c r="A16" s="9" t="s">
        <v>458</v>
      </c>
      <c r="B16" s="13">
        <v>-1050000</v>
      </c>
      <c r="C16" s="13">
        <v>-7862267.808243281</v>
      </c>
      <c r="D16" s="13">
        <v>-11618654.55978401</v>
      </c>
      <c r="E16" s="13">
        <v>-20008496.19953503</v>
      </c>
      <c r="F16" s="13">
        <v>-21341452.87895067</v>
      </c>
      <c r="G16" s="13">
        <v>-20733178.87413429</v>
      </c>
      <c r="H16" s="13">
        <v>-19791447.29342375</v>
      </c>
      <c r="I16" s="13">
        <v>-12850296.39521247</v>
      </c>
      <c r="J16" s="13">
        <v>-10746034.65393901</v>
      </c>
      <c r="K16" s="13">
        <v>38598406.0864308</v>
      </c>
      <c r="L16" s="13">
        <v>42185045.23423725</v>
      </c>
      <c r="M16" s="13">
        <v>36893911.42484055</v>
      </c>
      <c r="N16" s="13">
        <v>35554655.37349554</v>
      </c>
      <c r="O16" s="13">
        <v>33749672.14440929</v>
      </c>
      <c r="P16" s="13">
        <v>31332587.08504821</v>
      </c>
      <c r="Q16" s="13">
        <v>28842515.23722621</v>
      </c>
      <c r="R16" s="13">
        <v>25681209.52673835</v>
      </c>
      <c r="S16" s="13">
        <v>26632367.481042</v>
      </c>
      <c r="T16" s="13">
        <v>23907481.0967621</v>
      </c>
      <c r="U16" s="13">
        <v>20845111.42229266</v>
      </c>
      <c r="V16" s="13">
        <v>19434936.48455047</v>
      </c>
      <c r="W16" s="13">
        <v>19003445.84058689</v>
      </c>
      <c r="X16" s="13">
        <v>18408345.51855901</v>
      </c>
      <c r="Y16" s="13">
        <v>17460633.49818405</v>
      </c>
      <c r="Z16" s="13">
        <v>16951190.63919785</v>
      </c>
      <c r="AA16" s="13">
        <v>17305814.48844665</v>
      </c>
      <c r="AB16" s="13">
        <v>13861218.76817421</v>
      </c>
      <c r="AC16" s="13">
        <v>9506338.519544786</v>
      </c>
      <c r="AD16" s="13">
        <v>5213554.237267794</v>
      </c>
    </row>
    <row r="17" spans="1:30">
      <c r="A17" s="9" t="s">
        <v>324</v>
      </c>
      <c r="B17" s="13">
        <f>B16</f>
        <v>0</v>
      </c>
      <c r="C17" s="13">
        <f>B17+C16</f>
        <v>0</v>
      </c>
      <c r="D17" s="13">
        <f>C17+D16</f>
        <v>0</v>
      </c>
      <c r="E17" s="13">
        <f>D17+E16</f>
        <v>0</v>
      </c>
      <c r="F17" s="13">
        <f>E17+F16</f>
        <v>0</v>
      </c>
      <c r="G17" s="13">
        <f>F17+G16</f>
        <v>0</v>
      </c>
      <c r="H17" s="13">
        <f>G17+H16</f>
        <v>0</v>
      </c>
      <c r="I17" s="13">
        <f>H17+I16</f>
        <v>0</v>
      </c>
      <c r="J17" s="13">
        <f>I17+J16</f>
        <v>0</v>
      </c>
      <c r="K17" s="13">
        <f>J17+K16</f>
        <v>0</v>
      </c>
      <c r="L17" s="13">
        <f>K17+L16</f>
        <v>0</v>
      </c>
      <c r="M17" s="13">
        <f>L17+M16</f>
        <v>0</v>
      </c>
      <c r="N17" s="13">
        <f>M17+N16</f>
        <v>0</v>
      </c>
      <c r="O17" s="13">
        <f>N17+O16</f>
        <v>0</v>
      </c>
      <c r="P17" s="13">
        <f>O17+P16</f>
        <v>0</v>
      </c>
      <c r="Q17" s="13">
        <f>P17+Q16</f>
        <v>0</v>
      </c>
      <c r="R17" s="13">
        <f>Q17+R16</f>
        <v>0</v>
      </c>
      <c r="S17" s="13">
        <f>R17+S16</f>
        <v>0</v>
      </c>
      <c r="T17" s="13">
        <f>S17+T16</f>
        <v>0</v>
      </c>
      <c r="U17" s="13">
        <f>T17+U16</f>
        <v>0</v>
      </c>
      <c r="V17" s="13">
        <f>U17+V16</f>
        <v>0</v>
      </c>
      <c r="W17" s="13">
        <f>V17+W16</f>
        <v>0</v>
      </c>
      <c r="X17" s="13">
        <f>W17+X16</f>
        <v>0</v>
      </c>
      <c r="Y17" s="13">
        <f>X17+Y16</f>
        <v>0</v>
      </c>
      <c r="Z17" s="13">
        <f>Y17+Z16</f>
        <v>0</v>
      </c>
      <c r="AA17" s="13">
        <f>Z17+AA16</f>
        <v>0</v>
      </c>
      <c r="AB17" s="13">
        <f>AA17+AB16</f>
        <v>0</v>
      </c>
      <c r="AC17" s="13">
        <f>AB17+AC16</f>
        <v>0</v>
      </c>
      <c r="AD17" s="13">
        <f>AC17+AD16</f>
        <v>0</v>
      </c>
    </row>
    <row r="19" spans="1:30">
      <c r="A19" s="9" t="s">
        <v>459</v>
      </c>
      <c r="B19" s="3">
        <f>B16+NPV(WACC,C16:AD16)</f>
        <v>35554020.922240384</v>
      </c>
    </row>
    <row r="20" spans="1:30">
      <c r="A20" s="9" t="s">
        <v>460</v>
      </c>
      <c r="B20" s="4">
        <f>IRR(B16:AD16)</f>
        <v>0.13933457399072013</v>
      </c>
    </row>
    <row r="21" spans="1:30">
      <c r="A21" s="9" t="s">
        <v>461</v>
      </c>
      <c r="B21" s="3">
        <f>-MIN(B17:AD17)</f>
        <v>126001828.66322252</v>
      </c>
    </row>
    <row r="23" spans="1:30">
      <c r="A23" s="6" t="s">
        <v>462</v>
      </c>
      <c r="B23" s="6" t="s">
        <v>295</v>
      </c>
      <c r="C23" s="6" t="s">
        <v>463</v>
      </c>
      <c r="D23" s="6" t="s">
        <v>392</v>
      </c>
      <c r="E23" s="6" t="s">
        <v>464</v>
      </c>
      <c r="F23" s="6" t="s">
        <v>465</v>
      </c>
    </row>
    <row r="24" spans="1:30">
      <c r="A24">
        <v>1</v>
      </c>
      <c r="B24">
        <v>2027</v>
      </c>
      <c r="C24" s="10">
        <v>1.2</v>
      </c>
      <c r="D24" s="12">
        <v>6637178.205624578</v>
      </c>
      <c r="E24" s="13">
        <v>-143147.9925689128</v>
      </c>
      <c r="F24" s="15">
        <v>0.09406661851375575</v>
      </c>
    </row>
    <row r="25" spans="1:30">
      <c r="A25">
        <v>2</v>
      </c>
      <c r="B25">
        <v>2028</v>
      </c>
      <c r="C25" s="10">
        <v>0.9400000000000001</v>
      </c>
      <c r="D25" s="12">
        <v>5303105.386294037</v>
      </c>
      <c r="E25" s="13">
        <v>1292553.889390431</v>
      </c>
      <c r="F25" s="15">
        <v>0.13393752256205</v>
      </c>
    </row>
    <row r="26" spans="1:30">
      <c r="A26">
        <v>3</v>
      </c>
      <c r="B26">
        <v>2028</v>
      </c>
      <c r="C26" s="10">
        <v>0.907723591787405</v>
      </c>
      <c r="D26" s="12">
        <v>5121014.754121231</v>
      </c>
      <c r="E26" s="13">
        <v>1472844.689155849</v>
      </c>
      <c r="F26" s="15">
        <v>0.1401568642870494</v>
      </c>
    </row>
    <row r="27" spans="1:30">
      <c r="A27">
        <v>4</v>
      </c>
      <c r="B27">
        <v>2029</v>
      </c>
      <c r="C27" s="10">
        <v>0.886</v>
      </c>
      <c r="D27" s="12">
        <v>5098428.084788987</v>
      </c>
      <c r="E27" s="13">
        <v>1541381.356715052</v>
      </c>
      <c r="F27" s="15">
        <v>0.1421688863071713</v>
      </c>
    </row>
    <row r="28" spans="1:30">
      <c r="A28">
        <v>5</v>
      </c>
      <c r="B28">
        <v>2029</v>
      </c>
      <c r="C28" s="10">
        <v>0.8697920330082306</v>
      </c>
      <c r="D28" s="12">
        <v>5005160.416495342</v>
      </c>
      <c r="E28" s="13">
        <v>1632878.004858606</v>
      </c>
      <c r="F28" s="15">
        <v>0.1454880669524616</v>
      </c>
    </row>
    <row r="29" spans="1:30">
      <c r="A29">
        <v>6</v>
      </c>
      <c r="B29">
        <v>2029</v>
      </c>
      <c r="C29" s="10">
        <v>0.8569512326086645</v>
      </c>
      <c r="D29" s="12">
        <v>4931268.884454351</v>
      </c>
      <c r="E29" s="13">
        <v>1705366.44197335</v>
      </c>
      <c r="F29" s="15">
        <v>0.1481878764056876</v>
      </c>
    </row>
    <row r="30" spans="1:30">
      <c r="A30">
        <v>7</v>
      </c>
      <c r="B30">
        <v>2029</v>
      </c>
      <c r="C30" s="10">
        <v>0.8463687003893453</v>
      </c>
      <c r="D30" s="12">
        <v>4870372.406491416</v>
      </c>
      <c r="E30" s="13">
        <v>1765106.582573991</v>
      </c>
      <c r="F30" s="15">
        <v>0.1504615685979989</v>
      </c>
    </row>
    <row r="31" spans="1:30">
      <c r="A31">
        <v>8</v>
      </c>
      <c r="B31">
        <v>2030</v>
      </c>
      <c r="C31" s="10">
        <v>0.8374</v>
      </c>
      <c r="D31" s="12">
        <v>4915137.868810771</v>
      </c>
      <c r="E31" s="13">
        <v>1768475.703072652</v>
      </c>
      <c r="F31" s="15">
        <v>0.1500498287845307</v>
      </c>
    </row>
    <row r="32" spans="1:30">
      <c r="A32">
        <v>9</v>
      </c>
      <c r="B32">
        <v>2030</v>
      </c>
      <c r="C32" s="10">
        <v>0.8296387427625059</v>
      </c>
      <c r="D32" s="12">
        <v>4869582.997354372</v>
      </c>
      <c r="E32" s="13">
        <v>1813165.552418385</v>
      </c>
      <c r="F32" s="15">
        <v>0.1517609646004638</v>
      </c>
    </row>
    <row r="33" spans="1:6">
      <c r="A33">
        <v>10</v>
      </c>
      <c r="B33">
        <v>2030</v>
      </c>
      <c r="C33" s="10">
        <v>0.8228128297074077</v>
      </c>
      <c r="D33" s="12">
        <v>4829518.149317205</v>
      </c>
      <c r="E33" s="13">
        <v>1852377.091855289</v>
      </c>
      <c r="F33" s="15">
        <v>0.1532821982699344</v>
      </c>
    </row>
    <row r="34" spans="1:6">
      <c r="A34">
        <v>11</v>
      </c>
      <c r="B34">
        <v>2030</v>
      </c>
      <c r="C34" s="10">
        <v>0.8167315110307659</v>
      </c>
      <c r="D34" s="12">
        <v>4793823.714495295</v>
      </c>
      <c r="E34" s="13">
        <v>1887168.192622235</v>
      </c>
      <c r="F34" s="15">
        <v>0.1546467399894045</v>
      </c>
    </row>
    <row r="35" spans="1:6">
      <c r="A35">
        <v>12</v>
      </c>
      <c r="B35">
        <v>2030</v>
      </c>
      <c r="C35" s="10">
        <v>0.8112561093477982</v>
      </c>
      <c r="D35" s="12">
        <v>4761685.722903577</v>
      </c>
      <c r="E35" s="13">
        <v>1918492.854561649</v>
      </c>
      <c r="F35" s="15">
        <v>0.1558890684069338</v>
      </c>
    </row>
    <row r="36" spans="1:6">
      <c r="A36">
        <v>13</v>
      </c>
      <c r="B36">
        <v>2031</v>
      </c>
      <c r="C36" s="10">
        <v>0.8062827794850708</v>
      </c>
      <c r="D36" s="12">
        <v>4827144.546053758</v>
      </c>
      <c r="E36" s="13">
        <v>1902704.081655459</v>
      </c>
      <c r="F36" s="15">
        <v>0.1546555863112142</v>
      </c>
    </row>
    <row r="37" spans="1:6">
      <c r="A37">
        <v>14</v>
      </c>
      <c r="B37">
        <v>2031</v>
      </c>
      <c r="C37" s="10">
        <v>0.8017318303504107</v>
      </c>
      <c r="D37" s="12">
        <v>4799898.411256272</v>
      </c>
      <c r="E37" s="13">
        <v>1929260.687075284</v>
      </c>
      <c r="F37" s="15">
        <v>0.1556998798234439</v>
      </c>
    </row>
    <row r="38" spans="1:6">
      <c r="A38">
        <v>15</v>
      </c>
      <c r="B38">
        <v>2031</v>
      </c>
      <c r="C38" s="10">
        <v>0.7975408306534101</v>
      </c>
      <c r="D38" s="12">
        <v>4774807.262288896</v>
      </c>
      <c r="E38" s="13">
        <v>1953716.843796572</v>
      </c>
      <c r="F38" s="15">
        <v>0.1566698703621261</v>
      </c>
    </row>
    <row r="39" spans="1:6">
      <c r="A39">
        <v>16</v>
      </c>
      <c r="B39">
        <v>2031</v>
      </c>
      <c r="C39" s="10">
        <v>0.7936600000000001</v>
      </c>
      <c r="D39" s="12">
        <v>4751573.068282261</v>
      </c>
      <c r="E39" s="13">
        <v>1976363.040296299</v>
      </c>
      <c r="F39" s="15">
        <v>0.1575752693764889</v>
      </c>
    </row>
    <row r="40" spans="1:6">
      <c r="A40">
        <v>17</v>
      </c>
      <c r="B40">
        <v>2031</v>
      </c>
      <c r="C40" s="10">
        <v>0.7900490352107569</v>
      </c>
      <c r="D40" s="12">
        <v>4729954.53762293</v>
      </c>
      <c r="E40" s="13">
        <v>1997434.461719687</v>
      </c>
      <c r="F40" s="15">
        <v>0.158424008363784</v>
      </c>
    </row>
    <row r="41" spans="1:6">
      <c r="A41">
        <v>18</v>
      </c>
      <c r="B41">
        <v>2031</v>
      </c>
      <c r="C41" s="10">
        <v>0.7866748684862553</v>
      </c>
      <c r="D41" s="12">
        <v>4709753.696285284</v>
      </c>
      <c r="E41" s="13">
        <v>2017124.071880532</v>
      </c>
      <c r="F41" s="15">
        <v>0.1592226481636525</v>
      </c>
    </row>
    <row r="42" spans="1:6">
      <c r="A42">
        <v>19</v>
      </c>
      <c r="B42">
        <v>2032</v>
      </c>
      <c r="C42" s="10">
        <v>0.7835100482593745</v>
      </c>
      <c r="D42" s="12">
        <v>4784622.318018463</v>
      </c>
      <c r="E42" s="13">
        <v>1993123.907242764</v>
      </c>
      <c r="F42" s="15">
        <v>0.1575977069089585</v>
      </c>
    </row>
    <row r="43" spans="1:6">
      <c r="A43">
        <v>20</v>
      </c>
      <c r="B43">
        <v>2032</v>
      </c>
      <c r="C43" s="10">
        <v>0.7805315467366668</v>
      </c>
      <c r="D43" s="12">
        <v>4766433.649102909</v>
      </c>
      <c r="E43" s="13">
        <v>2010852.267874187</v>
      </c>
      <c r="F43" s="15">
        <v>0.158305940615501</v>
      </c>
    </row>
    <row r="44" spans="1:6">
      <c r="A44">
        <v>21</v>
      </c>
      <c r="B44">
        <v>2032</v>
      </c>
      <c r="C44" s="10">
        <v>0.7777198663719241</v>
      </c>
      <c r="D44" s="12">
        <v>4749263.698756811</v>
      </c>
      <c r="E44" s="13">
        <v>2027587.691074889</v>
      </c>
      <c r="F44" s="15">
        <v>0.1589784378726056</v>
      </c>
    </row>
    <row r="45" spans="1:6">
      <c r="A45">
        <v>22</v>
      </c>
      <c r="B45">
        <v>2032</v>
      </c>
      <c r="C45" s="10">
        <v>0.7750583599276893</v>
      </c>
      <c r="D45" s="12">
        <v>4733010.808113065</v>
      </c>
      <c r="E45" s="13">
        <v>2043429.262988326</v>
      </c>
      <c r="F45" s="15">
        <v>0.159618569187999</v>
      </c>
    </row>
    <row r="46" spans="1:6">
      <c r="A46">
        <v>23</v>
      </c>
      <c r="B46">
        <v>2032</v>
      </c>
      <c r="C46" s="10">
        <v>0.772532705854068</v>
      </c>
      <c r="D46" s="12">
        <v>4717587.520466545</v>
      </c>
      <c r="E46" s="13">
        <v>2058462.227016048</v>
      </c>
      <c r="F46" s="15">
        <v>0.160229251898226</v>
      </c>
    </row>
    <row r="47" spans="1:6">
      <c r="A47">
        <v>24</v>
      </c>
      <c r="B47">
        <v>2032</v>
      </c>
      <c r="C47" s="10">
        <v>0.7701304984130183</v>
      </c>
      <c r="D47" s="12">
        <v>4702918.078306244</v>
      </c>
      <c r="E47" s="13">
        <v>2072760.423441914</v>
      </c>
      <c r="F47" s="15">
        <v>0.160813027767434</v>
      </c>
    </row>
    <row r="48" spans="1:6">
      <c r="A48">
        <v>25</v>
      </c>
      <c r="B48">
        <v>2032</v>
      </c>
      <c r="C48" s="10">
        <v>0.7678409237966773</v>
      </c>
      <c r="D48" s="12">
        <v>4688936.445482963</v>
      </c>
      <c r="E48" s="13">
        <v>2086388.217210555</v>
      </c>
      <c r="F48" s="15">
        <v>0.1613721246746767</v>
      </c>
    </row>
    <row r="49" spans="1:6">
      <c r="A49">
        <v>26</v>
      </c>
      <c r="B49">
        <v>2033</v>
      </c>
      <c r="C49" s="10">
        <v>0.7656545015365636</v>
      </c>
      <c r="D49" s="12">
        <v>4769096.422647312</v>
      </c>
      <c r="E49" s="13">
        <v>2058210.082204826</v>
      </c>
      <c r="F49" s="15">
        <v>0.1595323936499704</v>
      </c>
    </row>
    <row r="50" spans="1:6">
      <c r="A50">
        <v>27</v>
      </c>
      <c r="B50">
        <v>2033</v>
      </c>
      <c r="C50" s="10">
        <v>0.7635628760773409</v>
      </c>
      <c r="D50" s="12">
        <v>4756068.139687991</v>
      </c>
      <c r="E50" s="13">
        <v>2070908.652934955</v>
      </c>
      <c r="F50" s="15">
        <v>0.1600436003573025</v>
      </c>
    </row>
    <row r="51" spans="1:6">
      <c r="A51">
        <v>28</v>
      </c>
      <c r="B51">
        <v>2033</v>
      </c>
      <c r="C51" s="10">
        <v>0.7615586473153696</v>
      </c>
      <c r="D51" s="12">
        <v>4743584.231868339</v>
      </c>
      <c r="E51" s="13">
        <v>2083076.625255733</v>
      </c>
      <c r="F51" s="15">
        <v>0.1605355323264182</v>
      </c>
    </row>
    <row r="52" spans="1:6">
      <c r="A52">
        <v>29</v>
      </c>
      <c r="B52">
        <v>2033</v>
      </c>
      <c r="C52" s="10">
        <v>0.7596352317076324</v>
      </c>
      <c r="D52" s="12">
        <v>4731603.691721686</v>
      </c>
      <c r="E52" s="13">
        <v>2094753.968840643</v>
      </c>
      <c r="F52" s="15">
        <v>0.1610095623862915</v>
      </c>
    </row>
    <row r="53" spans="1:6">
      <c r="A53">
        <v>30</v>
      </c>
      <c r="B53">
        <v>2033</v>
      </c>
      <c r="C53" s="10">
        <v>0.7577867475880692</v>
      </c>
      <c r="D53" s="12">
        <v>4720089.883621247</v>
      </c>
      <c r="E53" s="13">
        <v>2105976.392163277</v>
      </c>
      <c r="F53" s="15">
        <v>0.1614669225089056</v>
      </c>
    </row>
    <row r="54" spans="1:6">
      <c r="A54">
        <v>31</v>
      </c>
      <c r="B54">
        <v>2033</v>
      </c>
      <c r="C54" s="10">
        <v>0.7560079198177624</v>
      </c>
      <c r="D54" s="12">
        <v>4709009.949866727</v>
      </c>
      <c r="E54" s="13">
        <v>2116775.921380307</v>
      </c>
      <c r="F54" s="15">
        <v>0.16190872239832</v>
      </c>
    </row>
    <row r="55" spans="1:6">
      <c r="A55">
        <v>32</v>
      </c>
      <c r="B55">
        <v>2033</v>
      </c>
      <c r="C55" s="10">
        <v>0.7542940000000001</v>
      </c>
      <c r="D55" s="12">
        <v>4698334.313721193</v>
      </c>
      <c r="E55" s="13">
        <v>2127181.384717762</v>
      </c>
      <c r="F55" s="15">
        <v>0.1623359651148131</v>
      </c>
    </row>
    <row r="56" spans="1:6">
      <c r="A56">
        <v>33</v>
      </c>
      <c r="B56">
        <v>2034</v>
      </c>
      <c r="C56" s="10">
        <v>0.752640699319222</v>
      </c>
      <c r="D56" s="12">
        <v>4781796.986300974</v>
      </c>
      <c r="E56" s="13">
        <v>2096783.200995656</v>
      </c>
      <c r="F56" s="15">
        <v>0.1603853356340874</v>
      </c>
    </row>
    <row r="57" spans="1:6">
      <c r="A57">
        <v>34</v>
      </c>
      <c r="B57">
        <v>2034</v>
      </c>
      <c r="C57" s="10">
        <v>0.7510441316896813</v>
      </c>
      <c r="D57" s="12">
        <v>4771653.418080085</v>
      </c>
      <c r="E57" s="13">
        <v>2106670.061674922</v>
      </c>
      <c r="F57" s="15">
        <v>0.160782856917606</v>
      </c>
    </row>
    <row r="58" spans="1:6">
      <c r="A58">
        <v>35</v>
      </c>
      <c r="B58">
        <v>2034</v>
      </c>
      <c r="C58" s="10">
        <v>0.7495007653785871</v>
      </c>
      <c r="D58" s="12">
        <v>4761847.856964636</v>
      </c>
      <c r="E58" s="13">
        <v>2116227.46933654</v>
      </c>
      <c r="F58" s="15">
        <v>0.1611684079148565</v>
      </c>
    </row>
    <row r="59" spans="1:6">
      <c r="A59">
        <v>36</v>
      </c>
      <c r="B59">
        <v>2034</v>
      </c>
      <c r="C59" s="10">
        <v>0.7480073816376299</v>
      </c>
      <c r="D59" s="12">
        <v>4752359.853089268</v>
      </c>
      <c r="E59" s="13">
        <v>2125475.356312535</v>
      </c>
      <c r="F59" s="15">
        <v>0.161542673706887</v>
      </c>
    </row>
    <row r="60" spans="1:6">
      <c r="A60">
        <v>37</v>
      </c>
      <c r="B60">
        <v>2034</v>
      </c>
      <c r="C60" s="10">
        <v>0.7465610391636087</v>
      </c>
      <c r="D60" s="12">
        <v>4743170.719297156</v>
      </c>
      <c r="E60" s="13">
        <v>2134431.93683601</v>
      </c>
      <c r="F60" s="15">
        <v>0.1619062825334832</v>
      </c>
    </row>
    <row r="61" spans="1:6">
      <c r="A61">
        <v>38</v>
      </c>
      <c r="B61">
        <v>2034</v>
      </c>
      <c r="C61" s="10">
        <v>0.7451590434334371</v>
      </c>
      <c r="D61" s="12">
        <v>4734263.336314272</v>
      </c>
      <c r="E61" s="13">
        <v>2143113.89693633</v>
      </c>
      <c r="F61" s="15">
        <v>0.1622598118963494</v>
      </c>
    </row>
    <row r="62" spans="1:6">
      <c r="A62">
        <v>39</v>
      </c>
      <c r="B62">
        <v>2034</v>
      </c>
      <c r="C62" s="10">
        <v>0.743798920135884</v>
      </c>
      <c r="D62" s="12">
        <v>4725621.983951691</v>
      </c>
      <c r="E62" s="13">
        <v>2151536.558964997</v>
      </c>
      <c r="F62" s="15">
        <v>0.1626037938656593</v>
      </c>
    </row>
    <row r="63" spans="1:6">
      <c r="A63">
        <v>40</v>
      </c>
      <c r="B63">
        <v>2034</v>
      </c>
      <c r="C63" s="10">
        <v>0.7424783920630001</v>
      </c>
      <c r="D63" s="12">
        <v>4717232.194288504</v>
      </c>
      <c r="E63" s="13">
        <v>2159714.024697169</v>
      </c>
      <c r="F63" s="15">
        <v>0.1629387197114942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25"/>
  <sheetViews>
    <sheetView workbookViewId="0"/>
  </sheetViews>
  <sheetFormatPr defaultRowHeight="15"/>
  <cols>
    <col min="1" max="1" width="70.7109375" customWidth="1"/>
    <col min="2" max="4" width="14.7109375" customWidth="1"/>
  </cols>
  <sheetData>
    <row r="1" spans="1:4">
      <c r="A1" s="1" t="s">
        <v>466</v>
      </c>
    </row>
    <row r="3" spans="1:4">
      <c r="A3" s="6" t="s">
        <v>467</v>
      </c>
      <c r="B3" s="6" t="s">
        <v>468</v>
      </c>
      <c r="C3" s="6" t="s">
        <v>469</v>
      </c>
      <c r="D3" s="6" t="s">
        <v>470</v>
      </c>
    </row>
    <row r="4" spans="1:4">
      <c r="A4" s="8" t="s">
        <v>471</v>
      </c>
      <c r="B4" s="12">
        <v>162</v>
      </c>
      <c r="C4" s="10">
        <v>140</v>
      </c>
      <c r="D4" s="12">
        <v>22740.2</v>
      </c>
    </row>
    <row r="5" spans="1:4">
      <c r="A5" s="8" t="s">
        <v>472</v>
      </c>
      <c r="B5" s="12">
        <v>148</v>
      </c>
      <c r="C5" s="10">
        <v>70</v>
      </c>
      <c r="D5" s="12">
        <v>10345.5</v>
      </c>
    </row>
    <row r="6" spans="1:4">
      <c r="A6" s="8" t="s">
        <v>473</v>
      </c>
      <c r="B6" s="12">
        <v>73</v>
      </c>
      <c r="C6" s="10">
        <v>70</v>
      </c>
      <c r="D6" s="12">
        <v>5139.750000000001</v>
      </c>
    </row>
    <row r="7" spans="1:4">
      <c r="A7" s="8" t="s">
        <v>474</v>
      </c>
      <c r="B7" s="12">
        <v>92</v>
      </c>
      <c r="C7" s="10">
        <v>45</v>
      </c>
      <c r="D7" s="12">
        <v>4151.25</v>
      </c>
    </row>
    <row r="8" spans="1:4">
      <c r="A8" s="8" t="s">
        <v>475</v>
      </c>
      <c r="B8" s="12">
        <v>247</v>
      </c>
      <c r="C8" s="10">
        <v>40</v>
      </c>
      <c r="D8" s="12">
        <v>27874</v>
      </c>
    </row>
    <row r="11" spans="1:4">
      <c r="A11" t="s">
        <v>476</v>
      </c>
      <c r="B11" s="12">
        <v>22361.43506493507</v>
      </c>
    </row>
    <row r="12" spans="1:4">
      <c r="A12" t="s">
        <v>477</v>
      </c>
      <c r="B12" s="12">
        <v>11280.68181818182</v>
      </c>
    </row>
    <row r="13" spans="1:4">
      <c r="A13" t="s">
        <v>478</v>
      </c>
      <c r="B13" s="12">
        <v>11080.75324675325</v>
      </c>
    </row>
    <row r="14" spans="1:4">
      <c r="A14" t="s">
        <v>479</v>
      </c>
      <c r="B14" s="12">
        <v>3386.616547499999</v>
      </c>
    </row>
    <row r="17" spans="1:4">
      <c r="A17" s="9" t="s">
        <v>480</v>
      </c>
    </row>
    <row r="18" spans="1:4">
      <c r="A18" s="6" t="s">
        <v>206</v>
      </c>
      <c r="B18" s="6" t="s">
        <v>481</v>
      </c>
      <c r="C18" s="6" t="s">
        <v>482</v>
      </c>
      <c r="D18" s="6" t="s">
        <v>483</v>
      </c>
    </row>
    <row r="19" spans="1:4">
      <c r="A19" s="8" t="s">
        <v>484</v>
      </c>
      <c r="B19" s="10">
        <v>16.1</v>
      </c>
      <c r="C19" s="12">
        <v>15</v>
      </c>
      <c r="D19" t="s">
        <v>485</v>
      </c>
    </row>
    <row r="20" spans="1:4">
      <c r="A20" s="8" t="s">
        <v>486</v>
      </c>
      <c r="B20" s="10">
        <v>30.5</v>
      </c>
      <c r="C20" s="12">
        <v>15</v>
      </c>
      <c r="D20" t="s">
        <v>485</v>
      </c>
    </row>
    <row r="21" spans="1:4">
      <c r="A21" s="8" t="s">
        <v>487</v>
      </c>
      <c r="B21" s="10">
        <v>142.9</v>
      </c>
      <c r="C21" s="12">
        <v>30</v>
      </c>
      <c r="D21" t="s">
        <v>485</v>
      </c>
    </row>
    <row r="22" spans="1:4">
      <c r="A22" s="8" t="s">
        <v>488</v>
      </c>
      <c r="B22" s="10">
        <v>208.7</v>
      </c>
      <c r="C22" s="12">
        <v>30</v>
      </c>
      <c r="D22" t="s">
        <v>485</v>
      </c>
    </row>
    <row r="23" spans="1:4">
      <c r="A23" s="8" t="s">
        <v>489</v>
      </c>
      <c r="B23" s="10">
        <v>17.2</v>
      </c>
      <c r="C23" s="12">
        <v>10</v>
      </c>
      <c r="D23" t="s">
        <v>485</v>
      </c>
    </row>
    <row r="24" spans="1:4">
      <c r="A24" s="8" t="s">
        <v>490</v>
      </c>
      <c r="B24" s="10">
        <v>20.6</v>
      </c>
      <c r="C24" s="12">
        <v>20</v>
      </c>
      <c r="D24" t="s">
        <v>485</v>
      </c>
    </row>
    <row r="25" spans="1:4">
      <c r="A25" s="8" t="s">
        <v>491</v>
      </c>
      <c r="B25" s="10">
        <v>138.2</v>
      </c>
      <c r="C25" s="12">
        <v>30</v>
      </c>
      <c r="D25" t="s">
        <v>485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1" width="46.7109375" customWidth="1"/>
    <col min="2" max="3" width="18.7109375" customWidth="1"/>
    <col min="4" max="7" width="22.7109375" customWidth="1"/>
  </cols>
  <sheetData>
    <row r="1" spans="1:4">
      <c r="A1" s="1" t="s">
        <v>492</v>
      </c>
    </row>
    <row r="3" spans="1:4">
      <c r="A3" s="6" t="s">
        <v>493</v>
      </c>
      <c r="B3" s="6" t="s">
        <v>2</v>
      </c>
      <c r="C3" s="6" t="s">
        <v>3</v>
      </c>
      <c r="D3" s="6" t="s">
        <v>494</v>
      </c>
    </row>
    <row r="4" spans="1:4">
      <c r="A4" t="s">
        <v>495</v>
      </c>
      <c r="B4" s="7">
        <v>1231</v>
      </c>
      <c r="C4" t="s">
        <v>496</v>
      </c>
      <c r="D4" t="s">
        <v>497</v>
      </c>
    </row>
    <row r="5" spans="1:4">
      <c r="A5" t="s">
        <v>498</v>
      </c>
      <c r="B5" s="7">
        <v>125000000</v>
      </c>
      <c r="C5" t="s">
        <v>499</v>
      </c>
      <c r="D5" t="s">
        <v>500</v>
      </c>
    </row>
    <row r="6" spans="1:4">
      <c r="A6" t="s">
        <v>501</v>
      </c>
      <c r="B6" s="7">
        <v>1262622.849271547</v>
      </c>
      <c r="C6" t="s">
        <v>109</v>
      </c>
      <c r="D6" t="s">
        <v>502</v>
      </c>
    </row>
    <row r="7" spans="1:4">
      <c r="A7" t="s">
        <v>503</v>
      </c>
      <c r="B7" s="7">
        <v>161460</v>
      </c>
      <c r="C7" t="s">
        <v>499</v>
      </c>
      <c r="D7" t="s">
        <v>504</v>
      </c>
    </row>
    <row r="8" spans="1:4">
      <c r="A8" t="s">
        <v>505</v>
      </c>
      <c r="B8" s="7">
        <v>0.7</v>
      </c>
      <c r="C8" t="s">
        <v>12</v>
      </c>
      <c r="D8" t="s">
        <v>506</v>
      </c>
    </row>
    <row r="9" spans="1:4">
      <c r="A9" t="s">
        <v>507</v>
      </c>
      <c r="B9" s="7">
        <v>0.9</v>
      </c>
      <c r="C9" t="s">
        <v>12</v>
      </c>
      <c r="D9" t="s">
        <v>508</v>
      </c>
    </row>
    <row r="10" spans="1:4">
      <c r="A10" t="s">
        <v>509</v>
      </c>
      <c r="B10" s="7">
        <v>0.85</v>
      </c>
      <c r="C10" t="s">
        <v>12</v>
      </c>
      <c r="D10" t="s">
        <v>510</v>
      </c>
    </row>
    <row r="11" spans="1:4">
      <c r="A11" t="s">
        <v>511</v>
      </c>
      <c r="B11" s="7">
        <v>40</v>
      </c>
      <c r="C11" t="s">
        <v>512</v>
      </c>
      <c r="D11" t="s">
        <v>513</v>
      </c>
    </row>
    <row r="13" spans="1:4">
      <c r="A13" s="9" t="s">
        <v>514</v>
      </c>
      <c r="B13" s="5">
        <f>B6/B7</f>
        <v>7.820034988675504</v>
      </c>
    </row>
    <row r="14" spans="1:4">
      <c r="A14" s="9" t="s">
        <v>515</v>
      </c>
      <c r="B14" s="3">
        <f>B5*B13</f>
        <v>977504373.584438</v>
      </c>
    </row>
    <row r="15" spans="1:4">
      <c r="A15" s="9" t="s">
        <v>516</v>
      </c>
      <c r="B15" s="3">
        <f>B14*B8*B9*B10</f>
        <v>523453592.0544665</v>
      </c>
    </row>
    <row r="16" spans="1:4">
      <c r="A16" s="9" t="s">
        <v>517</v>
      </c>
      <c r="B16" s="3">
        <f>B11*B6</f>
        <v>50504913.970861875</v>
      </c>
    </row>
    <row r="17" spans="1:7">
      <c r="A17" s="9" t="s">
        <v>518</v>
      </c>
      <c r="B17" s="3">
        <f>ROUND(B5/B7,0)</f>
        <v>774</v>
      </c>
      <c r="C17" s="3">
        <f>ROUND(B5*B8*B9*B10/B7,0)</f>
        <v>415</v>
      </c>
    </row>
    <row r="18" spans="1:7">
      <c r="A18" s="9" t="s">
        <v>519</v>
      </c>
      <c r="B18" s="4">
        <f>B16/B15</f>
        <v>0.09648403361344539</v>
      </c>
    </row>
    <row r="20" spans="1:7">
      <c r="A20" s="9" t="s">
        <v>520</v>
      </c>
    </row>
    <row r="21" spans="1:7">
      <c r="A21" s="6" t="s">
        <v>521</v>
      </c>
      <c r="B21" s="6" t="s">
        <v>522</v>
      </c>
      <c r="C21" s="6" t="s">
        <v>523</v>
      </c>
      <c r="D21" s="6" t="s">
        <v>524</v>
      </c>
      <c r="E21" s="6" t="s">
        <v>525</v>
      </c>
      <c r="F21" s="6" t="s">
        <v>526</v>
      </c>
      <c r="G21" s="6" t="s">
        <v>527</v>
      </c>
    </row>
    <row r="22" spans="1:7">
      <c r="A22" s="8" t="s">
        <v>528</v>
      </c>
      <c r="B22" s="8" t="s">
        <v>529</v>
      </c>
      <c r="C22" s="8" t="s">
        <v>530</v>
      </c>
      <c r="D22" s="8" t="s">
        <v>531</v>
      </c>
      <c r="E22" s="8" t="s">
        <v>532</v>
      </c>
      <c r="F22" s="8" t="s">
        <v>533</v>
      </c>
      <c r="G22" s="8" t="s">
        <v>534</v>
      </c>
    </row>
    <row r="23" spans="1:7">
      <c r="A23" s="8" t="s">
        <v>535</v>
      </c>
      <c r="B23" s="8" t="s">
        <v>536</v>
      </c>
      <c r="C23" s="8" t="s">
        <v>537</v>
      </c>
      <c r="D23" s="8" t="s">
        <v>538</v>
      </c>
      <c r="E23" s="8" t="s">
        <v>532</v>
      </c>
      <c r="F23" s="8" t="s">
        <v>539</v>
      </c>
      <c r="G23" s="8" t="s">
        <v>540</v>
      </c>
    </row>
    <row r="24" spans="1:7">
      <c r="A24" s="8" t="s">
        <v>541</v>
      </c>
      <c r="B24" s="8" t="s">
        <v>542</v>
      </c>
      <c r="C24" s="8" t="s">
        <v>537</v>
      </c>
      <c r="D24" s="8" t="s">
        <v>543</v>
      </c>
      <c r="E24" s="8" t="s">
        <v>532</v>
      </c>
      <c r="F24" s="8" t="s">
        <v>544</v>
      </c>
      <c r="G24" s="8" t="s">
        <v>545</v>
      </c>
    </row>
    <row r="25" spans="1:7">
      <c r="A25" s="8" t="s">
        <v>546</v>
      </c>
      <c r="B25" s="8" t="s">
        <v>547</v>
      </c>
      <c r="C25" s="8" t="s">
        <v>548</v>
      </c>
      <c r="D25" s="8" t="s">
        <v>549</v>
      </c>
      <c r="E25" s="8" t="s">
        <v>550</v>
      </c>
      <c r="F25" s="8" t="s">
        <v>551</v>
      </c>
      <c r="G25" s="8" t="s">
        <v>12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34"/>
  <sheetViews>
    <sheetView workbookViewId="0"/>
  </sheetViews>
  <sheetFormatPr defaultRowHeight="15"/>
  <cols>
    <col min="1" max="1" width="6.7109375" customWidth="1"/>
    <col min="2" max="2" width="12.7109375" customWidth="1"/>
    <col min="3" max="3" width="54.7109375" customWidth="1"/>
    <col min="4" max="7" width="10.7109375" customWidth="1"/>
    <col min="8" max="8" width="66.7109375" customWidth="1"/>
  </cols>
  <sheetData>
    <row r="1" spans="1:8">
      <c r="A1" s="1" t="s">
        <v>552</v>
      </c>
    </row>
    <row r="3" spans="1:8">
      <c r="A3" s="6" t="s">
        <v>553</v>
      </c>
      <c r="B3" s="6" t="s">
        <v>554</v>
      </c>
      <c r="C3" s="6" t="s">
        <v>555</v>
      </c>
      <c r="D3" s="6" t="s">
        <v>556</v>
      </c>
      <c r="E3" s="6" t="s">
        <v>557</v>
      </c>
      <c r="F3" s="6" t="s">
        <v>558</v>
      </c>
      <c r="G3" s="6" t="s">
        <v>559</v>
      </c>
      <c r="H3" s="6" t="s">
        <v>560</v>
      </c>
    </row>
    <row r="4" spans="1:8">
      <c r="A4" s="8" t="s">
        <v>561</v>
      </c>
      <c r="B4" s="8" t="s">
        <v>562</v>
      </c>
      <c r="C4" s="8" t="s">
        <v>563</v>
      </c>
      <c r="D4" s="7">
        <v>1</v>
      </c>
      <c r="E4" s="7">
        <v>4</v>
      </c>
      <c r="F4" s="7">
        <v>4</v>
      </c>
      <c r="G4" s="13">
        <f>D4*E4*F4</f>
        <v>16</v>
      </c>
      <c r="H4" s="8" t="s">
        <v>564</v>
      </c>
    </row>
    <row r="5" spans="1:8">
      <c r="A5" s="8" t="s">
        <v>565</v>
      </c>
      <c r="B5" s="8" t="s">
        <v>562</v>
      </c>
      <c r="C5" s="8" t="s">
        <v>566</v>
      </c>
      <c r="D5" s="7">
        <v>1</v>
      </c>
      <c r="E5" s="7">
        <v>4</v>
      </c>
      <c r="F5" s="7">
        <v>3</v>
      </c>
      <c r="G5" s="13">
        <f>D5*E5*F5</f>
        <v>12</v>
      </c>
      <c r="H5" s="8" t="s">
        <v>567</v>
      </c>
    </row>
    <row r="6" spans="1:8">
      <c r="A6" s="8" t="s">
        <v>568</v>
      </c>
      <c r="B6" s="8" t="s">
        <v>562</v>
      </c>
      <c r="C6" s="8" t="s">
        <v>569</v>
      </c>
      <c r="D6" s="7">
        <v>-1</v>
      </c>
      <c r="E6" s="7">
        <v>4</v>
      </c>
      <c r="F6" s="7">
        <v>3</v>
      </c>
      <c r="G6" s="13">
        <f>D6*E6*F6</f>
        <v>-12</v>
      </c>
      <c r="H6" s="8" t="s">
        <v>570</v>
      </c>
    </row>
    <row r="7" spans="1:8">
      <c r="A7" s="8" t="s">
        <v>571</v>
      </c>
      <c r="B7" s="8" t="s">
        <v>562</v>
      </c>
      <c r="C7" s="8" t="s">
        <v>572</v>
      </c>
      <c r="D7" s="7">
        <v>1</v>
      </c>
      <c r="E7" s="7">
        <v>5</v>
      </c>
      <c r="F7" s="7">
        <v>4</v>
      </c>
      <c r="G7" s="13">
        <f>D7*E7*F7</f>
        <v>20</v>
      </c>
      <c r="H7" s="8" t="s">
        <v>573</v>
      </c>
    </row>
    <row r="8" spans="1:8">
      <c r="A8" s="8" t="s">
        <v>574</v>
      </c>
      <c r="B8" s="8" t="s">
        <v>562</v>
      </c>
      <c r="C8" s="8" t="s">
        <v>575</v>
      </c>
      <c r="D8" s="7">
        <v>1</v>
      </c>
      <c r="E8" s="7">
        <v>3</v>
      </c>
      <c r="F8" s="7">
        <v>4</v>
      </c>
      <c r="G8" s="13">
        <f>D8*E8*F8</f>
        <v>12</v>
      </c>
      <c r="H8" s="8" t="s">
        <v>576</v>
      </c>
    </row>
    <row r="9" spans="1:8">
      <c r="A9" s="8" t="s">
        <v>577</v>
      </c>
      <c r="B9" s="8" t="s">
        <v>578</v>
      </c>
      <c r="C9" s="8" t="s">
        <v>579</v>
      </c>
      <c r="D9" s="7">
        <v>-1</v>
      </c>
      <c r="E9" s="7">
        <v>3</v>
      </c>
      <c r="F9" s="7">
        <v>4</v>
      </c>
      <c r="G9" s="13">
        <f>D9*E9*F9</f>
        <v>-12</v>
      </c>
      <c r="H9" s="8" t="s">
        <v>580</v>
      </c>
    </row>
    <row r="10" spans="1:8">
      <c r="A10" s="8" t="s">
        <v>581</v>
      </c>
      <c r="B10" s="8" t="s">
        <v>578</v>
      </c>
      <c r="C10" s="8" t="s">
        <v>582</v>
      </c>
      <c r="D10" s="7">
        <v>-1</v>
      </c>
      <c r="E10" s="7">
        <v>3</v>
      </c>
      <c r="F10" s="7">
        <v>4</v>
      </c>
      <c r="G10" s="13">
        <f>D10*E10*F10</f>
        <v>-12</v>
      </c>
      <c r="H10" s="8" t="s">
        <v>583</v>
      </c>
    </row>
    <row r="11" spans="1:8">
      <c r="A11" s="8" t="s">
        <v>584</v>
      </c>
      <c r="B11" s="8" t="s">
        <v>578</v>
      </c>
      <c r="C11" s="8" t="s">
        <v>585</v>
      </c>
      <c r="D11" s="7">
        <v>1</v>
      </c>
      <c r="E11" s="7">
        <v>3</v>
      </c>
      <c r="F11" s="7">
        <v>3</v>
      </c>
      <c r="G11" s="13">
        <f>D11*E11*F11</f>
        <v>9</v>
      </c>
      <c r="H11" s="8" t="s">
        <v>586</v>
      </c>
    </row>
    <row r="12" spans="1:8">
      <c r="A12" s="8" t="s">
        <v>587</v>
      </c>
      <c r="B12" s="8" t="s">
        <v>578</v>
      </c>
      <c r="C12" s="8" t="s">
        <v>588</v>
      </c>
      <c r="D12" s="7">
        <v>-1</v>
      </c>
      <c r="E12" s="7">
        <v>3</v>
      </c>
      <c r="F12" s="7">
        <v>4</v>
      </c>
      <c r="G12" s="13">
        <f>D12*E12*F12</f>
        <v>-12</v>
      </c>
      <c r="H12" s="8" t="s">
        <v>589</v>
      </c>
    </row>
    <row r="13" spans="1:8">
      <c r="A13" s="8" t="s">
        <v>590</v>
      </c>
      <c r="B13" s="8" t="s">
        <v>578</v>
      </c>
      <c r="C13" s="8" t="s">
        <v>591</v>
      </c>
      <c r="D13" s="7">
        <v>1</v>
      </c>
      <c r="E13" s="7">
        <v>3</v>
      </c>
      <c r="F13" s="7">
        <v>4</v>
      </c>
      <c r="G13" s="13">
        <f>D13*E13*F13</f>
        <v>12</v>
      </c>
      <c r="H13" s="8" t="s">
        <v>592</v>
      </c>
    </row>
    <row r="14" spans="1:8">
      <c r="A14" s="8" t="s">
        <v>593</v>
      </c>
      <c r="B14" s="8" t="s">
        <v>594</v>
      </c>
      <c r="C14" s="8" t="s">
        <v>595</v>
      </c>
      <c r="D14" s="7">
        <v>1</v>
      </c>
      <c r="E14" s="7">
        <v>3</v>
      </c>
      <c r="F14" s="7">
        <v>4</v>
      </c>
      <c r="G14" s="13">
        <f>D14*E14*F14</f>
        <v>12</v>
      </c>
      <c r="H14" s="8" t="s">
        <v>596</v>
      </c>
    </row>
    <row r="15" spans="1:8">
      <c r="A15" s="8" t="s">
        <v>597</v>
      </c>
      <c r="B15" s="8" t="s">
        <v>594</v>
      </c>
      <c r="C15" s="8" t="s">
        <v>598</v>
      </c>
      <c r="D15" s="7">
        <v>1</v>
      </c>
      <c r="E15" s="7">
        <v>2</v>
      </c>
      <c r="F15" s="7">
        <v>4</v>
      </c>
      <c r="G15" s="13">
        <f>D15*E15*F15</f>
        <v>8</v>
      </c>
      <c r="H15" s="8" t="s">
        <v>599</v>
      </c>
    </row>
    <row r="16" spans="1:8">
      <c r="A16" s="8" t="s">
        <v>600</v>
      </c>
      <c r="B16" s="8" t="s">
        <v>594</v>
      </c>
      <c r="C16" s="8" t="s">
        <v>601</v>
      </c>
      <c r="D16" s="7">
        <v>-1</v>
      </c>
      <c r="E16" s="7">
        <v>3</v>
      </c>
      <c r="F16" s="7">
        <v>3</v>
      </c>
      <c r="G16" s="13">
        <f>D16*E16*F16</f>
        <v>-9</v>
      </c>
      <c r="H16" s="8" t="s">
        <v>602</v>
      </c>
    </row>
    <row r="17" spans="1:8">
      <c r="A17" s="8" t="s">
        <v>603</v>
      </c>
      <c r="B17" s="8" t="s">
        <v>521</v>
      </c>
      <c r="C17" s="8" t="s">
        <v>604</v>
      </c>
      <c r="D17" s="7">
        <v>-1</v>
      </c>
      <c r="E17" s="7">
        <v>4</v>
      </c>
      <c r="F17" s="7">
        <v>3</v>
      </c>
      <c r="G17" s="13">
        <f>D17*E17*F17</f>
        <v>-12</v>
      </c>
      <c r="H17" s="8" t="s">
        <v>605</v>
      </c>
    </row>
    <row r="18" spans="1:8">
      <c r="A18" s="8" t="s">
        <v>606</v>
      </c>
      <c r="B18" s="8" t="s">
        <v>521</v>
      </c>
      <c r="C18" s="8" t="s">
        <v>607</v>
      </c>
      <c r="D18" s="7">
        <v>1</v>
      </c>
      <c r="E18" s="7">
        <v>3</v>
      </c>
      <c r="F18" s="7">
        <v>5</v>
      </c>
      <c r="G18" s="13">
        <f>D18*E18*F18</f>
        <v>15</v>
      </c>
      <c r="H18" s="8" t="s">
        <v>608</v>
      </c>
    </row>
    <row r="19" spans="1:8">
      <c r="A19" s="8" t="s">
        <v>609</v>
      </c>
      <c r="B19" s="8" t="s">
        <v>521</v>
      </c>
      <c r="C19" s="8" t="s">
        <v>610</v>
      </c>
      <c r="D19" s="7">
        <v>-1</v>
      </c>
      <c r="E19" s="7">
        <v>3</v>
      </c>
      <c r="F19" s="7">
        <v>3</v>
      </c>
      <c r="G19" s="13">
        <f>D19*E19*F19</f>
        <v>-9</v>
      </c>
      <c r="H19" s="8" t="s">
        <v>611</v>
      </c>
    </row>
    <row r="20" spans="1:8">
      <c r="A20" s="8" t="s">
        <v>612</v>
      </c>
      <c r="B20" s="8" t="s">
        <v>521</v>
      </c>
      <c r="C20" s="8" t="s">
        <v>613</v>
      </c>
      <c r="D20" s="7">
        <v>1</v>
      </c>
      <c r="E20" s="7">
        <v>3</v>
      </c>
      <c r="F20" s="7">
        <v>4</v>
      </c>
      <c r="G20" s="13">
        <f>D20*E20*F20</f>
        <v>12</v>
      </c>
      <c r="H20" s="8" t="s">
        <v>614</v>
      </c>
    </row>
    <row r="21" spans="1:8">
      <c r="A21" s="8" t="s">
        <v>615</v>
      </c>
      <c r="B21" s="8" t="s">
        <v>616</v>
      </c>
      <c r="C21" s="8" t="s">
        <v>617</v>
      </c>
      <c r="D21" s="7">
        <v>-1</v>
      </c>
      <c r="E21" s="7">
        <v>3</v>
      </c>
      <c r="F21" s="7">
        <v>3</v>
      </c>
      <c r="G21" s="13">
        <f>D21*E21*F21</f>
        <v>-9</v>
      </c>
      <c r="H21" s="8" t="s">
        <v>618</v>
      </c>
    </row>
    <row r="22" spans="1:8">
      <c r="A22" s="8" t="s">
        <v>619</v>
      </c>
      <c r="B22" s="8" t="s">
        <v>616</v>
      </c>
      <c r="C22" s="8" t="s">
        <v>620</v>
      </c>
      <c r="D22" s="7">
        <v>-1</v>
      </c>
      <c r="E22" s="7">
        <v>3</v>
      </c>
      <c r="F22" s="7">
        <v>4</v>
      </c>
      <c r="G22" s="13">
        <f>D22*E22*F22</f>
        <v>-12</v>
      </c>
      <c r="H22" s="8" t="s">
        <v>621</v>
      </c>
    </row>
    <row r="23" spans="1:8">
      <c r="A23" s="8" t="s">
        <v>622</v>
      </c>
      <c r="B23" s="8" t="s">
        <v>616</v>
      </c>
      <c r="C23" s="8" t="s">
        <v>623</v>
      </c>
      <c r="D23" s="7">
        <v>-1</v>
      </c>
      <c r="E23" s="7">
        <v>4</v>
      </c>
      <c r="F23" s="7">
        <v>2</v>
      </c>
      <c r="G23" s="13">
        <f>D23*E23*F23</f>
        <v>-8</v>
      </c>
      <c r="H23" s="8" t="s">
        <v>624</v>
      </c>
    </row>
    <row r="24" spans="1:8">
      <c r="A24" s="8" t="s">
        <v>625</v>
      </c>
      <c r="B24" s="8" t="s">
        <v>626</v>
      </c>
      <c r="C24" s="8" t="s">
        <v>627</v>
      </c>
      <c r="D24" s="7">
        <v>1</v>
      </c>
      <c r="E24" s="7">
        <v>4</v>
      </c>
      <c r="F24" s="7">
        <v>4</v>
      </c>
      <c r="G24" s="13">
        <f>D24*E24*F24</f>
        <v>16</v>
      </c>
      <c r="H24" s="8" t="s">
        <v>628</v>
      </c>
    </row>
    <row r="25" spans="1:8">
      <c r="A25" s="8" t="s">
        <v>629</v>
      </c>
      <c r="B25" s="8" t="s">
        <v>626</v>
      </c>
      <c r="C25" s="8" t="s">
        <v>630</v>
      </c>
      <c r="D25" s="7">
        <v>1</v>
      </c>
      <c r="E25" s="7">
        <v>3</v>
      </c>
      <c r="F25" s="7">
        <v>4</v>
      </c>
      <c r="G25" s="13">
        <f>D25*E25*F25</f>
        <v>12</v>
      </c>
      <c r="H25" s="8" t="s">
        <v>631</v>
      </c>
    </row>
    <row r="27" spans="1:8">
      <c r="B27" s="6" t="s">
        <v>554</v>
      </c>
      <c r="C27" s="6" t="s">
        <v>632</v>
      </c>
    </row>
    <row r="28" spans="1:8">
      <c r="B28" t="s">
        <v>562</v>
      </c>
      <c r="C28" s="13">
        <f>SUMIF($B$4:$B$25,B28,$G$4:$G$25)</f>
        <v>48</v>
      </c>
    </row>
    <row r="29" spans="1:8">
      <c r="B29" t="s">
        <v>578</v>
      </c>
      <c r="C29" s="13">
        <f>SUMIF($B$4:$B$25,B29,$G$4:$G$25)</f>
        <v>-15</v>
      </c>
    </row>
    <row r="30" spans="1:8">
      <c r="B30" t="s">
        <v>594</v>
      </c>
      <c r="C30" s="13">
        <f>SUMIF($B$4:$B$25,B30,$G$4:$G$25)</f>
        <v>11</v>
      </c>
    </row>
    <row r="31" spans="1:8">
      <c r="B31" t="s">
        <v>521</v>
      </c>
      <c r="C31" s="13">
        <f>SUMIF($B$4:$B$25,B31,$G$4:$G$25)</f>
        <v>6</v>
      </c>
    </row>
    <row r="32" spans="1:8">
      <c r="B32" t="s">
        <v>616</v>
      </c>
      <c r="C32" s="13">
        <f>SUMIF($B$4:$B$25,B32,$G$4:$G$25)</f>
        <v>-29</v>
      </c>
    </row>
    <row r="33" spans="2:3">
      <c r="B33" t="s">
        <v>626</v>
      </c>
      <c r="C33" s="13">
        <f>SUMIF($B$4:$B$25,B33,$G$4:$G$25)</f>
        <v>28</v>
      </c>
    </row>
    <row r="34" spans="2:3">
      <c r="B34" s="9" t="s">
        <v>633</v>
      </c>
      <c r="C34" s="14">
        <f>SUM(C28:C33)</f>
        <v>49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D25"/>
  <sheetViews>
    <sheetView workbookViewId="0"/>
  </sheetViews>
  <sheetFormatPr defaultRowHeight="15"/>
  <cols>
    <col min="1" max="1" width="20.7109375" customWidth="1"/>
    <col min="2" max="2" width="46.7109375" customWidth="1"/>
    <col min="3" max="3" width="12.7109375" customWidth="1"/>
    <col min="4" max="4" width="50.7109375" customWidth="1"/>
  </cols>
  <sheetData>
    <row r="1" spans="1:4">
      <c r="A1" s="1" t="s">
        <v>634</v>
      </c>
    </row>
    <row r="3" spans="1:4">
      <c r="A3" s="6" t="s">
        <v>635</v>
      </c>
      <c r="B3" s="6" t="s">
        <v>636</v>
      </c>
      <c r="C3" s="6" t="s">
        <v>559</v>
      </c>
      <c r="D3" s="6" t="s">
        <v>637</v>
      </c>
    </row>
    <row r="4" spans="1:4">
      <c r="A4" s="8" t="s">
        <v>638</v>
      </c>
      <c r="B4" s="8" t="s">
        <v>639</v>
      </c>
      <c r="C4" s="7">
        <v>2.5</v>
      </c>
      <c r="D4" s="8" t="s">
        <v>640</v>
      </c>
    </row>
    <row r="5" spans="1:4">
      <c r="A5" s="8" t="s">
        <v>638</v>
      </c>
      <c r="B5" s="8" t="s">
        <v>641</v>
      </c>
      <c r="C5" s="7">
        <v>2.2</v>
      </c>
      <c r="D5" s="8" t="s">
        <v>642</v>
      </c>
    </row>
    <row r="6" spans="1:4">
      <c r="A6" s="8" t="s">
        <v>638</v>
      </c>
      <c r="B6" s="8" t="s">
        <v>643</v>
      </c>
      <c r="C6" s="7">
        <v>3.4</v>
      </c>
      <c r="D6" s="8" t="s">
        <v>644</v>
      </c>
    </row>
    <row r="7" spans="1:4">
      <c r="A7" s="8" t="s">
        <v>645</v>
      </c>
      <c r="B7" s="8" t="s">
        <v>646</v>
      </c>
      <c r="C7" s="7">
        <v>3.4</v>
      </c>
      <c r="D7" s="8" t="s">
        <v>647</v>
      </c>
    </row>
    <row r="8" spans="1:4">
      <c r="A8" s="8" t="s">
        <v>645</v>
      </c>
      <c r="B8" s="8" t="s">
        <v>648</v>
      </c>
      <c r="C8" s="7">
        <v>3.6</v>
      </c>
      <c r="D8" s="8" t="s">
        <v>649</v>
      </c>
    </row>
    <row r="9" spans="1:4">
      <c r="A9" s="8" t="s">
        <v>645</v>
      </c>
      <c r="B9" s="8" t="s">
        <v>650</v>
      </c>
      <c r="C9" s="7">
        <v>2</v>
      </c>
      <c r="D9" s="8" t="s">
        <v>651</v>
      </c>
    </row>
    <row r="10" spans="1:4">
      <c r="A10" s="8" t="s">
        <v>652</v>
      </c>
      <c r="B10" s="8" t="s">
        <v>653</v>
      </c>
      <c r="C10" s="7">
        <v>3.8</v>
      </c>
      <c r="D10" s="8" t="s">
        <v>654</v>
      </c>
    </row>
    <row r="11" spans="1:4">
      <c r="A11" s="8" t="s">
        <v>652</v>
      </c>
      <c r="B11" s="8" t="s">
        <v>655</v>
      </c>
      <c r="C11" s="7">
        <v>3.4</v>
      </c>
      <c r="D11" s="8" t="s">
        <v>656</v>
      </c>
    </row>
    <row r="12" spans="1:4">
      <c r="A12" s="8" t="s">
        <v>652</v>
      </c>
      <c r="B12" s="8" t="s">
        <v>657</v>
      </c>
      <c r="C12" s="7">
        <v>3</v>
      </c>
      <c r="D12" s="8" t="s">
        <v>658</v>
      </c>
    </row>
    <row r="13" spans="1:4">
      <c r="A13" s="8" t="s">
        <v>659</v>
      </c>
      <c r="B13" s="8" t="s">
        <v>660</v>
      </c>
      <c r="C13" s="7">
        <v>4.3</v>
      </c>
      <c r="D13" s="8" t="s">
        <v>661</v>
      </c>
    </row>
    <row r="14" spans="1:4">
      <c r="A14" s="8" t="s">
        <v>659</v>
      </c>
      <c r="B14" s="8" t="s">
        <v>662</v>
      </c>
      <c r="C14" s="7">
        <v>3.6</v>
      </c>
      <c r="D14" s="8" t="s">
        <v>663</v>
      </c>
    </row>
    <row r="15" spans="1:4">
      <c r="A15" s="8" t="s">
        <v>659</v>
      </c>
      <c r="B15" s="8" t="s">
        <v>664</v>
      </c>
      <c r="C15" s="7">
        <v>3.3</v>
      </c>
      <c r="D15" s="8" t="s">
        <v>665</v>
      </c>
    </row>
    <row r="16" spans="1:4">
      <c r="A16" s="8" t="s">
        <v>666</v>
      </c>
      <c r="B16" s="8" t="s">
        <v>667</v>
      </c>
      <c r="C16" s="7">
        <v>3.6</v>
      </c>
      <c r="D16" s="8" t="s">
        <v>668</v>
      </c>
    </row>
    <row r="17" spans="1:4">
      <c r="A17" s="8" t="s">
        <v>666</v>
      </c>
      <c r="B17" s="8" t="s">
        <v>669</v>
      </c>
      <c r="C17" s="7">
        <v>3</v>
      </c>
      <c r="D17" s="8" t="s">
        <v>670</v>
      </c>
    </row>
    <row r="18" spans="1:4">
      <c r="A18" s="8" t="s">
        <v>666</v>
      </c>
      <c r="B18" s="8" t="s">
        <v>671</v>
      </c>
      <c r="C18" s="7">
        <v>3</v>
      </c>
      <c r="D18" s="8" t="s">
        <v>672</v>
      </c>
    </row>
    <row r="20" spans="1:4">
      <c r="A20" s="6" t="s">
        <v>635</v>
      </c>
      <c r="B20" s="6" t="s">
        <v>673</v>
      </c>
    </row>
    <row r="21" spans="1:4">
      <c r="A21" t="s">
        <v>638</v>
      </c>
      <c r="B21" s="10">
        <f>AVERAGE(C4:C6)</f>
        <v>2.6999999999999997</v>
      </c>
    </row>
    <row r="22" spans="1:4">
      <c r="A22" t="s">
        <v>645</v>
      </c>
      <c r="B22" s="10">
        <f>AVERAGE(C7:C9)</f>
        <v>3.0</v>
      </c>
    </row>
    <row r="23" spans="1:4">
      <c r="A23" t="s">
        <v>652</v>
      </c>
      <c r="B23" s="10">
        <f>AVERAGE(C10:C12)</f>
        <v>3.4</v>
      </c>
    </row>
    <row r="24" spans="1:4">
      <c r="A24" t="s">
        <v>659</v>
      </c>
      <c r="B24" s="10">
        <f>AVERAGE(C13:C15)</f>
        <v>3.733333333333333</v>
      </c>
    </row>
    <row r="25" spans="1:4">
      <c r="A25" t="s">
        <v>666</v>
      </c>
      <c r="B25" s="10">
        <f>AVERAGE(C16:C18)</f>
        <v>3.1999999999999997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180"/>
  <sheetViews>
    <sheetView workbookViewId="0"/>
  </sheetViews>
  <sheetFormatPr defaultRowHeight="15"/>
  <cols>
    <col min="1" max="1" width="160.7109375" customWidth="1"/>
  </cols>
  <sheetData>
    <row r="1" spans="1:1">
      <c r="A1" s="1" t="s">
        <v>674</v>
      </c>
    </row>
    <row r="3" spans="1:1">
      <c r="A3" t="s">
        <v>675</v>
      </c>
    </row>
    <row r="4" spans="1:1">
      <c r="A4" t="s">
        <v>676</v>
      </c>
    </row>
    <row r="6" spans="1:1">
      <c r="A6" t="s">
        <v>677</v>
      </c>
    </row>
    <row r="7" spans="1:1">
      <c r="A7" t="s">
        <v>678</v>
      </c>
    </row>
    <row r="8" spans="1:1">
      <c r="A8" t="s">
        <v>679</v>
      </c>
    </row>
    <row r="9" spans="1:1">
      <c r="A9" t="s">
        <v>680</v>
      </c>
    </row>
    <row r="10" spans="1:1">
      <c r="A10" t="s">
        <v>681</v>
      </c>
    </row>
    <row r="11" spans="1:1">
      <c r="A11" t="s">
        <v>682</v>
      </c>
    </row>
    <row r="12" spans="1:1">
      <c r="A12" t="s">
        <v>683</v>
      </c>
    </row>
    <row r="13" spans="1:1">
      <c r="A13" t="s">
        <v>684</v>
      </c>
    </row>
    <row r="15" spans="1:1">
      <c r="A15" t="s">
        <v>685</v>
      </c>
    </row>
    <row r="16" spans="1:1">
      <c r="A16" t="s">
        <v>678</v>
      </c>
    </row>
    <row r="17" spans="1:1">
      <c r="A17" t="s">
        <v>679</v>
      </c>
    </row>
    <row r="18" spans="1:1">
      <c r="A18" t="s">
        <v>686</v>
      </c>
    </row>
    <row r="19" spans="1:1">
      <c r="A19" t="s">
        <v>687</v>
      </c>
    </row>
    <row r="20" spans="1:1">
      <c r="A20" t="s">
        <v>688</v>
      </c>
    </row>
    <row r="21" spans="1:1">
      <c r="A21" t="s">
        <v>689</v>
      </c>
    </row>
    <row r="22" spans="1:1">
      <c r="A22" t="s">
        <v>690</v>
      </c>
    </row>
    <row r="23" spans="1:1">
      <c r="A23" t="s">
        <v>691</v>
      </c>
    </row>
    <row r="25" spans="1:1">
      <c r="A25" t="s">
        <v>692</v>
      </c>
    </row>
    <row r="26" spans="1:1">
      <c r="A26" t="s">
        <v>678</v>
      </c>
    </row>
    <row r="27" spans="1:1">
      <c r="A27" t="s">
        <v>679</v>
      </c>
    </row>
    <row r="28" spans="1:1">
      <c r="A28" t="s">
        <v>693</v>
      </c>
    </row>
    <row r="29" spans="1:1">
      <c r="A29" t="s">
        <v>694</v>
      </c>
    </row>
    <row r="30" spans="1:1">
      <c r="A30" t="s">
        <v>695</v>
      </c>
    </row>
    <row r="31" spans="1:1">
      <c r="A31" t="s">
        <v>696</v>
      </c>
    </row>
    <row r="32" spans="1:1">
      <c r="A32" t="s">
        <v>697</v>
      </c>
    </row>
    <row r="33" spans="1:1">
      <c r="A33" t="s">
        <v>698</v>
      </c>
    </row>
    <row r="35" spans="1:1">
      <c r="A35" t="s">
        <v>699</v>
      </c>
    </row>
    <row r="36" spans="1:1">
      <c r="A36" t="s">
        <v>678</v>
      </c>
    </row>
    <row r="37" spans="1:1">
      <c r="A37" t="s">
        <v>679</v>
      </c>
    </row>
    <row r="38" spans="1:1">
      <c r="A38" t="s">
        <v>700</v>
      </c>
    </row>
    <row r="39" spans="1:1">
      <c r="A39" t="s">
        <v>701</v>
      </c>
    </row>
    <row r="40" spans="1:1">
      <c r="A40" t="s">
        <v>702</v>
      </c>
    </row>
    <row r="41" spans="1:1">
      <c r="A41" t="s">
        <v>703</v>
      </c>
    </row>
    <row r="42" spans="1:1">
      <c r="A42" t="s">
        <v>704</v>
      </c>
    </row>
    <row r="43" spans="1:1">
      <c r="A43" t="s">
        <v>705</v>
      </c>
    </row>
    <row r="44" spans="1:1">
      <c r="A44" t="s">
        <v>706</v>
      </c>
    </row>
    <row r="45" spans="1:1">
      <c r="A45" t="s">
        <v>707</v>
      </c>
    </row>
    <row r="47" spans="1:1">
      <c r="A47" t="s">
        <v>708</v>
      </c>
    </row>
    <row r="48" spans="1:1">
      <c r="A48" t="s">
        <v>709</v>
      </c>
    </row>
    <row r="49" spans="1:1">
      <c r="A49" t="s">
        <v>710</v>
      </c>
    </row>
    <row r="50" spans="1:1">
      <c r="A50" t="s">
        <v>711</v>
      </c>
    </row>
    <row r="51" spans="1:1">
      <c r="A51" t="s">
        <v>712</v>
      </c>
    </row>
    <row r="52" spans="1:1">
      <c r="A52" t="s">
        <v>713</v>
      </c>
    </row>
    <row r="53" spans="1:1">
      <c r="A53" t="s">
        <v>714</v>
      </c>
    </row>
    <row r="55" spans="1:1">
      <c r="A55" t="s">
        <v>715</v>
      </c>
    </row>
    <row r="56" spans="1:1">
      <c r="A56" t="s">
        <v>678</v>
      </c>
    </row>
    <row r="57" spans="1:1">
      <c r="A57" t="s">
        <v>679</v>
      </c>
    </row>
    <row r="58" spans="1:1">
      <c r="A58" t="s">
        <v>716</v>
      </c>
    </row>
    <row r="59" spans="1:1">
      <c r="A59" t="s">
        <v>717</v>
      </c>
    </row>
    <row r="60" spans="1:1">
      <c r="A60" t="s">
        <v>718</v>
      </c>
    </row>
    <row r="61" spans="1:1">
      <c r="A61" t="s">
        <v>719</v>
      </c>
    </row>
    <row r="62" spans="1:1">
      <c r="A62" t="s">
        <v>720</v>
      </c>
    </row>
    <row r="63" spans="1:1">
      <c r="A63" t="s">
        <v>721</v>
      </c>
    </row>
    <row r="64" spans="1:1">
      <c r="A64" t="s">
        <v>722</v>
      </c>
    </row>
    <row r="65" spans="1:1">
      <c r="A65" t="s">
        <v>723</v>
      </c>
    </row>
    <row r="67" spans="1:1">
      <c r="A67" t="s">
        <v>724</v>
      </c>
    </row>
    <row r="68" spans="1:1">
      <c r="A68" t="s">
        <v>678</v>
      </c>
    </row>
    <row r="69" spans="1:1">
      <c r="A69" t="s">
        <v>679</v>
      </c>
    </row>
    <row r="70" spans="1:1">
      <c r="A70" t="s">
        <v>725</v>
      </c>
    </row>
    <row r="71" spans="1:1">
      <c r="A71" t="s">
        <v>726</v>
      </c>
    </row>
    <row r="72" spans="1:1">
      <c r="A72" t="s">
        <v>727</v>
      </c>
    </row>
    <row r="73" spans="1:1">
      <c r="A73" t="s">
        <v>728</v>
      </c>
    </row>
    <row r="75" spans="1:1">
      <c r="A75" t="s">
        <v>729</v>
      </c>
    </row>
    <row r="76" spans="1:1">
      <c r="A76" t="s">
        <v>730</v>
      </c>
    </row>
    <row r="77" spans="1:1">
      <c r="A77" t="s">
        <v>731</v>
      </c>
    </row>
    <row r="78" spans="1:1">
      <c r="A78" t="s">
        <v>732</v>
      </c>
    </row>
    <row r="79" spans="1:1">
      <c r="A79" t="s">
        <v>733</v>
      </c>
    </row>
    <row r="80" spans="1:1">
      <c r="A80" t="s">
        <v>734</v>
      </c>
    </row>
    <row r="81" spans="1:1">
      <c r="A81" t="s">
        <v>735</v>
      </c>
    </row>
    <row r="82" spans="1:1">
      <c r="A82" t="s">
        <v>736</v>
      </c>
    </row>
    <row r="83" spans="1:1">
      <c r="A83" t="s">
        <v>737</v>
      </c>
    </row>
    <row r="85" spans="1:1">
      <c r="A85" t="s">
        <v>738</v>
      </c>
    </row>
    <row r="86" spans="1:1">
      <c r="A86" t="s">
        <v>678</v>
      </c>
    </row>
    <row r="87" spans="1:1">
      <c r="A87" t="s">
        <v>679</v>
      </c>
    </row>
    <row r="88" spans="1:1">
      <c r="A88" t="s">
        <v>739</v>
      </c>
    </row>
    <row r="89" spans="1:1">
      <c r="A89" t="s">
        <v>740</v>
      </c>
    </row>
    <row r="90" spans="1:1">
      <c r="A90" t="s">
        <v>741</v>
      </c>
    </row>
    <row r="91" spans="1:1">
      <c r="A91" t="s">
        <v>742</v>
      </c>
    </row>
    <row r="92" spans="1:1">
      <c r="A92" t="s">
        <v>743</v>
      </c>
    </row>
    <row r="94" spans="1:1">
      <c r="A94" t="s">
        <v>744</v>
      </c>
    </row>
    <row r="95" spans="1:1">
      <c r="A95" t="s">
        <v>678</v>
      </c>
    </row>
    <row r="96" spans="1:1">
      <c r="A96" t="s">
        <v>679</v>
      </c>
    </row>
    <row r="97" spans="1:1">
      <c r="A97" t="s">
        <v>745</v>
      </c>
    </row>
    <row r="98" spans="1:1">
      <c r="A98" t="s">
        <v>746</v>
      </c>
    </row>
    <row r="99" spans="1:1">
      <c r="A99" t="s">
        <v>747</v>
      </c>
    </row>
    <row r="100" spans="1:1">
      <c r="A100" t="s">
        <v>748</v>
      </c>
    </row>
    <row r="102" spans="1:1">
      <c r="A102" t="s">
        <v>749</v>
      </c>
    </row>
    <row r="104" spans="1:1">
      <c r="A104" t="s">
        <v>750</v>
      </c>
    </row>
    <row r="106" spans="1:1">
      <c r="A106" t="s">
        <v>751</v>
      </c>
    </row>
    <row r="108" spans="1:1">
      <c r="A108" t="s">
        <v>752</v>
      </c>
    </row>
    <row r="109" spans="1:1">
      <c r="A109" t="s">
        <v>710</v>
      </c>
    </row>
    <row r="110" spans="1:1">
      <c r="A110" t="s">
        <v>753</v>
      </c>
    </row>
    <row r="111" spans="1:1">
      <c r="A111" t="s">
        <v>754</v>
      </c>
    </row>
    <row r="112" spans="1:1">
      <c r="A112" t="s">
        <v>755</v>
      </c>
    </row>
    <row r="113" spans="1:1">
      <c r="A113" t="s">
        <v>756</v>
      </c>
    </row>
    <row r="114" spans="1:1">
      <c r="A114" t="s">
        <v>757</v>
      </c>
    </row>
    <row r="115" spans="1:1">
      <c r="A115" t="s">
        <v>758</v>
      </c>
    </row>
    <row r="116" spans="1:1">
      <c r="A116" t="s">
        <v>759</v>
      </c>
    </row>
    <row r="117" spans="1:1">
      <c r="A117" t="s">
        <v>760</v>
      </c>
    </row>
    <row r="119" spans="1:1">
      <c r="A119" t="s">
        <v>761</v>
      </c>
    </row>
    <row r="120" spans="1:1">
      <c r="A120" t="s">
        <v>762</v>
      </c>
    </row>
    <row r="121" spans="1:1">
      <c r="A121" t="s">
        <v>763</v>
      </c>
    </row>
    <row r="122" spans="1:1">
      <c r="A122" t="s">
        <v>764</v>
      </c>
    </row>
    <row r="124" spans="1:1">
      <c r="A124" t="s">
        <v>765</v>
      </c>
    </row>
    <row r="126" spans="1:1">
      <c r="A126" t="s">
        <v>766</v>
      </c>
    </row>
    <row r="128" spans="1:1">
      <c r="A128" t="s">
        <v>767</v>
      </c>
    </row>
    <row r="129" spans="1:1">
      <c r="A129" t="s">
        <v>710</v>
      </c>
    </row>
    <row r="130" spans="1:1">
      <c r="A130" t="s">
        <v>768</v>
      </c>
    </row>
    <row r="131" spans="1:1">
      <c r="A131" t="s">
        <v>769</v>
      </c>
    </row>
    <row r="132" spans="1:1">
      <c r="A132" t="s">
        <v>770</v>
      </c>
    </row>
    <row r="133" spans="1:1">
      <c r="A133" t="s">
        <v>771</v>
      </c>
    </row>
    <row r="134" spans="1:1">
      <c r="A134" t="s">
        <v>772</v>
      </c>
    </row>
    <row r="135" spans="1:1">
      <c r="A135" t="s">
        <v>773</v>
      </c>
    </row>
    <row r="136" spans="1:1">
      <c r="A136" t="s">
        <v>774</v>
      </c>
    </row>
    <row r="137" spans="1:1">
      <c r="A137" t="s">
        <v>775</v>
      </c>
    </row>
    <row r="138" spans="1:1">
      <c r="A138" t="s">
        <v>776</v>
      </c>
    </row>
    <row r="139" spans="1:1">
      <c r="A139" t="s">
        <v>777</v>
      </c>
    </row>
    <row r="141" spans="1:1">
      <c r="A141" t="s">
        <v>778</v>
      </c>
    </row>
    <row r="143" spans="1:1">
      <c r="A143" t="s">
        <v>779</v>
      </c>
    </row>
    <row r="145" spans="1:1">
      <c r="A145" t="s">
        <v>780</v>
      </c>
    </row>
    <row r="146" spans="1:1">
      <c r="A146" t="s">
        <v>781</v>
      </c>
    </row>
    <row r="147" spans="1:1">
      <c r="A147" t="s">
        <v>782</v>
      </c>
    </row>
    <row r="148" spans="1:1">
      <c r="A148" t="s">
        <v>783</v>
      </c>
    </row>
    <row r="149" spans="1:1">
      <c r="A149" t="s">
        <v>784</v>
      </c>
    </row>
    <row r="151" spans="1:1">
      <c r="A151" t="s">
        <v>785</v>
      </c>
    </row>
    <row r="152" spans="1:1">
      <c r="A152" t="s">
        <v>786</v>
      </c>
    </row>
    <row r="153" spans="1:1">
      <c r="A153" t="s">
        <v>787</v>
      </c>
    </row>
    <row r="154" spans="1:1">
      <c r="A154" t="s">
        <v>788</v>
      </c>
    </row>
    <row r="156" spans="1:1">
      <c r="A156" t="s">
        <v>789</v>
      </c>
    </row>
    <row r="158" spans="1:1">
      <c r="A158" t="s">
        <v>790</v>
      </c>
    </row>
    <row r="160" spans="1:1">
      <c r="A160" t="s">
        <v>791</v>
      </c>
    </row>
    <row r="161" spans="1:1">
      <c r="A161" t="s">
        <v>710</v>
      </c>
    </row>
    <row r="162" spans="1:1">
      <c r="A162" t="s">
        <v>792</v>
      </c>
    </row>
    <row r="163" spans="1:1">
      <c r="A163" t="s">
        <v>793</v>
      </c>
    </row>
    <row r="164" spans="1:1">
      <c r="A164" t="s">
        <v>794</v>
      </c>
    </row>
    <row r="165" spans="1:1">
      <c r="A165" t="s">
        <v>795</v>
      </c>
    </row>
    <row r="167" spans="1:1">
      <c r="A167" t="s">
        <v>796</v>
      </c>
    </row>
    <row r="168" spans="1:1">
      <c r="A168" t="s">
        <v>797</v>
      </c>
    </row>
    <row r="170" spans="1:1">
      <c r="A170" t="s">
        <v>798</v>
      </c>
    </row>
    <row r="172" spans="1:1">
      <c r="A172" t="s">
        <v>799</v>
      </c>
    </row>
    <row r="174" spans="1:1">
      <c r="A174" t="s">
        <v>800</v>
      </c>
    </row>
    <row r="175" spans="1:1">
      <c r="A175" t="s">
        <v>801</v>
      </c>
    </row>
    <row r="176" spans="1:1">
      <c r="A176" t="s">
        <v>802</v>
      </c>
    </row>
    <row r="177" spans="1:1">
      <c r="A177" t="s">
        <v>803</v>
      </c>
    </row>
    <row r="178" spans="1:1">
      <c r="A178" t="s">
        <v>804</v>
      </c>
    </row>
    <row r="180" spans="1:1">
      <c r="A180" t="s">
        <v>805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78</vt:i4>
      </vt:variant>
    </vt:vector>
  </HeadingPairs>
  <TitlesOfParts>
    <vt:vector size="94" baseType="lpstr">
      <vt:lpstr>Ringkasan</vt:lpstr>
      <vt:lpstr>Asumsi</vt:lpstr>
      <vt:lpstr>CAPEX</vt:lpstr>
      <vt:lpstr>OPEX</vt:lpstr>
      <vt:lpstr>Arus Kas</vt:lpstr>
      <vt:lpstr>Indikator</vt:lpstr>
      <vt:lpstr>Sensitivitas</vt:lpstr>
      <vt:lpstr>Monte Carlo</vt:lpstr>
      <vt:lpstr>Skala Set</vt:lpstr>
      <vt:lpstr>Armada</vt:lpstr>
      <vt:lpstr>Lokasi</vt:lpstr>
      <vt:lpstr>Pasar</vt:lpstr>
      <vt:lpstr>PESTLE</vt:lpstr>
      <vt:lpstr>Porter</vt:lpstr>
      <vt:lpstr>Sumber</vt:lpstr>
      <vt:lpstr>Gambar</vt:lpstr>
      <vt:lpstr>a_allow</vt:lpstr>
      <vt:lpstr>a_avail</vt:lpstr>
      <vt:lpstr>a_c_admin</vt:lpstr>
      <vt:lpstr>a_c_chp</vt:lpstr>
      <vt:lpstr>a_c_eng_om</vt:lpstr>
      <vt:lpstr>a_c_fab</vt:lpstr>
      <vt:lpstr>a_c_grid</vt:lpstr>
      <vt:lpstr>a_c_ins</vt:lpstr>
      <vt:lpstr>a_c_levy</vt:lpstr>
      <vt:lpstr>a_c_maint</vt:lpstr>
      <vt:lpstr>a_c_mem</vt:lpstr>
      <vt:lpstr>a_c_mrv</vt:lpstr>
      <vt:lpstr>a_c_naoh</vt:lpstr>
      <vt:lpstr>a_c_val</vt:lpstr>
      <vt:lpstr>a_cap_kW</vt:lpstr>
      <vt:lpstr>a_captive_h</vt:lpstr>
      <vt:lpstr>a_captive_kW</vt:lpstr>
      <vt:lpstr>a_carbon_years</vt:lpstr>
      <vt:lpstr>a_cer_ratio</vt:lpstr>
      <vt:lpstr>a_cont</vt:lpstr>
      <vt:lpstr>a_debt_frac</vt:lpstr>
      <vt:lpstr>a_dep_life</vt:lpstr>
      <vt:lpstr>a_dsra_m</vt:lpstr>
      <vt:lpstr>a_eng</vt:lpstr>
      <vt:lpstr>a_F_loc</vt:lpstr>
      <vt:lpstr>a_fee_debt</vt:lpstr>
      <vt:lpstr>a_fee_ffb</vt:lpstr>
      <vt:lpstr>a_fx</vt:lpstr>
      <vt:lpstr>a_infl</vt:lpstr>
      <vt:lpstr>a_lease</vt:lpstr>
      <vt:lpstr>a_loss_cf</vt:lpstr>
      <vt:lpstr>a_MCF_eff</vt:lpstr>
      <vt:lpstr>a_mem_repl</vt:lpstr>
      <vt:lpstr>a_n_op</vt:lpstr>
      <vt:lpstr>a_overhaul</vt:lpstr>
      <vt:lpstr>a_p_ac</vt:lpstr>
      <vt:lpstr>a_p_captive</vt:lpstr>
      <vt:lpstr>a_p_carbon</vt:lpstr>
      <vt:lpstr>a_p_poly</vt:lpstr>
      <vt:lpstr>a_pay_days</vt:lpstr>
      <vt:lpstr>a_r_debt</vt:lpstr>
      <vt:lpstr>a_r_eq</vt:lpstr>
      <vt:lpstr>a_ramp1</vt:lpstr>
      <vt:lpstr>a_rec_days</vt:lpstr>
      <vt:lpstr>a_staff</vt:lpstr>
      <vt:lpstr>a_tariff1</vt:lpstr>
      <vt:lpstr>a_tariff2</vt:lpstr>
      <vt:lpstr>a_tax</vt:lpstr>
      <vt:lpstr>a_tenor</vt:lpstr>
      <vt:lpstr>a_util</vt:lpstr>
      <vt:lpstr>a_vat</vt:lpstr>
      <vt:lpstr>a_year0</vt:lpstr>
      <vt:lpstr>ANN</vt:lpstr>
      <vt:lpstr>DEBT</vt:lpstr>
      <vt:lpstr>FCI26</vt:lpstr>
      <vt:lpstr>FCI</vt:lpstr>
      <vt:lpstr>IDC</vt:lpstr>
      <vt:lpstr>OPEX_F</vt:lpstr>
      <vt:lpstr>OPEX_V</vt:lpstr>
      <vt:lpstr>PEC</vt:lpstr>
      <vt:lpstr>t_ac</vt:lpstr>
      <vt:lpstr>t_area_mem</vt:lpstr>
      <vt:lpstr>t_B0</vt:lpstr>
      <vt:lpstr>t_base</vt:lpstr>
      <vt:lpstr>t_capf</vt:lpstr>
      <vt:lpstr>t_chp_kWe</vt:lpstr>
      <vt:lpstr>t_E_nom</vt:lpstr>
      <vt:lpstr>t_effCOD</vt:lpstr>
      <vt:lpstr>t_ER</vt:lpstr>
      <vt:lpstr>t_ffb</vt:lpstr>
      <vt:lpstr>t_GWP</vt:lpstr>
      <vt:lpstr>t_P_gross</vt:lpstr>
      <vt:lpstr>t_P_net</vt:lpstr>
      <vt:lpstr>t_plot_m2</vt:lpstr>
      <vt:lpstr>t_poly</vt:lpstr>
      <vt:lpstr>t_proj</vt:lpstr>
      <vt:lpstr>TANG</vt:lpstr>
      <vt:lpstr>WACC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2026-10-16T04:36:24Z</dcterms:created>
  <dcterms:modified xsi:type="dcterms:W3CDTF">2026-10-16T04:36:24Z</dcterms:modified>
</cp:coreProperties>
</file>