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ngkasan" sheetId="1" r:id="rId1"/>
    <sheet name="Asumsi" sheetId="2" r:id="rId2"/>
    <sheet name="CAPEX" sheetId="3" r:id="rId3"/>
    <sheet name="OPEX" sheetId="4" r:id="rId4"/>
    <sheet name="Arus Kas" sheetId="5" r:id="rId5"/>
    <sheet name="Indikator" sheetId="6" r:id="rId6"/>
    <sheet name="Sensitivitas" sheetId="7" r:id="rId7"/>
    <sheet name="Monte Carlo" sheetId="8" r:id="rId8"/>
    <sheet name="Skala Set" sheetId="9" r:id="rId9"/>
    <sheet name="Armada" sheetId="10" r:id="rId10"/>
    <sheet name="Lokasi" sheetId="11" r:id="rId11"/>
    <sheet name="Pasar" sheetId="12" r:id="rId12"/>
    <sheet name="Keputusan PKS" sheetId="13" r:id="rId13"/>
    <sheet name="Segmen" sheetId="14" r:id="rId14"/>
    <sheet name="Pesaing" sheetId="15" r:id="rId15"/>
    <sheet name="USP" sheetId="16" r:id="rId16"/>
    <sheet name="PESTLE" sheetId="17" r:id="rId17"/>
    <sheet name="Porter" sheetId="18" r:id="rId18"/>
    <sheet name="Sumber" sheetId="19" r:id="rId19"/>
    <sheet name="Gambar" sheetId="20" r:id="rId20"/>
  </sheets>
  <definedNames>
    <definedName name="a_allow">Asumsi!$B$47</definedName>
    <definedName name="a_avail">Asumsi!$B$7</definedName>
    <definedName name="a_buffer">Asumsi!$B$12</definedName>
    <definedName name="a_c_admin">Asumsi!$B$38</definedName>
    <definedName name="a_c_chp">Asumsi!$B$29</definedName>
    <definedName name="a_c_eng_om">Asumsi!$B$34</definedName>
    <definedName name="a_c_gfs">Asumsi!$B$28</definedName>
    <definedName name="a_c_grid">Asumsi!$B$32</definedName>
    <definedName name="a_c_ins">Asumsi!$B$36</definedName>
    <definedName name="a_c_levy">Asumsi!$B$25</definedName>
    <definedName name="a_c_maint">Asumsi!$B$35</definedName>
    <definedName name="a_c_mrv">Asumsi!$B$24</definedName>
    <definedName name="a_c_val">Asumsi!$B$23</definedName>
    <definedName name="a_cap_kW">Asumsi!$B$9</definedName>
    <definedName name="a_carbon_years">Asumsi!$B$22</definedName>
    <definedName name="a_cer_ratio">Asumsi!$B$20</definedName>
    <definedName name="a_cont">Asumsi!$B$30</definedName>
    <definedName name="a_debt_frac">Asumsi!$B$49</definedName>
    <definedName name="a_dep_life">Asumsi!$B$46</definedName>
    <definedName name="a_diesel_L_tffb">Asumsi!$B$10</definedName>
    <definedName name="a_dsra_m">Asumsi!$B$53</definedName>
    <definedName name="a_eng">Asumsi!$B$31</definedName>
    <definedName name="a_export_on">Asumsi!$B$11</definedName>
    <definedName name="a_F_loc">Asumsi!$B$16</definedName>
    <definedName name="a_fee_debt">Asumsi!$B$52</definedName>
    <definedName name="a_fee_ffb">Asumsi!$B$18</definedName>
    <definedName name="a_fx">Asumsi!$B$27</definedName>
    <definedName name="a_infl">Asumsi!$B$26</definedName>
    <definedName name="a_lease">Asumsi!$B$39</definedName>
    <definedName name="a_loss_cf">Asumsi!$B$48</definedName>
    <definedName name="a_MCF_eff">Asumsi!$B$21</definedName>
    <definedName name="a_n_op">Asumsi!$B$5</definedName>
    <definedName name="a_overhaul">Asumsi!$B$43</definedName>
    <definedName name="a_p_ac">Asumsi!$B$41</definedName>
    <definedName name="a_p_captive">Asumsi!$B$14</definedName>
    <definedName name="a_p_carbon">Asumsi!$B$19</definedName>
    <definedName name="a_p_naoh">Asumsi!$B$42</definedName>
    <definedName name="a_p_poly">Asumsi!$B$40</definedName>
    <definedName name="a_pay_days">Asumsi!$B$56</definedName>
    <definedName name="a_r_debt">Asumsi!$B$50</definedName>
    <definedName name="a_r_eq">Asumsi!$B$54</definedName>
    <definedName name="a_ramp1">Asumsi!$B$8</definedName>
    <definedName name="a_rec_days">Asumsi!$B$55</definedName>
    <definedName name="a_roof_repl">Asumsi!$B$44</definedName>
    <definedName name="a_sfc">Asumsi!$B$13</definedName>
    <definedName name="a_staff">Asumsi!$B$37</definedName>
    <definedName name="a_tariff1">Asumsi!$B$15</definedName>
    <definedName name="a_tariff2">Asumsi!$B$17</definedName>
    <definedName name="a_tax">Asumsi!$B$45</definedName>
    <definedName name="a_tenor">Asumsi!$B$51</definedName>
    <definedName name="a_util">Asumsi!$B$6</definedName>
    <definedName name="a_vat">Asumsi!$B$33</definedName>
    <definedName name="a_year0">Asumsi!$B$4</definedName>
    <definedName name="ANN">CAPEX!$F$39</definedName>
    <definedName name="DEBT">CAPEX!$F$38</definedName>
    <definedName name="FCI26">CAPEX!$F$33</definedName>
    <definedName name="FCI">CAPEX!$F$34</definedName>
    <definedName name="IDC">CAPEX!$F$37</definedName>
    <definedName name="K_af">'Keputusan PKS'!$B$59</definedName>
    <definedName name="K_cake">'Keputusan PKS'!$B$35</definedName>
    <definedName name="K_cap">'Keputusan PKS'!$B$33</definedName>
    <definedName name="K_capB">'Keputusan PKS'!$B$40</definedName>
    <definedName name="K_capC">'Keputusan PKS'!$B$42</definedName>
    <definedName name="K_cdsl">'Keputusan PKS'!$B$32</definedName>
    <definedName name="K_cnet">'Keputusan PKS'!$B$36</definedName>
    <definedName name="K_EB">'Keputusan PKS'!$B$39</definedName>
    <definedName name="K_EC">'Keputusan PKS'!$B$41</definedName>
    <definedName name="K_Edsl">'Keputusan PKS'!$B$31</definedName>
    <definedName name="K_effm3">'Keputusan PKS'!$B$29</definedName>
    <definedName name="K_Enet">'Keputusan PKS'!$B$30</definedName>
    <definedName name="K_ffb">'Keputusan PKS'!$B$27</definedName>
    <definedName name="K_land">'Keputusan PKS'!$B$34</definedName>
    <definedName name="K_pome">'Keputusan PKS'!$B$28</definedName>
    <definedName name="K_riskA">'Keputusan PKS'!$B$37</definedName>
    <definedName name="K_riskD">'Keputusan PKS'!$B$38</definedName>
    <definedName name="m_c_share">'Keputusan PKS'!$B$18</definedName>
    <definedName name="m_cake_val">'Keputusan PKS'!$B$17</definedName>
    <definedName name="m_capex_B">'Keputusan PKS'!$B$19</definedName>
    <definedName name="m_capex_C">'Keputusan PKS'!$B$20</definedName>
    <definedName name="m_closure_d">'Keputusan PKS'!$B$15</definedName>
    <definedName name="m_desl_B">'Keputusan PKS'!$B$24</definedName>
    <definedName name="m_desludge">'Keputusan PKS'!$B$8</definedName>
    <definedName name="m_genset_om">'Keputusan PKS'!$B$7</definedName>
    <definedName name="m_la_cost">'Keputusan PKS'!$B$10</definedName>
    <definedName name="m_land_margin">'Keputusan PKS'!$B$16</definedName>
    <definedName name="m_margin">'Keputusan PKS'!$B$12</definedName>
    <definedName name="m_monitor">'Keputusan PKS'!$B$11</definedName>
    <definedName name="m_om_BC">'Keputusan PKS'!$B$21</definedName>
    <definedName name="m_p_diesel">'Keputusan PKS'!$B$6</definedName>
    <definedName name="m_p_enf_A">'Keputusan PKS'!$B$13</definedName>
    <definedName name="m_p_enf_D">'Keputusan PKS'!$B$14</definedName>
    <definedName name="m_perf_B">'Keputusan PKS'!$B$22</definedName>
    <definedName name="m_perf_C">'Keputusan PKS'!$B$23</definedName>
    <definedName name="m_pond_om">'Keputusan PKS'!$B$9</definedName>
    <definedName name="m_r_mill">'Keputusan PKS'!$B$5</definedName>
    <definedName name="mt_x">Asumsi!$A$97:$A$127</definedName>
    <definedName name="mt_y1">Asumsi!$B$97:$B$127</definedName>
    <definedName name="mt_y2">Asumsi!$C$97:$C$127</definedName>
    <definedName name="OPEX_F">OPEX!$B$12</definedName>
    <definedName name="OPEX_V">OPEX!$B$13</definedName>
    <definedName name="PEC">CAPEX!$F$32</definedName>
    <definedName name="t_A_lam">Asumsi!$B$78</definedName>
    <definedName name="t_ac">Asumsi!$B$67</definedName>
    <definedName name="t_B0">Asumsi!$B$72</definedName>
    <definedName name="t_base">Asumsi!$B$69</definedName>
    <definedName name="t_cake">Asumsi!$B$83</definedName>
    <definedName name="t_capf">Asumsi!$B$90</definedName>
    <definedName name="t_chp_kWe">Asumsi!$B$75</definedName>
    <definedName name="t_days">Asumsi!$B$65</definedName>
    <definedName name="t_E_year">Asumsi!$B$61</definedName>
    <definedName name="t_effCOD">Asumsi!$B$71</definedName>
    <definedName name="t_effratio">Asumsi!$B$82</definedName>
    <definedName name="t_Eg_year">Asumsi!$B$62</definedName>
    <definedName name="t_ER">Asumsi!$B$85</definedName>
    <definedName name="t_ffb45">Asumsi!$B$129</definedName>
    <definedName name="t_ffb">Asumsi!$B$64</definedName>
    <definedName name="t_gh_m3">Asumsi!$B$79</definedName>
    <definedName name="t_GWP">Asumsi!$B$73</definedName>
    <definedName name="t_land_m2">Asumsi!$B$84</definedName>
    <definedName name="t_load">Asumsi!$B$130</definedName>
    <definedName name="t_match">Asumsi!$B$133</definedName>
    <definedName name="t_MCFp">Asumsi!$B$74</definedName>
    <definedName name="t_mpos">Asumsi!$B$132</definedName>
    <definedName name="t_n_vessel">Asumsi!$B$77</definedName>
    <definedName name="t_naoh">Asumsi!$B$68</definedName>
    <definedName name="t_P_gross">Asumsi!$B$59</definedName>
    <definedName name="t_P_net">Asumsi!$B$60</definedName>
    <definedName name="t_plot_m2">Asumsi!$B$80</definedName>
    <definedName name="t_poly">Asumsi!$B$66</definedName>
    <definedName name="t_pome_tffb">Asumsi!$B$81</definedName>
    <definedName name="t_proj">Asumsi!$B$70</definedName>
    <definedName name="t_up">Asumsi!$B$63</definedName>
    <definedName name="t_V_tank">Asumsi!$B$76</definedName>
    <definedName name="t_xc">Asumsi!$B$131</definedName>
    <definedName name="TANG">CAPEX!$F$35</definedName>
    <definedName name="WACC">Asumsi!$B$92</definedName>
  </definedNames>
  <calcPr calcId="124519" fullCalcOnLoad="1"/>
</workbook>
</file>

<file path=xl/sharedStrings.xml><?xml version="1.0" encoding="utf-8"?>
<sst xmlns="http://schemas.openxmlformats.org/spreadsheetml/2006/main" count="2508" uniqueCount="1739">
  <si>
    <t>ASUMSI MODEL v3 (sel kuning = input; seluruh model ikut berubah). Sumber [R1]-[R4] = research/*.md</t>
  </si>
  <si>
    <t>Nama</t>
  </si>
  <si>
    <t>Nilai</t>
  </si>
  <si>
    <t>Satuan</t>
  </si>
  <si>
    <t>Rendah / Tinggi</t>
  </si>
  <si>
    <t>Sumber / catatan</t>
  </si>
  <si>
    <t>year0</t>
  </si>
  <si>
    <t>tahun</t>
  </si>
  <si>
    <t>Tahun konstruksi (panel GFS + skid dibuat 6 bln, pasang 4 bln); operasi komersial 2028</t>
  </si>
  <si>
    <t>n_op</t>
  </si>
  <si>
    <t>Umur operasi kontrak BOO</t>
  </si>
  <si>
    <t>util</t>
  </si>
  <si>
    <t>-</t>
  </si>
  <si>
    <t>0.6 / 0.9</t>
  </si>
  <si>
    <t>Throughput TBS rata-rata tahunan / (45 t/jam x 20 jam x 300 hari); kapasitas PKS ~2x produksi CPO (Trase) [R2/R3]</t>
  </si>
  <si>
    <t>avail</t>
  </si>
  <si>
    <t>0.88 / 0.97</t>
  </si>
  <si>
    <t>Ketersediaan pembangkit (2 genset n-1, penampung gas 2 jam); 90-97% [R4]</t>
  </si>
  <si>
    <t>ramp1</t>
  </si>
  <si>
    <t>0.55 / 0.85</t>
  </si>
  <si>
    <t>Faktor produksi tahun operasi 1: start-up termofilik 2-4 bulan [R4]</t>
  </si>
  <si>
    <t>cap_kW</t>
  </si>
  <si>
    <t>kW</t>
  </si>
  <si>
    <t>Kapasitas kontrak ekspor PLN di titik serah (tier Perpres 112 &lt;= 1 MW)</t>
  </si>
  <si>
    <t>diesel_L_tffb</t>
  </si>
  <si>
    <t>L/t TBS</t>
  </si>
  <si>
    <t>1.0 / 3.0</t>
  </si>
  <si>
    <t>Solar yang DAPAT DIGANTIKAN biogas (PKS + emplasmen + bengkel/KCP). Turunan PalmCo (&gt;2,6 juta L, 2023-2025, 2 PKS; 293.000 m3 POME/th) = 1,9 L/t [R6, keyakinan RENDAH]; DSNG 4,8-5,5 L/t (lokasi terpencil); solar PKS saja 0,4-1,5. Wajib diganti log solar 12 bulan PKS mitra (gerbang G0)</t>
  </si>
  <si>
    <t>export_on</t>
  </si>
  <si>
    <t>0/1</t>
  </si>
  <si>
    <t>0 / 1</t>
  </si>
  <si>
    <t>Ekspor ke PLN tersedia (jaringan 20 kV &lt;= 2 km). 0 = PKS terisolasi: kelebihan listrik tidak terjual</t>
  </si>
  <si>
    <t>buffer</t>
  </si>
  <si>
    <t>PM-12: tangki ekualisasi POME 24 jam (600 m3 GFS) agar reaktor diumpan pada hari Minggu; menaikkan kecocokan per jam (process/hourly_match.py). Dalam kasus investasi; belum ada di gambar rekayasa acuan (ditambahkan pada FEED)</t>
  </si>
  <si>
    <t>sfc</t>
  </si>
  <si>
    <t>L/kWh</t>
  </si>
  <si>
    <t>0.28 / 0.42</t>
  </si>
  <si>
    <t>Konsumsi spesifik genset diesel [R2]</t>
  </si>
  <si>
    <t>p_captive</t>
  </si>
  <si>
    <t>USD/kWh</t>
  </si>
  <si>
    <t>0.15 / 0.26</t>
  </si>
  <si>
    <t>Tarif jasa energi ke PKS ~45% di bawah biaya listrik diesel PKS (solar Rp 21.000/L terkirim: USD 0,37/kWh) [R2/R6]. Struktur kontrak: PKS pemegang IUPTLS, SPV pemilik-operator dibayar sewa kapasitas + tarif jasa, bukan jual kWh (perlu konfirmasi Ditjen Gatrik)</t>
  </si>
  <si>
    <t>tariff1</t>
  </si>
  <si>
    <t>USc/kWh</t>
  </si>
  <si>
    <t>7.44 / 10.18</t>
  </si>
  <si>
    <t>Perpres 112/2022 PLTBg kelas 1-3 MW (kapasitas terpasang 1,6 MWe), th 1-10: 9,81 (media) / 9,94 (Lampiran) / 9,29 (sosialisasi ESDM) [R1/R2/R6, keyakinan sedang]. Skenario buruk: excess power 7,44</t>
  </si>
  <si>
    <t>F_loc</t>
  </si>
  <si>
    <t>1.0 / 1.2</t>
  </si>
  <si>
    <t>Faktor lokasi F TIDAK diasumsikan (sumber bertentangan: LPEM/R1 menyatakan tidak berlaku untuk biogas; tabel Undip memakai x F) [R6]; peluang 1,10 hanya di sisi atas</t>
  </si>
  <si>
    <t>tariff2</t>
  </si>
  <si>
    <t>4.46 / 6.11</t>
  </si>
  <si>
    <t>Perpres 112/2022 PLTBg kelas 1-3 MW, th 11 dst (tanpa F) [R1/R2/R6]</t>
  </si>
  <si>
    <t>fee_ffb</t>
  </si>
  <si>
    <t>USD/t TBS</t>
  </si>
  <si>
    <t>0.75 / 1.75</t>
  </si>
  <si>
    <t>Jasa pengolahan POME: dipilih di dalam jendela kesepakatan (fin_mill.py: di atas fee minimum NPV=0 dan DSCR 1,30; di bawah fee maksimum PKS)</t>
  </si>
  <si>
    <t>p_carbon</t>
  </si>
  <si>
    <t>USD/tCO2e</t>
  </si>
  <si>
    <t>3.0 / 8.3</t>
  </si>
  <si>
    <t>Kredit penghindaran metana 2025 ~USD 5 (puncak 8,3 2024); IDXCarbon ~3,6 [R1]</t>
  </si>
  <si>
    <t>cer_ratio</t>
  </si>
  <si>
    <t>0.85 / 1.0</t>
  </si>
  <si>
    <t>Rasio penerbitan setelah UF 0,89 di ER (kebocoran, data hilang)</t>
  </si>
  <si>
    <t>MCF_eff</t>
  </si>
  <si>
    <t>0.2 / 0.8</t>
  </si>
  <si>
    <t>MCF kolam polishing penerima efluen (fakultatif/aerobik) [IPCC 0,2-0,8]</t>
  </si>
  <si>
    <t>carbon_years</t>
  </si>
  <si>
    <t>Periode kredit tetap 10 th (Verra/GS)</t>
  </si>
  <si>
    <t>c_val</t>
  </si>
  <si>
    <t>USD</t>
  </si>
  <si>
    <t>20000.0 / 60000.0</t>
  </si>
  <si>
    <t>PDD + validasi + registrasi Verra USD 3.750 (sekali, th operasi 1) [R1]</t>
  </si>
  <si>
    <t>c_mrv</t>
  </si>
  <si>
    <t>USD/th</t>
  </si>
  <si>
    <t>8000.0 / 25000.0</t>
  </si>
  <si>
    <t>Pemantauan + verifikasi VVB ~USD 50k/10 th + staf MRV [R1]</t>
  </si>
  <si>
    <t>c_levy</t>
  </si>
  <si>
    <t>USD/t</t>
  </si>
  <si>
    <t>Pungutan penerbitan Verra [R1]</t>
  </si>
  <si>
    <t>infl</t>
  </si>
  <si>
    <t>/th</t>
  </si>
  <si>
    <t>0.015 / 0.035</t>
  </si>
  <si>
    <t>Eskalasi biaya &amp; harga dalam USD</t>
  </si>
  <si>
    <t>fx</t>
  </si>
  <si>
    <t>IDR/USD</t>
  </si>
  <si>
    <t>17500.0 / 18500.0</t>
  </si>
  <si>
    <t>Kurs referensi BI 15 Okt 2026 [R2]</t>
  </si>
  <si>
    <t>c_gfs</t>
  </si>
  <si>
    <t>USD/m3</t>
  </si>
  <si>
    <t>150.0 / 300.0</t>
  </si>
  <si>
    <t>Tangki GFS dibaut terpasang (panel, atap membran ganda, insulasi, internal jet). TIDAK ADA harga vendor publik (R6: placeholder 150, rentang 100-250); 200 = asumsi tim, wajib kuotasi CST/ESP/Center Enamel sebelum FID</t>
  </si>
  <si>
    <t>c_chp</t>
  </si>
  <si>
    <t>USD/kWe</t>
  </si>
  <si>
    <t>450.0 / 900.0</t>
  </si>
  <si>
    <t>Genset biogas kontainer, termasuk gas train dan instalasi; selaras efisiensi listrik 39,3% di neraca proses (mesin kelas Eropa; dealer mesin saja USD 150-360/kW, belum ada kuotasi) [R6]</t>
  </si>
  <si>
    <t>cont</t>
  </si>
  <si>
    <t>0.1 / 0.3</t>
  </si>
  <si>
    <t>Kontingensi kelas estimasi 4 (AACE 18R-97; akurasi -20%/+40%), produk perdana termofilik; audit mensyaratkan 20-30%</t>
  </si>
  <si>
    <t>eng</t>
  </si>
  <si>
    <t>0.05 / 0.12</t>
  </si>
  <si>
    <t>Rekayasa &amp; manajemen proyek (desain berulang)</t>
  </si>
  <si>
    <t>c_grid</t>
  </si>
  <si>
    <t>80000.0 / 250000.0</t>
  </si>
  <si>
    <t>Switchgear 20 kV + meter transaksi + jaringan &lt;= 2 km (USD 28-42k/km) [R3]</t>
  </si>
  <si>
    <t>vat</t>
  </si>
  <si>
    <t>PPN efektif atas CAPEX (restitusi th operasi 2)</t>
  </si>
  <si>
    <t>c_eng_om</t>
  </si>
  <si>
    <t>USD/kWh-kotor</t>
  </si>
  <si>
    <t>0.012 / 0.025</t>
  </si>
  <si>
    <t>O&amp;M genset kontrak (tanpa overhaul) 0,012-0,025 [R4]</t>
  </si>
  <si>
    <t>c_maint</t>
  </si>
  <si>
    <t>-/th x PEC non-genset</t>
  </si>
  <si>
    <t>0.015 / 0.03</t>
  </si>
  <si>
    <t>Perawatan peralatan proses</t>
  </si>
  <si>
    <t>c_ins</t>
  </si>
  <si>
    <t>-/th x FCI</t>
  </si>
  <si>
    <t>Asuransi all-risk</t>
  </si>
  <si>
    <t>staff</t>
  </si>
  <si>
    <t>70000.0 / 100000.0</t>
  </si>
  <si>
    <t>10 orang: manajer, lab/K3, 8 operator (4 regu x 2) - 14 bln gaji + BPJS</t>
  </si>
  <si>
    <t>c_admin</t>
  </si>
  <si>
    <t>Administrasi SPV, SCADA jarak jauh, audit</t>
  </si>
  <si>
    <t>lease</t>
  </si>
  <si>
    <t>USD/m2/th</t>
  </si>
  <si>
    <t>Sewa lahan plot di PKS (dari GA 3D)</t>
  </si>
  <si>
    <t>p_poly</t>
  </si>
  <si>
    <t>Polimer kationik (dosis 8 kg/t DS [R4])</t>
  </si>
  <si>
    <t>p_ac</t>
  </si>
  <si>
    <t>Karbon aktif impregnasi KI (penjaga)</t>
  </si>
  <si>
    <t>p_naoh</t>
  </si>
  <si>
    <t>NaOH 100% (dosis P95 dari MC proses)</t>
  </si>
  <si>
    <t>overhaul</t>
  </si>
  <si>
    <t>120.0 / 220.0</t>
  </si>
  <si>
    <t>Overhaul besar genset th operasi 8 &amp; 16 (60.000 jam)</t>
  </si>
  <si>
    <t>roof_repl</t>
  </si>
  <si>
    <t>USD/tangki</t>
  </si>
  <si>
    <t>Ganti atap membran ganda tangki GFS th operasi 12</t>
  </si>
  <si>
    <t>tax</t>
  </si>
  <si>
    <t>PPh badan</t>
  </si>
  <si>
    <t>dep_life</t>
  </si>
  <si>
    <t>Penyusutan dipercepat PP 78/2019 (1/2 umur kelompok 3)</t>
  </si>
  <si>
    <t>allow</t>
  </si>
  <si>
    <t>Tax allowance PP 78/2019: 30% aset berwujud, 5%/th x 6 th</t>
  </si>
  <si>
    <t>loss_cf</t>
  </si>
  <si>
    <t>Kompensasi rugi fiskal PP 78/2019 (maks 10 th)</t>
  </si>
  <si>
    <t>debt_frac</t>
  </si>
  <si>
    <t>0.5 / 0.65</t>
  </si>
  <si>
    <t>Porsi utang proyek, di-sizing pada DSCR minimum 1,30 (60% memberi 1,27)</t>
  </si>
  <si>
    <t>r_debt</t>
  </si>
  <si>
    <t>0.065 / 0.1</t>
  </si>
  <si>
    <t>Bunga pinjaman hijau USD (utang iklim Indonesia 9,1-11% IDR [R2])</t>
  </si>
  <si>
    <t>tenor</t>
  </si>
  <si>
    <t>Tenor (th operasi 1 bunga saja, anuitas th 2-10)</t>
  </si>
  <si>
    <t>fee_debt</t>
  </si>
  <si>
    <t>Biaya upfront pinjaman</t>
  </si>
  <si>
    <t>dsra_m</t>
  </si>
  <si>
    <t>bulan</t>
  </si>
  <si>
    <t>Rekening cadangan layanan utang (DSRA)</t>
  </si>
  <si>
    <t>r_eq</t>
  </si>
  <si>
    <t>Biaya ekuitas (iklim Indonesia 14,7-18% [R2])</t>
  </si>
  <si>
    <t>rec_days</t>
  </si>
  <si>
    <t>hari</t>
  </si>
  <si>
    <t>Piutang PLN/PKS</t>
  </si>
  <si>
    <t>pay_days</t>
  </si>
  <si>
    <t>Utang usaha</t>
  </si>
  <si>
    <t>DATA TEKNIS &amp; LOKASI (dihitung dari results.json, ga.json, site.json - bukan input)</t>
  </si>
  <si>
    <t>P_gross</t>
  </si>
  <si>
    <t>kWe</t>
  </si>
  <si>
    <t>Daya kotor genset pada hari nameplate</t>
  </si>
  <si>
    <t>P_net</t>
  </si>
  <si>
    <t>Daya neto pada hari nameplate</t>
  </si>
  <si>
    <t>E_year</t>
  </si>
  <si>
    <t>GWh/th</t>
  </si>
  <si>
    <t>Energi neto tahunan, simulasi 365 hari proses (util proses, Minggu libur, 14 hari henti)</t>
  </si>
  <si>
    <t>Eg_year</t>
  </si>
  <si>
    <t>Energi kotor tahunan, simulasi yang sama</t>
  </si>
  <si>
    <t>up</t>
  </si>
  <si>
    <t>Util pada simulasi tahunan proses</t>
  </si>
  <si>
    <t>ffb</t>
  </si>
  <si>
    <t>t TBS/th</t>
  </si>
  <si>
    <t>45 t/jam x 20 jam x 300 hari (dikali util)</t>
  </si>
  <si>
    <t>days</t>
  </si>
  <si>
    <t>hari/th</t>
  </si>
  <si>
    <t>Hari olah</t>
  </si>
  <si>
    <t>poly</t>
  </si>
  <si>
    <t>kg/t TBS</t>
  </si>
  <si>
    <t>Polimer (neraca massa, 8 kg/t DS)</t>
  </si>
  <si>
    <t>ac</t>
  </si>
  <si>
    <t>Karbon aktif penjaga (neraca massa)</t>
  </si>
  <si>
    <t>naoh</t>
  </si>
  <si>
    <t>kg/hari</t>
  </si>
  <si>
    <t>NaOH P95 (MC proses)</t>
  </si>
  <si>
    <t>base</t>
  </si>
  <si>
    <t>tCO2e/th</t>
  </si>
  <si>
    <t>Baseline kolam terbuka (AMS-III.H, UF 0,89) pada util proses</t>
  </si>
  <si>
    <t>proj</t>
  </si>
  <si>
    <t>Emisi proyek (bocor, CH4 terlarut, slip, flare, efluen MCF proses)</t>
  </si>
  <si>
    <t>effCOD</t>
  </si>
  <si>
    <t>t COD/th</t>
  </si>
  <si>
    <t>COD terurai efluen ke kolam polishing pada util 1,0</t>
  </si>
  <si>
    <t>B0</t>
  </si>
  <si>
    <t>kg CH4/kg COD</t>
  </si>
  <si>
    <t>IPCC</t>
  </si>
  <si>
    <t>GWP</t>
  </si>
  <si>
    <t>GWP CH4 (AR5)</t>
  </si>
  <si>
    <t>MCFp</t>
  </si>
  <si>
    <t>MCF efluen yang dipakai di results.json</t>
  </si>
  <si>
    <t>chp_kWe</t>
  </si>
  <si>
    <t>Genset terpasang</t>
  </si>
  <si>
    <t>V_tank</t>
  </si>
  <si>
    <t>m3</t>
  </si>
  <si>
    <t>Volume cair 1 tangki GFS</t>
  </si>
  <si>
    <t>n_vessel</t>
  </si>
  <si>
    <t>tangki</t>
  </si>
  <si>
    <t>Jumlah tangki reaktor</t>
  </si>
  <si>
    <t>A_lam</t>
  </si>
  <si>
    <t>m2</t>
  </si>
  <si>
    <t>Luas proyeksi settler lamella</t>
  </si>
  <si>
    <t>gh_m3</t>
  </si>
  <si>
    <t>Penampung gas</t>
  </si>
  <si>
    <t>plot_m2</t>
  </si>
  <si>
    <t>Luas plot</t>
  </si>
  <si>
    <t>pome_tffb</t>
  </si>
  <si>
    <t>m3/t TBS</t>
  </si>
  <si>
    <t>POME per t TBS</t>
  </si>
  <si>
    <t>effratio</t>
  </si>
  <si>
    <t>Efluen / POME (m3/m3)</t>
  </si>
  <si>
    <t>cake</t>
  </si>
  <si>
    <t>Kue lumpur 20% DS</t>
  </si>
  <si>
    <t>land_m2</t>
  </si>
  <si>
    <t>Kolam anaerobik dibebaskan (site.json)</t>
  </si>
  <si>
    <t>ER</t>
  </si>
  <si>
    <t>Pengurangan emisi neto tCO2e/th (baseline - proyek - efluen ke kolam polishing pada MCF_eff)</t>
  </si>
  <si>
    <t>Profil musiman (faktor bulan)</t>
  </si>
  <si>
    <t>Daya neto bulan (kW)</t>
  </si>
  <si>
    <t>Terekspor &lt;= kontrak (kW)</t>
  </si>
  <si>
    <t>capf</t>
  </si>
  <si>
    <t>Fraksi energi yang dapat diekspor di bawah kapasitas kontrak PLN</t>
  </si>
  <si>
    <t>WACC</t>
  </si>
  <si>
    <t>KECOCOKAN PER JAM beban solar PKS vs keluaran set (process/hourly_match.py)</t>
  </si>
  <si>
    <t>Solar PKS dibakar hanya di jam PKS tidak mengolah (4.260 jam/th pada util 0,75); set menggantikan min(daya neto harian, beban). Kolom y2 = dengan tangki ekualisasi 24 jam (opsi PM-12).</t>
  </si>
  <si>
    <t>Beban rata (kW)</t>
  </si>
  <si>
    <t>match tanpa tangki</t>
  </si>
  <si>
    <t>match dengan tangki</t>
  </si>
  <si>
    <t>ffb45</t>
  </si>
  <si>
    <t>TBS/th nameplate set acuan 45 t/jam (skala profil harian)</t>
  </si>
  <si>
    <t>load_kW</t>
  </si>
  <si>
    <t>Beban solar rata-rata pada jam tidak olah, dinormalkan ke set 45 t/jam (kW)</t>
  </si>
  <si>
    <t>xc</t>
  </si>
  <si>
    <t>mpos</t>
  </si>
  <si>
    <t>match</t>
  </si>
  <si>
    <t>Fraksi beban solar yang dapat dilayani set per jam (interpolasi tabel di atas)</t>
  </si>
  <si>
    <t>CAPEX 1 set standar 45 t TBS/jam (USD 2026; dieskalasi ke tahun konstruksi)</t>
  </si>
  <si>
    <t>Kelompok</t>
  </si>
  <si>
    <t>Item</t>
  </si>
  <si>
    <t>Jumlah</t>
  </si>
  <si>
    <t>Harga satuan USD</t>
  </si>
  <si>
    <t>Total USD</t>
  </si>
  <si>
    <t>Dasar</t>
  </si>
  <si>
    <t>PEC</t>
  </si>
  <si>
    <t>Reaktor kontak termofilik: tangki GFS dibaut 980 m³ (atap membran ganda, insulasi, jet)</t>
  </si>
  <si>
    <t>m³</t>
  </si>
  <si>
    <t>Biaya per m³ terpasang [ASUMSI, perlu penawaran]</t>
  </si>
  <si>
    <t>TK-101 umpan + TK-301 efluen (tangki GFS kecil)</t>
  </si>
  <si>
    <t>Tangki kecil +30%/m³</t>
  </si>
  <si>
    <t>TK-102 tangki ekualisasi POME 24 jam (GFS 600 m³, opsi PM-12)</t>
  </si>
  <si>
    <t>PM-1 skid praolah (saringan, ruang pasir + hidrosiklon 85%, PHE)</t>
  </si>
  <si>
    <t>lot</t>
  </si>
  <si>
    <t>[ASUMSI]</t>
  </si>
  <si>
    <t>PM-4 skid kontak: degasser vakum + settler lamella 108 m² + pompa resirkulasi</t>
  </si>
  <si>
    <t>USD 120k + USD 400/m² proyeksi [ASUMSI]</t>
  </si>
  <si>
    <t>PM-5 skid dosing NaOH + pompa umpan</t>
  </si>
  <si>
    <t>PM-6 BTF + chiller + blower ATEX + karbon penjaga + analis</t>
  </si>
  <si>
    <t>PM-7 penampung gas membran ganda 1315 m³ + flare tertutup</t>
  </si>
  <si>
    <t>USD 90/m³ + flare USD 50k</t>
  </si>
  <si>
    <t>PM-8 genset biogas kontainer 1600 kWe</t>
  </si>
  <si>
    <t>Riset harga genset</t>
  </si>
  <si>
    <t>PM-9 pemulih panas + menara pendingin</t>
  </si>
  <si>
    <t>PM-10 screw press + skid lumpur</t>
  </si>
  <si>
    <t>Pipe rack + perpipaan antar modul</t>
  </si>
  <si>
    <t>Model 3D</t>
  </si>
  <si>
    <t>Listrik (trafo 1,25 MVA 0,4/20 kV, switchgear, kabel)</t>
  </si>
  <si>
    <t>Instrumentasi, PLC/SCADA jarak jauh</t>
  </si>
  <si>
    <t>LANGSUNG</t>
  </si>
  <si>
    <t>Sipil: ring beam 4 tangki + pad skid + jalan/drainase</t>
  </si>
  <si>
    <t>USD 25k/ring beam + USD 120k [ASUMSI]</t>
  </si>
  <si>
    <t>Transportasi kontainer/skid -&gt; Sumatera (23 muatan)</t>
  </si>
  <si>
    <t>muatan</t>
  </si>
  <si>
    <t>Kontainer 40 ft + truk</t>
  </si>
  <si>
    <t>Ereksi tangki GFS (3 minggu/tangki), pasang skid, komisioning</t>
  </si>
  <si>
    <t>Lokasi: POME 85 °C DN150 (fat pit -&gt; PM-1)</t>
  </si>
  <si>
    <t>m</t>
  </si>
  <si>
    <t>Panjang dari model 3D lokasi (site.json)</t>
  </si>
  <si>
    <t>Lokasi: Efluen settler DN150 HDPE (TK-301 -&gt; kolam fakultatif)</t>
  </si>
  <si>
    <t>Lokasi: Bypass darurat DN150 (TK-101 -&gt; kolam pendingin)</t>
  </si>
  <si>
    <t>Lokasi: Saluran udara 20 kV di lokasi (gardu -&gt; jaringan PLN)</t>
  </si>
  <si>
    <t>Lokasi: Saluran 20 kV ke rumah mesin PKS (+ trafo 20/0,4 kV di PKS)</t>
  </si>
  <si>
    <t>Interkoneksi PLN: switchgear 20 kV, meter transaksi, jaringan &lt;= 2 km</t>
  </si>
  <si>
    <t>[R3] USD 28-42k/km</t>
  </si>
  <si>
    <t>TAK LANGSUNG</t>
  </si>
  <si>
    <t>Rekayasa &amp; manajemen proyek</t>
  </si>
  <si>
    <t>x PEC</t>
  </si>
  <si>
    <t>Desain standar berulang</t>
  </si>
  <si>
    <t>Perizinan (UKL-UPL, Persetujuan Teknis, PPA, SLO, IUPTL)</t>
  </si>
  <si>
    <t>Start-up: inokulum termofilik, bahan kimia, pelatihan</t>
  </si>
  <si>
    <t>KONTINGENSI</t>
  </si>
  <si>
    <t>Kontingensi</t>
  </si>
  <si>
    <t>x subtotal</t>
  </si>
  <si>
    <t>Produk standar</t>
  </si>
  <si>
    <t>PEC (peralatan terbeli)</t>
  </si>
  <si>
    <t>FCI 2026</t>
  </si>
  <si>
    <t>FCI tahun konstruksi (eskalasi)</t>
  </si>
  <si>
    <t>Aset berwujud (basis tax allowance)</t>
  </si>
  <si>
    <t>USD per kWe kotor (2026)</t>
  </si>
  <si>
    <t>Bunga selama konstruksi (IDC)</t>
  </si>
  <si>
    <t>Pinjaman (termasuk IDC)</t>
  </si>
  <si>
    <t>Anuitas th 2-10</t>
  </si>
  <si>
    <t>Pembanding [R3]: kolam tertutup 1,8-3,7 juta USD/MWe; tangki CSTR 1,8-3,5 (TSE 2 MW USD 3,6 juta, 2025); biometana ~USD 5,3 juta/PKS.</t>
  </si>
  <si>
    <t>OPEX tahun penuh (USD 2026, pada beban util x avail) - dieskalasi di Arus Kas</t>
  </si>
  <si>
    <t>Komponen</t>
  </si>
  <si>
    <t>Jenis</t>
  </si>
  <si>
    <t>Rumus</t>
  </si>
  <si>
    <t>Staf operasi (10 orang)</t>
  </si>
  <si>
    <t>a_staff</t>
  </si>
  <si>
    <t>F</t>
  </si>
  <si>
    <t>O&amp;M genset (kontrak)</t>
  </si>
  <si>
    <t>a_c_eng_om*t_Eg_year*a_util/t_up*a_avail*1000000</t>
  </si>
  <si>
    <t>V</t>
  </si>
  <si>
    <t>a_c_maint*(PEC-a_c_chp*t_chp_kWe)</t>
  </si>
  <si>
    <t>Bahan kimia (polimer, karbon aktif, NaOH)</t>
  </si>
  <si>
    <t>t_ffb*a_util*(t_poly*a_p_poly+t_ac*a_p_ac)/1000+t_naoh*t_days/1000*a_p_naoh</t>
  </si>
  <si>
    <t>Asuransi</t>
  </si>
  <si>
    <t>a_c_ins*FCI26</t>
  </si>
  <si>
    <t>Administrasi &amp; SCADA jarak jauh</t>
  </si>
  <si>
    <t>a_c_admin</t>
  </si>
  <si>
    <t>Sewa lahan plot di PKS</t>
  </si>
  <si>
    <t>a_lease*t_plot_m2</t>
  </si>
  <si>
    <t>Biaya tetap (F)</t>
  </si>
  <si>
    <t>Biaya variabel (V)</t>
  </si>
  <si>
    <t>Biaya karbon (MRV tahunan + validasi sekali) dan sustaining capex dihitung per tahun di Arus Kas.</t>
  </si>
  <si>
    <t>MODEL ARUS KAS PROYEK v3 (USD nominal; negatif = keluar). 1 set 45 t TBS/jam, BOO, segmen S3</t>
  </si>
  <si>
    <t>Tahun</t>
  </si>
  <si>
    <t>Tahun operasi ke-</t>
  </si>
  <si>
    <t>Tahun kalender</t>
  </si>
  <si>
    <t>Faktor operasi (ramp-up)</t>
  </si>
  <si>
    <t>Listrik neto (GWh)</t>
  </si>
  <si>
    <t xml:space="preserve">  ke PKS menggantikan solar (GWh)</t>
  </si>
  <si>
    <t xml:space="preserve">  ekspor ke PLN (GWh)</t>
  </si>
  <si>
    <t>Tarif PLN (USD/kWh)</t>
  </si>
  <si>
    <t>Harga listrik ke PKS (USD/kWh)</t>
  </si>
  <si>
    <t>Jasa pengolahan POME &amp; kepatuhan</t>
  </si>
  <si>
    <t>Penjualan listrik ke PKS</t>
  </si>
  <si>
    <t>Penjualan listrik ke PLN</t>
  </si>
  <si>
    <t>Vintage kredit karbon (tCO2e)</t>
  </si>
  <si>
    <t>Kredit karbon terjual (lag 1 th, neto pungutan)</t>
  </si>
  <si>
    <t>TOTAL PENDAPATAN</t>
  </si>
  <si>
    <t>OPEX operasi (dieskalasi)</t>
  </si>
  <si>
    <t>Biaya karbon (MRV + validasi)</t>
  </si>
  <si>
    <t>EBITDA</t>
  </si>
  <si>
    <t>CAPEX (FCI)</t>
  </si>
  <si>
    <t>Sustaining: overhaul genset (8,16) + atap membran tangki (12)</t>
  </si>
  <si>
    <t>PPN CAPEX (bayar th 0, restitusi th 2)</t>
  </si>
  <si>
    <t>Modal kerja (piutang - utang usaha)</t>
  </si>
  <si>
    <t>Perubahan modal kerja</t>
  </si>
  <si>
    <t>Penyusutan fiskal (FCI+IDC 8 th; sustaining 8 th)</t>
  </si>
  <si>
    <t>Tax allowance (30% aset berwujud / 6 th)</t>
  </si>
  <si>
    <t>Laba kena pajak (tanpa utang)</t>
  </si>
  <si>
    <t>Akumulasi rugi fiskal</t>
  </si>
  <si>
    <t>Pajak (tanpa utang)</t>
  </si>
  <si>
    <t>ARUS KAS BERSIH PROYEK (FCFF)</t>
  </si>
  <si>
    <t>Kumulatif FCFF</t>
  </si>
  <si>
    <t>Faktor diskonto (WACC)</t>
  </si>
  <si>
    <t>FCFF terdiskonto</t>
  </si>
  <si>
    <t>Kumulatif terdiskonto</t>
  </si>
  <si>
    <t>Bantu payback (th sejak COD)</t>
  </si>
  <si>
    <t>Bantu payback terdiskonto</t>
  </si>
  <si>
    <t>Bunga</t>
  </si>
  <si>
    <t>Pokok (tenggang th 1, anuitas th 2-10)</t>
  </si>
  <si>
    <t>Saldo utang akhir tahun</t>
  </si>
  <si>
    <t>DSRA (isi th 1, lepas akhir tenor)</t>
  </si>
  <si>
    <t>Laba kena pajak (dengan utang)</t>
  </si>
  <si>
    <t>Akumulasi rugi fiskal (dengan utang)</t>
  </si>
  <si>
    <t>Pajak (dengan utang)</t>
  </si>
  <si>
    <t>Cadangan perawatan (MRA, rata)</t>
  </si>
  <si>
    <t>DSCR = (EBITDA - pajak - dWC - MRA) / layanan utang</t>
  </si>
  <si>
    <t>ARUS KAS EKUITAS (FCFE)</t>
  </si>
  <si>
    <t>Catatan: kompensasi rugi fiskal di Excel tanpa batas umur (Python: maks 10 th, PP 78/2019) - pada kasus dasar hasil identik.</t>
  </si>
  <si>
    <t>INDIKATOR KELAYAKAN FINANSIAL v3 (rumus hidup)</t>
  </si>
  <si>
    <t>Indikator</t>
  </si>
  <si>
    <t>Hasil</t>
  </si>
  <si>
    <t>Kriteria</t>
  </si>
  <si>
    <t>Keputusan</t>
  </si>
  <si>
    <t>NPV pada WACC (USD)</t>
  </si>
  <si>
    <t>&gt; 0</t>
  </si>
  <si>
    <t>IRR proyek (setelah pajak)</t>
  </si>
  <si>
    <t>&gt; WACC</t>
  </si>
  <si>
    <t>IRR ekuitas</t>
  </si>
  <si>
    <t>&gt; biaya ekuitas</t>
  </si>
  <si>
    <t>Payback sejak COD (th)</t>
  </si>
  <si>
    <t>&lt; umur</t>
  </si>
  <si>
    <t>Payback terdiskonto sejak COD (th)</t>
  </si>
  <si>
    <t>Indeks profitabilitas</t>
  </si>
  <si>
    <t>&gt; 1,0</t>
  </si>
  <si>
    <t>DSCR minimum</t>
  </si>
  <si>
    <t>&gt;= 1,3</t>
  </si>
  <si>
    <t>LCOE kotor (USD/kWh; seluruh biaya ke listrik)</t>
  </si>
  <si>
    <t>Informasi</t>
  </si>
  <si>
    <t>Puncak kebutuhan dana (USD)</t>
  </si>
  <si>
    <t>Struktur pendanaan</t>
  </si>
  <si>
    <t>Porsi jasa POME dalam pendapatan</t>
  </si>
  <si>
    <t>TITIK IMPAS (dihitung fin_core.bep, bisection NPV = 0)</t>
  </si>
  <si>
    <t>Jasa POME impas (USD/t TBS)</t>
  </si>
  <si>
    <t xml:space="preserve">  setara USD/t CPO (OER 21%)</t>
  </si>
  <si>
    <t>Tarif PLN th 1-10 impas (USc/kWh, sebelum F)</t>
  </si>
  <si>
    <t>Harga karbon impas (USD/t)</t>
  </si>
  <si>
    <t>Produksi energi impas (x dasar)</t>
  </si>
  <si>
    <t>CAPEX impas (x dasar)</t>
  </si>
  <si>
    <t>BEP tunai (fraksi produksi energi)</t>
  </si>
  <si>
    <t>BEP akuntansi (penyusutan buku)</t>
  </si>
  <si>
    <t>SENSITIVITAS NPV (+/-20%)</t>
  </si>
  <si>
    <t>Variabel</t>
  </si>
  <si>
    <t>NPV -20%</t>
  </si>
  <si>
    <t>NPV +20%</t>
  </si>
  <si>
    <t>Rentang</t>
  </si>
  <si>
    <t>NPV dasar</t>
  </si>
  <si>
    <t>Faktor beban PKS</t>
  </si>
  <si>
    <t>CAPEX</t>
  </si>
  <si>
    <t>OPEX</t>
  </si>
  <si>
    <t>Tarif PLN (x F)</t>
  </si>
  <si>
    <t>Jasa pengolahan POME (USD/t TBS)</t>
  </si>
  <si>
    <t>Harga listrik ke PKS</t>
  </si>
  <si>
    <t>Biaya ekuitas</t>
  </si>
  <si>
    <t>Produksi biogas/energi</t>
  </si>
  <si>
    <t>Harga karbon</t>
  </si>
  <si>
    <t>PROFIL NPV vs TINGKAT DISKONTO (rumus NPV Excel)</t>
  </si>
  <si>
    <t>Tingkat diskonto</t>
  </si>
  <si>
    <t>NPV (USD)</t>
  </si>
  <si>
    <t>SKENARIO</t>
  </si>
  <si>
    <t>Skenario</t>
  </si>
  <si>
    <t>FCI USD</t>
  </si>
  <si>
    <t>NPV USD</t>
  </si>
  <si>
    <t>IRR</t>
  </si>
  <si>
    <t>Payback th</t>
  </si>
  <si>
    <t>Kasus dasar (60 t/jam + PM-12)</t>
  </si>
  <si>
    <t>Tanpa tangki ekualisasi</t>
  </si>
  <si>
    <t>Solar tergantikan 1,0 L/t</t>
  </si>
  <si>
    <t>Solar tergantikan 3,0 L/t</t>
  </si>
  <si>
    <t>Tarif excess power 7,44 USc</t>
  </si>
  <si>
    <t>Faktor lokasi F 1,10</t>
  </si>
  <si>
    <t>Karbon USD 8,3/t (puncak 2024)</t>
  </si>
  <si>
    <t>Tanpa jasa POME</t>
  </si>
  <si>
    <t>PKS terisolasi (tanpa ekspor)</t>
  </si>
  <si>
    <t>Relokasi th-11</t>
  </si>
  <si>
    <t>Unit ke-10 (kurva belajar)</t>
  </si>
  <si>
    <t>Modul acuan 45 t/jam</t>
  </si>
  <si>
    <t>Set 30 t/jam</t>
  </si>
  <si>
    <t>MONTE CARLO (N = 3000). Kasus gagal (tanpa IRR / tidak balik modal) dihitung sebagai nilai terburuk, tidak dibuang.</t>
  </si>
  <si>
    <t>Statistik</t>
  </si>
  <si>
    <t>P10</t>
  </si>
  <si>
    <t>P50</t>
  </si>
  <si>
    <t>P90</t>
  </si>
  <si>
    <t>Rata-rata NPV</t>
  </si>
  <si>
    <t>Peluang NPV &gt; 0</t>
  </si>
  <si>
    <t>Peluang IRR &gt; WACC</t>
  </si>
  <si>
    <t>Kasus tanpa IRR / tidak balik modal</t>
  </si>
  <si>
    <t>DISTRIBUSI INPUT (kasus dasar = modus; distribusi condong merugikan)</t>
  </si>
  <si>
    <t>Input</t>
  </si>
  <si>
    <t>Spearman ke NPV</t>
  </si>
  <si>
    <t>Distribusi</t>
  </si>
  <si>
    <t>Segitiga 0,60 / 0,75 / 0,90</t>
  </si>
  <si>
    <t>capex</t>
  </si>
  <si>
    <t>Segitiga 0,90 / 1,00 / 1,35</t>
  </si>
  <si>
    <t>fee</t>
  </si>
  <si>
    <t>Segitiga 0,75 / 1,00 / 1,25 x dasar</t>
  </si>
  <si>
    <t>opex</t>
  </si>
  <si>
    <t>Segitiga 0,90 / 1,00 / 1,20</t>
  </si>
  <si>
    <t>Segitiga 3 / 5 / 8,3 USD/t</t>
  </si>
  <si>
    <t>emult</t>
  </si>
  <si>
    <t>Lognormal median 1, P5-P95 0,85-1,15 (biologi &amp; komposisi POME; util terpisah)</t>
  </si>
  <si>
    <t>Segitiga 6,5 / 8 / 10%</t>
  </si>
  <si>
    <t>Diskrit 1,00 (30%) / 1,10 (70%)</t>
  </si>
  <si>
    <t>tier</t>
  </si>
  <si>
    <t>25%: tarif tawar 90% patokan</t>
  </si>
  <si>
    <t>Segitiga 0,88 / 0,93 / 0,97</t>
  </si>
  <si>
    <t>Segitiga 0,55 / 0,70 / 0,85</t>
  </si>
  <si>
    <t>Segitiga 1,5 / 2 / 3,5%</t>
  </si>
  <si>
    <t>Segitiga 0,85 / 0,95 / 1,00</t>
  </si>
  <si>
    <t>Bin NPV (tengah)</t>
  </si>
  <si>
    <t>Frekuensi</t>
  </si>
  <si>
    <t>EKONOMI PER UKURAN PKS (tangki GFS standar sama: 2 / 3 / 4 tangki)</t>
  </si>
  <si>
    <t>30 t/jam</t>
  </si>
  <si>
    <t>45 t/jam</t>
  </si>
  <si>
    <t>60 t/jam</t>
  </si>
  <si>
    <t>Listrik GWh/th (th 2)</t>
  </si>
  <si>
    <t>Pendapatan th 2 USD</t>
  </si>
  <si>
    <t>Set 60 t/jam (&gt; 1 MW neto pada hari nameplate) memakai tier Perpres 112 &gt;1-3 MW (9,81 / 5,89 USc).</t>
  </si>
  <si>
    <t>MODEL PERUSAHAAN: 10 set BOO 2027-2034, kurva belajar 90% pada 60% FCI, unit-1 FOAK +20%, CAPEX dieskalasi, overhead tanpa perisai pajak</t>
  </si>
  <si>
    <t>Set baru</t>
  </si>
  <si>
    <t>Set beroperasi</t>
  </si>
  <si>
    <t>Listrik GWh</t>
  </si>
  <si>
    <t>Kredit karbon tCO2e</t>
  </si>
  <si>
    <t>Pendapatan USD</t>
  </si>
  <si>
    <t xml:space="preserve">  jasa POME</t>
  </si>
  <si>
    <t xml:space="preserve">  listrik</t>
  </si>
  <si>
    <t xml:space="preserve">  karbon</t>
  </si>
  <si>
    <t>OPEX USD</t>
  </si>
  <si>
    <t>EBITDA USD</t>
  </si>
  <si>
    <t>CAPEX + sustaining USD</t>
  </si>
  <si>
    <t>Overhead korporat USD</t>
  </si>
  <si>
    <t>FCFF perusahaan USD</t>
  </si>
  <si>
    <t>NPV perusahaan @WACC</t>
  </si>
  <si>
    <t>IRR perusahaan</t>
  </si>
  <si>
    <t>Puncak kebutuhan dana</t>
  </si>
  <si>
    <t>Unit ke-</t>
  </si>
  <si>
    <t>Faktor CAPEX</t>
  </si>
  <si>
    <t>NPV unit USD</t>
  </si>
  <si>
    <t>IRR unit</t>
  </si>
  <si>
    <t>INTERKONEKSI &amp; LAHAN DARI MODEL 3D LOKASI (cad/out/site.json)</t>
  </si>
  <si>
    <t>Rute</t>
  </si>
  <si>
    <t>Panjang m</t>
  </si>
  <si>
    <t>USD/m</t>
  </si>
  <si>
    <t>Biaya USD</t>
  </si>
  <si>
    <t>POME 85 °C DN150 (fat pit -&gt; PM-1)</t>
  </si>
  <si>
    <t>Efluen settler DN150 HDPE (TK-301 -&gt; kolam fakultatif)</t>
  </si>
  <si>
    <t>Bypass darurat DN150 (TK-101 -&gt; kolam pendingin)</t>
  </si>
  <si>
    <t>Saluran udara 20 kV di lokasi (gardu -&gt; jaringan PLN)</t>
  </si>
  <si>
    <t>Saluran 20 kV ke rumah mesin PKS (+ trafo 20/0,4 kV di PKS)</t>
  </si>
  <si>
    <t>Luas kolam POME sebelum (m2)</t>
  </si>
  <si>
    <t>Luas kolam setelah - tetap untuk polishing (m2)</t>
  </si>
  <si>
    <t>Lahan kolam dibebaskan (m2)</t>
  </si>
  <si>
    <t>Luas plot produk (m2)</t>
  </si>
  <si>
    <t>PEMERIKSAAN JARAK AMAN</t>
  </si>
  <si>
    <t>Jarak m</t>
  </si>
  <si>
    <t>Minimum m</t>
  </si>
  <si>
    <t>OK</t>
  </si>
  <si>
    <t>Flare FL-301 -&gt; tepi GH-301 (API 537 / praktik biogas)</t>
  </si>
  <si>
    <t>Ya</t>
  </si>
  <si>
    <t>Flare FL-301 -&gt; kontainer CHP (Sumber nyala vs zona gas)</t>
  </si>
  <si>
    <t>GH-301 -&gt; rumah boiler PKS (Sumber nyala terbuka)</t>
  </si>
  <si>
    <t>GH-301 -&gt; tangki CPO (Bahan mudah terbakar)</t>
  </si>
  <si>
    <t>Flare -&gt; batas pagar lokasi (Radiasi panas di batas)</t>
  </si>
  <si>
    <t>Reaktor -&gt; kolam pendingin (tanah) (Stabilitas lereng / pondasi)</t>
  </si>
  <si>
    <t>Cerobong boiler -&gt; GH-301 (Bunga api cerobong)</t>
  </si>
  <si>
    <t>UKURAN PASAR BOTTOM-UP (sel kuning = input; setara-set = 1 set per PKS / volume POME 1 set)</t>
  </si>
  <si>
    <t>Parameter</t>
  </si>
  <si>
    <t>Keyakinan</t>
  </si>
  <si>
    <t>Sumber</t>
  </si>
  <si>
    <t>PKS beroperasi di Indonesia</t>
  </si>
  <si>
    <t>PKS</t>
  </si>
  <si>
    <t>H</t>
  </si>
  <si>
    <t>Trase/Universal Mill List 1.318 (2022) [R3]</t>
  </si>
  <si>
    <t>Porsi sudah menangkap metana</t>
  </si>
  <si>
    <t>M</t>
  </si>
  <si>
    <t>84 PLTBg POME ~165 MW (GAPKI 2026) [R3]</t>
  </si>
  <si>
    <t>POME nasional</t>
  </si>
  <si>
    <t>m3/th</t>
  </si>
  <si>
    <t>125-170 juta m3 [R3]</t>
  </si>
  <si>
    <t>Porsi PKS 30-60 t/jam</t>
  </si>
  <si>
    <t>L</t>
  </si>
  <si>
    <t>Estimasi kelas kapasitas [R3]; perlu CSV Trase</t>
  </si>
  <si>
    <t>Porsi Sumatera + Kalimantan</t>
  </si>
  <si>
    <t>Sebaran PKS [R3]</t>
  </si>
  <si>
    <t>Porsi PKS solar terukur &gt;= 2 L/t TBS</t>
  </si>
  <si>
    <t>EST</t>
  </si>
  <si>
    <t>HIPOTESIS: basis lemah (Kaltim 12/62 desa diesel-saja bukan solar PKS); rentang 0,10-0,35; validasi survei 30 PKS (gerbang G0)</t>
  </si>
  <si>
    <t>Porsi PKS dengan jaringan 20 kV &lt;= 2 km</t>
  </si>
  <si>
    <t>HIPOTESIS: ekspor layak; rentang 0,40-0,80</t>
  </si>
  <si>
    <t>Porsi PKS bebas program biogas grup</t>
  </si>
  <si>
    <t>HIPOTESIS: di luar Wilmar, Musim Mas, Asian Agri, dll.; rentang 0,60-0,90</t>
  </si>
  <si>
    <t>POME per set (m3/th)</t>
  </si>
  <si>
    <t>Model</t>
  </si>
  <si>
    <t>45 t/jam x 20 x 300 x util x 0,65</t>
  </si>
  <si>
    <t>Pendapatan rata-rata per set (USD/th)</t>
  </si>
  <si>
    <t>Arus Kas, rata-rata 20 th</t>
  </si>
  <si>
    <t>Set SOM s/d 2034 (rencana armada)</t>
  </si>
  <si>
    <t>set</t>
  </si>
  <si>
    <t>Rencana</t>
  </si>
  <si>
    <t>ROLL di fin_core</t>
  </si>
  <si>
    <t>MWe terpasang per set</t>
  </si>
  <si>
    <t>MWe</t>
  </si>
  <si>
    <t>2 x 600 kWe</t>
  </si>
  <si>
    <t>Tingkat</t>
  </si>
  <si>
    <t>PKS / set</t>
  </si>
  <si>
    <t>Pendapatan USD/th</t>
  </si>
  <si>
    <t>Aturan</t>
  </si>
  <si>
    <t>TAM (volume POME semua PKS tanpa penangkap metana)</t>
  </si>
  <si>
    <t>Semua PKS Indonesia tanpa penangkap metana (volume POME)</t>
  </si>
  <si>
    <t>SAM-luas (+30-60 t/jam, Sumatera/Kalimantan)</t>
  </si>
  <si>
    <t>+ ukuran 30-60 t/jam + Sumatera/Kalimantan</t>
  </si>
  <si>
    <t>SAM (+bergantung diesel: jendela kesepakatan terbuka)</t>
  </si>
  <si>
    <t>+ solar &gt;= 2 L/t TBS + jaringan 20 kV &lt;= 2 km + bebas program grup: jendela kesepakatan terbuka</t>
  </si>
  <si>
    <t>SOM 2034</t>
  </si>
  <si>
    <t>Rencana armada (ROLL) - 1 set per PKS</t>
  </si>
  <si>
    <t>Pangsa SOM / SAM</t>
  </si>
  <si>
    <t>SOM vs laju bangun PLTBg nasional (9 MW/th) [R3]</t>
  </si>
  <si>
    <t>Ekspansi: Malaysia ~315 PKS tanpa penangkap metana [R3] -&gt; setara-set segmen diesel</t>
  </si>
  <si>
    <t>PKS per provinsi (estimasi [R3, L])</t>
  </si>
  <si>
    <t>Provinsi</t>
  </si>
  <si>
    <t>SAM (estimasi)</t>
  </si>
  <si>
    <t>Riau</t>
  </si>
  <si>
    <t>Sumut</t>
  </si>
  <si>
    <t>Kalteng</t>
  </si>
  <si>
    <t>Kalbar</t>
  </si>
  <si>
    <t>Sumsel</t>
  </si>
  <si>
    <t>Kaltim</t>
  </si>
  <si>
    <t>Jambi</t>
  </si>
  <si>
    <t>Kalsel</t>
  </si>
  <si>
    <t>Lainnya</t>
  </si>
  <si>
    <t>MODEL KEPUTUSAN PKS: apakah layanan BOO lebih murah bagi PKS daripada kolam POME? (rumus hidup)</t>
  </si>
  <si>
    <t>Sudut pandang PKS 45 t TBS/jam, 20 th, USD 2026 dieskalasi a_infl, diskonto biaya modal PKS. Ubah sel kuning di sini atau di Asumsi (fee, util, solar, harga listrik).</t>
  </si>
  <si>
    <t>Input sisi PKS</t>
  </si>
  <si>
    <t>r_mill</t>
  </si>
  <si>
    <t>0.1 / 0.18</t>
  </si>
  <si>
    <t>Biaya modal PKS (WACC proyek nominal Indonesia 9,4-14%) [R2]</t>
  </si>
  <si>
    <t>p_diesel</t>
  </si>
  <si>
    <t>Rp/L</t>
  </si>
  <si>
    <t>18200.0 / 25850.0</t>
  </si>
  <si>
    <t>Solar industri diantar (HSD/B40 non-subsidi) 18.200-25.850 [R2]</t>
  </si>
  <si>
    <t>genset_om</t>
  </si>
  <si>
    <t>0.01 / 0.04</t>
  </si>
  <si>
    <t>O&amp;M genset diesel PKS (pelumas, filter, overhaul) [ASUMSI]</t>
  </si>
  <si>
    <t>desludge</t>
  </si>
  <si>
    <t>juta Rp/th</t>
  </si>
  <si>
    <t>200.0 / 600.0</t>
  </si>
  <si>
    <t>Pengurasan lumpur kolam anaerobik ~1 kali/th, Rp 0,2-0,6 M/kejadian [R2, keyakinan rendah]</t>
  </si>
  <si>
    <t>pond_om</t>
  </si>
  <si>
    <t>20.0 / 100.0</t>
  </si>
  <si>
    <t>Pompa, tanggul, perawatan kolam (tanpa pengurasan) [R2]</t>
  </si>
  <si>
    <t>la_cost</t>
  </si>
  <si>
    <t>Rp/m3</t>
  </si>
  <si>
    <t>7000.0 / 19000.0</t>
  </si>
  <si>
    <t>Aplikasi lahan flatbed/furrow per m3 limbah [R2]</t>
  </si>
  <si>
    <t>monitor</t>
  </si>
  <si>
    <t>150.0 / 400.0</t>
  </si>
  <si>
    <t>Pemantauan RKL-RPL/Persetujuan Teknis (sama untuk semua opsi) [R2]</t>
  </si>
  <si>
    <t>margin</t>
  </si>
  <si>
    <t>10.0 / 25.0</t>
  </si>
  <si>
    <t>Margin olah PKS per t TBS untuk menilai hari henti (penyegelan) [ASUMSI]</t>
  </si>
  <si>
    <t>p_enf_A</t>
  </si>
  <si>
    <t>0.01 / 0.06</t>
  </si>
  <si>
    <t>Peluang penegakan/penyegelan per th untuk kolam terbuka (kasus PT BMB 2023, PT SIPP 2024) [ASUMSI dari R1]</t>
  </si>
  <si>
    <t>p_enf_D</t>
  </si>
  <si>
    <t>0.0 / 0.01</t>
  </si>
  <si>
    <t>Peluang yang sama dengan reaktor tertutup + kolam polishing [ASUMSI]</t>
  </si>
  <si>
    <t>closure_d</t>
  </si>
  <si>
    <t>14.0 / 90.0</t>
  </si>
  <si>
    <t>Lama henti bila disegel [ASUMSI dari R1]</t>
  </si>
  <si>
    <t>land_margin</t>
  </si>
  <si>
    <t>juta Rp/ha/th</t>
  </si>
  <si>
    <t>20.0 / 45.0</t>
  </si>
  <si>
    <t>Margin bersih sawit per ha (TBS Rp 3.763/kg Riau Okt 2026) [R2]</t>
  </si>
  <si>
    <t>cake_val</t>
  </si>
  <si>
    <t>USD/t basah</t>
  </si>
  <si>
    <t>0.0 / 12.0</t>
  </si>
  <si>
    <t>Nilai pupuk kue lumpur 20% DS untuk kebun (N, P, K) [ASUMSI]</t>
  </si>
  <si>
    <t>c_share</t>
  </si>
  <si>
    <t>0.0 / 0.5</t>
  </si>
  <si>
    <t>Bagian pendapatan karbon pengembang yang dibagi ke PKS (tuas komersial)</t>
  </si>
  <si>
    <t>capex_B</t>
  </si>
  <si>
    <t>juta USD/MWe</t>
  </si>
  <si>
    <t>1.8 / 3.7</t>
  </si>
  <si>
    <t>Kolam tertutup (covered lagoon) di Indonesia 1,8-3,7 [R3]</t>
  </si>
  <si>
    <t>capex_C</t>
  </si>
  <si>
    <t>1.8 / 3.5</t>
  </si>
  <si>
    <t>Digester tangki CSTR (TSE 2 MW USD 3,6 jt) 1,8-3,5 [R3]</t>
  </si>
  <si>
    <t>om_BC</t>
  </si>
  <si>
    <t>miliar Rp/MW/th</t>
  </si>
  <si>
    <t>2.3 / 4.3</t>
  </si>
  <si>
    <t>O&amp;M PLTBg POME 2,3-4,3 [R2]</t>
  </si>
  <si>
    <t>perf_B</t>
  </si>
  <si>
    <t>0.57 / 0.85</t>
  </si>
  <si>
    <t>Kinerja relatif kolam tertutup (buih, lumpur, faktor kapasitas 57-85%) [R2]</t>
  </si>
  <si>
    <t>perf_C</t>
  </si>
  <si>
    <t>0.7 / 0.9</t>
  </si>
  <si>
    <t>Kinerja relatif tangki milik PKS (tanpa jaminan kinerja) [R2]</t>
  </si>
  <si>
    <t>desl_B</t>
  </si>
  <si>
    <t>0.3 / 0.8</t>
  </si>
  <si>
    <t>Porsi pengurasan yang tetap ada pada kolam tertutup</t>
  </si>
  <si>
    <t>BESARAN ANTARA</t>
  </si>
  <si>
    <t>TBS diolah (t/th)</t>
  </si>
  <si>
    <t>POME (m3/th)</t>
  </si>
  <si>
    <t>Efluen set ke kolam polishing (m3/th)</t>
  </si>
  <si>
    <t>Listrik neto set (kWh/th)</t>
  </si>
  <si>
    <t>Listrik diesel PKS saat ini (kWh/th)</t>
  </si>
  <si>
    <t>Biaya listrik diesel PKS (USD/kWh)</t>
  </si>
  <si>
    <t>Listrik set ke PKS (kWh/th)</t>
  </si>
  <si>
    <t>Nilai lahan kolam dibebaskan (USD/th)</t>
  </si>
  <si>
    <t>Nilai pupuk kue lumpur (USD/th)</t>
  </si>
  <si>
    <t>Pendapatan karbon neto pengembang (USD/th)</t>
  </si>
  <si>
    <t>Risiko penyegelan A (USD/th)</t>
  </si>
  <si>
    <t>Risiko penyegelan B/C/D (USD/th)</t>
  </si>
  <si>
    <t>Listrik pembangkit milik PKS opsi B (kWh/th)</t>
  </si>
  <si>
    <t xml:space="preserve">  dipakai PKS menggantikan solar (kWh/th)</t>
  </si>
  <si>
    <t>Listrik pembangkit milik PKS opsi C (kWh/th)</t>
  </si>
  <si>
    <t>BIAYA TAHUNAN PKS (USD 2026; negatif = manfaat)</t>
  </si>
  <si>
    <t>A Status quo</t>
  </si>
  <si>
    <t>B Kolam tertutup</t>
  </si>
  <si>
    <t>C Tangki milik PKS</t>
  </si>
  <si>
    <t>D Layanan BOO</t>
  </si>
  <si>
    <t>Rumus / keterangan</t>
  </si>
  <si>
    <t>Listrik diesel PKS</t>
  </si>
  <si>
    <t>Solar + O&amp;M genset untuk listrik yang tidak dipasok biogas</t>
  </si>
  <si>
    <t>Jasa pengolahan POME (fee)</t>
  </si>
  <si>
    <t>Hanya D</t>
  </si>
  <si>
    <t>Beli listrik dari set</t>
  </si>
  <si>
    <t>Hanya D, harga di bawah diesel</t>
  </si>
  <si>
    <t>O&amp;M pembangkit biogas milik PKS</t>
  </si>
  <si>
    <t>Rp 3,3 miliar/MW/th [R2]</t>
  </si>
  <si>
    <t>Pengurasan lumpur &amp; perawatan kolam</t>
  </si>
  <si>
    <t>Kolam anaerobik hilang pada C/D</t>
  </si>
  <si>
    <t>Aplikasi lahan</t>
  </si>
  <si>
    <t>Efluen tetap ke LA pada semua opsi</t>
  </si>
  <si>
    <t>Pemantauan lingkungan</t>
  </si>
  <si>
    <t>Sama</t>
  </si>
  <si>
    <t>Risiko penyegelan (nilai harapan)</t>
  </si>
  <si>
    <t>Peluang x hari henti x margin</t>
  </si>
  <si>
    <t>Ekspor listrik ke PLN (th 1-10)</t>
  </si>
  <si>
    <t>Pada D ekspor milik pengembang</t>
  </si>
  <si>
    <t>Kredit karbon (PKS daftar sendiri)</t>
  </si>
  <si>
    <t>D: bagi hasil opsional</t>
  </si>
  <si>
    <t>Lahan kolam dibebaskan</t>
  </si>
  <si>
    <t>Margin sawit pada lahan kolam anaerobik</t>
  </si>
  <si>
    <t>Kue lumpur sebagai pupuk</t>
  </si>
  <si>
    <t>Hanya D (screw press)</t>
  </si>
  <si>
    <t>Total biaya tahunan (USD 2026)</t>
  </si>
  <si>
    <t>CAPEX dibayar PKS (th 2027)</t>
  </si>
  <si>
    <t>Faktor anuitas biaya dieskalasi (20 th)</t>
  </si>
  <si>
    <t>NPV biaya 20 th (USD)</t>
  </si>
  <si>
    <t>BIAYA POME TERLEVELISASI (USD 2026 / t TBS)</t>
  </si>
  <si>
    <t>PKS hemat dengan D vs A (USD/t TBS)</t>
  </si>
  <si>
    <t>PKS hemat dengan D vs A (%)</t>
  </si>
  <si>
    <t>PKS hemat dengan D vs A (USD/th)</t>
  </si>
  <si>
    <t>Pengembang: NPV proyek pada fee yang sama (USD)</t>
  </si>
  <si>
    <t>Pengembang: IRR proyek</t>
  </si>
  <si>
    <t>Keputusan PKS</t>
  </si>
  <si>
    <t>JENDELA KESEPAKATAN (fin_mill.fee_window, bisection; di Excel: Goal Seek a_fee_ffb)</t>
  </si>
  <si>
    <t>Fee minimum pengembang (NPV = 0 pada WACC), USD/t TBS</t>
  </si>
  <si>
    <t>Fee maksimum PKS (biaya D = biaya A), USD/t TBS</t>
  </si>
  <si>
    <t>Lebar jendela, USD/t TBS</t>
  </si>
  <si>
    <t>Fee dasar dipakai</t>
  </si>
  <si>
    <t>Catatan jujur: B/C (PKS membangun sendiri) memberi biaya terlevelisasi lebih rendah BILA PKS punya modal USD 2,6-3,0 juta dan tim operasi; D untuk PKS tanpa modal / tanpa selera risiko teknis.</t>
  </si>
  <si>
    <t>LANGKAH DARI A KE D (USD 2026 / t TBS)</t>
  </si>
  <si>
    <t>Langkah</t>
  </si>
  <si>
    <t>Status quo (A)</t>
  </si>
  <si>
    <t>Solar dihindari</t>
  </si>
  <si>
    <t>Beli listrik set</t>
  </si>
  <si>
    <t>Pengurasan &amp; kolam dihindari</t>
  </si>
  <si>
    <t>Risiko penyegelan turun</t>
  </si>
  <si>
    <t>Lahan + pupuk + karbon</t>
  </si>
  <si>
    <t>Jasa pengolahan (fee)</t>
  </si>
  <si>
    <t>Layanan BOO (D)</t>
  </si>
  <si>
    <t>SEGMEN PKS: di mana jendela kesepakatan terbuka (fin_mill.segments)</t>
  </si>
  <si>
    <t>Segmen</t>
  </si>
  <si>
    <t>Util</t>
  </si>
  <si>
    <t>Solar L/t TBS</t>
  </si>
  <si>
    <t>Fee min USD/t</t>
  </si>
  <si>
    <t>Fee maks USD/t</t>
  </si>
  <si>
    <t>Jendela?</t>
  </si>
  <si>
    <t>NPV pengembang @fee dasar</t>
  </si>
  <si>
    <t>IRR pengembang</t>
  </si>
  <si>
    <t>PKS hemat (%)</t>
  </si>
  <si>
    <t>Catatan</t>
  </si>
  <si>
    <t>S1 PKS terhubung PLN, solar hanya untuk PKS</t>
  </si>
  <si>
    <t>Solar PKS terukur 0,4-1,5 L/t [R6]</t>
  </si>
  <si>
    <t>S2 PKS terhubung PLN, solar 1,0 L/t</t>
  </si>
  <si>
    <t>Solar tergantikan sedang (emplasmen kecil)</t>
  </si>
  <si>
    <t>S3 Kasus dasar: solar tergantikan 2,0 L/t</t>
  </si>
  <si>
    <t>Turunan PalmCo 1,9 L/t [R6, keyakinan rendah]</t>
  </si>
  <si>
    <t>S4 Solar tergantikan 3,0 L/t + jaringan 20 kV</t>
  </si>
  <si>
    <t>Antara PalmCo dan DSNG; wajib log solar PKS</t>
  </si>
  <si>
    <t>S5 PKS terisolasi 5,0 L/t, tanpa ekspor</t>
  </si>
  <si>
    <t>DSNG 4,8-5,5 L/t [R6]; listrik berlebih tidak terjual</t>
  </si>
  <si>
    <t>Kesimpulan: pasar sasaran = PKS bergantung diesel (S3/S4). PKS terhubung PLN (S1/S2) tidak dilayani kecuali harga karbon / CAPEX berubah.</t>
  </si>
  <si>
    <t>MATRIKS PESAING BERBOBOT (skor 1-5, 5 = terbaik bagi PKS; bobot dapat diubah)</t>
  </si>
  <si>
    <t>Opsi</t>
  </si>
  <si>
    <t>CAPEX USD jt/MWe</t>
  </si>
  <si>
    <t>Lahan ha</t>
  </si>
  <si>
    <t>Bangun bln</t>
  </si>
  <si>
    <t>PKS bayar CAPEX</t>
  </si>
  <si>
    <t>Referensi ID</t>
  </si>
  <si>
    <t>Biaya POME bagi PKS (USD/t TBS, Model Keputusan PKS)</t>
  </si>
  <si>
    <t>Modal yang harus dikeluarkan PKS</t>
  </si>
  <si>
    <t>Risiko kinerja ditanggung PKS</t>
  </si>
  <si>
    <t>Kematangan / referensi di Indonesia</t>
  </si>
  <si>
    <t>Lahan &amp; waktu bangun</t>
  </si>
  <si>
    <t>Penangkapan metana &amp; bau</t>
  </si>
  <si>
    <t>Dapat dipindah (nilai sisa aset)</t>
  </si>
  <si>
    <t>Skor tertimbang</t>
  </si>
  <si>
    <t>Bobot -&gt;</t>
  </si>
  <si>
    <t>A Status quo kolam terbuka</t>
  </si>
  <si>
    <t>0 (tertanam)</t>
  </si>
  <si>
    <t>2,2 (GA 3D); 1-5 lit.</t>
  </si>
  <si>
    <t>0</t>
  </si>
  <si>
    <t>Tidak</t>
  </si>
  <si>
    <t>~85-90% PKS</t>
  </si>
  <si>
    <t>Model; R3</t>
  </si>
  <si>
    <t>B Kolam tertutup milik PKS</t>
  </si>
  <si>
    <t>1,8-3,7 (2,2)</t>
  </si>
  <si>
    <t>1,5</t>
  </si>
  <si>
    <t>9-15</t>
  </si>
  <si>
    <t>Sei Mangkei 2,4 MW; AANE Belitung</t>
  </si>
  <si>
    <t>R2/R3</t>
  </si>
  <si>
    <t>C Tangki CSTR milik PKS (EPC)</t>
  </si>
  <si>
    <t>1,8-3,5 (2,5)</t>
  </si>
  <si>
    <t>0,75</t>
  </si>
  <si>
    <t>12-24</t>
  </si>
  <si>
    <t>TSE 2 MW 2025; KIS PT Maya</t>
  </si>
  <si>
    <t>R3</t>
  </si>
  <si>
    <t>Biometana BOOT (reNIKOLA, KIS)</t>
  </si>
  <si>
    <t>~4 (5,3 jt/PKS)</t>
  </si>
  <si>
    <t>14</t>
  </si>
  <si>
    <t>PTPN IV 8 PKS 2026</t>
  </si>
  <si>
    <t>R3: hanya klaster PKS besar dengan pipa/offtake gas</t>
  </si>
  <si>
    <t>UASB/EGSB/IC</t>
  </si>
  <si>
    <t>~2,75</t>
  </si>
  <si>
    <t>0,35</t>
  </si>
  <si>
    <t>12-18</t>
  </si>
  <si>
    <t>tidak ada di ID</t>
  </si>
  <si>
    <t>AnMBR konvensional (Veolia, Kubota)</t>
  </si>
  <si>
    <t>~5,0</t>
  </si>
  <si>
    <t>0,3</t>
  </si>
  <si>
    <t>tidak ada referensi POME</t>
  </si>
  <si>
    <t>R3/R4</t>
  </si>
  <si>
    <t>D Set kontak termofilik BOO (produk ini)</t>
  </si>
  <si>
    <t>3.6 (FCI/kWe terpasang)</t>
  </si>
  <si>
    <t>0.43</t>
  </si>
  <si>
    <t>10</t>
  </si>
  <si>
    <t>belum (pilot diperlukan)</t>
  </si>
  <si>
    <t>Model; R3/R4</t>
  </si>
  <si>
    <t>Skor biaya: dari Model Keputusan PKS (USD/t TBS terlevelisasi). Kelemahan kami: kematangan (belum ada referensi) - ditutup oleh pilot + jaminan kinerja.</t>
  </si>
  <si>
    <t>KEUNGGULAN UNIK (USP) - DIUKUR, BUKAN DIKLAIM</t>
  </si>
  <si>
    <t>USP</t>
  </si>
  <si>
    <t>Metrik dari model</t>
  </si>
  <si>
    <t>Bukti</t>
  </si>
  <si>
    <t>Penilaian jujur</t>
  </si>
  <si>
    <t>1 PKS hemat tanpa modal</t>
  </si>
  <si>
    <t>Biaya POME PKS turun 0.14 USD/t TBS (4%) vs kolam, CAPEX PKS = 0</t>
  </si>
  <si>
    <t>Model Keputusan PKS (segmen S3)</t>
  </si>
  <si>
    <t>Kuat (S3/S4); tidak berlaku untuk PKS terhubung PLN (S1)</t>
  </si>
  <si>
    <t>2 Listrik menggantikan solar</t>
  </si>
  <si>
    <t>1.6 GWh/th ke PKS pada USD 0.20/kWh vs diesel USD 0.37/kWh</t>
  </si>
  <si>
    <t>R2 (harga solar), DSNG</t>
  </si>
  <si>
    <t>Kuat; inti proposisi</t>
  </si>
  <si>
    <t>3 Aset dapat dipindah</t>
  </si>
  <si>
    <t>Bila PKS tutup th 8: NPV pengembang -570,582 vs tangki tetap -1,754,305 (USD)</t>
  </si>
  <si>
    <t>Model skenario relokasi</t>
  </si>
  <si>
    <t>Sedang: nilai bagi pemberi pinjaman (agunan), belum ada preseden</t>
  </si>
  <si>
    <t>4 Lahan &amp; bau</t>
  </si>
  <si>
    <t>Membebaskan 1,1 ha kolam anaerobik; plot 0.43 ha; reaktor tertutup</t>
  </si>
  <si>
    <t>Model 3D lokasi</t>
  </si>
  <si>
    <t>Sedang: nilai tunai kecil, nilai sosial/regulasi</t>
  </si>
  <si>
    <t>5 Karbon &amp; pasar ekspor</t>
  </si>
  <si>
    <t>32,033 tCO2e/th (AMS-III.H); membuka default GHG RED II/ISCC</t>
  </si>
  <si>
    <t>R1</t>
  </si>
  <si>
    <t>Sedang: harga karbon rendah, akses pasar nyata</t>
  </si>
  <si>
    <t>6 Cepat dibangun</t>
  </si>
  <si>
    <t>Panel GFS + skid kontainer: ~10 bulan vs 12-24 bln tangki EPC</t>
  </si>
  <si>
    <t>Sedang: belum ada rekam jejak</t>
  </si>
  <si>
    <t>Bukan USP</t>
  </si>
  <si>
    <t>CAPEX/MWe lebih tinggi dari kolam tertutup (1,8-3,7)</t>
  </si>
  <si>
    <t>Kelemahan: ditutup oleh kurva belajar + segmen diesel</t>
  </si>
  <si>
    <t>PESTLE (skor = tanda x dampak x peluang)</t>
  </si>
  <si>
    <t>Kode</t>
  </si>
  <si>
    <t>Kategori</t>
  </si>
  <si>
    <t>Faktor</t>
  </si>
  <si>
    <t>Tanda</t>
  </si>
  <si>
    <t>Dampak 1-5</t>
  </si>
  <si>
    <t>Peluang 1-5</t>
  </si>
  <si>
    <t>Skor</t>
  </si>
  <si>
    <t>Keterangan</t>
  </si>
  <si>
    <t>P1</t>
  </si>
  <si>
    <t>Politik</t>
  </si>
  <si>
    <t>Target EBT &amp; NZE 2060; RUPTL 2025-34 bioenergi +0,9 GW</t>
  </si>
  <si>
    <t>Bioenergi kecil di RUPTL; PLTBg terpasang ~164 MW [R1]</t>
  </si>
  <si>
    <t>P2</t>
  </si>
  <si>
    <t>Harga patokan PLTBg Perpres 112/2022</t>
  </si>
  <si>
    <t>10,18 USc x F (&lt;= 1 MW, th 1-10), 6,11 th 11+ [R2]; tarif = plafon, bukan jaminan</t>
  </si>
  <si>
    <t>P3</t>
  </si>
  <si>
    <t>PPA PLN lambat; power wheeling belum ada (RUU EBET)</t>
  </si>
  <si>
    <t>Listrik ke PKS/emplasmen lebih kuat dari ekspor [R1/R2]</t>
  </si>
  <si>
    <t>P4</t>
  </si>
  <si>
    <t>ISPO wajib hilir &amp; bioenergi termasuk biogas (Perpres 16/2025, 19 Mar 2027)</t>
  </si>
  <si>
    <t>SPV biogas juga perlu ISPO [R1]</t>
  </si>
  <si>
    <t>P5</t>
  </si>
  <si>
    <t>Perpres 110/2025 nilai ekonomi karbon; SRUK; MRA Verra &amp; GS</t>
  </si>
  <si>
    <t>Jalur kredit internasional dibuka [R1]</t>
  </si>
  <si>
    <t>E1</t>
  </si>
  <si>
    <t>Ekonomi</t>
  </si>
  <si>
    <t>Solar non-subsidi mahal (Dexlite Rp 23.700/L; listrik diesel ~USD 0,37/kWh)</t>
  </si>
  <si>
    <t>Inti nilai bagi PKS bergantung diesel [R2]</t>
  </si>
  <si>
    <t>E2</t>
  </si>
  <si>
    <t>Suku bunga tinggi (BI 5,75%; utang iklim 9-11%)</t>
  </si>
  <si>
    <t>WACC USD 9,7% [R2]</t>
  </si>
  <si>
    <t>E3</t>
  </si>
  <si>
    <t>Harga kredit karbon rendah (USD 3,5-5; IDXCarbon tipis)</t>
  </si>
  <si>
    <t>Karbon pendapatan sekunder [R1]</t>
  </si>
  <si>
    <t>E4</t>
  </si>
  <si>
    <t>Utilisasi PKS ~50-80% (kapasitas ~2x produksi)</t>
  </si>
  <si>
    <t>Basis util 0,75 [R3]; seleksi PKS penting</t>
  </si>
  <si>
    <t>E5</t>
  </si>
  <si>
    <t>Produksi CPO naik (51,7 Mt 2025)</t>
  </si>
  <si>
    <t>Pasokan POME aman [R3]</t>
  </si>
  <si>
    <t>S1</t>
  </si>
  <si>
    <t>Sosial</t>
  </si>
  <si>
    <t>Bau &amp; air kolam POME; desa sekitar PKS tanpa listrik</t>
  </si>
  <si>
    <t>Reaktor tertutup; listrik emplasmen [R2-tambahan]</t>
  </si>
  <si>
    <t>S2</t>
  </si>
  <si>
    <t>Lapangan kerja lokal (10 orang/set)</t>
  </si>
  <si>
    <t>Operator dari desa sekitar</t>
  </si>
  <si>
    <t>S3</t>
  </si>
  <si>
    <t>Kelangkaan teknisi biogas termofilik</t>
  </si>
  <si>
    <t>Pelatihan + SCADA jarak jauh</t>
  </si>
  <si>
    <t>T1</t>
  </si>
  <si>
    <t>Teknologi</t>
  </si>
  <si>
    <t>Proses kontak termofilik pada POME baru skala pilot</t>
  </si>
  <si>
    <t>Choorit 2007 HRT 5 d stabil; perlu pilot + jaminan kinerja [R4]</t>
  </si>
  <si>
    <t>T2</t>
  </si>
  <si>
    <t>Genset biogas &amp; tangki GFS dibaut sudah matang</t>
  </si>
  <si>
    <t>Rantai pasok global [R4]</t>
  </si>
  <si>
    <t>T3</t>
  </si>
  <si>
    <t>H2S 1.000-4.000 ppm, pasir, minyak</t>
  </si>
  <si>
    <t>BTF 95% + ruang pasir 85% [R4]</t>
  </si>
  <si>
    <t>T4</t>
  </si>
  <si>
    <t>Produksi seri tangki &amp; skid standar</t>
  </si>
  <si>
    <t>Kurva belajar 10%/penggandaan pada 60% FCI</t>
  </si>
  <si>
    <t>H1</t>
  </si>
  <si>
    <t>Hukum</t>
  </si>
  <si>
    <t>Dasar hukum aplikasi lahan dicabut 2021; wacana larangan 2024</t>
  </si>
  <si>
    <t>Efluen set tetap ke polishing + LA (BOD 1.500 &lt; 5.000) [R1]</t>
  </si>
  <si>
    <t>H2</t>
  </si>
  <si>
    <t>Penjualan listrik pihak ketiga ke PKS butuh izin (IUPTLS/wilayah usaha)</t>
  </si>
  <si>
    <t>Struktur: kontrak jasa energi/biogas; perlu nasihat hukum [R2]</t>
  </si>
  <si>
    <t>H3</t>
  </si>
  <si>
    <t>Penegakan pencemaran POME (penjara direksi, penyegelan)</t>
  </si>
  <si>
    <t>PT SIPP 2024, PT BMB 2023 [R1]</t>
  </si>
  <si>
    <t>L1</t>
  </si>
  <si>
    <t>Lingkungan</t>
  </si>
  <si>
    <t>Metana POME 0,5-1,1 tCO2e/t CPO; RED II/ISCC</t>
  </si>
  <si>
    <t>Penangkapan metana membuka default GHG biodiesel [R1]</t>
  </si>
  <si>
    <t>L2</t>
  </si>
  <si>
    <t>Kolam anaerobik 1,1 ha dibebaskan; kue lumpur jadi pupuk</t>
  </si>
  <si>
    <t>Plot set 0,24 ha</t>
  </si>
  <si>
    <t>Skor bersih</t>
  </si>
  <si>
    <t>Total</t>
  </si>
  <si>
    <t>LIMA KEKUATAN PORTER (tekanan 1-5)</t>
  </si>
  <si>
    <t>Kekuatan</t>
  </si>
  <si>
    <t>Sub-faktor</t>
  </si>
  <si>
    <t>Alasan</t>
  </si>
  <si>
    <t>Pendatang baru</t>
  </si>
  <si>
    <t>Modal per set ~USD 4 juta</t>
  </si>
  <si>
    <t>Penghalang sedang</t>
  </si>
  <si>
    <t>Know-how proses kontak termofilik + data operasi</t>
  </si>
  <si>
    <t>Hambatan teknologi &amp; data</t>
  </si>
  <si>
    <t>Kontraktor kolam tertutup mudah masuk</t>
  </si>
  <si>
    <t>Teknologi lama, banyak EPC lokal</t>
  </si>
  <si>
    <t>Pemasok</t>
  </si>
  <si>
    <t>Genset biogas (Jenbacher, MWM, Weichai)</t>
  </si>
  <si>
    <t>Sedikit merek, kirim 6-9 bln</t>
  </si>
  <si>
    <t>Tangki GFS dibaut (CST, ESP, Center Enamel, pabrikan Tiongkok)</t>
  </si>
  <si>
    <t>Banyak pemasok</t>
  </si>
  <si>
    <t>Skid &amp; fabrikasi lokal (Batam, Cilegon, Medan)</t>
  </si>
  <si>
    <t>Banyak bengkel</t>
  </si>
  <si>
    <t>Persaingan</t>
  </si>
  <si>
    <t>Pengembang BOO/BOOT: reNIKOLA, KIS, Gree, AANE, Pertamina NRE</t>
  </si>
  <si>
    <t>Mengambil POME gratis; fokus PKS besar/klaster [R3]</t>
  </si>
  <si>
    <t>Program in-house grup besar (Wilmar 25, Musim Mas 17, Asian Agri)</t>
  </si>
  <si>
    <t>Menutup segmen grup besar [R3]</t>
  </si>
  <si>
    <t>EPC tangki/kolam tertutup untuk PKS yang punya modal</t>
  </si>
  <si>
    <t>USD 1,8-3,7 jt/MWe [R3]</t>
  </si>
  <si>
    <t>Pembeli</t>
  </si>
  <si>
    <t>PKS: kuat menawar fee (preseden POME gratis)</t>
  </si>
  <si>
    <t>Fee harus &lt; biaya dihindari [Model Keputusan PKS]</t>
  </si>
  <si>
    <t>PLN pembeli tunggal listrik ekspor</t>
  </si>
  <si>
    <t>Monopsoni, plafon tarif</t>
  </si>
  <si>
    <t>Pembeli kredit karbon</t>
  </si>
  <si>
    <t>Harga volatil</t>
  </si>
  <si>
    <t>Produk substitusi</t>
  </si>
  <si>
    <t>Status quo kolam + aplikasi lahan</t>
  </si>
  <si>
    <t>Murah tunai, masih legal (BOD &lt;= 5.000)</t>
  </si>
  <si>
    <t>PLTS + baterai untuk emplasmen</t>
  </si>
  <si>
    <t>Mengganti diesel juga, tanpa POME</t>
  </si>
  <si>
    <t>Penyambungan ke PLN (Rp 1.115/kWh)</t>
  </si>
  <si>
    <t>Mahal di lokasi terpencil [R2]</t>
  </si>
  <si>
    <t>Skor rata-rata</t>
  </si>
  <si>
    <t>REGISTER SUMBER (research/source_register.json; laporan lengkap research/R1-R4*.md)</t>
  </si>
  <si>
    <t>Berkas</t>
  </si>
  <si>
    <t>Rendah</t>
  </si>
  <si>
    <t>Tinggi</t>
  </si>
  <si>
    <t>URL</t>
  </si>
  <si>
    <t>Tanggal</t>
  </si>
  <si>
    <t>R1 regulasi &amp; karbon</t>
  </si>
  <si>
    <t>BOD discharge limit (palm oil)</t>
  </si>
  <si>
    <t>mg/L</t>
  </si>
  <si>
    <t>PermenLH 5/2014 Lampiran III (BPK JDIH)</t>
  </si>
  <si>
    <t>https://peraturan.bpk.go.id/Download/384240/Permen%20LH%20No%205%20Tahun%202014.pdf</t>
  </si>
  <si>
    <t>2014-10-15</t>
  </si>
  <si>
    <t>High</t>
  </si>
  <si>
    <t>Load limit 0.25 kg/t CPO; no palm-specific replacement found as of Oct-2026</t>
  </si>
  <si>
    <t>COD discharge limit</t>
  </si>
  <si>
    <t>PermenLH 5/2014 Lampiran III</t>
  </si>
  <si>
    <t>0.88 kg/t CPO; AnMBR permeate (~1,000-2,500 mg/L) will NOT meet it without polishing</t>
  </si>
  <si>
    <t>TSS discharge limit</t>
  </si>
  <si>
    <t>0.63 kg/t CPO</t>
  </si>
  <si>
    <t>Oil &amp; grease discharge limit</t>
  </si>
  <si>
    <t>0.063 kg/t CPO</t>
  </si>
  <si>
    <t>Total N discharge limit</t>
  </si>
  <si>
    <t>0.125 kg/t CPO</t>
  </si>
  <si>
    <t>pH range</t>
  </si>
  <si>
    <t>6-9</t>
  </si>
  <si>
    <t>Max wastewater discharge volume</t>
  </si>
  <si>
    <t>m3/t CPO</t>
  </si>
  <si>
    <t>OCR shows 'm2'; m3 intended. Our mill generates ~3.1 m3 POME/t CPO (calc.)</t>
  </si>
  <si>
    <t>Land application BOD max</t>
  </si>
  <si>
    <t>KepMenLH 28/2003 &amp; 29/2003 as cited by Unpad Soilrens</t>
  </si>
  <si>
    <t>https://journals.unpad.ac.id/soilrens/article/download/45267/19386</t>
  </si>
  <si>
    <t>2003</t>
  </si>
  <si>
    <t>Med</t>
  </si>
  <si>
    <t>Decrees reportedly superseded by PermenLHK 5/2021 (Persetujuan Teknis + SLO), leaving no explicit technical standard; low value is an assumed conservative planning value</t>
  </si>
  <si>
    <t>Max criminal fine intentional pollution (UU 32/2009 Art.98)</t>
  </si>
  <si>
    <t>bn IDR</t>
  </si>
  <si>
    <t>UU 32/2009 as amended by UU 6/2023</t>
  </si>
  <si>
    <t>https://peraturan.bpk.go.id/Details/38771/uu-no-32-tahun-2009</t>
  </si>
  <si>
    <t>2009/2023</t>
  </si>
  <si>
    <t>Plus 3-10 yrs prison; Art.100 effluent breach max Rp3 bn / 3 yrs, ultimum remedium</t>
  </si>
  <si>
    <t>Actual fine in POME case (PT SIPP, Supreme Court)</t>
  </si>
  <si>
    <t>GoRiau / Sabang Merauke News</t>
  </si>
  <si>
    <t>https://www.goriau.com/berita/baca/sukses-kawal-kasus-limbah-pt-sipp-hingga-putusan-kasasi-ma-dr-marnalom-hutahaean-ini-kemenangan-masyarakat.html</t>
  </si>
  <si>
    <t>2024-11-28</t>
  </si>
  <si>
    <t>3 yrs prison each for Director &amp; GM; appeal stage had Rp200m fine + Rp250m remediation</t>
  </si>
  <si>
    <t>ISPO deadline for downstream &amp; bioenergy (incl. biogas)</t>
  </si>
  <si>
    <t>2027-03-19</t>
  </si>
  <si>
    <t>date</t>
  </si>
  <si>
    <t>2027-03-20</t>
  </si>
  <si>
    <t>Perpres 16/2025 via InfoSAWIT</t>
  </si>
  <si>
    <t>https://www.infosawit.com/2025/05/12/ispo-kini-wajib-untuk-industri-hilir-dan-bioenergi-petani-swadaya-didorong-dapat-insentif/</t>
  </si>
  <si>
    <t>2025-05-12</t>
  </si>
  <si>
    <t>May apply to our BOO biogas entity</t>
  </si>
  <si>
    <t>Bo (max CH4 producing capacity)</t>
  </si>
  <si>
    <t>IPCC 2006 GL Vol5 Ch6</t>
  </si>
  <si>
    <t>https://www.ipcc-nggip.iges.or.jp/public/2006gl/pdf/5_Volume5/V5_6_Ch6_Wastewater.pdf</t>
  </si>
  <si>
    <t>2006</t>
  </si>
  <si>
    <t>Unchanged in 2019 Refinement; not re-fetched this session</t>
  </si>
  <si>
    <t>MCF deep anaerobic lagoon (&gt;2 m)</t>
  </si>
  <si>
    <t>IPCC 2006/2019 Table 6.3; AMS-III.H Table III.H.1</t>
  </si>
  <si>
    <t>https://www.ipcc-nggip.iges.or.jp/public/2019rf/pdf/5_Volume5/19R_V5_6_Ch06_Wastewater.pdf</t>
  </si>
  <si>
    <t>2019</t>
  </si>
  <si>
    <t>Shallow lagoon &lt;2 m = 0.2 (0-0.3)</t>
  </si>
  <si>
    <t>AMS-III.H model uncertainty factor</t>
  </si>
  <si>
    <t>UNFCCC CDM AMS-III.H v19</t>
  </si>
  <si>
    <t>https://cdm.unfccc.int/methodologies/DB/0VAXUEJCAFN54BBE98CARMZU2TPMPJ/</t>
  </si>
  <si>
    <t>2019-06-14</t>
  </si>
  <si>
    <t>From methodology text; not re-fetched</t>
  </si>
  <si>
    <t>GWP CH4</t>
  </si>
  <si>
    <t>tCO2e/tCH4</t>
  </si>
  <si>
    <t>UNFCCC Decision 18/CMA.1 (AR5)</t>
  </si>
  <si>
    <t>https://unfccc.int/sites/default/files/resource/cma2018_3_add2_new_advance.pdf</t>
  </si>
  <si>
    <t>2018</t>
  </si>
  <si>
    <t>AR6=27.9; old CDM PDDs used 21 (AR2) or 25 (AR4)</t>
  </si>
  <si>
    <t>Project methane avoidance (own calc.)</t>
  </si>
  <si>
    <t>tCO2e/yr</t>
  </si>
  <si>
    <t>Own calculation with AMS-III.H/IPCC parameters</t>
  </si>
  <si>
    <t>2026-10-16</t>
  </si>
  <si>
    <t>10,676 t COD/yr x 0.9 removal x 0.25 x 0.8 x 0.89 x 28 = 47.9 kt baseline; minus 5-15% project emissions; claim of 32 kt is conservative</t>
  </si>
  <si>
    <t>Indonesian CDM POME project ER (typical)</t>
  </si>
  <si>
    <t>UNFCCC CDM registry (Musim Mas 52,397; Unggul Lestari 52,781; Umbul Mas Wisesa 57,640; Golden Blossom 21,675)</t>
  </si>
  <si>
    <t>https://cdm.unfccc.int/Projects/DB/DNV-CUK1297330109.8/view</t>
  </si>
  <si>
    <t>2010-2013</t>
  </si>
  <si>
    <t>Mostly GWP 21; mill capacities not extracted</t>
  </si>
  <si>
    <t>Baseline POME GHG per t CPO</t>
  </si>
  <si>
    <t>tCO2e/t CPO</t>
  </si>
  <si>
    <t>J. Air &amp; Waste Mgmt Assoc 2014; own calc.</t>
  </si>
  <si>
    <t>https://www.tandfonline.com/doi/pdf/10.1080/10962247.2013.873092</t>
  </si>
  <si>
    <t>2014</t>
  </si>
  <si>
    <t>JAWMA: ~1,100 -&gt; ~200 kgCO2e/t CPO with biogas capture</t>
  </si>
  <si>
    <t>POME share of product GHG (PalmGHG pilot)</t>
  </si>
  <si>
    <t>%</t>
  </si>
  <si>
    <t>Bessou et al., PalmGHG (RSPO)</t>
  </si>
  <si>
    <t>https://agritrop.cirad.fr/580308/1/Bessou.paper.ICOPE2016.pdf</t>
  </si>
  <si>
    <t>2014-2016</t>
  </si>
  <si>
    <t>Avg 1.67 tCO2e/t CPO incl. land clearing; &gt;90% of mill-gate-only GHG per JAWMA</t>
  </si>
  <si>
    <t>Methane-avoidance voluntary credit price</t>
  </si>
  <si>
    <t>EcoEngineers citing AlliedOffsets &amp; CAR</t>
  </si>
  <si>
    <t>https://www.ecoengineers.us/insights/unlocking-value-from-landfill-methane-destruction/</t>
  </si>
  <si>
    <t>2025</t>
  </si>
  <si>
    <t>Peak 8.3 Jul-2024; ~5 through 2025</t>
  </si>
  <si>
    <t>MSCI Global Carbon Credit Price Index annual avg</t>
  </si>
  <si>
    <t>MSCI</t>
  </si>
  <si>
    <t>https://www.msci.com/research-and-insights/blog-post/carbon-credits-come-of-age-in-2025</t>
  </si>
  <si>
    <t>4.3 in 2024</t>
  </si>
  <si>
    <t>IDXCarbon IDTBS price</t>
  </si>
  <si>
    <t>OJK Jul-2025 (Rp58,800) via Mongabay/Tempo; launch Rp96,000</t>
  </si>
  <si>
    <t>https://www.tempo.co/ekonomi/ri-resmi-luncurkan-perdagangan-karbon-internasional-harga-rp-96-ribu-dan-rp-144-ribu-per-ton-1196430</t>
  </si>
  <si>
    <t>2025-07-14</t>
  </si>
  <si>
    <t>2025 implied avg ~Rp40,200/t (DJPb); cumulative 1.98 Mt / Rp93.97 bn to 30-Sep-2026; very thin volume</t>
  </si>
  <si>
    <t>IDXCarbon cumulative volume since launch</t>
  </si>
  <si>
    <t>MtCO2e</t>
  </si>
  <si>
    <t>OJK via periskop.id</t>
  </si>
  <si>
    <t>https://periskop.id/pasar-modal/20261013/pasar-karbon-ri-baru-rp94-miliar-pemerintah-ingin-manfaat-lebih-besar-mengalir-ke-warga</t>
  </si>
  <si>
    <t>2026-09-30</t>
  </si>
  <si>
    <t>Rp93.97 bn value; 160 users</t>
  </si>
  <si>
    <t>CORSIA-eligible unit price (planning)</t>
  </si>
  <si>
    <t>ICAO 2025 periodic review via theplanetbrief</t>
  </si>
  <si>
    <t>https://theplanetbrief.com/carbon/corsia/credit-prices/</t>
  </si>
  <si>
    <t>2026</t>
  </si>
  <si>
    <t>Low</t>
  </si>
  <si>
    <t>Requires Indonesian LoA + corresponding adjustment under Perpres 110/2025</t>
  </si>
  <si>
    <t>Verra VCU issuance levy</t>
  </si>
  <si>
    <t>USD/VCU</t>
  </si>
  <si>
    <t>Verra fee schedule</t>
  </si>
  <si>
    <t>https://verra.org/new-verra-program-fee-schedule-faqs/</t>
  </si>
  <si>
    <t>2025-01-01</t>
  </si>
  <si>
    <t>Charged on ERRs claimed; registry transaction 0.02/VCU; 2026 schedule not checked; high value is an assumed allowance for a fee increase</t>
  </si>
  <si>
    <t>Verra registration review fee</t>
  </si>
  <si>
    <t>Verra</t>
  </si>
  <si>
    <t>https://verra.org/verra-releases-updated-fee-schedule/</t>
  </si>
  <si>
    <t>Pipeline listing 1,500 USD</t>
  </si>
  <si>
    <t>VVB validation + verification cost over 10 yr</t>
  </si>
  <si>
    <t>Industry estimate (unsourced)</t>
  </si>
  <si>
    <t>Excludes validation; not sourced this session; replace with quotes from VVBs</t>
  </si>
  <si>
    <t>PLN ceiling tariff biogas 1-3 MW, yrs 1-10</t>
  </si>
  <si>
    <t>Perpres 112/2022 Lampiran I (OCR via Stockbit mirror)</t>
  </si>
  <si>
    <t>https://jdih.kemenkeu.go.id/api/download/7332a343-0623-4d26-80f2-9d8f62a5c2ba/2022perpres112.pdf</t>
  </si>
  <si>
    <t>2022-09-13</t>
  </si>
  <si>
    <t>&lt;=1 MW 11.47; 3-5 MW 8.77; media versions differ (Katadata 9.81); low/high span media and annex values across capacity bands</t>
  </si>
  <si>
    <t>PLN ceiling tariff biogas 1-3 MW, yrs 11-30</t>
  </si>
  <si>
    <t>Perpres 112/2022 Lampiran I</t>
  </si>
  <si>
    <t>RUPTL 2025-2034 bioenergy additions</t>
  </si>
  <si>
    <t>GW</t>
  </si>
  <si>
    <t>ESDM / RUPTL 2025-2034</t>
  </si>
  <si>
    <t>https://rmol.id/amp/2025/05/26/667818/sahkan-ruptl-2025-2034--menteri-esdm-bidik-kapasitas-listrik-tambahan-69-5-gw-</t>
  </si>
  <si>
    <t>2025-05-26</t>
  </si>
  <si>
    <t>Of 69.5 GW total; no separate biogas line found; low = 2025-2029 first-five-year figure</t>
  </si>
  <si>
    <t>Installed PLTBg (all feedstock) Indonesia</t>
  </si>
  <si>
    <t>MW</t>
  </si>
  <si>
    <t>Ditjen EBTKE</t>
  </si>
  <si>
    <t>https://ebtke.esdm.go.id/</t>
  </si>
  <si>
    <t>2026-04</t>
  </si>
  <si>
    <t>155.84 MW Oct-2024</t>
  </si>
  <si>
    <t>EU RED default GHG saving palm biodiesel, open pond</t>
  </si>
  <si>
    <t>ISCC EU 205 v4.1</t>
  </si>
  <si>
    <t>https://www.iscc-system.org/wp-content/uploads/2024/01/ISCC_EU_205_Greenhouse-Gas-Emissions_v4.1_January2024.pdf</t>
  </si>
  <si>
    <t>2024-01</t>
  </si>
  <si>
    <t>Below 50-65% threshold -&gt; default unusable without methane capture</t>
  </si>
  <si>
    <t>Methane-capture default eligibility threshold</t>
  </si>
  <si>
    <t>kg CH4/t CPO</t>
  </si>
  <si>
    <t>ISCC 205 v3.0</t>
  </si>
  <si>
    <t>https://www.adviescommissiedbe.nl/file/download/b7ac07a8-48c4-40d1-8ab6-2ccdced28d79/ISCC_205_GHG_Emissions_3.0.pdf</t>
  </si>
  <si>
    <t>2017</t>
  </si>
  <si>
    <t>Check current v4.1 wording</t>
  </si>
  <si>
    <t>RSPO book &amp; claim credit price</t>
  </si>
  <si>
    <t>USD/t oil</t>
  </si>
  <si>
    <t>Eco-Business; WWF/Proforest 2019</t>
  </si>
  <si>
    <t>https://www.eco-business.com/news/new-sustainable-palm-oil-rules-win-consensus-amid-rspo-credit-price-slump/</t>
  </si>
  <si>
    <t>2024-2025</t>
  </si>
  <si>
    <t>Peak ~40 USD/t; low-GHG CPO premium NOT found</t>
  </si>
  <si>
    <t>Enhanced NDC industrial wastewater CH4 recovery target</t>
  </si>
  <si>
    <t>MtCO2e (2030)</t>
  </si>
  <si>
    <t>Indonesia Enhanced NDC</t>
  </si>
  <si>
    <t>https://unfccc.int/sites/default/files/NDC/2022-09/23.09.2022_Enhanced%20NDC%20Indonesia.pdf</t>
  </si>
  <si>
    <t>2022-09-23</t>
  </si>
  <si>
    <t>~1.2 Mt CH4 recovery; Second NDC POME target unverified</t>
  </si>
  <si>
    <t>Carbon tax rate (planned, not in force)</t>
  </si>
  <si>
    <t>IISD policy brief</t>
  </si>
  <si>
    <t>https://www.iisd.org/system/files/2026-03/carbon-pricing-southeast-asia.pdf</t>
  </si>
  <si>
    <t>2026-03</t>
  </si>
  <si>
    <t>Rp30,000/t under UU 7/2021; repeatedly delayed</t>
  </si>
  <si>
    <t>R2 energi &amp; ekonomi PKS</t>
  </si>
  <si>
    <t>fx_usd_idr</t>
  </si>
  <si>
    <t>Bank Indonesia JISDOR</t>
  </si>
  <si>
    <t>https://www.bi.go.id/id/statistik/informasi-kurs/jisdor/default.aspx</t>
  </si>
  <si>
    <t>2026-10-15</t>
  </si>
  <si>
    <t>Rupiah touched 18,000 late Sep 2026</t>
  </si>
  <si>
    <t>bi_rate</t>
  </si>
  <si>
    <t>CNN Indonesia / Bank Indonesia RDG</t>
  </si>
  <si>
    <t>https://www.cnnindonesia.com/ekonomi/20260923143557-78-1407278/bi-rate-tetap-575-persen-per-september-2026-ditahan-3-bulan-beruntun</t>
  </si>
  <si>
    <t>2026-09-23</t>
  </si>
  <si>
    <t>+25bp Jun-2026, held Jul-Sep</t>
  </si>
  <si>
    <t>wacc_solar_indonesia_iea</t>
  </si>
  <si>
    <t>% nominal post-tax LCY</t>
  </si>
  <si>
    <t>IEA Cost of Capital Observatory</t>
  </si>
  <si>
    <t>https://www.iea.org/commentaries/high-cost-of-capital-and-limited-project-pipeline-hinder-clean-energy-investment-in-southeast-asia</t>
  </si>
  <si>
    <t>2025-10</t>
  </si>
  <si>
    <t>2024 data, solar PV proxy</t>
  </si>
  <si>
    <t>cost_of_debt_climate_id</t>
  </si>
  <si>
    <t>Climate Policy Initiative</t>
  </si>
  <si>
    <t>https://www.climatepolicyinitiative.org/wp-content/uploads/2023/06/Discussion-Paper-EM-Cost-of-Capital-for-RE-and-GCGF-FINAL-Jun-2023.pdf</t>
  </si>
  <si>
    <t>2023-06</t>
  </si>
  <si>
    <t>equity 14.7%</t>
  </si>
  <si>
    <t>cost_of_equity_climate_id</t>
  </si>
  <si>
    <t>add premium for first-of-kind AnMBR</t>
  </si>
  <si>
    <t>project_wacc_model</t>
  </si>
  <si>
    <t>% nominal IDR</t>
  </si>
  <si>
    <t>Analyst (IEA+CPI+premium)</t>
  </si>
  <si>
    <t>derived</t>
  </si>
  <si>
    <t>assumption</t>
  </si>
  <si>
    <t>pln_tariff_I3</t>
  </si>
  <si>
    <t>IDR/kWh</t>
  </si>
  <si>
    <t>Kompas / ESDM</t>
  </si>
  <si>
    <t>https://money.kompas.com/read/2026/10/13/083616126/tarif-listrik-per-kwh-13-18-oktober-2026-untuk-semua-golongan-pelanggan-pln</t>
  </si>
  <si>
    <t>2026-10-13</t>
  </si>
  <si>
    <t>I-3/TM &gt;200 kVA, LWBP basis; Q4-2026 unchanged</t>
  </si>
  <si>
    <t>pln_tariff_I4</t>
  </si>
  <si>
    <t>Metro TV News</t>
  </si>
  <si>
    <t>https://www.metrotvnews.com/read/b2lCXBwP-tarif-listrik-per-kwh-13-18-oktober-2026-simak-rincian-harga-per-golongan</t>
  </si>
  <si>
    <t>I-4/TT &gt;=30 MVA</t>
  </si>
  <si>
    <t>dexlite_retail</t>
  </si>
  <si>
    <t>IDR/L</t>
  </si>
  <si>
    <t>Bisnis.com / Pertamina Patra Niaga</t>
  </si>
  <si>
    <t>https://ekonomi.bisnis.com/read/20260901/44/2000252/daftar-harga-bbm-per-1-september-2026-kompak-naik</t>
  </si>
  <si>
    <t>2026-09-01</t>
  </si>
  <si>
    <t>Kalimantan 24,200; unchanged Oct-2026</t>
  </si>
  <si>
    <t>hsd_industrial_delivered</t>
  </si>
  <si>
    <t>solardistro / patrasinergi / bataviapetroenergi</t>
  </si>
  <si>
    <t>https://solardistro.com/artikel/harga-solar-industri-periode-15-31-september-2026/</t>
  </si>
  <si>
    <t>2026-10</t>
  </si>
  <si>
    <t>B50 base 18,950 excl tax (1-14 Oct); ref 24,886 incl PPN; definitions vary</t>
  </si>
  <si>
    <t>genset_sfc</t>
  </si>
  <si>
    <t>MPOB POEB 115; DSNG 2023 derived</t>
  </si>
  <si>
    <t>https://palmoilis.mpob.gov.my/publications/POEB/poeb115-ravi.pdf</t>
  </si>
  <si>
    <t>2023</t>
  </si>
  <si>
    <t>DSNG 1.99 ML for 7.15 GWh -&gt; 0.28</t>
  </si>
  <si>
    <t>diesel_power_cost</t>
  </si>
  <si>
    <t>Analyst</t>
  </si>
  <si>
    <t>SFC x HSD price</t>
  </si>
  <si>
    <t>mill_elec_intensity</t>
  </si>
  <si>
    <t>kWh/t FFB</t>
  </si>
  <si>
    <t>Indonesian/Thai mill surveys</t>
  </si>
  <si>
    <t>https://www.researchgate.net/publication/266052671_Assessment_and_Improvement_of_Energy_Utilization_in_Crude_Palm_Oil_Mill</t>
  </si>
  <si>
    <t>2014-2019</t>
  </si>
  <si>
    <t>start-up 18.7+/-5.4</t>
  </si>
  <si>
    <t>mill_diesel_use</t>
  </si>
  <si>
    <t>L/t FFB</t>
  </si>
  <si>
    <t>ScienceDirect (citing Jamaludin 2018)</t>
  </si>
  <si>
    <t>https://www.sciencedirect.com/science/article/pii/S2666789425000698</t>
  </si>
  <si>
    <t>mill-specific; verify with logs</t>
  </si>
  <si>
    <t>palmco_diesel_saved</t>
  </si>
  <si>
    <t>million L (2023-2025)</t>
  </si>
  <si>
    <t>InfoSAWIT / PTPN IV PalmCo</t>
  </si>
  <si>
    <t>https://www.infosawit.com/2026/05/08/palmco-optimalkan-limbah-sawit-jadi-energi-tekan-konsumsi-solar-hingga-jutaan-liter/</t>
  </si>
  <si>
    <t>2026-05-08</t>
  </si>
  <si>
    <t>Rp 39.5 bn saved over 3 yrs; 2 covered-lagoon PLTBg (Tandun 1.2 MW, Terantam 0.7 MW)</t>
  </si>
  <si>
    <t>dsng_diesel_saved_2023</t>
  </si>
  <si>
    <t>million L/yr</t>
  </si>
  <si>
    <t>IDN Financials / DSNG</t>
  </si>
  <si>
    <t>https://www.idnfinancials.com/news/51470/tempo-and-idn-financials-award-andrianto-oetomo-as-the-best-ceo</t>
  </si>
  <si>
    <t>2024</t>
  </si>
  <si>
    <t>Rp 30.94 bn saved; 7.15 GWh</t>
  </si>
  <si>
    <t>perpres112_pltbg_le1MW_y1_10</t>
  </si>
  <si>
    <t>USc/kWh x F</t>
  </si>
  <si>
    <t>CNBC Indonesia / Perpres 112/2022</t>
  </si>
  <si>
    <t>https://www.cnbcindonesia.com/news/20220914215339-4-372174/yang-dinanti-sudah-terbit-begini-aturan-tarif-listrik-ebt</t>
  </si>
  <si>
    <t>2022-09-14</t>
  </si>
  <si>
    <t>ceiling; Slideshare copy shows 11.55 (likely PLTBm)</t>
  </si>
  <si>
    <t>perpres112_pltbg_le1MW_y11_30</t>
  </si>
  <si>
    <t>no F</t>
  </si>
  <si>
    <t>perpres112_pltbg_1_3MW_y1_10</t>
  </si>
  <si>
    <t>ESDM socialisation slides (OCR)</t>
  </si>
  <si>
    <t>https://id.scribd.com/document/609079033/Materi-Sosialisasi-Perpres-112-2022</t>
  </si>
  <si>
    <t>2022</t>
  </si>
  <si>
    <t>verify Lampiran I</t>
  </si>
  <si>
    <t>location_factor_F_sumatra_kalimantan</t>
  </si>
  <si>
    <t>ESDM socialisation slides</t>
  </si>
  <si>
    <t>LPEM says biogas has no F - conflicting</t>
  </si>
  <si>
    <t>excess_power_hpt_pltbg</t>
  </si>
  <si>
    <t>Perpres 112/2022 annex (excerpt)</t>
  </si>
  <si>
    <t>IUPTLS excess power; negotiated, no escalation; Permen ESDM 5/2025 by agreement</t>
  </si>
  <si>
    <t>historical_pltbg_ppa</t>
  </si>
  <si>
    <t>IDX Channel (PTPN IV Pasir Mandoge 2x1 MW)</t>
  </si>
  <si>
    <t>https://www.idxchannel.com/economics/manfaatkan-limbah-dari-kelapa-sawit-ptpn-iv-pln-bikin-pltbg-2x1-mw</t>
  </si>
  <si>
    <t>c.2018</t>
  </si>
  <si>
    <t>capex Rp 42 bn, 15 GWh/yr</t>
  </si>
  <si>
    <t>capex_pome_biogas_per_MW</t>
  </si>
  <si>
    <t>M USD/MW</t>
  </si>
  <si>
    <t>APEC EWG (Jambi 2.4 MW, USD 5.486M)</t>
  </si>
  <si>
    <t>https://www.apec.org/docs/default-source/Publications/2017/3/Strategy-for-LargeScale-Implementation-of-Biogas-Capture-from-Palm-Oil-Mill-Effluent-and-Reuse-for-R/217_EWG_Biogas-from-Palm-Oil-Mill-Effluent_Final-Report-for-APEC-Secretariat.pdf</t>
  </si>
  <si>
    <t>2017-03</t>
  </si>
  <si>
    <t>Asian Agri USD 4.5M/2MW (2015); MPOB 2.5-3 M/MW</t>
  </si>
  <si>
    <t>capex_cstr_700kW</t>
  </si>
  <si>
    <t>Rp bn</t>
  </si>
  <si>
    <t>BRIN/BPPT MIPI journal (PKS Sei Pagar)</t>
  </si>
  <si>
    <t>https://ejournal.brin.go.id/MIPI/article/view/1630</t>
  </si>
  <si>
    <t>c.2019</t>
  </si>
  <si>
    <t>~Rp 37.6 bn/MW; O&amp;M Rp 2.3 bn/yr</t>
  </si>
  <si>
    <t>capex_suka_damai_2p4MW</t>
  </si>
  <si>
    <t>ResearchGate CBA PLTBg Suka Damai</t>
  </si>
  <si>
    <t>https://www.researchgate.net/publication/344644827_Cost-Benefit_Analysis_of_POME_Biogas_Power_Plant_Case_Study_of_PLTBg_Suka_Damai</t>
  </si>
  <si>
    <t>2020</t>
  </si>
  <si>
    <t>~Rp 45 bn/MW</t>
  </si>
  <si>
    <t>biogas_om_per_MW</t>
  </si>
  <si>
    <t>Rp bn/MW/yr</t>
  </si>
  <si>
    <t>BRIN MIPI; UNRI JST</t>
  </si>
  <si>
    <t>2019-2021</t>
  </si>
  <si>
    <t>CSTR basis</t>
  </si>
  <si>
    <t>capacity_factor</t>
  </si>
  <si>
    <t>MATEC Riau FS; ECM-X 2025</t>
  </si>
  <si>
    <t>https://www.sciencedirect.com/science/article/pii/S2666188825010172</t>
  </si>
  <si>
    <t>2019-2025</t>
  </si>
  <si>
    <t>5,000-7,200 h/yr</t>
  </si>
  <si>
    <t>bangka_case_irr</t>
  </si>
  <si>
    <t>Energies 15(19):7265</t>
  </si>
  <si>
    <t>https://doi.org/10.3390/EN15197265</t>
  </si>
  <si>
    <t>30 t/h, capex USD 1.979M, NPV negative, insufficient POME</t>
  </si>
  <si>
    <t>pond_capex_60tph</t>
  </si>
  <si>
    <t>Rp bn (2026, inflated)</t>
  </si>
  <si>
    <t>Blog (2014) + inflation</t>
  </si>
  <si>
    <t>https://zuelyzul.blogspot.com/2014/10/pemanfaatan-limbah-cair-pks-untuk-land.html</t>
  </si>
  <si>
    <t>orig Rp 0.8-1.0 bn</t>
  </si>
  <si>
    <t>pond_opex_excl_desludge</t>
  </si>
  <si>
    <t>Rp M/yr</t>
  </si>
  <si>
    <t>Blog</t>
  </si>
  <si>
    <t>desludging_per_pond</t>
  </si>
  <si>
    <t>Rp bn/event</t>
  </si>
  <si>
    <t>Jagaba et al., Ain Shams Eng J</t>
  </si>
  <si>
    <t>https://strathprints.strath.ac.uk/75100/1/Jagaba_etal_ASEJ_2020_Sustainable_use_of_natural_and_chemical_coagulants_for_contaminants_removal_from_palm_oil_mill_effluent.pdf</t>
  </si>
  <si>
    <t>RM 100,000 (Malaysia)</t>
  </si>
  <si>
    <t>sludge_generation</t>
  </si>
  <si>
    <t>m3/yr/mill</t>
  </si>
  <si>
    <t>Infraconcrete (vendor)</t>
  </si>
  <si>
    <t>https://infraconcrete.co/geotube-dewatering-pome-palm-oil/</t>
  </si>
  <si>
    <t>n.d.</t>
  </si>
  <si>
    <t>la_flatbed_cost</t>
  </si>
  <si>
    <t>IDR/m3</t>
  </si>
  <si>
    <t>IPB (PKS Condong) inflated</t>
  </si>
  <si>
    <t>https://repository.ipb.ac.id/handle/123456789/60711</t>
  </si>
  <si>
    <t>c.2012</t>
  </si>
  <si>
    <t>Rp 7/L flatbed, Rp 19/L tanker (original)</t>
  </si>
  <si>
    <t>pond_land_45tph</t>
  </si>
  <si>
    <t>ha</t>
  </si>
  <si>
    <t>IOP Conf Ser EES 365 (5 ha per 30 t/h)</t>
  </si>
  <si>
    <t>https://iopscience.iop.org/article/10.1088/1755-1315/365/1/012009/pdf</t>
  </si>
  <si>
    <t>scaled</t>
  </si>
  <si>
    <t>pond_total_hrt</t>
  </si>
  <si>
    <t>d</t>
  </si>
  <si>
    <t>MDPI Processes review</t>
  </si>
  <si>
    <t>https://www.mdpi.com/2227-9717/9/5/739</t>
  </si>
  <si>
    <t>2021</t>
  </si>
  <si>
    <t>anaerobic 40-60 d</t>
  </si>
  <si>
    <t>la_area_45tph</t>
  </si>
  <si>
    <t>haisawit (253 ha per 60 t/h)</t>
  </si>
  <si>
    <t>https://haisawit.co.id/news/detail/hitung-cermat-luas-lahan-la-dan-jjk-sawit-untuk-pks-kapasitas-60-ton-per-jam</t>
  </si>
  <si>
    <t>c.2024</t>
  </si>
  <si>
    <t>ffb_price_riau</t>
  </si>
  <si>
    <t>IDR/kg</t>
  </si>
  <si>
    <t>InfoSAWIT / Disbun Riau</t>
  </si>
  <si>
    <t>https://www.infosawit.com/2026/10/13/harga-tbs-sawit-plasma-riau-periode-14-20-oktober-2026-umur-9-tahun-rp3-78339-per-kg/</t>
  </si>
  <si>
    <t>plasma 10-20 yr, 14-20 Oct 2026</t>
  </si>
  <si>
    <t>cpo_productivity</t>
  </si>
  <si>
    <t>t CPO/ha/yr</t>
  </si>
  <si>
    <t>Kementan</t>
  </si>
  <si>
    <t>https://satudata.pertanian.go.id/assets/docs/publikasi/Buku_Analisis_Kinerja_Perdagangan_Kelapa_Sawit_2025_-_tte_sign.pdf</t>
  </si>
  <si>
    <t>~17 t FFB/ha</t>
  </si>
  <si>
    <t>net_margin_per_ha</t>
  </si>
  <si>
    <t>Rp M/ha/yr</t>
  </si>
  <si>
    <t>(3,700-1,800) x 17 t</t>
  </si>
  <si>
    <t>plantation_land_price</t>
  </si>
  <si>
    <t>Rp M/ha</t>
  </si>
  <si>
    <t>gdm.id / sawitpro.id</t>
  </si>
  <si>
    <t>https://gdm.id/harga-kebun-sawit-1-hektar-setiap-daerah-di-indonesia/</t>
  </si>
  <si>
    <t>c.2025</t>
  </si>
  <si>
    <t>Riau 150-300</t>
  </si>
  <si>
    <t>pks_shell_fob</t>
  </si>
  <si>
    <t>Argus Media</t>
  </si>
  <si>
    <t>https://www.argusmedia.com/en/news-and-insights/latest-market-news/2770870-indonesia-maintains-pks-export-tax-for-january-2026</t>
  </si>
  <si>
    <t>2025-12-24</t>
  </si>
  <si>
    <t>export tax 7 + levy 3 USD/t</t>
  </si>
  <si>
    <t>pks_shell_exmill</t>
  </si>
  <si>
    <t>Analyst / harga.web.id</t>
  </si>
  <si>
    <t>rkl_rpl_monitoring</t>
  </si>
  <si>
    <t>Rp bn/yr</t>
  </si>
  <si>
    <t>no public source found</t>
  </si>
  <si>
    <t>seda_fit_biogas_2026_bids</t>
  </si>
  <si>
    <t>RM/kWh</t>
  </si>
  <si>
    <t>SEDA Malaysia</t>
  </si>
  <si>
    <t>https://www.seda.gov.my/result-of-application-for-feed-in-approval-for-the-year-2026-under-the-feed-in-tariff-fit-system/</t>
  </si>
  <si>
    <t>2026-08-11</t>
  </si>
  <si>
    <t>e-bidding, 21-yr</t>
  </si>
  <si>
    <t>id_mills_methane_capture_share</t>
  </si>
  <si>
    <t>IOP Environ Res Lett</t>
  </si>
  <si>
    <t>https://iopscience.iop.org/article/10.1088/1748-9326/ad8806</t>
  </si>
  <si>
    <t>&lt;10%</t>
  </si>
  <si>
    <t>my_mills_biogas_share</t>
  </si>
  <si>
    <t>RTM Berita (170/446 mills)</t>
  </si>
  <si>
    <t>https://berita.rtm.gov.my/nasional/senarai-berita-nasional/senarai-artikel/pekebun-kecil-pengilang-sawit-diseru-rebut-peluang-bangunkan-industri-biogas/</t>
  </si>
  <si>
    <t>Dec-2024</t>
  </si>
  <si>
    <t>status_quo_cost_total</t>
  </si>
  <si>
    <t>Analyst (LA+desludge+monitoring+diesel)</t>
  </si>
  <si>
    <t>~Rp 19,000/t FFB; diesel ~58%</t>
  </si>
  <si>
    <t>R3 pasar &amp; pesaing</t>
  </si>
  <si>
    <t>mills_ID</t>
  </si>
  <si>
    <t>mills</t>
  </si>
  <si>
    <t>Trase/SEI-PCS methodology v1.2.2 (UML)</t>
  </si>
  <si>
    <t>https://resources.trase.earth/documents/data_methods/SEI_PCS_Indonesia_palm_1.2.2_ENG.pdf</t>
  </si>
  <si>
    <t>2024-09</t>
  </si>
  <si>
    <t>1,318 operating in 2022; UML 2023 = 1,231 (EarthArXiv 2025). Base rounded.</t>
  </si>
  <si>
    <t>mills_ID_series</t>
  </si>
  <si>
    <t>[1125, 1171, 1218, 1278, 1318]</t>
  </si>
  <si>
    <t>Trase/SEI-PCS</t>
  </si>
  <si>
    <t>Annual series ending 2022</t>
  </si>
  <si>
    <t>independent_mills_no_estate</t>
  </si>
  <si>
    <t>GAPKI news</t>
  </si>
  <si>
    <t>https://gapki.id/news/2026/09/10/pks-tanpa-kebun-dan-berondolan-ancam-ekosistem-rantai-pasok-sawit-yang-sudah-mapan/</t>
  </si>
  <si>
    <t>2026-09-10</t>
  </si>
  <si>
    <t>No base year; growth not computable nationally</t>
  </si>
  <si>
    <t>mill_count_growth_RokanHulu</t>
  </si>
  <si>
    <t>% 2020-2024</t>
  </si>
  <si>
    <t>Jerkin journal</t>
  </si>
  <si>
    <t>https://jerkin.org/index.php/jerkin/article/download/3935/2872</t>
  </si>
  <si>
    <t>36 -&gt; 74 mills, single district</t>
  </si>
  <si>
    <t>installed_capacity_vs_production</t>
  </si>
  <si>
    <t>[85, 41]</t>
  </si>
  <si>
    <t>Mt CPO-eq capacity vs Mt CPO produced</t>
  </si>
  <si>
    <t>Trase Infobrief 09</t>
  </si>
  <si>
    <t>https://resources.trase.earth/documents/infobriefs/infobrief09EN.pdf</t>
  </si>
  <si>
    <t>~2019</t>
  </si>
  <si>
    <t>~2x overcapacity</t>
  </si>
  <si>
    <t>kaltim_mills</t>
  </si>
  <si>
    <t>Disbun Kaltim</t>
  </si>
  <si>
    <t>https://disbun.kaltimprov.go.id/artikel/kaltim-miliki-99-pabrik-pengolahan-kelapa-sawit</t>
  </si>
  <si>
    <t>~2022</t>
  </si>
  <si>
    <t>5,662 t/h installed, 4,965 t/h used; avg 57 t/h</t>
  </si>
  <si>
    <t>avg_mill_capacity</t>
  </si>
  <si>
    <t>t FFB/h</t>
  </si>
  <si>
    <t>Sawit Indonesia (Astra 32 mills 1,570 t/h) + Disbun Kaltim</t>
  </si>
  <si>
    <t>https://sawitindonesia.com/5-emiten-sawit-dengan-jumlah-pabrik-sawit-terbanyak/</t>
  </si>
  <si>
    <t>EST national average</t>
  </si>
  <si>
    <t>installed_capacity_ID</t>
  </si>
  <si>
    <t>EST mills x avg</t>
  </si>
  <si>
    <t>Implies ~64% utilisation at 6,000 h/yr</t>
  </si>
  <si>
    <t>capacity_class_share</t>
  </si>
  <si>
    <t>{'&lt;30': 0.25, '30-45': 0.3, '45-60': 0.35, '&gt;60': 0.1}</t>
  </si>
  <si>
    <t>share of mills</t>
  </si>
  <si>
    <t>No public table; replace with Trase 2023 mill CSV</t>
  </si>
  <si>
    <t>province_mills</t>
  </si>
  <si>
    <t>{'Riau': 260, 'Sumut': 180, 'Kalteng': 130, 'Kalbar': 120, 'Sumsel': 110, 'Kaltim': 99, 'Jambi': 90, 'Kalsel': 46, 'Other': 196}</t>
  </si>
  <si>
    <t>EST (Kaltim, Kalsel sourced)</t>
  </si>
  <si>
    <t>From finance/research/market_data.md</t>
  </si>
  <si>
    <t>CPO_2024</t>
  </si>
  <si>
    <t>Mt</t>
  </si>
  <si>
    <t>GAPKI via Kontan</t>
  </si>
  <si>
    <t>https://industri.kontan.co.id/news/gapki-catat-produksi-cpo-nasional-naik-72-di-tahun-2025</t>
  </si>
  <si>
    <t>Kementan 47.47; BPS 45.44</t>
  </si>
  <si>
    <t>CPO_2025</t>
  </si>
  <si>
    <t>+7.2% y/y; CPO+PKO 56.55 Mt</t>
  </si>
  <si>
    <t>CPO_2026F</t>
  </si>
  <si>
    <t>GAPKI via Bisnis; Reuters poll</t>
  </si>
  <si>
    <t>https://ekonomi.bisnis.com/read/20260313/12/1960184/gapki-cemas-pasokan-cpo-makin-ketat-produksi-2026-diproyeksi-hanya-naik-2</t>
  </si>
  <si>
    <t>2026-03-13</t>
  </si>
  <si>
    <t>GAPKI +1-5%</t>
  </si>
  <si>
    <t>FFB_processed</t>
  </si>
  <si>
    <t>Mt/yr</t>
  </si>
  <si>
    <t>BRIN/PASPI via RRI</t>
  </si>
  <si>
    <t>https://rri.co.id/en/technology/2661068/indonesia-has-potential-to-use-pome-as-clean-energy-source</t>
  </si>
  <si>
    <t>2026-08</t>
  </si>
  <si>
    <t>Cross-check 51.66/0.205</t>
  </si>
  <si>
    <t>OER_MY_2024</t>
  </si>
  <si>
    <t>MPOB Overview 2024</t>
  </si>
  <si>
    <t>https://bepi.mpob.gov.my/images/overview/Overview2024.pdf</t>
  </si>
  <si>
    <t>No ID national OER published; ID assume ~20.5%</t>
  </si>
  <si>
    <t>POME_factor</t>
  </si>
  <si>
    <t>m3/t FFB</t>
  </si>
  <si>
    <t>design basis; PASPI uses 0.5 t/t</t>
  </si>
  <si>
    <t>https://www.bioenergy-news.com/news/indonesias-palm-oil-waste-could-generate-3-6-billion-cubic-metres-of-biogas-annually/</t>
  </si>
  <si>
    <t>POME_national</t>
  </si>
  <si>
    <t>Mm3/yr</t>
  </si>
  <si>
    <t>PASPI/BRIN via Bioenergy Insight</t>
  </si>
  <si>
    <t>125 Mt (PASPI) to 164 Mm3 (0.65 x 252 Mt)</t>
  </si>
  <si>
    <t>biogas_potential</t>
  </si>
  <si>
    <t>bn m3/yr</t>
  </si>
  <si>
    <t>PASPI</t>
  </si>
  <si>
    <t>28.8 m3 biogas/t POME; &lt;=15% utilised</t>
  </si>
  <si>
    <t>power_potential</t>
  </si>
  <si>
    <t>ESDM via Gree Energy; WBA 2022 1.1 GWe</t>
  </si>
  <si>
    <t>https://gree-energy.com/unlocking-the-power-of-biogas-from-palm-oil-mill-effluent/</t>
  </si>
  <si>
    <t>2022-2025</t>
  </si>
  <si>
    <t>Our check: 4.0 MWe gross per Mt FFB -&gt; ~1,015</t>
  </si>
  <si>
    <t>installed_POME_biogas_MW</t>
  </si>
  <si>
    <t>GAPKI (citing EBTKE)</t>
  </si>
  <si>
    <t>https://gapki.id/en/news/2026/05/30/pome-to-electricity-expands-sustainability-of-palm-industry/</t>
  </si>
  <si>
    <t>2026-05-30</t>
  </si>
  <si>
    <t>84 plants; 53.7 MW on-grid</t>
  </si>
  <si>
    <t>installed_PLTBg_all_MW</t>
  </si>
  <si>
    <t>EBTKE dashboard</t>
  </si>
  <si>
    <t>all feedstocks</t>
  </si>
  <si>
    <t>PLTBg_POME_count</t>
  </si>
  <si>
    <t>plants</t>
  </si>
  <si>
    <t>GAPKI; WBA 2022 (78 plants 161.6 MWe)</t>
  </si>
  <si>
    <t>PLTBg_ongrid_MW</t>
  </si>
  <si>
    <t>GAPKI</t>
  </si>
  <si>
    <t>rest captive/own use</t>
  </si>
  <si>
    <t>share_mills_with_capture</t>
  </si>
  <si>
    <t>fraction</t>
  </si>
  <si>
    <t>APEC 2017 (&lt;10%); IOP 2019 (&lt;10% of 640); PASPI 2026 (&lt;=15% of potential)</t>
  </si>
  <si>
    <t>2017-2026</t>
  </si>
  <si>
    <t>~150 mills captured</t>
  </si>
  <si>
    <t>mills_uncaptured</t>
  </si>
  <si>
    <t>set_equiv_POME</t>
  </si>
  <si>
    <t>m3 POME/yr per set</t>
  </si>
  <si>
    <t>project design basis (585 m3/d x 300 d x util)</t>
  </si>
  <si>
    <t>internal</t>
  </si>
  <si>
    <t>1 set = 45 t/h x 20 h x 300 d = 270 kt FFB</t>
  </si>
  <si>
    <t>TAM_sets</t>
  </si>
  <si>
    <t>set-equivalents</t>
  </si>
  <si>
    <t>TAM_revenue</t>
  </si>
  <si>
    <t>USD/yr</t>
  </si>
  <si>
    <t>derived (USD 1.26 M/yr per set, finance model)</t>
  </si>
  <si>
    <t>SAM_sets</t>
  </si>
  <si>
    <t>derived: x0.88 no capture x0.70-0.75 size x0.85 region x0.95 access</t>
  </si>
  <si>
    <t>M/EST</t>
  </si>
  <si>
    <t>SAM_revenue</t>
  </si>
  <si>
    <t>SAM_beachhead_independent_sets</t>
  </si>
  <si>
    <t>derived from 442 independent mills</t>
  </si>
  <si>
    <t>SOM_2034_sets</t>
  </si>
  <si>
    <t>sets</t>
  </si>
  <si>
    <t>finance ROLL plan; conservative 15-20</t>
  </si>
  <si>
    <t>40 sets = ~8.7 MW/yr by 2034 ~ entire historical national PLTBg build rate (~9 MW/yr)</t>
  </si>
  <si>
    <t>national_PLTBg_build_rate</t>
  </si>
  <si>
    <t>MW/yr</t>
  </si>
  <si>
    <t>EBTKE (~120 MW 2021 -&gt; 164 MW 2026)</t>
  </si>
  <si>
    <t>capex_covered_lagoon</t>
  </si>
  <si>
    <t>USD M/MWe</t>
  </si>
  <si>
    <t>APEC 2017 (2-4; Jambi 2.4 MW USD 5.49 M); Energies 15:7265 (2,256-3,669 USD/kW)</t>
  </si>
  <si>
    <t>2017/2022</t>
  </si>
  <si>
    <t>capex_tank_CSTR</t>
  </si>
  <si>
    <t>TSE Group 2 MW USD 3.6 M; MDPI 2025 RM18-20 M per 1.8 MW</t>
  </si>
  <si>
    <t>https://en.infosawit.com/news/15379/tse-group-invests-us--3-6-million-to-build-biogas-plant--a-bold-step-towards-net-zero-emissions</t>
  </si>
  <si>
    <t>capex_biomethane_per_mill</t>
  </si>
  <si>
    <t>USD M/mill</t>
  </si>
  <si>
    <t>reNIKOLA/PTPN IV/Pertagas (US$40-45 M, 8 mills)</t>
  </si>
  <si>
    <t>https://www.thestar.com.my/business/business-news/2026/08/19/renikola-secures-long-term-gas-sales-agreement-in-indonesia</t>
  </si>
  <si>
    <t>2026-08/09</t>
  </si>
  <si>
    <t>~US$4 M per MWe-eq EST</t>
  </si>
  <si>
    <t>AnMBR_to_CAL_capex_ratio</t>
  </si>
  <si>
    <t>x</t>
  </si>
  <si>
    <t>AMPC (meat, 3.3 ML/d)</t>
  </si>
  <si>
    <t>https://ampc.com.au/media/vbqmc2bg/ampc_anaerobicmembranebioreactors_snapshot.pdf</t>
  </si>
  <si>
    <t>comparable only at idealised OLR/flux</t>
  </si>
  <si>
    <t>our_FCI_per_MWe_gross</t>
  </si>
  <si>
    <t>finance/outputs/summary.json + process results</t>
  </si>
  <si>
    <t>FCI 2026 5.42 M / 1.088 MWe gross; 5.64 net</t>
  </si>
  <si>
    <t>lagoon_COD_removal</t>
  </si>
  <si>
    <t>Energies 2022 (Bangka 30 t/h)</t>
  </si>
  <si>
    <t>AnMBR_POME_COD_removal_lab</t>
  </si>
  <si>
    <t>[93, 98]</t>
  </si>
  <si>
    <t>Membranes (thermophilic PTFE HF AnMBR)</t>
  </si>
  <si>
    <t>https://www.ncbi.nlm.nih.gov/pmc/articles/PMC6523901/</t>
  </si>
  <si>
    <t>organic fouling 93% of total</t>
  </si>
  <si>
    <t>SeiMangkei_land</t>
  </si>
  <si>
    <t>ha for 2.4 MW</t>
  </si>
  <si>
    <t>zonaebt</t>
  </si>
  <si>
    <t>https://zonaebt.com/pltbg-sei-mangkei-24-mw-olah-limbah-pome-jadi-energi-hijau/</t>
  </si>
  <si>
    <t>~2024</t>
  </si>
  <si>
    <t>Pertamina NRE + PTPN III</t>
  </si>
  <si>
    <t>pond_land</t>
  </si>
  <si>
    <t>[1, 5]</t>
  </si>
  <si>
    <t>J Cleaner Prod 2020; older review 12-18 ha</t>
  </si>
  <si>
    <t>https://www.sciencedirect.com/science/article/abs/pii/S0959652620314086</t>
  </si>
  <si>
    <t>2020-2021</t>
  </si>
  <si>
    <t>site baseline 2.2 ha (project GA)</t>
  </si>
  <si>
    <t>build_time_biomethane</t>
  </si>
  <si>
    <t>months</t>
  </si>
  <si>
    <t>Petromindo (Tinjowan)</t>
  </si>
  <si>
    <t>https://www.petromindo.com/news/article/perkebunan-nusantara-iv-palmco-breaks-ground-on-indonesia-s-first-palm-waste-based-cbg-plant</t>
  </si>
  <si>
    <t>2025-2026</t>
  </si>
  <si>
    <t>build_time_tank_PTPN_SeiGaro</t>
  </si>
  <si>
    <t>Petromindo; QCIntel</t>
  </si>
  <si>
    <t>https://www.petromindo.com/news/article/ptpn-iv-japan-s-aiken-kakoki-accelerate-construction-of-palm-biogas-plant</t>
  </si>
  <si>
    <t>start late-2023, commissioned Nov 2025 incl. permitting</t>
  </si>
  <si>
    <t>PLTBg_excess_power_tariff</t>
  </si>
  <si>
    <t>Perpres 112/2022 via Katadata</t>
  </si>
  <si>
    <t>https://katadata.co.id/ekonomi-hijau/energi-baru/6322b0d0c80d2/diatur-perpres-ebt-ini-rincian-harga-listrik-dari-energi-terbarukan</t>
  </si>
  <si>
    <t>2022-09</t>
  </si>
  <si>
    <t>grid_extension_cost</t>
  </si>
  <si>
    <t>kUSD/km</t>
  </si>
  <si>
    <t>WBA Indonesia report</t>
  </si>
  <si>
    <t>https://www.worldbiogasassociation.org/wp-content/uploads/2022/12/WBA-Market-Report-indonesia.pdf</t>
  </si>
  <si>
    <t>2022-12</t>
  </si>
  <si>
    <t>payback_case_Riau</t>
  </si>
  <si>
    <t>yr</t>
  </si>
  <si>
    <t>MATEC 2019 (IRR 6.75%); 30 t/h case 6.6 yr IRR 12.5%</t>
  </si>
  <si>
    <t>https://www.matec-conferences.org/articles/matecconf/abs/2019/09/matecconf_icpse2018_03004/matecconf_icpse2018_03004.html</t>
  </si>
  <si>
    <t>MY_mills</t>
  </si>
  <si>
    <t>MPOB JOPR</t>
  </si>
  <si>
    <t>https://jopr.mpob.gov.my/wp-content/uploads/2025/06/OIL-PALM-ECONOMIC-PERFORMANCE-IN-MALAYSIA-AND-RD-PROGRESS-IN-2024.pdf</t>
  </si>
  <si>
    <t>2025-06</t>
  </si>
  <si>
    <t>123.46 Mt FFB/yr capacity</t>
  </si>
  <si>
    <t>MY_capture_share</t>
  </si>
  <si>
    <t>MPOB POEB 148</t>
  </si>
  <si>
    <t>https://palmoilis.mpob.gov.my/publications/POEB/poeb148-soh.pdf</t>
  </si>
  <si>
    <t>2024-12</t>
  </si>
  <si>
    <t>135 mills 2021; 125/452 in 2020; 94 in 2017 (56 tank, 38 lagoon)</t>
  </si>
  <si>
    <t>MY_power_potential</t>
  </si>
  <si>
    <t>https://jopr.mpob.gov.my/renewable-energy-and-greenhouse-gases-emission-reduction-potential-of-biogas-from-palm-oil-mill-effluent/</t>
  </si>
  <si>
    <t>2021 data</t>
  </si>
  <si>
    <t>MY_uncaptured_mills</t>
  </si>
  <si>
    <t>containerised_AD_max_scale</t>
  </si>
  <si>
    <t>t/d</t>
  </si>
  <si>
    <t>SEaB Energy</t>
  </si>
  <si>
    <t>https://seabenergy.com/products/anaerobic-digesters/</t>
  </si>
  <si>
    <t>price from ~US$181.5k (LA County 2020)</t>
  </si>
  <si>
    <t>R4 bukti teknis</t>
  </si>
  <si>
    <t>Inlet COD</t>
  </si>
  <si>
    <t>g/L</t>
  </si>
  <si>
    <t>https://doi.org/10.3390/pr9050739</t>
  </si>
  <si>
    <t>ours=50; supported; typ ~50; range 15-100</t>
  </si>
  <si>
    <t>POME generation</t>
  </si>
  <si>
    <t>https://www.researchgate.net/publication/279868673</t>
  </si>
  <si>
    <t>ours=0.65; supported; 585 m3/d over 900 t FFB/d</t>
  </si>
  <si>
    <t>Annual average POME flow</t>
  </si>
  <si>
    <t>m3/d</t>
  </si>
  <si>
    <t>https://links.sgx.com/1.0.0/corporate-announcements/TOI4KBRYUFP6AQ6Y/768567_First_Resources_1H2023_Production_Highlights.pdf</t>
  </si>
  <si>
    <t>ours=585; optimistic; 585 is design day; mill utilisation and seasonality (peak:trough 1.5-1.8) [L]</t>
  </si>
  <si>
    <t>Digester temperature</t>
  </si>
  <si>
    <t>degC</t>
  </si>
  <si>
    <t>https://doi.org/10.2225/vol10-issue3-fulltext-7</t>
  </si>
  <si>
    <t xml:space="preserve">ours=55; supported; </t>
  </si>
  <si>
    <t>OLR</t>
  </si>
  <si>
    <t>kgCOD/m3/d</t>
  </si>
  <si>
    <t>ours=10.7; optimistic; lab thermophilic CSTR max 17; full-scale POME tanks 3-8</t>
  </si>
  <si>
    <t>HRT</t>
  </si>
  <si>
    <t>ours=4.6; supported; thermophilic CSTR stable at HRT 5 d</t>
  </si>
  <si>
    <t>SRT</t>
  </si>
  <si>
    <t>https://pubmed.ncbi.nlm.nih.gov/19957769</t>
  </si>
  <si>
    <t>ours=12; supported; SRT/HRT only 2.6 -&gt; weak MBR benefit</t>
  </si>
  <si>
    <t>COD methanisation fraction</t>
  </si>
  <si>
    <t>ours=68; supported; our '68% removal' = CH4 conversion, not AnMBR removal</t>
  </si>
  <si>
    <t>Permeate-based COD removal</t>
  </si>
  <si>
    <t>https://doi.org/10.3390/membranes9040055</t>
  </si>
  <si>
    <t>ours=85; pessimistic; implied from 2.6 t/d soluble COD in 359 m3/d</t>
  </si>
  <si>
    <t>Permeate COD</t>
  </si>
  <si>
    <t>ours=7300; inconsistent; with VFA 84 mg/L implies 14% soluble inert; lit &lt;=5%</t>
  </si>
  <si>
    <t>Biogas yield</t>
  </si>
  <si>
    <t>Nm3/m3 POME</t>
  </si>
  <si>
    <t>https://doi.org/10.1155/2022/2278211</t>
  </si>
  <si>
    <t xml:space="preserve">ours=20.2; conservative; </t>
  </si>
  <si>
    <t>CH4 content</t>
  </si>
  <si>
    <t>ours=58.5; supported; thermophilic slightly lower</t>
  </si>
  <si>
    <t>CH4 per kg COD fed</t>
  </si>
  <si>
    <t>Nm3/kgCOD</t>
  </si>
  <si>
    <t>https://www.researchgate.net/publication/343979030</t>
  </si>
  <si>
    <t xml:space="preserve">ours=0.236; supported; </t>
  </si>
  <si>
    <t>BMP POME label</t>
  </si>
  <si>
    <t>NmL CH4/g VS</t>
  </si>
  <si>
    <t>ours=397; label error; model uses /gVS; /gCOD would exceed theoretical 350</t>
  </si>
  <si>
    <t>VFA</t>
  </si>
  <si>
    <t>https://bioresources.cnr.ncsu.edu/resources/performance-of-a-high-rate-two-stage-anaerobic-membrane-bioreactor-anmbr-for-the-treatment-of-palm-oil-mill-effluent/</t>
  </si>
  <si>
    <t>ours=84; optimistic; propionate accumulation typical in thermophilic</t>
  </si>
  <si>
    <t>TAN</t>
  </si>
  <si>
    <t>mgN/L</t>
  </si>
  <si>
    <t>ours=153; underestimated; POME TN typ 750 mg/L; N dosing likely unnecessary</t>
  </si>
  <si>
    <t>Nitrogen dosing</t>
  </si>
  <si>
    <t>kg N/d</t>
  </si>
  <si>
    <t xml:space="preserve">ours=31; unnecessary; </t>
  </si>
  <si>
    <t>Membrane flux</t>
  </si>
  <si>
    <t>LMH</t>
  </si>
  <si>
    <t>https://www.researchgate.net/publication/272549477</t>
  </si>
  <si>
    <t>ours=15; optimistic; full-scale ADI-MBR 2.5-4.2; POME thermo AnMBR 3; sidestream vinasse 10</t>
  </si>
  <si>
    <t>Membrane area</t>
  </si>
  <si>
    <t>https://doi.org/10.3389/fbioe.2024.1491974</t>
  </si>
  <si>
    <t>ours=996; undersized; at 8 LMH</t>
  </si>
  <si>
    <t>Cross-flow loop flow</t>
  </si>
  <si>
    <t>m3/h</t>
  </si>
  <si>
    <t>https://xflow.pentair.com/en/products/x-flow-crossflowmbr.html</t>
  </si>
  <si>
    <t>ours=149; severely low; 149 m3/h gives ~0.06 m/s in 34x30 m2 8mm modules; need 2-3.5 m/s [analyst calc]</t>
  </si>
  <si>
    <t>Cross-flow energy</t>
  </si>
  <si>
    <t>ours=22; severely optimistic; 4-12+ kWh/m3 at low flux vs assumed 1.5</t>
  </si>
  <si>
    <t>Membrane life</t>
  </si>
  <si>
    <t>ours=7; optimistic; oil/LCFA + 55 C [L]</t>
  </si>
  <si>
    <t>Membrane module temperature limit</t>
  </si>
  <si>
    <t>https://pdf.directindustry.com/pdf/pentair-x-flow/compact-27/71363-666138.html</t>
  </si>
  <si>
    <t>ours=55; marginal; Compact 27 max 60 C; Compact 55G 0-40 C</t>
  </si>
  <si>
    <t>Membrane capex installed</t>
  </si>
  <si>
    <t>USD/m2</t>
  </si>
  <si>
    <t>ours=None; needs quote; [L] analyst estimate; module only 100-250</t>
  </si>
  <si>
    <t>MLSS</t>
  </si>
  <si>
    <t>https://www.eeer.org/upload/eer-2021-575.pdf</t>
  </si>
  <si>
    <t xml:space="preserve">ours=26; supported; </t>
  </si>
  <si>
    <t>Raw H2S</t>
  </si>
  <si>
    <t>ppm</t>
  </si>
  <si>
    <t>https://pmc.ncbi.nlm.nih.gov/articles/PMC12272170/</t>
  </si>
  <si>
    <t xml:space="preserve">ours=2900; supported; </t>
  </si>
  <si>
    <t>Biodesulfuriser removal</t>
  </si>
  <si>
    <t>https://avesis.samsun.edu.tr/yayin/2fd1c075-2e94-4410-bf20-41f60378d5b8</t>
  </si>
  <si>
    <t xml:space="preserve">ours=92; supported; </t>
  </si>
  <si>
    <t>H2S to engine</t>
  </si>
  <si>
    <t>https://www.lucideon.com/testing-characterisation/test-methods/test-method-page-jenbacher</t>
  </si>
  <si>
    <t>ours=34; conservative; AC polishing to 34 ppm costs ~7-15 t AC/yr</t>
  </si>
  <si>
    <t>Engine electrical efficiency</t>
  </si>
  <si>
    <t>https://zorg-biogas.com/equipment/generators/MWM-TCG3016-V16-800-kw-el-biogas-generator-building</t>
  </si>
  <si>
    <t>ours=38; conservative at full load; part load 45-68% lowers it</t>
  </si>
  <si>
    <t>CHP installed</t>
  </si>
  <si>
    <t>ours=1600; oversized; 2x800 at 1,088 kW avg; suggest 2x600 or 3x400</t>
  </si>
  <si>
    <t>Plant availability</t>
  </si>
  <si>
    <t>https://www.mwm.net/en/news/news-releases/97-percent-availability-biogas-fueled-mwm-tcg-3016-engines-supply-energy-to-alb-danube-district/</t>
  </si>
  <si>
    <t xml:space="preserve">ours=100; optimistic; </t>
  </si>
  <si>
    <t>Genset O&amp;M</t>
  </si>
  <si>
    <t>ours=None; n/a; [L] analyst synthesis</t>
  </si>
  <si>
    <t>Parasitic load</t>
  </si>
  <si>
    <t>ours=127; optimistic; driven by cross-flow correction</t>
  </si>
  <si>
    <t>Net power</t>
  </si>
  <si>
    <t>ours=961; optimistic; design day; annual average ~600 kW with seasonality and availability</t>
  </si>
  <si>
    <t>Mixing power</t>
  </si>
  <si>
    <t>https://klasystems.com/jet-mixing/</t>
  </si>
  <si>
    <t>ours=27; supported; 5-10 W/m3</t>
  </si>
  <si>
    <t>POME cooling duty</t>
  </si>
  <si>
    <t>kWth</t>
  </si>
  <si>
    <t>https://eprints.nottingham.ac.uk/80045</t>
  </si>
  <si>
    <t>ours=812; supported; full-scale plants use induced-draft cooling towers</t>
  </si>
  <si>
    <t>Cake dry solids</t>
  </si>
  <si>
    <t>https://doi.org/10.3390/w13202839</t>
  </si>
  <si>
    <t xml:space="preserve">ours=22; supported; </t>
  </si>
  <si>
    <t>Polymer dose</t>
  </si>
  <si>
    <t>kg/t DS</t>
  </si>
  <si>
    <t>ours=4; optimistic; [L] practice</t>
  </si>
  <si>
    <t>Desander grit removal</t>
  </si>
  <si>
    <t>ours=60; insufficient; [L] protects pumps and tubes</t>
  </si>
  <si>
    <t>Thermophilic start-up</t>
  </si>
  <si>
    <t>https://iopscience.iop.org/article/10.1088/1755-1315/268/1/012028/pdf</t>
  </si>
  <si>
    <t xml:space="preserve">ours=None; missing; </t>
  </si>
  <si>
    <t>Effluent COD vs PermenLH 5/2014</t>
  </si>
  <si>
    <t>ours=7300; non-compliant; needs land application (BOD&lt;5000) or aerobic polishing; TN limit 50</t>
  </si>
  <si>
    <t>Shell transport width</t>
  </si>
  <si>
    <t>https://pasal.id/peraturan/pp/pp-no-55-tahun-2012</t>
  </si>
  <si>
    <t>ours=4.2; oversize permit; height on lowbed ~5.1 m vs 4.2 m limit</t>
  </si>
  <si>
    <t>MODEL KEUANGAN v3 - SET BIOGAS KONTAK TERMOFILIK YANG DAPAT DIPINDAH (1 set PKS 45 t TBS/jam, BOO, segmen bergantung diesel)</t>
  </si>
  <si>
    <t>Alur: Asumsi -&gt; CAPEX/OPEX -&gt; Arus Kas -&gt; Indikator; Keputusan PKS (PKS vs kolam); Segmen; Pasar; Pesaing; USP; Sumber. Sel kuning = input.</t>
  </si>
  <si>
    <t>FCI 2027 (USD)</t>
  </si>
  <si>
    <t>Pendapatan th 3 (USD)</t>
  </si>
  <si>
    <t>EBITDA th 3 (USD)</t>
  </si>
  <si>
    <t>NPV @WACC (USD)</t>
  </si>
  <si>
    <t>IRR proyek</t>
  </si>
  <si>
    <t>Payback terdiskonto (th)</t>
  </si>
  <si>
    <t>Porsi pendapatan dari jasa POME</t>
  </si>
  <si>
    <t>Peluang NPV &gt; 0 (Monte Carlo)</t>
  </si>
  <si>
    <t>NPV perusahaan (armada)</t>
  </si>
  <si>
    <t>PKS: biaya POME status quo (USD/t TBS)</t>
  </si>
  <si>
    <t>PKS: biaya POME dengan layanan BOO (USD/t TBS)</t>
  </si>
  <si>
    <t>PKS hemat vs kolam (%)</t>
  </si>
  <si>
    <t>Jendela fee (min - maks USD/t TBS)</t>
  </si>
  <si>
    <t>1.19 - 1.39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</si>
</sst>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0.0%"/>
    <numFmt numFmtId="166" formatCode="#,##0.00"/>
    <numFmt numFmtId="167" formatCode="#,##0.00##"/>
    <numFmt numFmtId="168" formatCode="0.0000"/>
    <numFmt numFmtId="169" formatCode="#,##0;[Red]-#,##0"/>
  </numFmts>
  <fonts count="6">
    <font>
      <sz val="11"/>
      <color theme="1"/>
      <name val="Calibri"/>
      <family val="2"/>
      <scheme val="minor"/>
    </font>
    <font>
      <b/>
      <sz val="14"/>
      <color rgb="FF1F4E4A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1F4E4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166" fontId="3" fillId="2" borderId="1" xfId="0" applyNumberFormat="1" applyFont="1" applyFill="1" applyBorder="1"/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167" fontId="0" fillId="4" borderId="1" xfId="0" applyNumberFormat="1" applyFill="1" applyBorder="1"/>
    <xf numFmtId="0" fontId="3" fillId="0" borderId="0" xfId="0" applyFont="1"/>
    <xf numFmtId="166" fontId="0" fillId="0" borderId="1" xfId="0" applyNumberFormat="1" applyBorder="1"/>
    <xf numFmtId="168" fontId="0" fillId="0" borderId="1" xfId="0" applyNumberFormat="1" applyBorder="1"/>
    <xf numFmtId="164" fontId="0" fillId="0" borderId="1" xfId="0" applyNumberFormat="1" applyBorder="1"/>
    <xf numFmtId="169" fontId="0" fillId="0" borderId="1" xfId="0" applyNumberFormat="1" applyBorder="1"/>
    <xf numFmtId="169" fontId="3" fillId="2" borderId="1" xfId="0" applyNumberFormat="1" applyFont="1" applyFill="1" applyBorder="1"/>
    <xf numFmtId="165" fontId="0" fillId="0" borderId="1" xfId="0" applyNumberFormat="1" applyBorder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Kurva payback (USD)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Kumulatif FCFF</c:v>
          </c:tx>
          <c:spPr>
            <a:ln w="28575">
              <a:solidFill>
                <a:srgbClr val="3D8B7D"/>
              </a:solidFill>
            </a:ln>
          </c:spPr>
          <c:marker>
            <c:symbol val="none"/>
          </c:marker>
          <c:cat>
            <c:numRef>
              <c:f>'Arus Kas'!$C$5:$W$5</c:f>
              <c:numCache>
                <c:formatCode>General</c:formatCode>
                <c:ptCount val="2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</c:numCache>
            </c:numRef>
          </c:cat>
          <c:val>
            <c:numRef>
              <c:f>'Arus Kas'!$C$32:$W$32</c:f>
              <c:numCache>
                <c:formatCode>General</c:formatCode>
                <c:ptCount val="21"/>
                <c:pt idx="0">
                  <c:v>-6498362.809856808</c:v>
                </c:pt>
                <c:pt idx="1">
                  <c:v>-6089671.912763998</c:v>
                </c:pt>
                <c:pt idx="2">
                  <c:v>-4644269.5724774785</c:v>
                </c:pt>
                <c:pt idx="3">
                  <c:v>-3746044.395277053</c:v>
                </c:pt>
                <c:pt idx="4">
                  <c:v>-2835257.0805813055</c:v>
                </c:pt>
                <c:pt idx="5">
                  <c:v>-1918958.0222338506</c:v>
                </c:pt>
                <c:pt idx="6">
                  <c:v>-997036.9853616541</c:v>
                </c:pt>
                <c:pt idx="7">
                  <c:v>-69381.53039422142</c:v>
                </c:pt>
                <c:pt idx="8">
                  <c:v>577300.8145609974</c:v>
                </c:pt>
                <c:pt idx="9">
                  <c:v>1483876.8489335477</c:v>
                </c:pt>
                <c:pt idx="10">
                  <c:v>2228901.987118971</c:v>
                </c:pt>
                <c:pt idx="11">
                  <c:v>2858212.5181303537</c:v>
                </c:pt>
                <c:pt idx="12">
                  <c:v>3255931.729638068</c:v>
                </c:pt>
                <c:pt idx="13">
                  <c:v>3765671.485203532</c:v>
                </c:pt>
                <c:pt idx="14">
                  <c:v>4280787.222055005</c:v>
                </c:pt>
                <c:pt idx="15">
                  <c:v>4801386.459818208</c:v>
                </c:pt>
                <c:pt idx="16">
                  <c:v>4992874.910318955</c:v>
                </c:pt>
                <c:pt idx="17">
                  <c:v>5526126.335774447</c:v>
                </c:pt>
                <c:pt idx="18">
                  <c:v>6065196.896265473</c:v>
                </c:pt>
                <c:pt idx="19">
                  <c:v>6610202.974492745</c:v>
                </c:pt>
                <c:pt idx="20">
                  <c:v>7319526.717802114</c:v>
                </c:pt>
              </c:numCache>
            </c:numRef>
          </c:val>
        </c:ser>
        <c:ser>
          <c:idx val="1"/>
          <c:order val="1"/>
          <c:tx>
            <c:v>Kumulatif terdiskonto</c:v>
          </c:tx>
          <c:spPr>
            <a:ln w="28575">
              <a:solidFill>
                <a:srgbClr val="B2472F"/>
              </a:solidFill>
            </a:ln>
          </c:spPr>
          <c:marker>
            <c:symbol val="none"/>
          </c:marker>
          <c:cat>
            <c:numRef>
              <c:f>'Arus Kas'!$C$5:$W$5</c:f>
              <c:numCache>
                <c:formatCode>General</c:formatCode>
                <c:ptCount val="2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</c:numCache>
            </c:numRef>
          </c:cat>
          <c:val>
            <c:numRef>
              <c:f>'Arus Kas'!$C$35:$W$35</c:f>
              <c:numCache>
                <c:formatCode>General</c:formatCode>
                <c:ptCount val="21"/>
                <c:pt idx="0">
                  <c:v>-6498362.809856808</c:v>
                </c:pt>
                <c:pt idx="1">
                  <c:v>-6126552.519122514</c:v>
                </c:pt>
                <c:pt idx="2">
                  <c:v>-4930248.29627202</c:v>
                </c:pt>
                <c:pt idx="3">
                  <c:v>-4253909.114987483</c:v>
                </c:pt>
                <c:pt idx="4">
                  <c:v>-3629997.9785421053</c:v>
                </c:pt>
                <c:pt idx="5">
                  <c:v>-3058954.1455003438</c:v>
                </c:pt>
                <c:pt idx="6">
                  <c:v>-2536254.3000993156</c:v>
                </c:pt>
                <c:pt idx="7">
                  <c:v>-2057765.4849517928</c:v>
                </c:pt>
                <c:pt idx="8">
                  <c:v>-1754304.7304698778</c:v>
                </c:pt>
                <c:pt idx="9">
                  <c:v>-1367276.8923439956</c:v>
                </c:pt>
                <c:pt idx="10">
                  <c:v>-1077918.9964736123</c:v>
                </c:pt>
                <c:pt idx="11">
                  <c:v>-855559.4131841722</c:v>
                </c:pt>
                <c:pt idx="12">
                  <c:v>-727711.4354262773</c:v>
                </c:pt>
                <c:pt idx="13">
                  <c:v>-578640.7526417508</c:v>
                </c:pt>
                <c:pt idx="14">
                  <c:v>-441592.029630726</c:v>
                </c:pt>
                <c:pt idx="15">
                  <c:v>-315583.4418243256</c:v>
                </c:pt>
                <c:pt idx="16">
                  <c:v>-273417.12743439677</c:v>
                </c:pt>
                <c:pt idx="17">
                  <c:v>-166590.0065631963</c:v>
                </c:pt>
                <c:pt idx="18">
                  <c:v>-68342.49602060992</c:v>
                </c:pt>
                <c:pt idx="19">
                  <c:v>22023.226783128892</c:v>
                </c:pt>
                <c:pt idx="20">
                  <c:v>129020.65011374965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Pendapatan per aliran (USD)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Jasa POME</c:v>
          </c:tx>
          <c:spPr>
            <a:solidFill>
              <a:srgbClr val="D4952B"/>
            </a:solidFill>
          </c:spPr>
          <c:cat>
            <c:numRef>
              <c:f>'Arus Kas'!$C$5:$W$5</c:f>
              <c:numCache>
                <c:formatCode>General</c:formatCode>
                <c:ptCount val="2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</c:numCache>
            </c:numRef>
          </c:cat>
          <c:val>
            <c:numRef>
              <c:f>'Arus Kas'!$C$12:$W$12</c:f>
              <c:numCache>
                <c:formatCode>General</c:formatCode>
                <c:ptCount val="21"/>
                <c:pt idx="0">
                  <c:v>0.0</c:v>
                </c:pt>
                <c:pt idx="1">
                  <c:v>351135.0</c:v>
                </c:pt>
                <c:pt idx="2">
                  <c:v>358157.70000000007</c:v>
                </c:pt>
                <c:pt idx="3">
                  <c:v>365320.854</c:v>
                </c:pt>
                <c:pt idx="4">
                  <c:v>372627.27108</c:v>
                </c:pt>
                <c:pt idx="5">
                  <c:v>380079.8165016</c:v>
                </c:pt>
                <c:pt idx="6">
                  <c:v>387681.412831632</c:v>
                </c:pt>
                <c:pt idx="7">
                  <c:v>395435.04108826467</c:v>
                </c:pt>
                <c:pt idx="8">
                  <c:v>403343.74191002996</c:v>
                </c:pt>
                <c:pt idx="9">
                  <c:v>411410.6167482306</c:v>
                </c:pt>
                <c:pt idx="10">
                  <c:v>419638.8290831952</c:v>
                </c:pt>
                <c:pt idx="11">
                  <c:v>428031.6056648591</c:v>
                </c:pt>
                <c:pt idx="12">
                  <c:v>436592.23777815636</c:v>
                </c:pt>
                <c:pt idx="13">
                  <c:v>445324.0825337194</c:v>
                </c:pt>
                <c:pt idx="14">
                  <c:v>454230.56418439385</c:v>
                </c:pt>
                <c:pt idx="15">
                  <c:v>463315.1754680817</c:v>
                </c:pt>
                <c:pt idx="16">
                  <c:v>472581.47897744336</c:v>
                </c:pt>
                <c:pt idx="17">
                  <c:v>482033.10855699226</c:v>
                </c:pt>
                <c:pt idx="18">
                  <c:v>491673.7707281321</c:v>
                </c:pt>
                <c:pt idx="19">
                  <c:v>501507.2461426948</c:v>
                </c:pt>
                <c:pt idx="20">
                  <c:v>511537.39106554864</c:v>
                </c:pt>
              </c:numCache>
            </c:numRef>
          </c:val>
        </c:ser>
        <c:ser>
          <c:idx val="1"/>
          <c:order val="1"/>
          <c:tx>
            <c:v>Listrik PLN</c:v>
          </c:tx>
          <c:spPr>
            <a:solidFill>
              <a:srgbClr val="1F4E4A"/>
            </a:solidFill>
          </c:spPr>
          <c:cat>
            <c:numRef>
              <c:f>'Arus Kas'!$C$5:$W$5</c:f>
              <c:numCache>
                <c:formatCode>General</c:formatCode>
                <c:ptCount val="2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</c:numCache>
            </c:numRef>
          </c:cat>
          <c:val>
            <c:numRef>
              <c:f>'Arus Kas'!$C$14:$W$14</c:f>
              <c:numCache>
                <c:formatCode>General</c:formatCode>
                <c:ptCount val="21"/>
                <c:pt idx="0">
                  <c:v>0.0</c:v>
                </c:pt>
                <c:pt idx="1">
                  <c:v>343029.6268103425</c:v>
                </c:pt>
                <c:pt idx="2">
                  <c:v>490042.3240147749</c:v>
                </c:pt>
                <c:pt idx="3">
                  <c:v>490042.3240147749</c:v>
                </c:pt>
                <c:pt idx="4">
                  <c:v>490042.3240147749</c:v>
                </c:pt>
                <c:pt idx="5">
                  <c:v>490042.3240147749</c:v>
                </c:pt>
                <c:pt idx="6">
                  <c:v>490042.3240147749</c:v>
                </c:pt>
                <c:pt idx="7">
                  <c:v>490042.3240147749</c:v>
                </c:pt>
                <c:pt idx="8">
                  <c:v>490042.3240147749</c:v>
                </c:pt>
                <c:pt idx="9">
                  <c:v>490042.3240147749</c:v>
                </c:pt>
                <c:pt idx="10">
                  <c:v>490042.3240147749</c:v>
                </c:pt>
                <c:pt idx="11">
                  <c:v>294225.2077927649</c:v>
                </c:pt>
                <c:pt idx="12">
                  <c:v>294225.2077927649</c:v>
                </c:pt>
                <c:pt idx="13">
                  <c:v>294225.2077927649</c:v>
                </c:pt>
                <c:pt idx="14">
                  <c:v>294225.2077927649</c:v>
                </c:pt>
                <c:pt idx="15">
                  <c:v>294225.2077927649</c:v>
                </c:pt>
                <c:pt idx="16">
                  <c:v>294225.2077927649</c:v>
                </c:pt>
                <c:pt idx="17">
                  <c:v>294225.2077927649</c:v>
                </c:pt>
                <c:pt idx="18">
                  <c:v>294225.2077927649</c:v>
                </c:pt>
                <c:pt idx="19">
                  <c:v>294225.2077927649</c:v>
                </c:pt>
                <c:pt idx="20">
                  <c:v>294225.2077927649</c:v>
                </c:pt>
              </c:numCache>
            </c:numRef>
          </c:val>
        </c:ser>
        <c:ser>
          <c:idx val="2"/>
          <c:order val="2"/>
          <c:tx>
            <c:v>Listrik PKS</c:v>
          </c:tx>
          <c:spPr>
            <a:solidFill>
              <a:srgbClr val="3F6D9A"/>
            </a:solidFill>
          </c:spPr>
          <c:cat>
            <c:numRef>
              <c:f>'Arus Kas'!$C$5:$W$5</c:f>
              <c:numCache>
                <c:formatCode>General</c:formatCode>
                <c:ptCount val="2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</c:numCache>
            </c:numRef>
          </c:cat>
          <c:val>
            <c:numRef>
              <c:f>'Arus Kas'!$C$13:$W$13</c:f>
              <c:numCache>
                <c:formatCode>General</c:formatCode>
                <c:ptCount val="21"/>
                <c:pt idx="0">
                  <c:v>0.0</c:v>
                </c:pt>
                <c:pt idx="1">
                  <c:v>225896.82071617385</c:v>
                </c:pt>
                <c:pt idx="2">
                  <c:v>329163.9387578534</c:v>
                </c:pt>
                <c:pt idx="3">
                  <c:v>335747.2175330104</c:v>
                </c:pt>
                <c:pt idx="4">
                  <c:v>342462.1618836706</c:v>
                </c:pt>
                <c:pt idx="5">
                  <c:v>349311.4051213441</c:v>
                </c:pt>
                <c:pt idx="6">
                  <c:v>356297.63322377094</c:v>
                </c:pt>
                <c:pt idx="7">
                  <c:v>363423.58588824637</c:v>
                </c:pt>
                <c:pt idx="8">
                  <c:v>370692.05760601134</c:v>
                </c:pt>
                <c:pt idx="9">
                  <c:v>378105.89875813155</c:v>
                </c:pt>
                <c:pt idx="10">
                  <c:v>385668.0167332942</c:v>
                </c:pt>
                <c:pt idx="11">
                  <c:v>393381.37706796004</c:v>
                </c:pt>
                <c:pt idx="12">
                  <c:v>401249.0046093193</c:v>
                </c:pt>
                <c:pt idx="13">
                  <c:v>409273.98470150563</c:v>
                </c:pt>
                <c:pt idx="14">
                  <c:v>417459.46439553576</c:v>
                </c:pt>
                <c:pt idx="15">
                  <c:v>425808.6536834465</c:v>
                </c:pt>
                <c:pt idx="16">
                  <c:v>434324.8267571154</c:v>
                </c:pt>
                <c:pt idx="17">
                  <c:v>443011.3232922578</c:v>
                </c:pt>
                <c:pt idx="18">
                  <c:v>451871.5497581029</c:v>
                </c:pt>
                <c:pt idx="19">
                  <c:v>460908.9807532651</c:v>
                </c:pt>
                <c:pt idx="20">
                  <c:v>470127.1603683303</c:v>
                </c:pt>
              </c:numCache>
            </c:numRef>
          </c:val>
        </c:ser>
        <c:ser>
          <c:idx val="3"/>
          <c:order val="3"/>
          <c:tx>
            <c:v>Karbon</c:v>
          </c:tx>
          <c:spPr>
            <a:solidFill>
              <a:srgbClr val="3D8B7D"/>
            </a:solidFill>
          </c:spPr>
          <c:cat>
            <c:numRef>
              <c:f>'Arus Kas'!$C$5:$W$5</c:f>
              <c:numCache>
                <c:formatCode>General</c:formatCode>
                <c:ptCount val="2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</c:numCache>
            </c:numRef>
          </c:cat>
          <c:val>
            <c:numRef>
              <c:f>'Arus Kas'!$C$16:$W$16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101610.46566692727</c:v>
                </c:pt>
                <c:pt idx="3">
                  <c:v>145157.80809561038</c:v>
                </c:pt>
                <c:pt idx="4">
                  <c:v>145157.80809561038</c:v>
                </c:pt>
                <c:pt idx="5">
                  <c:v>145157.80809561038</c:v>
                </c:pt>
                <c:pt idx="6">
                  <c:v>145157.80809561038</c:v>
                </c:pt>
                <c:pt idx="7">
                  <c:v>145157.80809561038</c:v>
                </c:pt>
                <c:pt idx="8">
                  <c:v>145157.80809561038</c:v>
                </c:pt>
                <c:pt idx="9">
                  <c:v>145157.80809561038</c:v>
                </c:pt>
                <c:pt idx="10">
                  <c:v>145157.80809561038</c:v>
                </c:pt>
                <c:pt idx="11">
                  <c:v>145157.80809561038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NPV vs tingkat diskonto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NPV</c:v>
          </c:tx>
          <c:spPr>
            <a:ln>
              <a:solidFill>
                <a:srgbClr val="1F4E4A"/>
              </a:solidFill>
            </a:ln>
          </c:spPr>
          <c:marker>
            <c:symbol val="none"/>
          </c:marker>
          <c:xVal>
            <c:numRef>
              <c:f>Sensitivitas!$A$17:$A$57</c:f>
              <c:numCache>
                <c:formatCode>General</c:formatCode>
                <c:ptCount val="41"/>
                <c:pt idx="0">
                  <c:v>0.04</c:v>
                </c:pt>
                <c:pt idx="1">
                  <c:v>0.045</c:v>
                </c:pt>
                <c:pt idx="2">
                  <c:v>0.05</c:v>
                </c:pt>
                <c:pt idx="3">
                  <c:v>0.055</c:v>
                </c:pt>
                <c:pt idx="4">
                  <c:v>0.06</c:v>
                </c:pt>
                <c:pt idx="5">
                  <c:v>0.065</c:v>
                </c:pt>
                <c:pt idx="6">
                  <c:v>0.06999999999999999</c:v>
                </c:pt>
                <c:pt idx="7">
                  <c:v>0.075</c:v>
                </c:pt>
                <c:pt idx="8">
                  <c:v>0.07999999999999999</c:v>
                </c:pt>
                <c:pt idx="9">
                  <c:v>0.08499999999999999</c:v>
                </c:pt>
                <c:pt idx="10">
                  <c:v>0.09</c:v>
                </c:pt>
                <c:pt idx="11">
                  <c:v>0.095</c:v>
                </c:pt>
                <c:pt idx="12">
                  <c:v>0.09999999999999999</c:v>
                </c:pt>
                <c:pt idx="13">
                  <c:v>0.105</c:v>
                </c:pt>
                <c:pt idx="14">
                  <c:v>0.11</c:v>
                </c:pt>
                <c:pt idx="15">
                  <c:v>0.115</c:v>
                </c:pt>
                <c:pt idx="16">
                  <c:v>0.12</c:v>
                </c:pt>
                <c:pt idx="17">
                  <c:v>0.125</c:v>
                </c:pt>
                <c:pt idx="18">
                  <c:v>0.13</c:v>
                </c:pt>
                <c:pt idx="19">
                  <c:v>0.135</c:v>
                </c:pt>
                <c:pt idx="20">
                  <c:v>0.14</c:v>
                </c:pt>
                <c:pt idx="21">
                  <c:v>0.145</c:v>
                </c:pt>
                <c:pt idx="22">
                  <c:v>0.15</c:v>
                </c:pt>
                <c:pt idx="23">
                  <c:v>0.155</c:v>
                </c:pt>
                <c:pt idx="24">
                  <c:v>0.16</c:v>
                </c:pt>
                <c:pt idx="25">
                  <c:v>0.165</c:v>
                </c:pt>
                <c:pt idx="26">
                  <c:v>0.17</c:v>
                </c:pt>
                <c:pt idx="27">
                  <c:v>0.175</c:v>
                </c:pt>
                <c:pt idx="28">
                  <c:v>0.18</c:v>
                </c:pt>
                <c:pt idx="29">
                  <c:v>0.185</c:v>
                </c:pt>
                <c:pt idx="30">
                  <c:v>0.19</c:v>
                </c:pt>
                <c:pt idx="31">
                  <c:v>0.195</c:v>
                </c:pt>
                <c:pt idx="32">
                  <c:v>0.2</c:v>
                </c:pt>
                <c:pt idx="33">
                  <c:v>0.205</c:v>
                </c:pt>
                <c:pt idx="34">
                  <c:v>0.21</c:v>
                </c:pt>
                <c:pt idx="35">
                  <c:v>0.215</c:v>
                </c:pt>
                <c:pt idx="36">
                  <c:v>0.22</c:v>
                </c:pt>
                <c:pt idx="37">
                  <c:v>0.225</c:v>
                </c:pt>
                <c:pt idx="38">
                  <c:v>0.23</c:v>
                </c:pt>
                <c:pt idx="39">
                  <c:v>0.235</c:v>
                </c:pt>
                <c:pt idx="40">
                  <c:v>0.24</c:v>
                </c:pt>
              </c:numCache>
            </c:numRef>
          </c:xVal>
          <c:yVal>
            <c:numRef>
              <c:f>Sensitivitas!$B$17:$B$57</c:f>
              <c:numCache>
                <c:formatCode>General</c:formatCode>
                <c:ptCount val="41"/>
                <c:pt idx="0">
                  <c:v>3381873.601864975</c:v>
                </c:pt>
                <c:pt idx="1">
                  <c:v>3015052.7318744874</c:v>
                </c:pt>
                <c:pt idx="2">
                  <c:v>2669457.1982995174</c:v>
                </c:pt>
                <c:pt idx="3">
                  <c:v>2343547.280543591</c:v>
                </c:pt>
                <c:pt idx="4">
                  <c:v>2035911.5914936422</c:v>
                </c:pt>
                <c:pt idx="5">
                  <c:v>1745255.2956564531</c:v>
                </c:pt>
                <c:pt idx="6">
                  <c:v>1470389.4915733167</c:v>
                </c:pt>
                <c:pt idx="7">
                  <c:v>1210221.6363641906</c:v>
                </c:pt>
                <c:pt idx="8">
                  <c:v>963746.9037373299</c:v>
                </c:pt>
                <c:pt idx="9">
                  <c:v>730040.3787293993</c:v>
                </c:pt>
                <c:pt idx="10">
                  <c:v>508250.0029987219</c:v>
                </c:pt>
                <c:pt idx="11">
                  <c:v>297590.19384720107</c:v>
                </c:pt>
                <c:pt idx="12">
                  <c:v>97336.06843554525</c:v>
                </c:pt>
                <c:pt idx="13">
                  <c:v>-93181.78799004351</c:v>
                </c:pt>
                <c:pt idx="14">
                  <c:v>-274582.06451560394</c:v>
                </c:pt>
                <c:pt idx="15">
                  <c:v>-447437.0264800318</c:v>
                </c:pt>
                <c:pt idx="16">
                  <c:v>-612276.4206049705</c:v>
                </c:pt>
                <c:pt idx="17">
                  <c:v>-769591.0224576788</c:v>
                </c:pt>
                <c:pt idx="18">
                  <c:v>-919835.861291954</c:v>
                </c:pt>
                <c:pt idx="19">
                  <c:v>-1063433.1536798473</c:v>
                </c:pt>
                <c:pt idx="20">
                  <c:v>-1200774.9741098657</c:v>
                </c:pt>
                <c:pt idx="21">
                  <c:v>-1332225.687840494</c:v>
                </c:pt>
                <c:pt idx="22">
                  <c:v>-1458124.1687217245</c:v>
                </c:pt>
                <c:pt idx="23">
                  <c:v>-1578785.8223972633</c:v>
                </c:pt>
                <c:pt idx="24">
                  <c:v>-1694504.433244409</c:v>
                </c:pt>
                <c:pt idx="25">
                  <c:v>-1805553.8515713003</c:v>
                </c:pt>
                <c:pt idx="26">
                  <c:v>-1912189.5359468353</c:v>
                </c:pt>
                <c:pt idx="27">
                  <c:v>-2014649.9640669688</c:v>
                </c:pt>
                <c:pt idx="28">
                  <c:v>-2113157.924242423</c:v>
                </c:pt>
                <c:pt idx="29">
                  <c:v>-2207921.6984111844</c:v>
                </c:pt>
                <c:pt idx="30">
                  <c:v>-2299136.1465189694</c:v>
                </c:pt>
                <c:pt idx="31">
                  <c:v>-2386983.70115969</c:v>
                </c:pt>
                <c:pt idx="32">
                  <c:v>-2471635.280513374</c:v>
                </c:pt>
                <c:pt idx="33">
                  <c:v>-2553251.126851489</c:v>
                </c:pt>
                <c:pt idx="34">
                  <c:v>-2631981.5771891926</c:v>
                </c:pt>
                <c:pt idx="35">
                  <c:v>-2707967.772043052</c:v>
                </c:pt>
                <c:pt idx="36">
                  <c:v>-2781342.30769363</c:v>
                </c:pt>
                <c:pt idx="37">
                  <c:v>-2852229.836848759</c:v>
                </c:pt>
                <c:pt idx="38">
                  <c:v>-2920747.62214938</c:v>
                </c:pt>
                <c:pt idx="39">
                  <c:v>-2987006.046550407</c:v>
                </c:pt>
                <c:pt idx="40">
                  <c:v>-3051109.0842396813</c:v>
                </c:pt>
              </c:numCache>
            </c:numRef>
          </c:yVal>
          <c:smooth val="1"/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0%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Histogram NPV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Frekuensi</c:v>
          </c:tx>
          <c:spPr>
            <a:solidFill>
              <a:srgbClr val="3D8B7D"/>
            </a:solidFill>
          </c:spPr>
          <c:cat>
            <c:numRef>
              <c:f>'Monte Carlo'!$A$31:$A$60</c:f>
              <c:numCache>
                <c:formatCode>General</c:formatCode>
                <c:ptCount val="30"/>
                <c:pt idx="0">
                  <c:v>-3719617.447175603</c:v>
                </c:pt>
                <c:pt idx="1">
                  <c:v>-3494195.074023815</c:v>
                </c:pt>
                <c:pt idx="2">
                  <c:v>-3268772.700872026</c:v>
                </c:pt>
                <c:pt idx="3">
                  <c:v>-3043350.327720238</c:v>
                </c:pt>
                <c:pt idx="4">
                  <c:v>-2817927.954568449</c:v>
                </c:pt>
                <c:pt idx="5">
                  <c:v>-2592505.581416661</c:v>
                </c:pt>
                <c:pt idx="6">
                  <c:v>-2367083.208264872</c:v>
                </c:pt>
                <c:pt idx="7">
                  <c:v>-2141660.835113084</c:v>
                </c:pt>
                <c:pt idx="8">
                  <c:v>-1916238.461961296</c:v>
                </c:pt>
                <c:pt idx="9">
                  <c:v>-1690816.088809507</c:v>
                </c:pt>
                <c:pt idx="10">
                  <c:v>-1465393.715657719</c:v>
                </c:pt>
                <c:pt idx="11">
                  <c:v>-1239971.342505931</c:v>
                </c:pt>
                <c:pt idx="12">
                  <c:v>-1014548.969354142</c:v>
                </c:pt>
                <c:pt idx="13">
                  <c:v>-789126.5962023542</c:v>
                </c:pt>
                <c:pt idx="14">
                  <c:v>-563704.2230505659</c:v>
                </c:pt>
                <c:pt idx="15">
                  <c:v>-338281.8498987774</c:v>
                </c:pt>
                <c:pt idx="16">
                  <c:v>-112859.4767469889</c:v>
                </c:pt>
                <c:pt idx="17">
                  <c:v>112562.8964047995</c:v>
                </c:pt>
                <c:pt idx="18">
                  <c:v>337985.269556588</c:v>
                </c:pt>
                <c:pt idx="19">
                  <c:v>563407.6427083765</c:v>
                </c:pt>
                <c:pt idx="20">
                  <c:v>788830.0158601645</c:v>
                </c:pt>
                <c:pt idx="21">
                  <c:v>1014252.389011953</c:v>
                </c:pt>
                <c:pt idx="22">
                  <c:v>1239674.762163741</c:v>
                </c:pt>
                <c:pt idx="23">
                  <c:v>1465097.13531553</c:v>
                </c:pt>
                <c:pt idx="24">
                  <c:v>1690519.508467318</c:v>
                </c:pt>
                <c:pt idx="25">
                  <c:v>1915941.881619107</c:v>
                </c:pt>
                <c:pt idx="26">
                  <c:v>2141364.254770895</c:v>
                </c:pt>
                <c:pt idx="27">
                  <c:v>2366786.627922683</c:v>
                </c:pt>
                <c:pt idx="28">
                  <c:v>2592209.001074471</c:v>
                </c:pt>
                <c:pt idx="29">
                  <c:v>2817631.37422626</c:v>
                </c:pt>
              </c:numCache>
            </c:numRef>
          </c:cat>
          <c:val>
            <c:numRef>
              <c:f>'Monte Carlo'!$B$31:$B$60</c:f>
              <c:numCache>
                <c:formatCode>General</c:formatCode>
                <c:ptCount val="3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9</c:v>
                </c:pt>
                <c:pt idx="4">
                  <c:v>22</c:v>
                </c:pt>
                <c:pt idx="5">
                  <c:v>22</c:v>
                </c:pt>
                <c:pt idx="6">
                  <c:v>44</c:v>
                </c:pt>
                <c:pt idx="7">
                  <c:v>73</c:v>
                </c:pt>
                <c:pt idx="8">
                  <c:v>89</c:v>
                </c:pt>
                <c:pt idx="9">
                  <c:v>110</c:v>
                </c:pt>
                <c:pt idx="10">
                  <c:v>151</c:v>
                </c:pt>
                <c:pt idx="11">
                  <c:v>185</c:v>
                </c:pt>
                <c:pt idx="12">
                  <c:v>198</c:v>
                </c:pt>
                <c:pt idx="13">
                  <c:v>222</c:v>
                </c:pt>
                <c:pt idx="14">
                  <c:v>289</c:v>
                </c:pt>
                <c:pt idx="15">
                  <c:v>270</c:v>
                </c:pt>
                <c:pt idx="16">
                  <c:v>250</c:v>
                </c:pt>
                <c:pt idx="17">
                  <c:v>256</c:v>
                </c:pt>
                <c:pt idx="18">
                  <c:v>227</c:v>
                </c:pt>
                <c:pt idx="19">
                  <c:v>163</c:v>
                </c:pt>
                <c:pt idx="20">
                  <c:v>142</c:v>
                </c:pt>
                <c:pt idx="21">
                  <c:v>120</c:v>
                </c:pt>
                <c:pt idx="22">
                  <c:v>57</c:v>
                </c:pt>
                <c:pt idx="23">
                  <c:v>49</c:v>
                </c:pt>
                <c:pt idx="24">
                  <c:v>26</c:v>
                </c:pt>
                <c:pt idx="25">
                  <c:v>13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</c:ser>
        <c:gapWidth val="10"/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Biaya POME terlevelisasi bagi PKS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Biaya POME PKS (USD/t TBS)</c:v>
          </c:tx>
          <c:dPt>
            <c:idx val="0"/>
            <c:spPr>
              <a:solidFill>
                <a:srgbClr val="B2472F"/>
              </a:solidFill>
            </c:spPr>
          </c:dPt>
          <c:dPt>
            <c:idx val="1"/>
            <c:spPr>
              <a:solidFill>
                <a:srgbClr val="8C8C8C"/>
              </a:solidFill>
            </c:spPr>
          </c:dPt>
          <c:dPt>
            <c:idx val="2"/>
            <c:spPr>
              <a:solidFill>
                <a:srgbClr val="8C8C8C"/>
              </a:solidFill>
            </c:spPr>
          </c:dPt>
          <c:dPt>
            <c:idx val="3"/>
            <c:spPr>
              <a:solidFill>
                <a:srgbClr val="1F4E4A"/>
              </a:solidFill>
            </c:spPr>
          </c:dPt>
          <c:dLbls>
            <c:numFmt formatCode="0.00" sourceLinked="0"/>
            <c:showVal val="1"/>
          </c:dLbls>
          <c:cat>
            <c:strRef>
              <c:f>'Keputusan PKS'!$B$44:$E$44</c:f>
              <c:strCache>
                <c:ptCount val="4"/>
                <c:pt idx="0">
                  <c:v>A Status quo</c:v>
                </c:pt>
                <c:pt idx="1">
                  <c:v>B Kolam tertutup</c:v>
                </c:pt>
                <c:pt idx="2">
                  <c:v>C Tangki milik PKS</c:v>
                </c:pt>
                <c:pt idx="3">
                  <c:v>D Layanan BOO</c:v>
                </c:pt>
              </c:strCache>
            </c:strRef>
          </c:cat>
          <c:val>
            <c:numRef>
              <c:f>'Keputusan PKS'!$B$61:$E$61</c:f>
              <c:numCache>
                <c:formatCode>General</c:formatCode>
                <c:ptCount val="4"/>
                <c:pt idx="0">
                  <c:v>3.1399756085481516</c:v>
                </c:pt>
                <c:pt idx="1">
                  <c:v>2.015657043970201</c:v>
                </c:pt>
                <c:pt idx="2">
                  <c:v>1.681644336093574</c:v>
                </c:pt>
                <c:pt idx="3">
                  <c:v>3.0039508109804633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4.png"/><Relationship Id="rId7" Type="http://schemas.openxmlformats.org/officeDocument/2006/relationships/image" Target="../media/image2.png"/><Relationship Id="rId8" Type="http://schemas.openxmlformats.org/officeDocument/2006/relationships/image" Target="../media/image9.png"/><Relationship Id="rId9" Type="http://schemas.openxmlformats.org/officeDocument/2006/relationships/image" Target="../media/image3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9</xdr:col>
      <xdr:colOff>522241</xdr:colOff>
      <xdr:row>10</xdr:row>
      <xdr:rowOff>58820</xdr:rowOff>
    </xdr:to>
    <xdr:pic>
      <xdr:nvPicPr>
        <xdr:cNvPr id="2" name="Picture 1" descr="g11_keputusan_pk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2050" y="381000"/>
          <a:ext cx="4179841" cy="15828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8</xdr:col>
      <xdr:colOff>508107</xdr:colOff>
      <xdr:row>30</xdr:row>
      <xdr:rowOff>169597</xdr:rowOff>
    </xdr:to>
    <xdr:pic>
      <xdr:nvPicPr>
        <xdr:cNvPr id="3" name="Picture 2" descr="g04_arus_ka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72050" y="4381500"/>
          <a:ext cx="3556107" cy="150309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9</xdr:col>
      <xdr:colOff>350658</xdr:colOff>
      <xdr:row>50</xdr:row>
      <xdr:rowOff>19249</xdr:rowOff>
    </xdr:to>
    <xdr:pic>
      <xdr:nvPicPr>
        <xdr:cNvPr id="4" name="Picture 3" descr="g06_payback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72050" y="8001000"/>
          <a:ext cx="4008258" cy="1543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2638587</xdr:colOff>
      <xdr:row>29</xdr:row>
      <xdr:rowOff>143798</xdr:rowOff>
    </xdr:to>
    <xdr:pic>
      <xdr:nvPicPr>
        <xdr:cNvPr id="5" name="Picture 4" descr="g03_capex_opex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2638587" cy="905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152400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16</xdr:col>
      <xdr:colOff>152400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15</xdr:col>
      <xdr:colOff>419100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419100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15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435121</xdr:colOff>
      <xdr:row>9</xdr:row>
      <xdr:rowOff>66172</xdr:rowOff>
    </xdr:to>
    <xdr:pic>
      <xdr:nvPicPr>
        <xdr:cNvPr id="2" name="Picture 1" descr="g11_keputusan_pk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02321" cy="17806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7</xdr:col>
      <xdr:colOff>23621</xdr:colOff>
      <xdr:row>56</xdr:row>
      <xdr:rowOff>6031</xdr:rowOff>
    </xdr:to>
    <xdr:pic>
      <xdr:nvPicPr>
        <xdr:cNvPr id="3" name="Picture 2" descr="g12_segme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44000"/>
          <a:ext cx="4290821" cy="1530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7</xdr:col>
      <xdr:colOff>238723</xdr:colOff>
      <xdr:row>85</xdr:row>
      <xdr:rowOff>148472</xdr:rowOff>
    </xdr:to>
    <xdr:pic>
      <xdr:nvPicPr>
        <xdr:cNvPr id="4" name="Picture 3" descr="g13_pesaing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478000"/>
          <a:ext cx="4505923" cy="18629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6</xdr:col>
      <xdr:colOff>145032</xdr:colOff>
      <xdr:row>112</xdr:row>
      <xdr:rowOff>120129</xdr:rowOff>
    </xdr:to>
    <xdr:pic>
      <xdr:nvPicPr>
        <xdr:cNvPr id="5" name="Picture 4" descr="g01_pasar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812000"/>
          <a:ext cx="3802632" cy="16441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7</xdr:col>
      <xdr:colOff>212537</xdr:colOff>
      <xdr:row>149</xdr:row>
      <xdr:rowOff>105871</xdr:rowOff>
    </xdr:to>
    <xdr:pic>
      <xdr:nvPicPr>
        <xdr:cNvPr id="6" name="Picture 5" descr="g02_porter_pestle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5146000"/>
          <a:ext cx="4479737" cy="33443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8</xdr:col>
      <xdr:colOff>70550</xdr:colOff>
      <xdr:row>188</xdr:row>
      <xdr:rowOff>174372</xdr:rowOff>
    </xdr:to>
    <xdr:pic>
      <xdr:nvPicPr>
        <xdr:cNvPr id="7" name="Picture 6" descr="g03_capex_opex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0"/>
          <a:ext cx="4947350" cy="16983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6</xdr:col>
      <xdr:colOff>152514</xdr:colOff>
      <xdr:row>216</xdr:row>
      <xdr:rowOff>86461</xdr:rowOff>
    </xdr:to>
    <xdr:pic>
      <xdr:nvPicPr>
        <xdr:cNvPr id="8" name="Picture 7" descr="g04_arus_ka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9624000"/>
          <a:ext cx="3810114" cy="16104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7</xdr:col>
      <xdr:colOff>229371</xdr:colOff>
      <xdr:row>244</xdr:row>
      <xdr:rowOff>174372</xdr:rowOff>
    </xdr:to>
    <xdr:pic>
      <xdr:nvPicPr>
        <xdr:cNvPr id="9" name="Picture 8" descr="g05_npv_tornado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4958000"/>
          <a:ext cx="4496571" cy="16983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7</xdr:col>
      <xdr:colOff>27362</xdr:colOff>
      <xdr:row>272</xdr:row>
      <xdr:rowOff>129481</xdr:rowOff>
    </xdr:to>
    <xdr:pic>
      <xdr:nvPicPr>
        <xdr:cNvPr id="10" name="Picture 9" descr="g06_payback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0292000"/>
          <a:ext cx="4294562" cy="1653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7</xdr:col>
      <xdr:colOff>229371</xdr:colOff>
      <xdr:row>300</xdr:row>
      <xdr:rowOff>174372</xdr:rowOff>
    </xdr:to>
    <xdr:pic>
      <xdr:nvPicPr>
        <xdr:cNvPr id="11" name="Picture 10" descr="g07_bep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5626000"/>
          <a:ext cx="4496571" cy="16983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0</xdr:rowOff>
    </xdr:from>
    <xdr:to>
      <xdr:col>8</xdr:col>
      <xdr:colOff>31271</xdr:colOff>
      <xdr:row>328</xdr:row>
      <xdr:rowOff>50922</xdr:rowOff>
    </xdr:to>
    <xdr:pic>
      <xdr:nvPicPr>
        <xdr:cNvPr id="12" name="Picture 11" descr="g08_monte_carlo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0960000"/>
          <a:ext cx="4908071" cy="15749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7</xdr:col>
      <xdr:colOff>229371</xdr:colOff>
      <xdr:row>356</xdr:row>
      <xdr:rowOff>92072</xdr:rowOff>
    </xdr:to>
    <xdr:pic>
      <xdr:nvPicPr>
        <xdr:cNvPr id="13" name="Picture 12" descr="g09_armad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6294000"/>
          <a:ext cx="4496571" cy="16160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376</xdr:row>
      <xdr:rowOff>0</xdr:rowOff>
    </xdr:from>
    <xdr:to>
      <xdr:col>5</xdr:col>
      <xdr:colOff>94362</xdr:colOff>
      <xdr:row>383</xdr:row>
      <xdr:rowOff>114231</xdr:rowOff>
    </xdr:to>
    <xdr:pic>
      <xdr:nvPicPr>
        <xdr:cNvPr id="14" name="Picture 13" descr="g10_skenario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71628000"/>
          <a:ext cx="3142362" cy="14477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https://peraturan.bpk.go.id/Download/384240/Permen%20LH%20No%205%20Tahun%202014.pdf" TargetMode="External"/><Relationship Id="rId2" Type="http://schemas.openxmlformats.org/officeDocument/2006/relationships/hyperlink" Target="https://peraturan.bpk.go.id/Download/384240/Permen%20LH%20No%205%20Tahun%202014.pdf" TargetMode="External"/><Relationship Id="rId3" Type="http://schemas.openxmlformats.org/officeDocument/2006/relationships/hyperlink" Target="https://peraturan.bpk.go.id/Download/384240/Permen%20LH%20No%205%20Tahun%202014.pdf" TargetMode="External"/><Relationship Id="rId4" Type="http://schemas.openxmlformats.org/officeDocument/2006/relationships/hyperlink" Target="https://peraturan.bpk.go.id/Download/384240/Permen%20LH%20No%205%20Tahun%202014.pdf" TargetMode="External"/><Relationship Id="rId5" Type="http://schemas.openxmlformats.org/officeDocument/2006/relationships/hyperlink" Target="https://peraturan.bpk.go.id/Download/384240/Permen%20LH%20No%205%20Tahun%202014.pdf" TargetMode="External"/><Relationship Id="rId6" Type="http://schemas.openxmlformats.org/officeDocument/2006/relationships/hyperlink" Target="https://peraturan.bpk.go.id/Download/384240/Permen%20LH%20No%205%20Tahun%202014.pdf" TargetMode="External"/><Relationship Id="rId7" Type="http://schemas.openxmlformats.org/officeDocument/2006/relationships/hyperlink" Target="https://peraturan.bpk.go.id/Download/384240/Permen%20LH%20No%205%20Tahun%202014.pdf" TargetMode="External"/><Relationship Id="rId8" Type="http://schemas.openxmlformats.org/officeDocument/2006/relationships/hyperlink" Target="https://journals.unpad.ac.id/soilrens/article/download/45267/19386" TargetMode="External"/><Relationship Id="rId9" Type="http://schemas.openxmlformats.org/officeDocument/2006/relationships/hyperlink" Target="https://peraturan.bpk.go.id/Details/38771/uu-no-32-tahun-2009" TargetMode="External"/><Relationship Id="rId10" Type="http://schemas.openxmlformats.org/officeDocument/2006/relationships/hyperlink" Target="https://www.goriau.com/berita/baca/sukses-kawal-kasus-limbah-pt-sipp-hingga-putusan-kasasi-ma-dr-marnalom-hutahaean-ini-kemenangan-masyarakat.html" TargetMode="External"/><Relationship Id="rId11" Type="http://schemas.openxmlformats.org/officeDocument/2006/relationships/hyperlink" Target="https://www.infosawit.com/2025/05/12/ispo-kini-wajib-untuk-industri-hilir-dan-bioenergi-petani-swadaya-didorong-dapat-insentif/" TargetMode="External"/><Relationship Id="rId12" Type="http://schemas.openxmlformats.org/officeDocument/2006/relationships/hyperlink" Target="https://www.ipcc-nggip.iges.or.jp/public/2006gl/pdf/5_Volume5/V5_6_Ch6_Wastewater.pdf" TargetMode="External"/><Relationship Id="rId13" Type="http://schemas.openxmlformats.org/officeDocument/2006/relationships/hyperlink" Target="https://www.ipcc-nggip.iges.or.jp/public/2019rf/pdf/5_Volume5/19R_V5_6_Ch06_Wastewater.pdf" TargetMode="External"/><Relationship Id="rId14" Type="http://schemas.openxmlformats.org/officeDocument/2006/relationships/hyperlink" Target="https://cdm.unfccc.int/methodologies/DB/0VAXUEJCAFN54BBE98CARMZU2TPMPJ/" TargetMode="External"/><Relationship Id="rId15" Type="http://schemas.openxmlformats.org/officeDocument/2006/relationships/hyperlink" Target="https://unfccc.int/sites/default/files/resource/cma2018_3_add2_new_advance.pdf" TargetMode="External"/><Relationship Id="rId16" Type="http://schemas.openxmlformats.org/officeDocument/2006/relationships/hyperlink" Target="https://cdm.unfccc.int/methodologies/DB/0VAXUEJCAFN54BBE98CARMZU2TPMPJ/" TargetMode="External"/><Relationship Id="rId17" Type="http://schemas.openxmlformats.org/officeDocument/2006/relationships/hyperlink" Target="https://cdm.unfccc.int/Projects/DB/DNV-CUK1297330109.8/view" TargetMode="External"/><Relationship Id="rId18" Type="http://schemas.openxmlformats.org/officeDocument/2006/relationships/hyperlink" Target="https://www.tandfonline.com/doi/pdf/10.1080/10962247.2013.873092" TargetMode="External"/><Relationship Id="rId19" Type="http://schemas.openxmlformats.org/officeDocument/2006/relationships/hyperlink" Target="https://agritrop.cirad.fr/580308/1/Bessou.paper.ICOPE2016.pdf" TargetMode="External"/><Relationship Id="rId20" Type="http://schemas.openxmlformats.org/officeDocument/2006/relationships/hyperlink" Target="https://www.ecoengineers.us/insights/unlocking-value-from-landfill-methane-destruction/" TargetMode="External"/><Relationship Id="rId21" Type="http://schemas.openxmlformats.org/officeDocument/2006/relationships/hyperlink" Target="https://www.msci.com/research-and-insights/blog-post/carbon-credits-come-of-age-in-2025" TargetMode="External"/><Relationship Id="rId22" Type="http://schemas.openxmlformats.org/officeDocument/2006/relationships/hyperlink" Target="https://www.tempo.co/ekonomi/ri-resmi-luncurkan-perdagangan-karbon-internasional-harga-rp-96-ribu-dan-rp-144-ribu-per-ton-1196430" TargetMode="External"/><Relationship Id="rId23" Type="http://schemas.openxmlformats.org/officeDocument/2006/relationships/hyperlink" Target="https://periskop.id/pasar-modal/20261013/pasar-karbon-ri-baru-rp94-miliar-pemerintah-ingin-manfaat-lebih-besar-mengalir-ke-warga" TargetMode="External"/><Relationship Id="rId24" Type="http://schemas.openxmlformats.org/officeDocument/2006/relationships/hyperlink" Target="https://theplanetbrief.com/carbon/corsia/credit-prices/" TargetMode="External"/><Relationship Id="rId25" Type="http://schemas.openxmlformats.org/officeDocument/2006/relationships/hyperlink" Target="https://verra.org/new-verra-program-fee-schedule-faqs/" TargetMode="External"/><Relationship Id="rId26" Type="http://schemas.openxmlformats.org/officeDocument/2006/relationships/hyperlink" Target="https://verra.org/verra-releases-updated-fee-schedule/" TargetMode="External"/><Relationship Id="rId27" Type="http://schemas.openxmlformats.org/officeDocument/2006/relationships/hyperlink" Target="https://jdih.kemenkeu.go.id/api/download/7332a343-0623-4d26-80f2-9d8f62a5c2ba/2022perpres112.pdf" TargetMode="External"/><Relationship Id="rId28" Type="http://schemas.openxmlformats.org/officeDocument/2006/relationships/hyperlink" Target="https://jdih.kemenkeu.go.id/api/download/7332a343-0623-4d26-80f2-9d8f62a5c2ba/2022perpres112.pdf" TargetMode="External"/><Relationship Id="rId29" Type="http://schemas.openxmlformats.org/officeDocument/2006/relationships/hyperlink" Target="https://rmol.id/amp/2025/05/26/667818/sahkan-ruptl-2025-2034--menteri-esdm-bidik-kapasitas-listrik-tambahan-69-5-gw-" TargetMode="External"/><Relationship Id="rId30" Type="http://schemas.openxmlformats.org/officeDocument/2006/relationships/hyperlink" Target="https://ebtke.esdm.go.id/" TargetMode="External"/><Relationship Id="rId31" Type="http://schemas.openxmlformats.org/officeDocument/2006/relationships/hyperlink" Target="https://www.iscc-system.org/wp-content/uploads/2024/01/ISCC_EU_205_Greenhouse-Gas-Emissions_v4.1_January2024.pdf" TargetMode="External"/><Relationship Id="rId32" Type="http://schemas.openxmlformats.org/officeDocument/2006/relationships/hyperlink" Target="https://www.adviescommissiedbe.nl/file/download/b7ac07a8-48c4-40d1-8ab6-2ccdced28d79/ISCC_205_GHG_Emissions_3.0.pdf" TargetMode="External"/><Relationship Id="rId33" Type="http://schemas.openxmlformats.org/officeDocument/2006/relationships/hyperlink" Target="https://www.eco-business.com/news/new-sustainable-palm-oil-rules-win-consensus-amid-rspo-credit-price-slump/" TargetMode="External"/><Relationship Id="rId34" Type="http://schemas.openxmlformats.org/officeDocument/2006/relationships/hyperlink" Target="https://unfccc.int/sites/default/files/NDC/2022-09/23.09.2022_Enhanced%20NDC%20Indonesia.pdf" TargetMode="External"/><Relationship Id="rId35" Type="http://schemas.openxmlformats.org/officeDocument/2006/relationships/hyperlink" Target="https://www.iisd.org/system/files/2026-03/carbon-pricing-southeast-asia.pdf" TargetMode="External"/><Relationship Id="rId36" Type="http://schemas.openxmlformats.org/officeDocument/2006/relationships/hyperlink" Target="https://www.bi.go.id/id/statistik/informasi-kurs/jisdor/default.aspx" TargetMode="External"/><Relationship Id="rId37" Type="http://schemas.openxmlformats.org/officeDocument/2006/relationships/hyperlink" Target="https://www.cnnindonesia.com/ekonomi/20260923143557-78-1407278/bi-rate-tetap-575-persen-per-september-2026-ditahan-3-bulan-beruntun" TargetMode="External"/><Relationship Id="rId38" Type="http://schemas.openxmlformats.org/officeDocument/2006/relationships/hyperlink" Target="https://www.iea.org/commentaries/high-cost-of-capital-and-limited-project-pipeline-hinder-clean-energy-investment-in-southeast-asia" TargetMode="External"/><Relationship Id="rId39" Type="http://schemas.openxmlformats.org/officeDocument/2006/relationships/hyperlink" Target="https://www.climatepolicyinitiative.org/wp-content/uploads/2023/06/Discussion-Paper-EM-Cost-of-Capital-for-RE-and-GCGF-FINAL-Jun-2023.pdf" TargetMode="External"/><Relationship Id="rId40" Type="http://schemas.openxmlformats.org/officeDocument/2006/relationships/hyperlink" Target="https://www.climatepolicyinitiative.org/wp-content/uploads/2023/06/Discussion-Paper-EM-Cost-of-Capital-for-RE-and-GCGF-FINAL-Jun-2023.pdf" TargetMode="External"/><Relationship Id="rId41" Type="http://schemas.openxmlformats.org/officeDocument/2006/relationships/hyperlink" Target="https://money.kompas.com/read/2026/10/13/083616126/tarif-listrik-per-kwh-13-18-oktober-2026-untuk-semua-golongan-pelanggan-pln" TargetMode="External"/><Relationship Id="rId42" Type="http://schemas.openxmlformats.org/officeDocument/2006/relationships/hyperlink" Target="https://www.metrotvnews.com/read/b2lCXBwP-tarif-listrik-per-kwh-13-18-oktober-2026-simak-rincian-harga-per-golongan" TargetMode="External"/><Relationship Id="rId43" Type="http://schemas.openxmlformats.org/officeDocument/2006/relationships/hyperlink" Target="https://ekonomi.bisnis.com/read/20260901/44/2000252/daftar-harga-bbm-per-1-september-2026-kompak-naik" TargetMode="External"/><Relationship Id="rId44" Type="http://schemas.openxmlformats.org/officeDocument/2006/relationships/hyperlink" Target="https://solardistro.com/artikel/harga-solar-industri-periode-15-31-september-2026/" TargetMode="External"/><Relationship Id="rId45" Type="http://schemas.openxmlformats.org/officeDocument/2006/relationships/hyperlink" Target="https://palmoilis.mpob.gov.my/publications/POEB/poeb115-ravi.pdf" TargetMode="External"/><Relationship Id="rId46" Type="http://schemas.openxmlformats.org/officeDocument/2006/relationships/hyperlink" Target="https://www.researchgate.net/publication/266052671_Assessment_and_Improvement_of_Energy_Utilization_in_Crude_Palm_Oil_Mill" TargetMode="External"/><Relationship Id="rId47" Type="http://schemas.openxmlformats.org/officeDocument/2006/relationships/hyperlink" Target="https://www.sciencedirect.com/science/article/pii/S2666789425000698" TargetMode="External"/><Relationship Id="rId48" Type="http://schemas.openxmlformats.org/officeDocument/2006/relationships/hyperlink" Target="https://www.infosawit.com/2026/05/08/palmco-optimalkan-limbah-sawit-jadi-energi-tekan-konsumsi-solar-hingga-jutaan-liter/" TargetMode="External"/><Relationship Id="rId49" Type="http://schemas.openxmlformats.org/officeDocument/2006/relationships/hyperlink" Target="https://www.idnfinancials.com/news/51470/tempo-and-idn-financials-award-andrianto-oetomo-as-the-best-ceo" TargetMode="External"/><Relationship Id="rId50" Type="http://schemas.openxmlformats.org/officeDocument/2006/relationships/hyperlink" Target="https://www.cnbcindonesia.com/news/20220914215339-4-372174/yang-dinanti-sudah-terbit-begini-aturan-tarif-listrik-ebt" TargetMode="External"/><Relationship Id="rId51" Type="http://schemas.openxmlformats.org/officeDocument/2006/relationships/hyperlink" Target="https://www.cnbcindonesia.com/news/20220914215339-4-372174/yang-dinanti-sudah-terbit-begini-aturan-tarif-listrik-ebt" TargetMode="External"/><Relationship Id="rId52" Type="http://schemas.openxmlformats.org/officeDocument/2006/relationships/hyperlink" Target="https://id.scribd.com/document/609079033/Materi-Sosialisasi-Perpres-112-2022" TargetMode="External"/><Relationship Id="rId53" Type="http://schemas.openxmlformats.org/officeDocument/2006/relationships/hyperlink" Target="https://id.scribd.com/document/609079033/Materi-Sosialisasi-Perpres-112-2022" TargetMode="External"/><Relationship Id="rId54" Type="http://schemas.openxmlformats.org/officeDocument/2006/relationships/hyperlink" Target="https://jdih.kemenkeu.go.id/api/download/7332a343-0623-4d26-80f2-9d8f62a5c2ba/2022perpres112.pdf" TargetMode="External"/><Relationship Id="rId55" Type="http://schemas.openxmlformats.org/officeDocument/2006/relationships/hyperlink" Target="https://www.idxchannel.com/economics/manfaatkan-limbah-dari-kelapa-sawit-ptpn-iv-pln-bikin-pltbg-2x1-mw" TargetMode="External"/><Relationship Id="rId56" Type="http://schemas.openxmlformats.org/officeDocument/2006/relationships/hyperlink" Target="https://www.apec.org/docs/default-source/Publications/2017/3/Strategy-for-LargeScale-Implementation-of-Biogas-Capture-from-Palm-Oil-Mill-Effluent-and-Reuse-for-R/217_EWG_Biogas-from-Palm-Oil-Mill-Effluent_Final-Report-for-APEC-Secretariat.pdf" TargetMode="External"/><Relationship Id="rId57" Type="http://schemas.openxmlformats.org/officeDocument/2006/relationships/hyperlink" Target="https://ejournal.brin.go.id/MIPI/article/view/1630" TargetMode="External"/><Relationship Id="rId58" Type="http://schemas.openxmlformats.org/officeDocument/2006/relationships/hyperlink" Target="https://www.researchgate.net/publication/344644827_Cost-Benefit_Analysis_of_POME_Biogas_Power_Plant_Case_Study_of_PLTBg_Suka_Damai" TargetMode="External"/><Relationship Id="rId59" Type="http://schemas.openxmlformats.org/officeDocument/2006/relationships/hyperlink" Target="https://ejournal.brin.go.id/MIPI/article/view/1630" TargetMode="External"/><Relationship Id="rId60" Type="http://schemas.openxmlformats.org/officeDocument/2006/relationships/hyperlink" Target="https://www.sciencedirect.com/science/article/pii/S2666188825010172" TargetMode="External"/><Relationship Id="rId61" Type="http://schemas.openxmlformats.org/officeDocument/2006/relationships/hyperlink" Target="https://doi.org/10.3390/EN15197265" TargetMode="External"/><Relationship Id="rId62" Type="http://schemas.openxmlformats.org/officeDocument/2006/relationships/hyperlink" Target="https://zuelyzul.blogspot.com/2014/10/pemanfaatan-limbah-cair-pks-untuk-land.html" TargetMode="External"/><Relationship Id="rId63" Type="http://schemas.openxmlformats.org/officeDocument/2006/relationships/hyperlink" Target="https://zuelyzul.blogspot.com/2014/10/pemanfaatan-limbah-cair-pks-untuk-land.html" TargetMode="External"/><Relationship Id="rId64" Type="http://schemas.openxmlformats.org/officeDocument/2006/relationships/hyperlink" Target="https://strathprints.strath.ac.uk/75100/1/Jagaba_etal_ASEJ_2020_Sustainable_use_of_natural_and_chemical_coagulants_for_contaminants_removal_from_palm_oil_mill_effluent.pdf" TargetMode="External"/><Relationship Id="rId65" Type="http://schemas.openxmlformats.org/officeDocument/2006/relationships/hyperlink" Target="https://infraconcrete.co/geotube-dewatering-pome-palm-oil/" TargetMode="External"/><Relationship Id="rId66" Type="http://schemas.openxmlformats.org/officeDocument/2006/relationships/hyperlink" Target="https://repository.ipb.ac.id/handle/123456789/60711" TargetMode="External"/><Relationship Id="rId67" Type="http://schemas.openxmlformats.org/officeDocument/2006/relationships/hyperlink" Target="https://iopscience.iop.org/article/10.1088/1755-1315/365/1/012009/pdf" TargetMode="External"/><Relationship Id="rId68" Type="http://schemas.openxmlformats.org/officeDocument/2006/relationships/hyperlink" Target="https://www.mdpi.com/2227-9717/9/5/739" TargetMode="External"/><Relationship Id="rId69" Type="http://schemas.openxmlformats.org/officeDocument/2006/relationships/hyperlink" Target="https://haisawit.co.id/news/detail/hitung-cermat-luas-lahan-la-dan-jjk-sawit-untuk-pks-kapasitas-60-ton-per-jam" TargetMode="External"/><Relationship Id="rId70" Type="http://schemas.openxmlformats.org/officeDocument/2006/relationships/hyperlink" Target="https://www.infosawit.com/2026/10/13/harga-tbs-sawit-plasma-riau-periode-14-20-oktober-2026-umur-9-tahun-rp3-78339-per-kg/" TargetMode="External"/><Relationship Id="rId71" Type="http://schemas.openxmlformats.org/officeDocument/2006/relationships/hyperlink" Target="https://satudata.pertanian.go.id/assets/docs/publikasi/Buku_Analisis_Kinerja_Perdagangan_Kelapa_Sawit_2025_-_tte_sign.pdf" TargetMode="External"/><Relationship Id="rId72" Type="http://schemas.openxmlformats.org/officeDocument/2006/relationships/hyperlink" Target="https://gdm.id/harga-kebun-sawit-1-hektar-setiap-daerah-di-indonesia/" TargetMode="External"/><Relationship Id="rId73" Type="http://schemas.openxmlformats.org/officeDocument/2006/relationships/hyperlink" Target="https://www.argusmedia.com/en/news-and-insights/latest-market-news/2770870-indonesia-maintains-pks-export-tax-for-january-2026" TargetMode="External"/><Relationship Id="rId74" Type="http://schemas.openxmlformats.org/officeDocument/2006/relationships/hyperlink" Target="https://www.seda.gov.my/result-of-application-for-feed-in-approval-for-the-year-2026-under-the-feed-in-tariff-fit-system/" TargetMode="External"/><Relationship Id="rId75" Type="http://schemas.openxmlformats.org/officeDocument/2006/relationships/hyperlink" Target="https://iopscience.iop.org/article/10.1088/1748-9326/ad8806" TargetMode="External"/><Relationship Id="rId76" Type="http://schemas.openxmlformats.org/officeDocument/2006/relationships/hyperlink" Target="https://berita.rtm.gov.my/nasional/senarai-berita-nasional/senarai-artikel/pekebun-kecil-pengilang-sawit-diseru-rebut-peluang-bangunkan-industri-biogas/" TargetMode="External"/><Relationship Id="rId77" Type="http://schemas.openxmlformats.org/officeDocument/2006/relationships/hyperlink" Target="https://resources.trase.earth/documents/data_methods/SEI_PCS_Indonesia_palm_1.2.2_ENG.pdf" TargetMode="External"/><Relationship Id="rId78" Type="http://schemas.openxmlformats.org/officeDocument/2006/relationships/hyperlink" Target="https://resources.trase.earth/documents/data_methods/SEI_PCS_Indonesia_palm_1.2.2_ENG.pdf" TargetMode="External"/><Relationship Id="rId79" Type="http://schemas.openxmlformats.org/officeDocument/2006/relationships/hyperlink" Target="https://gapki.id/news/2026/09/10/pks-tanpa-kebun-dan-berondolan-ancam-ekosistem-rantai-pasok-sawit-yang-sudah-mapan/" TargetMode="External"/><Relationship Id="rId80" Type="http://schemas.openxmlformats.org/officeDocument/2006/relationships/hyperlink" Target="https://jerkin.org/index.php/jerkin/article/download/3935/2872" TargetMode="External"/><Relationship Id="rId81" Type="http://schemas.openxmlformats.org/officeDocument/2006/relationships/hyperlink" Target="https://resources.trase.earth/documents/infobriefs/infobrief09EN.pdf" TargetMode="External"/><Relationship Id="rId82" Type="http://schemas.openxmlformats.org/officeDocument/2006/relationships/hyperlink" Target="https://disbun.kaltimprov.go.id/artikel/kaltim-miliki-99-pabrik-pengolahan-kelapa-sawit" TargetMode="External"/><Relationship Id="rId83" Type="http://schemas.openxmlformats.org/officeDocument/2006/relationships/hyperlink" Target="https://sawitindonesia.com/5-emiten-sawit-dengan-jumlah-pabrik-sawit-terbanyak/" TargetMode="External"/><Relationship Id="rId84" Type="http://schemas.openxmlformats.org/officeDocument/2006/relationships/hyperlink" Target="https://industri.kontan.co.id/news/gapki-catat-produksi-cpo-nasional-naik-72-di-tahun-2025" TargetMode="External"/><Relationship Id="rId85" Type="http://schemas.openxmlformats.org/officeDocument/2006/relationships/hyperlink" Target="https://industri.kontan.co.id/news/gapki-catat-produksi-cpo-nasional-naik-72-di-tahun-2025" TargetMode="External"/><Relationship Id="rId86" Type="http://schemas.openxmlformats.org/officeDocument/2006/relationships/hyperlink" Target="https://ekonomi.bisnis.com/read/20260313/12/1960184/gapki-cemas-pasokan-cpo-makin-ketat-produksi-2026-diproyeksi-hanya-naik-2" TargetMode="External"/><Relationship Id="rId87" Type="http://schemas.openxmlformats.org/officeDocument/2006/relationships/hyperlink" Target="https://rri.co.id/en/technology/2661068/indonesia-has-potential-to-use-pome-as-clean-energy-source" TargetMode="External"/><Relationship Id="rId88" Type="http://schemas.openxmlformats.org/officeDocument/2006/relationships/hyperlink" Target="https://bepi.mpob.gov.my/images/overview/Overview2024.pdf" TargetMode="External"/><Relationship Id="rId89" Type="http://schemas.openxmlformats.org/officeDocument/2006/relationships/hyperlink" Target="https://www.bioenergy-news.com/news/indonesias-palm-oil-waste-could-generate-3-6-billion-cubic-metres-of-biogas-annually/" TargetMode="External"/><Relationship Id="rId90" Type="http://schemas.openxmlformats.org/officeDocument/2006/relationships/hyperlink" Target="https://www.bioenergy-news.com/news/indonesias-palm-oil-waste-could-generate-3-6-billion-cubic-metres-of-biogas-annually/" TargetMode="External"/><Relationship Id="rId91" Type="http://schemas.openxmlformats.org/officeDocument/2006/relationships/hyperlink" Target="https://www.bioenergy-news.com/news/indonesias-palm-oil-waste-could-generate-3-6-billion-cubic-metres-of-biogas-annually/" TargetMode="External"/><Relationship Id="rId92" Type="http://schemas.openxmlformats.org/officeDocument/2006/relationships/hyperlink" Target="https://gree-energy.com/unlocking-the-power-of-biogas-from-palm-oil-mill-effluent/" TargetMode="External"/><Relationship Id="rId93" Type="http://schemas.openxmlformats.org/officeDocument/2006/relationships/hyperlink" Target="https://gapki.id/en/news/2026/05/30/pome-to-electricity-expands-sustainability-of-palm-industry/" TargetMode="External"/><Relationship Id="rId94" Type="http://schemas.openxmlformats.org/officeDocument/2006/relationships/hyperlink" Target="https://ebtke.esdm.go.id/" TargetMode="External"/><Relationship Id="rId95" Type="http://schemas.openxmlformats.org/officeDocument/2006/relationships/hyperlink" Target="https://gapki.id/en/news/2026/05/30/pome-to-electricity-expands-sustainability-of-palm-industry/" TargetMode="External"/><Relationship Id="rId96" Type="http://schemas.openxmlformats.org/officeDocument/2006/relationships/hyperlink" Target="https://gapki.id/en/news/2026/05/30/pome-to-electricity-expands-sustainability-of-palm-industry/" TargetMode="External"/><Relationship Id="rId97" Type="http://schemas.openxmlformats.org/officeDocument/2006/relationships/hyperlink" Target="https://www.apec.org/docs/default-source/Publications/2017/3/Strategy-for-LargeScale-Implementation-of-Biogas-Capture-from-Palm-Oil-Mill-Effluent-and-Reuse-for-R/217_EWG_Biogas-from-Palm-Oil-Mill-Effluent_Final-Report-for-APEC-Secretariat.pdf" TargetMode="External"/><Relationship Id="rId98" Type="http://schemas.openxmlformats.org/officeDocument/2006/relationships/hyperlink" Target="https://ebtke.esdm.go.id/" TargetMode="External"/><Relationship Id="rId99" Type="http://schemas.openxmlformats.org/officeDocument/2006/relationships/hyperlink" Target="https://www.apec.org/docs/default-source/Publications/2017/3/Strategy-for-LargeScale-Implementation-of-Biogas-Capture-from-Palm-Oil-Mill-Effluent-and-Reuse-for-R/217_EWG_Biogas-from-Palm-Oil-Mill-Effluent_Final-Report-for-APEC-Secretariat.pdf" TargetMode="External"/><Relationship Id="rId100" Type="http://schemas.openxmlformats.org/officeDocument/2006/relationships/hyperlink" Target="https://en.infosawit.com/news/15379/tse-group-invests-us--3-6-million-to-build-biogas-plant--a-bold-step-towards-net-zero-emissions" TargetMode="External"/><Relationship Id="rId101" Type="http://schemas.openxmlformats.org/officeDocument/2006/relationships/hyperlink" Target="https://www.thestar.com.my/business/business-news/2026/08/19/renikola-secures-long-term-gas-sales-agreement-in-indonesia" TargetMode="External"/><Relationship Id="rId102" Type="http://schemas.openxmlformats.org/officeDocument/2006/relationships/hyperlink" Target="https://ampc.com.au/media/vbqmc2bg/ampc_anaerobicmembranebioreactors_snapshot.pdf" TargetMode="External"/><Relationship Id="rId103" Type="http://schemas.openxmlformats.org/officeDocument/2006/relationships/hyperlink" Target="https://doi.org/10.3390/EN15197265" TargetMode="External"/><Relationship Id="rId104" Type="http://schemas.openxmlformats.org/officeDocument/2006/relationships/hyperlink" Target="https://www.ncbi.nlm.nih.gov/pmc/articles/PMC6523901/" TargetMode="External"/><Relationship Id="rId105" Type="http://schemas.openxmlformats.org/officeDocument/2006/relationships/hyperlink" Target="https://zonaebt.com/pltbg-sei-mangkei-24-mw-olah-limbah-pome-jadi-energi-hijau/" TargetMode="External"/><Relationship Id="rId106" Type="http://schemas.openxmlformats.org/officeDocument/2006/relationships/hyperlink" Target="https://www.sciencedirect.com/science/article/abs/pii/S0959652620314086" TargetMode="External"/><Relationship Id="rId107" Type="http://schemas.openxmlformats.org/officeDocument/2006/relationships/hyperlink" Target="https://www.petromindo.com/news/article/perkebunan-nusantara-iv-palmco-breaks-ground-on-indonesia-s-first-palm-waste-based-cbg-plant" TargetMode="External"/><Relationship Id="rId108" Type="http://schemas.openxmlformats.org/officeDocument/2006/relationships/hyperlink" Target="https://www.petromindo.com/news/article/ptpn-iv-japan-s-aiken-kakoki-accelerate-construction-of-palm-biogas-plant" TargetMode="External"/><Relationship Id="rId109" Type="http://schemas.openxmlformats.org/officeDocument/2006/relationships/hyperlink" Target="https://katadata.co.id/ekonomi-hijau/energi-baru/6322b0d0c80d2/diatur-perpres-ebt-ini-rincian-harga-listrik-dari-energi-terbarukan" TargetMode="External"/><Relationship Id="rId110" Type="http://schemas.openxmlformats.org/officeDocument/2006/relationships/hyperlink" Target="https://www.worldbiogasassociation.org/wp-content/uploads/2022/12/WBA-Market-Report-indonesia.pdf" TargetMode="External"/><Relationship Id="rId111" Type="http://schemas.openxmlformats.org/officeDocument/2006/relationships/hyperlink" Target="https://www.matec-conferences.org/articles/matecconf/abs/2019/09/matecconf_icpse2018_03004/matecconf_icpse2018_03004.html" TargetMode="External"/><Relationship Id="rId112" Type="http://schemas.openxmlformats.org/officeDocument/2006/relationships/hyperlink" Target="https://jopr.mpob.gov.my/wp-content/uploads/2025/06/OIL-PALM-ECONOMIC-PERFORMANCE-IN-MALAYSIA-AND-RD-PROGRESS-IN-2024.pdf" TargetMode="External"/><Relationship Id="rId113" Type="http://schemas.openxmlformats.org/officeDocument/2006/relationships/hyperlink" Target="https://palmoilis.mpob.gov.my/publications/POEB/poeb148-soh.pdf" TargetMode="External"/><Relationship Id="rId114" Type="http://schemas.openxmlformats.org/officeDocument/2006/relationships/hyperlink" Target="https://jopr.mpob.gov.my/renewable-energy-and-greenhouse-gases-emission-reduction-potential-of-biogas-from-palm-oil-mill-effluent/" TargetMode="External"/><Relationship Id="rId115" Type="http://schemas.openxmlformats.org/officeDocument/2006/relationships/hyperlink" Target="https://seabenergy.com/products/anaerobic-digesters/" TargetMode="External"/><Relationship Id="rId116" Type="http://schemas.openxmlformats.org/officeDocument/2006/relationships/hyperlink" Target="https://doi.org/10.3390/pr9050739" TargetMode="External"/><Relationship Id="rId117" Type="http://schemas.openxmlformats.org/officeDocument/2006/relationships/hyperlink" Target="https://www.researchgate.net/publication/279868673" TargetMode="External"/><Relationship Id="rId118" Type="http://schemas.openxmlformats.org/officeDocument/2006/relationships/hyperlink" Target="https://links.sgx.com/1.0.0/corporate-announcements/TOI4KBRYUFP6AQ6Y/768567_First_Resources_1H2023_Production_Highlights.pdf" TargetMode="External"/><Relationship Id="rId119" Type="http://schemas.openxmlformats.org/officeDocument/2006/relationships/hyperlink" Target="https://doi.org/10.2225/vol10-issue3-fulltext-7" TargetMode="External"/><Relationship Id="rId120" Type="http://schemas.openxmlformats.org/officeDocument/2006/relationships/hyperlink" Target="https://doi.org/10.2225/vol10-issue3-fulltext-7" TargetMode="External"/><Relationship Id="rId121" Type="http://schemas.openxmlformats.org/officeDocument/2006/relationships/hyperlink" Target="https://doi.org/10.2225/vol10-issue3-fulltext-7" TargetMode="External"/><Relationship Id="rId122" Type="http://schemas.openxmlformats.org/officeDocument/2006/relationships/hyperlink" Target="https://pubmed.ncbi.nlm.nih.gov/19957769" TargetMode="External"/><Relationship Id="rId123" Type="http://schemas.openxmlformats.org/officeDocument/2006/relationships/hyperlink" Target="https://doi.org/10.2225/vol10-issue3-fulltext-7" TargetMode="External"/><Relationship Id="rId124" Type="http://schemas.openxmlformats.org/officeDocument/2006/relationships/hyperlink" Target="https://doi.org/10.3390/membranes9040055" TargetMode="External"/><Relationship Id="rId125" Type="http://schemas.openxmlformats.org/officeDocument/2006/relationships/hyperlink" Target="https://doi.org/10.3390/membranes9040055" TargetMode="External"/><Relationship Id="rId126" Type="http://schemas.openxmlformats.org/officeDocument/2006/relationships/hyperlink" Target="https://doi.org/10.1155/2022/2278211" TargetMode="External"/><Relationship Id="rId127" Type="http://schemas.openxmlformats.org/officeDocument/2006/relationships/hyperlink" Target="https://doi.org/10.1155/2022/2278211" TargetMode="External"/><Relationship Id="rId128" Type="http://schemas.openxmlformats.org/officeDocument/2006/relationships/hyperlink" Target="https://www.researchgate.net/publication/343979030" TargetMode="External"/><Relationship Id="rId129" Type="http://schemas.openxmlformats.org/officeDocument/2006/relationships/hyperlink" Target="https://doi.org/10.2225/vol10-issue3-fulltext-7" TargetMode="External"/><Relationship Id="rId130" Type="http://schemas.openxmlformats.org/officeDocument/2006/relationships/hyperlink" Target="https://bioresources.cnr.ncsu.edu/resources/performance-of-a-high-rate-two-stage-anaerobic-membrane-bioreactor-anmbr-for-the-treatment-of-palm-oil-mill-effluent/" TargetMode="External"/><Relationship Id="rId131" Type="http://schemas.openxmlformats.org/officeDocument/2006/relationships/hyperlink" Target="https://doi.org/10.3390/pr9050739" TargetMode="External"/><Relationship Id="rId132" Type="http://schemas.openxmlformats.org/officeDocument/2006/relationships/hyperlink" Target="https://doi.org/10.3390/pr9050739" TargetMode="External"/><Relationship Id="rId133" Type="http://schemas.openxmlformats.org/officeDocument/2006/relationships/hyperlink" Target="https://www.researchgate.net/publication/272549477" TargetMode="External"/><Relationship Id="rId134" Type="http://schemas.openxmlformats.org/officeDocument/2006/relationships/hyperlink" Target="https://doi.org/10.3389/fbioe.2024.1491974" TargetMode="External"/><Relationship Id="rId135" Type="http://schemas.openxmlformats.org/officeDocument/2006/relationships/hyperlink" Target="https://xflow.pentair.com/en/products/x-flow-crossflowmbr.html" TargetMode="External"/><Relationship Id="rId136" Type="http://schemas.openxmlformats.org/officeDocument/2006/relationships/hyperlink" Target="https://xflow.pentair.com/en/products/x-flow-crossflowmbr.html" TargetMode="External"/><Relationship Id="rId137" Type="http://schemas.openxmlformats.org/officeDocument/2006/relationships/hyperlink" Target="https://xflow.pentair.com/en/products/x-flow-crossflowmbr.html" TargetMode="External"/><Relationship Id="rId138" Type="http://schemas.openxmlformats.org/officeDocument/2006/relationships/hyperlink" Target="https://pdf.directindustry.com/pdf/pentair-x-flow/compact-27/71363-666138.html" TargetMode="External"/><Relationship Id="rId139" Type="http://schemas.openxmlformats.org/officeDocument/2006/relationships/hyperlink" Target="https://xflow.pentair.com/en/products/x-flow-crossflowmbr.html" TargetMode="External"/><Relationship Id="rId140" Type="http://schemas.openxmlformats.org/officeDocument/2006/relationships/hyperlink" Target="https://www.eeer.org/upload/eer-2021-575.pdf" TargetMode="External"/><Relationship Id="rId141" Type="http://schemas.openxmlformats.org/officeDocument/2006/relationships/hyperlink" Target="https://pmc.ncbi.nlm.nih.gov/articles/PMC12272170/" TargetMode="External"/><Relationship Id="rId142" Type="http://schemas.openxmlformats.org/officeDocument/2006/relationships/hyperlink" Target="https://avesis.samsun.edu.tr/yayin/2fd1c075-2e94-4410-bf20-41f60378d5b8" TargetMode="External"/><Relationship Id="rId143" Type="http://schemas.openxmlformats.org/officeDocument/2006/relationships/hyperlink" Target="https://www.lucideon.com/testing-characterisation/test-methods/test-method-page-jenbacher" TargetMode="External"/><Relationship Id="rId144" Type="http://schemas.openxmlformats.org/officeDocument/2006/relationships/hyperlink" Target="https://zorg-biogas.com/equipment/generators/MWM-TCG3016-V16-800-kw-el-biogas-generator-building" TargetMode="External"/><Relationship Id="rId145" Type="http://schemas.openxmlformats.org/officeDocument/2006/relationships/hyperlink" Target="https://www.mwm.net/en/news/news-releases/97-percent-availability-biogas-fueled-mwm-tcg-3016-engines-supply-energy-to-alb-danube-district/" TargetMode="External"/><Relationship Id="rId146" Type="http://schemas.openxmlformats.org/officeDocument/2006/relationships/hyperlink" Target="https://klasystems.com/jet-mixing/" TargetMode="External"/><Relationship Id="rId147" Type="http://schemas.openxmlformats.org/officeDocument/2006/relationships/hyperlink" Target="https://eprints.nottingham.ac.uk/80045" TargetMode="External"/><Relationship Id="rId148" Type="http://schemas.openxmlformats.org/officeDocument/2006/relationships/hyperlink" Target="https://doi.org/10.3390/w13202839" TargetMode="External"/><Relationship Id="rId149" Type="http://schemas.openxmlformats.org/officeDocument/2006/relationships/hyperlink" Target="https://iopscience.iop.org/article/10.1088/1755-1315/268/1/012028/pdf" TargetMode="External"/><Relationship Id="rId150" Type="http://schemas.openxmlformats.org/officeDocument/2006/relationships/hyperlink" Target="https://peraturan.bpk.go.id/Download/384240/Permen%20LH%20No%205%20Tahun%202014.pdf" TargetMode="External"/><Relationship Id="rId151" Type="http://schemas.openxmlformats.org/officeDocument/2006/relationships/hyperlink" Target="https://pasal.id/peraturan/pp/pp-no-55-tahun-2012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46.7109375" customWidth="1"/>
    <col min="2" max="2" width="18.7109375" customWidth="1"/>
  </cols>
  <sheetData>
    <row r="1" spans="1:2">
      <c r="A1" s="1" t="s">
        <v>1723</v>
      </c>
    </row>
    <row r="2" spans="1:2">
      <c r="A2" s="2" t="s">
        <v>1724</v>
      </c>
    </row>
    <row r="4" spans="1:2">
      <c r="A4" t="s">
        <v>1725</v>
      </c>
      <c r="B4" s="3">
        <f>FCI</f>
        <v>5854380.909780908</v>
      </c>
    </row>
    <row r="5" spans="1:2">
      <c r="A5" t="s">
        <v>313</v>
      </c>
      <c r="B5" s="3">
        <f>FCI26/t_P_gross</f>
        <v>3821.0155830597746</v>
      </c>
    </row>
    <row r="6" spans="1:2">
      <c r="A6" t="s">
        <v>1726</v>
      </c>
      <c r="B6" s="3">
        <f>'Arus Kas'!F17</f>
        <v>1336268.2036433958</v>
      </c>
    </row>
    <row r="7" spans="1:2">
      <c r="A7" t="s">
        <v>1727</v>
      </c>
      <c r="B7" s="3">
        <f>'Arus Kas'!F20</f>
        <v>906951.4436158389</v>
      </c>
    </row>
    <row r="8" spans="1:2">
      <c r="A8" t="s">
        <v>1728</v>
      </c>
      <c r="B8" s="3">
        <f>Indikator!B4</f>
        <v>129020.65011374952</v>
      </c>
    </row>
    <row r="9" spans="1:2">
      <c r="A9" t="s">
        <v>1729</v>
      </c>
      <c r="B9" s="4">
        <f>Indikator!B5</f>
        <v>0.10252362345214983</v>
      </c>
    </row>
    <row r="10" spans="1:2">
      <c r="A10" t="s">
        <v>396</v>
      </c>
      <c r="B10" s="4">
        <f>Indikator!B6</f>
        <v>0.1091252802661975</v>
      </c>
    </row>
    <row r="11" spans="1:2">
      <c r="A11" t="s">
        <v>238</v>
      </c>
      <c r="B11" s="4">
        <f>WACC</f>
        <v>0.099192</v>
      </c>
    </row>
    <row r="12" spans="1:2">
      <c r="A12" t="s">
        <v>398</v>
      </c>
      <c r="B12" s="5">
        <f>Indikator!B8</f>
        <v>7.107288425198968</v>
      </c>
    </row>
    <row r="13" spans="1:2">
      <c r="A13" t="s">
        <v>1730</v>
      </c>
      <c r="B13" s="5">
        <f>Indikator!B9</f>
        <v>18.75628782573941</v>
      </c>
    </row>
    <row r="14" spans="1:2">
      <c r="A14" t="s">
        <v>403</v>
      </c>
      <c r="B14" s="5">
        <f>Indikator!B11</f>
        <v>1.313511602390147</v>
      </c>
    </row>
    <row r="15" spans="1:2">
      <c r="A15" t="s">
        <v>1731</v>
      </c>
      <c r="B15" s="4">
        <f>Indikator!B14</f>
        <v>0.3361628501675061</v>
      </c>
    </row>
    <row r="16" spans="1:2">
      <c r="A16" t="s">
        <v>411</v>
      </c>
      <c r="B16" s="5">
        <f>Indikator!B17</f>
        <v>1.1922179908335027</v>
      </c>
    </row>
    <row r="17" spans="1:2">
      <c r="A17" t="s">
        <v>1732</v>
      </c>
      <c r="B17" s="4">
        <f>'Monte Carlo'!B9</f>
        <v>0.35333333333333333</v>
      </c>
    </row>
    <row r="18" spans="1:2">
      <c r="A18" t="s">
        <v>1733</v>
      </c>
      <c r="B18" s="3">
        <f>Armada!B60</f>
        <v>-5202355.365054179</v>
      </c>
    </row>
    <row r="19" spans="1:2">
      <c r="A19" t="s">
        <v>511</v>
      </c>
      <c r="B19" s="4">
        <f>Armada!B61</f>
        <v>0.07877958091348658</v>
      </c>
    </row>
    <row r="20" spans="1:2">
      <c r="A20" t="s">
        <v>1734</v>
      </c>
      <c r="B20" s="5">
        <f>'Keputusan PKS'!B61</f>
        <v>3.1399756085481516</v>
      </c>
    </row>
    <row r="21" spans="1:2">
      <c r="A21" t="s">
        <v>1735</v>
      </c>
      <c r="B21" s="5">
        <f>'Keputusan PKS'!E61</f>
        <v>3.0039508109804633</v>
      </c>
    </row>
    <row r="22" spans="1:2">
      <c r="A22" t="s">
        <v>1736</v>
      </c>
      <c r="B22" s="4">
        <f>'Keputusan PKS'!E63</f>
        <v>0.043320335736806194</v>
      </c>
    </row>
    <row r="23" spans="1:2">
      <c r="A23" t="s">
        <v>1737</v>
      </c>
      <c r="B23" s="6" t="s">
        <v>1738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3"/>
  <sheetViews>
    <sheetView workbookViewId="0"/>
  </sheetViews>
  <sheetFormatPr defaultRowHeight="15"/>
  <cols>
    <col min="1" max="1" width="14.7109375" customWidth="1"/>
    <col min="2" max="2" width="13.7109375" customWidth="1"/>
    <col min="3" max="4" width="15.7109375" customWidth="1"/>
    <col min="5" max="5" width="96.7109375" customWidth="1"/>
  </cols>
  <sheetData>
    <row r="1" spans="1:5">
      <c r="A1" s="1" t="s">
        <v>0</v>
      </c>
    </row>
    <row r="3" spans="1: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>
      <c r="A4" t="s">
        <v>6</v>
      </c>
      <c r="B4" s="8">
        <v>2027</v>
      </c>
      <c r="C4" s="6" t="s">
        <v>7</v>
      </c>
      <c r="D4" s="6"/>
      <c r="E4" s="6" t="s">
        <v>8</v>
      </c>
    </row>
    <row r="5" spans="1:5">
      <c r="A5" t="s">
        <v>9</v>
      </c>
      <c r="B5" s="8">
        <v>20</v>
      </c>
      <c r="C5" s="6" t="s">
        <v>7</v>
      </c>
      <c r="D5" s="6"/>
      <c r="E5" s="6" t="s">
        <v>10</v>
      </c>
    </row>
    <row r="6" spans="1:5">
      <c r="A6" t="s">
        <v>11</v>
      </c>
      <c r="B6" s="8">
        <v>0.75</v>
      </c>
      <c r="C6" s="6" t="s">
        <v>12</v>
      </c>
      <c r="D6" s="6" t="s">
        <v>13</v>
      </c>
      <c r="E6" s="6" t="s">
        <v>14</v>
      </c>
    </row>
    <row r="7" spans="1:5">
      <c r="A7" t="s">
        <v>15</v>
      </c>
      <c r="B7" s="8">
        <v>0.93</v>
      </c>
      <c r="C7" s="6" t="s">
        <v>12</v>
      </c>
      <c r="D7" s="6" t="s">
        <v>16</v>
      </c>
      <c r="E7" s="6" t="s">
        <v>17</v>
      </c>
    </row>
    <row r="8" spans="1:5">
      <c r="A8" t="s">
        <v>18</v>
      </c>
      <c r="B8" s="8">
        <v>0.7</v>
      </c>
      <c r="C8" s="6" t="s">
        <v>12</v>
      </c>
      <c r="D8" s="6" t="s">
        <v>19</v>
      </c>
      <c r="E8" s="6" t="s">
        <v>20</v>
      </c>
    </row>
    <row r="9" spans="1:5">
      <c r="A9" t="s">
        <v>21</v>
      </c>
      <c r="B9" s="8">
        <v>1300</v>
      </c>
      <c r="C9" s="6" t="s">
        <v>22</v>
      </c>
      <c r="D9" s="6"/>
      <c r="E9" s="6" t="s">
        <v>23</v>
      </c>
    </row>
    <row r="10" spans="1:5">
      <c r="A10" t="s">
        <v>24</v>
      </c>
      <c r="B10" s="8">
        <v>2</v>
      </c>
      <c r="C10" s="6" t="s">
        <v>25</v>
      </c>
      <c r="D10" s="6" t="s">
        <v>26</v>
      </c>
      <c r="E10" s="6" t="s">
        <v>27</v>
      </c>
    </row>
    <row r="11" spans="1:5">
      <c r="A11" t="s">
        <v>28</v>
      </c>
      <c r="B11" s="8">
        <v>1</v>
      </c>
      <c r="C11" s="6" t="s">
        <v>29</v>
      </c>
      <c r="D11" s="6" t="s">
        <v>30</v>
      </c>
      <c r="E11" s="6" t="s">
        <v>31</v>
      </c>
    </row>
    <row r="12" spans="1:5">
      <c r="A12" t="s">
        <v>32</v>
      </c>
      <c r="B12" s="8">
        <v>1</v>
      </c>
      <c r="C12" s="6" t="s">
        <v>29</v>
      </c>
      <c r="D12" s="6" t="s">
        <v>30</v>
      </c>
      <c r="E12" s="6" t="s">
        <v>33</v>
      </c>
    </row>
    <row r="13" spans="1:5">
      <c r="A13" t="s">
        <v>34</v>
      </c>
      <c r="B13" s="8">
        <v>0.3</v>
      </c>
      <c r="C13" s="6" t="s">
        <v>35</v>
      </c>
      <c r="D13" s="6" t="s">
        <v>36</v>
      </c>
      <c r="E13" s="6" t="s">
        <v>37</v>
      </c>
    </row>
    <row r="14" spans="1:5">
      <c r="A14" t="s">
        <v>38</v>
      </c>
      <c r="B14" s="8">
        <v>0.2</v>
      </c>
      <c r="C14" s="6" t="s">
        <v>39</v>
      </c>
      <c r="D14" s="6" t="s">
        <v>40</v>
      </c>
      <c r="E14" s="6" t="s">
        <v>41</v>
      </c>
    </row>
    <row r="15" spans="1:5">
      <c r="A15" t="s">
        <v>42</v>
      </c>
      <c r="B15" s="8">
        <v>9.81</v>
      </c>
      <c r="C15" s="6" t="s">
        <v>43</v>
      </c>
      <c r="D15" s="6" t="s">
        <v>44</v>
      </c>
      <c r="E15" s="6" t="s">
        <v>45</v>
      </c>
    </row>
    <row r="16" spans="1:5">
      <c r="A16" t="s">
        <v>46</v>
      </c>
      <c r="B16" s="8">
        <v>1</v>
      </c>
      <c r="C16" s="6" t="s">
        <v>12</v>
      </c>
      <c r="D16" s="6" t="s">
        <v>47</v>
      </c>
      <c r="E16" s="6" t="s">
        <v>48</v>
      </c>
    </row>
    <row r="17" spans="1:5">
      <c r="A17" t="s">
        <v>49</v>
      </c>
      <c r="B17" s="8">
        <v>5.89</v>
      </c>
      <c r="C17" s="6" t="s">
        <v>43</v>
      </c>
      <c r="D17" s="6" t="s">
        <v>50</v>
      </c>
      <c r="E17" s="6" t="s">
        <v>51</v>
      </c>
    </row>
    <row r="18" spans="1:5">
      <c r="A18" t="s">
        <v>52</v>
      </c>
      <c r="B18" s="8">
        <v>1.25</v>
      </c>
      <c r="C18" s="6" t="s">
        <v>53</v>
      </c>
      <c r="D18" s="6" t="s">
        <v>54</v>
      </c>
      <c r="E18" s="6" t="s">
        <v>55</v>
      </c>
    </row>
    <row r="19" spans="1:5">
      <c r="A19" t="s">
        <v>56</v>
      </c>
      <c r="B19" s="8">
        <v>5</v>
      </c>
      <c r="C19" s="6" t="s">
        <v>57</v>
      </c>
      <c r="D19" s="6" t="s">
        <v>58</v>
      </c>
      <c r="E19" s="6" t="s">
        <v>59</v>
      </c>
    </row>
    <row r="20" spans="1:5">
      <c r="A20" t="s">
        <v>60</v>
      </c>
      <c r="B20" s="8">
        <v>0.95</v>
      </c>
      <c r="C20" s="6" t="s">
        <v>12</v>
      </c>
      <c r="D20" s="6" t="s">
        <v>61</v>
      </c>
      <c r="E20" s="6" t="s">
        <v>62</v>
      </c>
    </row>
    <row r="21" spans="1:5">
      <c r="A21" t="s">
        <v>63</v>
      </c>
      <c r="B21" s="8">
        <v>0.3</v>
      </c>
      <c r="C21" s="6" t="s">
        <v>12</v>
      </c>
      <c r="D21" s="6" t="s">
        <v>64</v>
      </c>
      <c r="E21" s="6" t="s">
        <v>65</v>
      </c>
    </row>
    <row r="22" spans="1:5">
      <c r="A22" t="s">
        <v>66</v>
      </c>
      <c r="B22" s="8">
        <v>10</v>
      </c>
      <c r="C22" s="6" t="s">
        <v>7</v>
      </c>
      <c r="D22" s="6"/>
      <c r="E22" s="6" t="s">
        <v>67</v>
      </c>
    </row>
    <row r="23" spans="1:5">
      <c r="A23" t="s">
        <v>68</v>
      </c>
      <c r="B23" s="8">
        <v>35000</v>
      </c>
      <c r="C23" s="6" t="s">
        <v>69</v>
      </c>
      <c r="D23" s="6" t="s">
        <v>70</v>
      </c>
      <c r="E23" s="6" t="s">
        <v>71</v>
      </c>
    </row>
    <row r="24" spans="1:5">
      <c r="A24" t="s">
        <v>72</v>
      </c>
      <c r="B24" s="8">
        <v>12000</v>
      </c>
      <c r="C24" s="6" t="s">
        <v>73</v>
      </c>
      <c r="D24" s="6" t="s">
        <v>74</v>
      </c>
      <c r="E24" s="6" t="s">
        <v>75</v>
      </c>
    </row>
    <row r="25" spans="1:5">
      <c r="A25" t="s">
        <v>76</v>
      </c>
      <c r="B25" s="8">
        <v>0.23</v>
      </c>
      <c r="C25" s="6" t="s">
        <v>77</v>
      </c>
      <c r="D25" s="6"/>
      <c r="E25" s="6" t="s">
        <v>78</v>
      </c>
    </row>
    <row r="26" spans="1:5">
      <c r="A26" t="s">
        <v>79</v>
      </c>
      <c r="B26" s="8">
        <v>0.02</v>
      </c>
      <c r="C26" s="6" t="s">
        <v>80</v>
      </c>
      <c r="D26" s="6" t="s">
        <v>81</v>
      </c>
      <c r="E26" s="6" t="s">
        <v>82</v>
      </c>
    </row>
    <row r="27" spans="1:5">
      <c r="A27" t="s">
        <v>83</v>
      </c>
      <c r="B27" s="8">
        <v>17948</v>
      </c>
      <c r="C27" s="6" t="s">
        <v>84</v>
      </c>
      <c r="D27" s="6" t="s">
        <v>85</v>
      </c>
      <c r="E27" s="6" t="s">
        <v>86</v>
      </c>
    </row>
    <row r="28" spans="1:5">
      <c r="A28" t="s">
        <v>87</v>
      </c>
      <c r="B28" s="8">
        <v>200</v>
      </c>
      <c r="C28" s="6" t="s">
        <v>88</v>
      </c>
      <c r="D28" s="6" t="s">
        <v>89</v>
      </c>
      <c r="E28" s="6" t="s">
        <v>90</v>
      </c>
    </row>
    <row r="29" spans="1:5">
      <c r="A29" t="s">
        <v>91</v>
      </c>
      <c r="B29" s="8">
        <v>600</v>
      </c>
      <c r="C29" s="6" t="s">
        <v>92</v>
      </c>
      <c r="D29" s="6" t="s">
        <v>93</v>
      </c>
      <c r="E29" s="6" t="s">
        <v>94</v>
      </c>
    </row>
    <row r="30" spans="1:5">
      <c r="A30" t="s">
        <v>95</v>
      </c>
      <c r="B30" s="8">
        <v>0.2</v>
      </c>
      <c r="C30" s="6" t="s">
        <v>12</v>
      </c>
      <c r="D30" s="6" t="s">
        <v>96</v>
      </c>
      <c r="E30" s="6" t="s">
        <v>97</v>
      </c>
    </row>
    <row r="31" spans="1:5">
      <c r="A31" t="s">
        <v>98</v>
      </c>
      <c r="B31" s="8">
        <v>0.06</v>
      </c>
      <c r="C31" s="6" t="s">
        <v>12</v>
      </c>
      <c r="D31" s="6" t="s">
        <v>99</v>
      </c>
      <c r="E31" s="6" t="s">
        <v>100</v>
      </c>
    </row>
    <row r="32" spans="1:5">
      <c r="A32" t="s">
        <v>101</v>
      </c>
      <c r="B32" s="8">
        <v>120000</v>
      </c>
      <c r="C32" s="6" t="s">
        <v>69</v>
      </c>
      <c r="D32" s="6" t="s">
        <v>102</v>
      </c>
      <c r="E32" s="6" t="s">
        <v>103</v>
      </c>
    </row>
    <row r="33" spans="1:5">
      <c r="A33" t="s">
        <v>104</v>
      </c>
      <c r="B33" s="8">
        <v>0.11</v>
      </c>
      <c r="C33" s="6" t="s">
        <v>12</v>
      </c>
      <c r="D33" s="6"/>
      <c r="E33" s="6" t="s">
        <v>105</v>
      </c>
    </row>
    <row r="34" spans="1:5">
      <c r="A34" t="s">
        <v>106</v>
      </c>
      <c r="B34" s="8">
        <v>0.018</v>
      </c>
      <c r="C34" s="6" t="s">
        <v>107</v>
      </c>
      <c r="D34" s="6" t="s">
        <v>108</v>
      </c>
      <c r="E34" s="6" t="s">
        <v>109</v>
      </c>
    </row>
    <row r="35" spans="1:5">
      <c r="A35" t="s">
        <v>110</v>
      </c>
      <c r="B35" s="8">
        <v>0.02</v>
      </c>
      <c r="C35" s="6" t="s">
        <v>111</v>
      </c>
      <c r="D35" s="6" t="s">
        <v>112</v>
      </c>
      <c r="E35" s="6" t="s">
        <v>113</v>
      </c>
    </row>
    <row r="36" spans="1:5">
      <c r="A36" t="s">
        <v>114</v>
      </c>
      <c r="B36" s="8">
        <v>0.005</v>
      </c>
      <c r="C36" s="6" t="s">
        <v>115</v>
      </c>
      <c r="D36" s="6"/>
      <c r="E36" s="6" t="s">
        <v>116</v>
      </c>
    </row>
    <row r="37" spans="1:5">
      <c r="A37" t="s">
        <v>117</v>
      </c>
      <c r="B37" s="8">
        <v>82000</v>
      </c>
      <c r="C37" s="6" t="s">
        <v>73</v>
      </c>
      <c r="D37" s="6" t="s">
        <v>118</v>
      </c>
      <c r="E37" s="6" t="s">
        <v>119</v>
      </c>
    </row>
    <row r="38" spans="1:5">
      <c r="A38" t="s">
        <v>120</v>
      </c>
      <c r="B38" s="8">
        <v>30000</v>
      </c>
      <c r="C38" s="6" t="s">
        <v>73</v>
      </c>
      <c r="D38" s="6"/>
      <c r="E38" s="6" t="s">
        <v>121</v>
      </c>
    </row>
    <row r="39" spans="1:5">
      <c r="A39" t="s">
        <v>122</v>
      </c>
      <c r="B39" s="8">
        <v>2</v>
      </c>
      <c r="C39" s="6" t="s">
        <v>123</v>
      </c>
      <c r="D39" s="6"/>
      <c r="E39" s="6" t="s">
        <v>124</v>
      </c>
    </row>
    <row r="40" spans="1:5">
      <c r="A40" t="s">
        <v>125</v>
      </c>
      <c r="B40" s="8">
        <v>4000</v>
      </c>
      <c r="C40" s="6" t="s">
        <v>77</v>
      </c>
      <c r="D40" s="6"/>
      <c r="E40" s="6" t="s">
        <v>126</v>
      </c>
    </row>
    <row r="41" spans="1:5">
      <c r="A41" t="s">
        <v>127</v>
      </c>
      <c r="B41" s="8">
        <v>3000</v>
      </c>
      <c r="C41" s="6" t="s">
        <v>77</v>
      </c>
      <c r="D41" s="6"/>
      <c r="E41" s="6" t="s">
        <v>128</v>
      </c>
    </row>
    <row r="42" spans="1:5">
      <c r="A42" t="s">
        <v>129</v>
      </c>
      <c r="B42" s="8">
        <v>500</v>
      </c>
      <c r="C42" s="6" t="s">
        <v>77</v>
      </c>
      <c r="D42" s="6"/>
      <c r="E42" s="6" t="s">
        <v>130</v>
      </c>
    </row>
    <row r="43" spans="1:5">
      <c r="A43" t="s">
        <v>131</v>
      </c>
      <c r="B43" s="8">
        <v>150</v>
      </c>
      <c r="C43" s="6" t="s">
        <v>92</v>
      </c>
      <c r="D43" s="6" t="s">
        <v>132</v>
      </c>
      <c r="E43" s="6" t="s">
        <v>133</v>
      </c>
    </row>
    <row r="44" spans="1:5">
      <c r="A44" t="s">
        <v>134</v>
      </c>
      <c r="B44" s="8">
        <v>25000</v>
      </c>
      <c r="C44" s="6" t="s">
        <v>135</v>
      </c>
      <c r="D44" s="6"/>
      <c r="E44" s="6" t="s">
        <v>136</v>
      </c>
    </row>
    <row r="45" spans="1:5">
      <c r="A45" t="s">
        <v>137</v>
      </c>
      <c r="B45" s="8">
        <v>0.22</v>
      </c>
      <c r="C45" s="6" t="s">
        <v>12</v>
      </c>
      <c r="D45" s="6"/>
      <c r="E45" s="6" t="s">
        <v>138</v>
      </c>
    </row>
    <row r="46" spans="1:5">
      <c r="A46" t="s">
        <v>139</v>
      </c>
      <c r="B46" s="8">
        <v>8</v>
      </c>
      <c r="C46" s="6" t="s">
        <v>7</v>
      </c>
      <c r="D46" s="6"/>
      <c r="E46" s="6" t="s">
        <v>140</v>
      </c>
    </row>
    <row r="47" spans="1:5">
      <c r="A47" t="s">
        <v>141</v>
      </c>
      <c r="B47" s="8">
        <v>0.3</v>
      </c>
      <c r="C47" s="6" t="s">
        <v>12</v>
      </c>
      <c r="D47" s="6"/>
      <c r="E47" s="6" t="s">
        <v>142</v>
      </c>
    </row>
    <row r="48" spans="1:5">
      <c r="A48" t="s">
        <v>143</v>
      </c>
      <c r="B48" s="8">
        <v>10</v>
      </c>
      <c r="C48" s="6" t="s">
        <v>7</v>
      </c>
      <c r="D48" s="6"/>
      <c r="E48" s="6" t="s">
        <v>144</v>
      </c>
    </row>
    <row r="49" spans="1:5">
      <c r="A49" t="s">
        <v>145</v>
      </c>
      <c r="B49" s="8">
        <v>0.58</v>
      </c>
      <c r="C49" s="6" t="s">
        <v>12</v>
      </c>
      <c r="D49" s="6" t="s">
        <v>146</v>
      </c>
      <c r="E49" s="6" t="s">
        <v>147</v>
      </c>
    </row>
    <row r="50" spans="1:5">
      <c r="A50" t="s">
        <v>148</v>
      </c>
      <c r="B50" s="8">
        <v>0.08</v>
      </c>
      <c r="C50" s="6" t="s">
        <v>80</v>
      </c>
      <c r="D50" s="6" t="s">
        <v>149</v>
      </c>
      <c r="E50" s="6" t="s">
        <v>150</v>
      </c>
    </row>
    <row r="51" spans="1:5">
      <c r="A51" t="s">
        <v>151</v>
      </c>
      <c r="B51" s="8">
        <v>10</v>
      </c>
      <c r="C51" s="6" t="s">
        <v>7</v>
      </c>
      <c r="D51" s="6"/>
      <c r="E51" s="6" t="s">
        <v>152</v>
      </c>
    </row>
    <row r="52" spans="1:5">
      <c r="A52" t="s">
        <v>153</v>
      </c>
      <c r="B52" s="8">
        <v>0.015</v>
      </c>
      <c r="C52" s="6" t="s">
        <v>12</v>
      </c>
      <c r="D52" s="6"/>
      <c r="E52" s="6" t="s">
        <v>154</v>
      </c>
    </row>
    <row r="53" spans="1:5">
      <c r="A53" t="s">
        <v>155</v>
      </c>
      <c r="B53" s="8">
        <v>6</v>
      </c>
      <c r="C53" s="6" t="s">
        <v>156</v>
      </c>
      <c r="D53" s="6"/>
      <c r="E53" s="6" t="s">
        <v>157</v>
      </c>
    </row>
    <row r="54" spans="1:5">
      <c r="A54" t="s">
        <v>158</v>
      </c>
      <c r="B54" s="8">
        <v>0.15</v>
      </c>
      <c r="C54" s="6" t="s">
        <v>80</v>
      </c>
      <c r="D54" s="6"/>
      <c r="E54" s="6" t="s">
        <v>159</v>
      </c>
    </row>
    <row r="55" spans="1:5">
      <c r="A55" t="s">
        <v>160</v>
      </c>
      <c r="B55" s="8">
        <v>60</v>
      </c>
      <c r="C55" s="6" t="s">
        <v>161</v>
      </c>
      <c r="D55" s="6"/>
      <c r="E55" s="6" t="s">
        <v>162</v>
      </c>
    </row>
    <row r="56" spans="1:5">
      <c r="A56" t="s">
        <v>163</v>
      </c>
      <c r="B56" s="8">
        <v>30</v>
      </c>
      <c r="C56" s="6" t="s">
        <v>161</v>
      </c>
      <c r="D56" s="6"/>
      <c r="E56" s="6" t="s">
        <v>164</v>
      </c>
    </row>
    <row r="58" spans="1:5">
      <c r="A58" s="9" t="s">
        <v>165</v>
      </c>
    </row>
    <row r="59" spans="1:5">
      <c r="A59" t="s">
        <v>166</v>
      </c>
      <c r="B59" s="10">
        <v>1502.110892371725</v>
      </c>
      <c r="C59" t="s">
        <v>167</v>
      </c>
      <c r="E59" t="s">
        <v>168</v>
      </c>
    </row>
    <row r="60" spans="1:5">
      <c r="A60" t="s">
        <v>169</v>
      </c>
      <c r="B60" s="10">
        <v>1368.835118628643</v>
      </c>
      <c r="C60" t="s">
        <v>167</v>
      </c>
      <c r="E60" t="s">
        <v>170</v>
      </c>
    </row>
    <row r="61" spans="1:5">
      <c r="A61" t="s">
        <v>171</v>
      </c>
      <c r="B61" s="11">
        <v>7.038954036123933</v>
      </c>
      <c r="C61" t="s">
        <v>172</v>
      </c>
      <c r="E61" t="s">
        <v>173</v>
      </c>
    </row>
    <row r="62" spans="1:5">
      <c r="A62" t="s">
        <v>174</v>
      </c>
      <c r="B62" s="11">
        <v>7.909351775092515</v>
      </c>
      <c r="C62" t="s">
        <v>172</v>
      </c>
      <c r="E62" t="s">
        <v>175</v>
      </c>
    </row>
    <row r="63" spans="1:5">
      <c r="A63" t="s">
        <v>176</v>
      </c>
      <c r="B63" s="11">
        <v>0.75</v>
      </c>
      <c r="C63" t="s">
        <v>12</v>
      </c>
      <c r="E63" t="s">
        <v>177</v>
      </c>
    </row>
    <row r="64" spans="1:5">
      <c r="A64" t="s">
        <v>178</v>
      </c>
      <c r="B64" s="10">
        <v>360000</v>
      </c>
      <c r="C64" t="s">
        <v>179</v>
      </c>
      <c r="E64" t="s">
        <v>180</v>
      </c>
    </row>
    <row r="65" spans="1:5">
      <c r="A65" t="s">
        <v>181</v>
      </c>
      <c r="B65" s="10">
        <v>300</v>
      </c>
      <c r="C65" t="s">
        <v>182</v>
      </c>
      <c r="E65" t="s">
        <v>183</v>
      </c>
    </row>
    <row r="66" spans="1:5">
      <c r="A66" t="s">
        <v>184</v>
      </c>
      <c r="B66" s="11">
        <v>0.03328182166637707</v>
      </c>
      <c r="C66" t="s">
        <v>185</v>
      </c>
      <c r="E66" t="s">
        <v>186</v>
      </c>
    </row>
    <row r="67" spans="1:5">
      <c r="A67" t="s">
        <v>187</v>
      </c>
      <c r="B67" s="11">
        <v>0.002437330539593821</v>
      </c>
      <c r="C67" t="s">
        <v>185</v>
      </c>
      <c r="E67" t="s">
        <v>188</v>
      </c>
    </row>
    <row r="68" spans="1:5">
      <c r="A68" t="s">
        <v>189</v>
      </c>
      <c r="B68" s="10">
        <v>75.21520154935585</v>
      </c>
      <c r="C68" t="s">
        <v>190</v>
      </c>
      <c r="E68" t="s">
        <v>191</v>
      </c>
    </row>
    <row r="69" spans="1:5">
      <c r="A69" t="s">
        <v>192</v>
      </c>
      <c r="B69" s="10">
        <v>33456.969</v>
      </c>
      <c r="C69" t="s">
        <v>193</v>
      </c>
      <c r="E69" t="s">
        <v>194</v>
      </c>
    </row>
    <row r="70" spans="1:5">
      <c r="A70" t="s">
        <v>195</v>
      </c>
      <c r="B70" s="10">
        <v>1423.909726997589</v>
      </c>
      <c r="C70" t="s">
        <v>193</v>
      </c>
      <c r="E70" t="s">
        <v>196</v>
      </c>
    </row>
    <row r="71" spans="1:5">
      <c r="A71" t="s">
        <v>197</v>
      </c>
      <c r="B71" s="10">
        <v>493.6085319502775</v>
      </c>
      <c r="C71" t="s">
        <v>198</v>
      </c>
      <c r="E71" t="s">
        <v>199</v>
      </c>
    </row>
    <row r="72" spans="1:5">
      <c r="A72" t="s">
        <v>200</v>
      </c>
      <c r="B72" s="11">
        <v>0.25</v>
      </c>
      <c r="C72" t="s">
        <v>201</v>
      </c>
      <c r="E72" t="s">
        <v>202</v>
      </c>
    </row>
    <row r="73" spans="1:5">
      <c r="A73" t="s">
        <v>203</v>
      </c>
      <c r="B73" s="10">
        <v>28</v>
      </c>
      <c r="C73" t="s">
        <v>12</v>
      </c>
      <c r="E73" t="s">
        <v>204</v>
      </c>
    </row>
    <row r="74" spans="1:5">
      <c r="A74" t="s">
        <v>205</v>
      </c>
      <c r="B74" s="11">
        <v>0.3</v>
      </c>
      <c r="C74" t="s">
        <v>12</v>
      </c>
      <c r="E74" t="s">
        <v>206</v>
      </c>
    </row>
    <row r="75" spans="1:5">
      <c r="A75" t="s">
        <v>207</v>
      </c>
      <c r="B75" s="10">
        <v>1600</v>
      </c>
      <c r="C75" t="s">
        <v>167</v>
      </c>
      <c r="E75" t="s">
        <v>208</v>
      </c>
    </row>
    <row r="76" spans="1:5">
      <c r="A76" t="s">
        <v>209</v>
      </c>
      <c r="B76" s="10">
        <v>979.9021756424592</v>
      </c>
      <c r="C76" t="s">
        <v>210</v>
      </c>
      <c r="E76" t="s">
        <v>211</v>
      </c>
    </row>
    <row r="77" spans="1:5">
      <c r="A77" t="s">
        <v>212</v>
      </c>
      <c r="B77" s="11">
        <v>4</v>
      </c>
      <c r="C77" t="s">
        <v>213</v>
      </c>
      <c r="E77" t="s">
        <v>214</v>
      </c>
    </row>
    <row r="78" spans="1:5">
      <c r="A78" t="s">
        <v>215</v>
      </c>
      <c r="B78" s="10">
        <v>108.3333333333333</v>
      </c>
      <c r="C78" t="s">
        <v>216</v>
      </c>
      <c r="E78" t="s">
        <v>217</v>
      </c>
    </row>
    <row r="79" spans="1:5">
      <c r="A79" t="s">
        <v>218</v>
      </c>
      <c r="B79" s="10">
        <v>1315.113594361213</v>
      </c>
      <c r="C79" t="s">
        <v>210</v>
      </c>
      <c r="E79" t="s">
        <v>219</v>
      </c>
    </row>
    <row r="80" spans="1:5">
      <c r="A80" t="s">
        <v>220</v>
      </c>
      <c r="B80" s="10">
        <v>4257.712333333333</v>
      </c>
      <c r="C80" t="s">
        <v>216</v>
      </c>
      <c r="E80" t="s">
        <v>221</v>
      </c>
    </row>
    <row r="81" spans="1:13">
      <c r="A81" t="s">
        <v>222</v>
      </c>
      <c r="B81" s="11">
        <v>0.8666666666666667</v>
      </c>
      <c r="C81" t="s">
        <v>223</v>
      </c>
      <c r="E81" t="s">
        <v>224</v>
      </c>
    </row>
    <row r="82" spans="1:13">
      <c r="A82" t="s">
        <v>225</v>
      </c>
      <c r="B82" s="11">
        <v>0.6973465224270082</v>
      </c>
      <c r="C82" t="s">
        <v>12</v>
      </c>
      <c r="E82" t="s">
        <v>226</v>
      </c>
    </row>
    <row r="83" spans="1:13">
      <c r="A83" t="s">
        <v>227</v>
      </c>
      <c r="B83" s="10">
        <v>20.9446562084342</v>
      </c>
      <c r="C83" t="s">
        <v>185</v>
      </c>
      <c r="E83" t="s">
        <v>228</v>
      </c>
    </row>
    <row r="84" spans="1:13">
      <c r="A84" t="s">
        <v>229</v>
      </c>
      <c r="B84" s="10">
        <v>11080.75324675325</v>
      </c>
      <c r="C84" t="s">
        <v>216</v>
      </c>
      <c r="E84" t="s">
        <v>230</v>
      </c>
    </row>
    <row r="85" spans="1:13">
      <c r="A85" t="s">
        <v>231</v>
      </c>
      <c r="B85" s="12">
        <f>(t_base-(t_proj-t_effCOD*t_up*t_B0*t_MCFp*t_GWP))*a_util/t_up-t_effCOD*a_util*t_B0*a_MCF_eff*t_GWP</f>
        <v>32033.059273002407</v>
      </c>
      <c r="E85" t="s">
        <v>232</v>
      </c>
    </row>
    <row r="87" spans="1:13">
      <c r="A87" s="9" t="s">
        <v>233</v>
      </c>
      <c r="B87" s="11">
        <v>1.075911023054802</v>
      </c>
      <c r="C87" s="11">
        <v>0.4676425403083469</v>
      </c>
      <c r="D87" s="11">
        <v>0.7547856805695393</v>
      </c>
      <c r="E87" s="11">
        <v>0.7432771999611245</v>
      </c>
      <c r="F87" s="11">
        <v>0.7569282545718641</v>
      </c>
      <c r="G87" s="11">
        <v>0.8216859713864202</v>
      </c>
      <c r="H87" s="11">
        <v>0.9854999457598049</v>
      </c>
      <c r="I87" s="11">
        <v>1.172792740074464</v>
      </c>
      <c r="J87" s="11">
        <v>1.313793691640404</v>
      </c>
      <c r="K87" s="11">
        <v>1.368795471637666</v>
      </c>
      <c r="L87" s="11">
        <v>1.303632766591794</v>
      </c>
      <c r="M87" s="11">
        <v>1.235254714443769</v>
      </c>
    </row>
    <row r="88" spans="1:13">
      <c r="A88" s="9" t="s">
        <v>234</v>
      </c>
      <c r="B88" s="12">
        <f>t_E_year*1000000/8760*a_util/t_up*B87</f>
        <v>864.5306208038616</v>
      </c>
      <c r="C88" s="12">
        <f>t_E_year*1000000/8760*a_util/t_up*C87</f>
        <v>375.7664779185716</v>
      </c>
      <c r="D88" s="12">
        <f>t_E_year*1000000/8760*a_util/t_up*D87</f>
        <v>606.4956292983456</v>
      </c>
      <c r="E88" s="12">
        <f>t_E_year*1000000/8760*a_util/t_up*E87</f>
        <v>597.2481788384991</v>
      </c>
      <c r="F88" s="12">
        <f>t_E_year*1000000/8760*a_util/t_up*F87</f>
        <v>608.2172594263545</v>
      </c>
      <c r="G88" s="12">
        <f>t_E_year*1000000/8760*a_util/t_up*G87</f>
        <v>660.2522585293216</v>
      </c>
      <c r="H88" s="12">
        <f>t_E_year*1000000/8760*a_util/t_up*H87</f>
        <v>791.8822854801251</v>
      </c>
      <c r="I88" s="12">
        <f>t_E_year*1000000/8760*a_util/t_up*I87</f>
        <v>942.3783323383557</v>
      </c>
      <c r="J88" s="12">
        <f>t_E_year*1000000/8760*a_util/t_up*J87</f>
        <v>1055.677329726756</v>
      </c>
      <c r="K88" s="12">
        <f>t_E_year*1000000/8760*a_util/t_up*K87</f>
        <v>1099.873106131519</v>
      </c>
      <c r="L88" s="12">
        <f>t_E_year*1000000/8760*a_util/t_up*L87</f>
        <v>1047.512685390949</v>
      </c>
      <c r="M88" s="12">
        <f>t_E_year*1000000/8760*a_util/t_up*M87</f>
        <v>992.5686253282058</v>
      </c>
    </row>
    <row r="89" spans="1:13">
      <c r="A89" s="9" t="s">
        <v>235</v>
      </c>
      <c r="B89" s="12">
        <f>MIN(B88,a_cap_kW)</f>
        <v>864.5306208038616</v>
      </c>
      <c r="C89" s="12">
        <f>MIN(C88,a_cap_kW)</f>
        <v>375.7664779185716</v>
      </c>
      <c r="D89" s="12">
        <f>MIN(D88,a_cap_kW)</f>
        <v>606.4956292983456</v>
      </c>
      <c r="E89" s="12">
        <f>MIN(E88,a_cap_kW)</f>
        <v>597.2481788384991</v>
      </c>
      <c r="F89" s="12">
        <f>MIN(F88,a_cap_kW)</f>
        <v>608.2172594263545</v>
      </c>
      <c r="G89" s="12">
        <f>MIN(G88,a_cap_kW)</f>
        <v>660.2522585293216</v>
      </c>
      <c r="H89" s="12">
        <f>MIN(H88,a_cap_kW)</f>
        <v>791.8822854801251</v>
      </c>
      <c r="I89" s="12">
        <f>MIN(I88,a_cap_kW)</f>
        <v>942.3783323383557</v>
      </c>
      <c r="J89" s="12">
        <f>MIN(J88,a_cap_kW)</f>
        <v>1055.677329726756</v>
      </c>
      <c r="K89" s="12">
        <f>MIN(K88,a_cap_kW)</f>
        <v>1099.873106131519</v>
      </c>
      <c r="L89" s="12">
        <f>MIN(L88,a_cap_kW)</f>
        <v>1047.512685390949</v>
      </c>
      <c r="M89" s="12">
        <f>MIN(M88,a_cap_kW)</f>
        <v>992.5686253282058</v>
      </c>
    </row>
    <row r="90" spans="1:13">
      <c r="A90" t="s">
        <v>236</v>
      </c>
      <c r="B90" s="11">
        <f>SUM(B89:M89)/SUM(B88:M88)</f>
        <v>1.0</v>
      </c>
      <c r="E90" t="s">
        <v>237</v>
      </c>
    </row>
    <row r="92" spans="1:13">
      <c r="A92" t="s">
        <v>238</v>
      </c>
      <c r="B92" s="4">
        <f>a_debt_frac*a_r_debt*(1-a_tax)+(1-a_debt_frac)*a_r_eq</f>
        <v>0.099192</v>
      </c>
    </row>
    <row r="94" spans="1:13">
      <c r="A94" s="9" t="s">
        <v>239</v>
      </c>
    </row>
    <row r="95" spans="1:13">
      <c r="A95" s="2" t="s">
        <v>240</v>
      </c>
    </row>
    <row r="96" spans="1:13">
      <c r="A96" s="7" t="s">
        <v>241</v>
      </c>
      <c r="B96" s="7" t="s">
        <v>242</v>
      </c>
      <c r="C96" s="7" t="s">
        <v>243</v>
      </c>
    </row>
    <row r="97" spans="1:3">
      <c r="A97" s="10">
        <v>1</v>
      </c>
      <c r="B97" s="11">
        <v>0.3649912272527821</v>
      </c>
      <c r="C97" s="11">
        <v>0.3649912272527821</v>
      </c>
    </row>
    <row r="98" spans="1:3">
      <c r="A98" s="10">
        <v>50</v>
      </c>
      <c r="B98" s="11">
        <v>0.9167310269901482</v>
      </c>
      <c r="C98" s="11">
        <v>0.9210463034182953</v>
      </c>
    </row>
    <row r="99" spans="1:3">
      <c r="A99" s="10">
        <v>100</v>
      </c>
      <c r="B99" s="11">
        <v>0.8888031446959233</v>
      </c>
      <c r="C99" s="11">
        <v>0.9258105155623298</v>
      </c>
    </row>
    <row r="100" spans="1:3">
      <c r="A100" s="10">
        <v>150</v>
      </c>
      <c r="B100" s="11">
        <v>0.8234071920334065</v>
      </c>
      <c r="C100" s="11">
        <v>0.9261271981683138</v>
      </c>
    </row>
    <row r="101" spans="1:3">
      <c r="A101" s="10">
        <v>200</v>
      </c>
      <c r="B101" s="11">
        <v>0.7774145489546326</v>
      </c>
      <c r="C101" s="11">
        <v>0.9262855394713059</v>
      </c>
    </row>
    <row r="102" spans="1:3">
      <c r="A102" s="10">
        <v>250</v>
      </c>
      <c r="B102" s="11">
        <v>0.7498189631073678</v>
      </c>
      <c r="C102" s="11">
        <v>0.9263805442531009</v>
      </c>
    </row>
    <row r="103" spans="1:3">
      <c r="A103" s="10">
        <v>300</v>
      </c>
      <c r="B103" s="11">
        <v>0.7314219058758583</v>
      </c>
      <c r="C103" s="11">
        <v>0.926443880774298</v>
      </c>
    </row>
    <row r="104" spans="1:3">
      <c r="A104" s="10">
        <v>350</v>
      </c>
      <c r="B104" s="11">
        <v>0.7182811507104944</v>
      </c>
      <c r="C104" s="11">
        <v>0.9264891211465811</v>
      </c>
    </row>
    <row r="105" spans="1:3">
      <c r="A105" s="10">
        <v>400</v>
      </c>
      <c r="B105" s="11">
        <v>0.7084255843364713</v>
      </c>
      <c r="C105" s="11">
        <v>0.9264848930379406</v>
      </c>
    </row>
    <row r="106" spans="1:3">
      <c r="A106" s="10">
        <v>450</v>
      </c>
      <c r="B106" s="11">
        <v>0.7004152234794965</v>
      </c>
      <c r="C106" s="11">
        <v>0.9209581935306417</v>
      </c>
    </row>
    <row r="107" spans="1:3">
      <c r="A107" s="10">
        <v>500</v>
      </c>
      <c r="B107" s="11">
        <v>0.6915749112908398</v>
      </c>
      <c r="C107" s="11">
        <v>0.8905370675638016</v>
      </c>
    </row>
    <row r="108" spans="1:3">
      <c r="A108" s="10">
        <v>550</v>
      </c>
      <c r="B108" s="11">
        <v>0.6712286414443873</v>
      </c>
      <c r="C108" s="11">
        <v>0.8550505249858457</v>
      </c>
    </row>
    <row r="109" spans="1:3">
      <c r="A109" s="10">
        <v>600</v>
      </c>
      <c r="B109" s="11">
        <v>0.6442089830587628</v>
      </c>
      <c r="C109" s="11">
        <v>0.8218270810518045</v>
      </c>
    </row>
    <row r="110" spans="1:3">
      <c r="A110" s="10">
        <v>650</v>
      </c>
      <c r="B110" s="11">
        <v>0.6180951862212881</v>
      </c>
      <c r="C110" s="11">
        <v>0.7892537567734867</v>
      </c>
    </row>
    <row r="111" spans="1:3">
      <c r="A111" s="10">
        <v>700</v>
      </c>
      <c r="B111" s="11">
        <v>0.5931559933986406</v>
      </c>
      <c r="C111" s="11">
        <v>0.754193019571622</v>
      </c>
    </row>
    <row r="112" spans="1:3">
      <c r="A112" s="10">
        <v>750</v>
      </c>
      <c r="B112" s="11">
        <v>0.5688869199958342</v>
      </c>
      <c r="C112" s="11">
        <v>0.7194934651895836</v>
      </c>
    </row>
    <row r="113" spans="1:3">
      <c r="A113" s="10">
        <v>800</v>
      </c>
      <c r="B113" s="11">
        <v>0.5443598458568941</v>
      </c>
      <c r="C113" s="11">
        <v>0.6825675683849552</v>
      </c>
    </row>
    <row r="114" spans="1:3">
      <c r="A114" s="10">
        <v>850</v>
      </c>
      <c r="B114" s="11">
        <v>0.5198717099459605</v>
      </c>
      <c r="C114" s="11">
        <v>0.6448762006058684</v>
      </c>
    </row>
    <row r="115" spans="1:3">
      <c r="A115" s="10">
        <v>900</v>
      </c>
      <c r="B115" s="11">
        <v>0.4956609479239607</v>
      </c>
      <c r="C115" s="11">
        <v>0.6092393054459314</v>
      </c>
    </row>
    <row r="116" spans="1:3">
      <c r="A116" s="10">
        <v>950</v>
      </c>
      <c r="B116" s="11">
        <v>0.4717057945932094</v>
      </c>
      <c r="C116" s="11">
        <v>0.577174078843514</v>
      </c>
    </row>
    <row r="117" spans="1:3">
      <c r="A117" s="10">
        <v>1000</v>
      </c>
      <c r="B117" s="11">
        <v>0.448912250350845</v>
      </c>
      <c r="C117" s="11">
        <v>0.5483153749013383</v>
      </c>
    </row>
    <row r="118" spans="1:3">
      <c r="A118" s="10">
        <v>1050</v>
      </c>
      <c r="B118" s="11">
        <v>0.4276696714184709</v>
      </c>
      <c r="C118" s="11">
        <v>0.5222051189536555</v>
      </c>
    </row>
    <row r="119" spans="1:3">
      <c r="A119" s="10">
        <v>1100</v>
      </c>
      <c r="B119" s="11">
        <v>0.4082301408994495</v>
      </c>
      <c r="C119" s="11">
        <v>0.4984685226375803</v>
      </c>
    </row>
    <row r="120" spans="1:3">
      <c r="A120" s="10">
        <v>1150</v>
      </c>
      <c r="B120" s="11">
        <v>0.3904810043386038</v>
      </c>
      <c r="C120" s="11">
        <v>0.4767959781750768</v>
      </c>
    </row>
    <row r="121" spans="1:3">
      <c r="A121" s="10">
        <v>1200</v>
      </c>
      <c r="B121" s="11">
        <v>0.374210962491162</v>
      </c>
      <c r="C121" s="11">
        <v>0.4569294790844486</v>
      </c>
    </row>
    <row r="122" spans="1:3">
      <c r="A122" s="10">
        <v>1250</v>
      </c>
      <c r="B122" s="11">
        <v>0.3592425239915156</v>
      </c>
      <c r="C122" s="11">
        <v>0.4386522999210706</v>
      </c>
    </row>
    <row r="123" spans="1:3">
      <c r="A123" s="10">
        <v>1300</v>
      </c>
      <c r="B123" s="11">
        <v>0.3454255038379957</v>
      </c>
      <c r="C123" s="11">
        <v>0.4217810576164141</v>
      </c>
    </row>
    <row r="124" spans="1:3">
      <c r="A124" s="10">
        <v>1350</v>
      </c>
      <c r="B124" s="11">
        <v>0.3326319666588107</v>
      </c>
      <c r="C124" s="11">
        <v>0.4061595369639543</v>
      </c>
    </row>
    <row r="125" spans="1:3">
      <c r="A125" s="10">
        <v>1400</v>
      </c>
      <c r="B125" s="11">
        <v>0.3207522535638532</v>
      </c>
      <c r="C125" s="11">
        <v>0.3916538392152417</v>
      </c>
    </row>
    <row r="126" spans="1:3">
      <c r="A126" s="10">
        <v>1450</v>
      </c>
      <c r="B126" s="11">
        <v>0.3096918310271686</v>
      </c>
      <c r="C126" s="11">
        <v>0.3781485344147161</v>
      </c>
    </row>
    <row r="127" spans="1:3">
      <c r="A127" s="10">
        <v>1500</v>
      </c>
      <c r="B127" s="11">
        <v>0.2993687699929296</v>
      </c>
      <c r="C127" s="11">
        <v>0.3655435832675589</v>
      </c>
    </row>
    <row r="129" spans="1:5">
      <c r="A129" t="s">
        <v>244</v>
      </c>
      <c r="B129" s="12">
        <v>270000</v>
      </c>
      <c r="E129" t="s">
        <v>245</v>
      </c>
    </row>
    <row r="130" spans="1:5">
      <c r="A130" t="s">
        <v>246</v>
      </c>
      <c r="B130" s="10">
        <f>t_ffb*a_util*a_diesel_L_tffb/a_sfc/(8760-6000*a_util)/(t_ffb/t_ffb45)</f>
        <v>316.90140845070425</v>
      </c>
      <c r="E130" t="s">
        <v>247</v>
      </c>
    </row>
    <row r="131" spans="1:5">
      <c r="A131" t="s">
        <v>248</v>
      </c>
      <c r="B131" s="10">
        <f>MIN(MAX(t_load,INDEX(mt_x,1)),INDEX(mt_x,ROWS(mt_x))-0.000000001)</f>
        <v>422.53521126760563</v>
      </c>
    </row>
    <row r="132" spans="1:5">
      <c r="A132" t="s">
        <v>249</v>
      </c>
      <c r="B132" s="12">
        <f>MATCH(t_xc,mt_x,1)</f>
        <v>1</v>
      </c>
    </row>
    <row r="133" spans="1:5">
      <c r="A133" t="s">
        <v>250</v>
      </c>
      <c r="B133" s="11">
        <f>IF(a_buffer&gt;=0.5,INDEX(mt_y2,t_mpos)+(t_xc-INDEX(mt_x,t_mpos))*(INDEX(mt_y2,t_mpos+1)-INDEX(mt_y2,t_mpos))/(INDEX(mt_x,t_mpos+1)-INDEX(mt_x,t_mpos)),INDEX(mt_y1,t_mpos)+(t_xc-INDEX(mt_x,t_mpos))*(INDEX(mt_y1,t_mpos+1)-INDEX(mt_y1,t_mpos))/(INDEX(mt_x,t_mpos+1)-INDEX(mt_x,t_mpos)))</f>
        <v>0.9264591732945063</v>
      </c>
      <c r="E133" t="s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cols>
    <col min="1" max="1" width="14.7109375" customWidth="1"/>
    <col min="2" max="2" width="66.7109375" customWidth="1"/>
    <col min="3" max="6" width="14.7109375" customWidth="1"/>
    <col min="7" max="7" width="56.7109375" customWidth="1"/>
  </cols>
  <sheetData>
    <row r="1" spans="1:7">
      <c r="A1" s="1" t="s">
        <v>252</v>
      </c>
    </row>
    <row r="3" spans="1:7">
      <c r="A3" s="7" t="s">
        <v>253</v>
      </c>
      <c r="B3" s="7" t="s">
        <v>254</v>
      </c>
      <c r="C3" s="7" t="s">
        <v>255</v>
      </c>
      <c r="D3" s="7" t="s">
        <v>3</v>
      </c>
      <c r="E3" s="7" t="s">
        <v>256</v>
      </c>
      <c r="F3" s="7" t="s">
        <v>257</v>
      </c>
      <c r="G3" s="7" t="s">
        <v>258</v>
      </c>
    </row>
    <row r="4" spans="1:7">
      <c r="A4" s="6" t="s">
        <v>259</v>
      </c>
      <c r="B4" s="6" t="s">
        <v>260</v>
      </c>
      <c r="C4" s="10">
        <v>3919.608702569837</v>
      </c>
      <c r="D4" s="6" t="s">
        <v>261</v>
      </c>
      <c r="E4" s="12">
        <f>a_c_gfs</f>
        <v>200.0</v>
      </c>
      <c r="F4" s="12">
        <f>C4*E4</f>
        <v>783921.7405139674</v>
      </c>
      <c r="G4" s="6" t="s">
        <v>262</v>
      </c>
    </row>
    <row r="5" spans="1:7">
      <c r="A5" s="6" t="s">
        <v>259</v>
      </c>
      <c r="B5" s="6" t="s">
        <v>263</v>
      </c>
      <c r="C5" s="10">
        <v>297.1004096610005</v>
      </c>
      <c r="D5" s="6" t="s">
        <v>261</v>
      </c>
      <c r="E5" s="12">
        <f>a_c_gfs*1.3</f>
        <v>260.0</v>
      </c>
      <c r="F5" s="12">
        <f>C5*E5</f>
        <v>77246.10651186014</v>
      </c>
      <c r="G5" s="6" t="s">
        <v>264</v>
      </c>
    </row>
    <row r="6" spans="1:7">
      <c r="A6" s="6" t="s">
        <v>259</v>
      </c>
      <c r="B6" s="6" t="s">
        <v>265</v>
      </c>
      <c r="C6" s="10">
        <f>IF(a_buffer&gt;=0.5,713.0409831864013,0)</f>
        <v>713.0409831864013</v>
      </c>
      <c r="D6" s="6" t="s">
        <v>261</v>
      </c>
      <c r="E6" s="12">
        <f>a_c_gfs*1.3</f>
        <v>260.0</v>
      </c>
      <c r="F6" s="12">
        <f>C6*E6</f>
        <v>185390.65562846433</v>
      </c>
      <c r="G6" s="6" t="s">
        <v>264</v>
      </c>
    </row>
    <row r="7" spans="1:7">
      <c r="A7" s="6" t="s">
        <v>259</v>
      </c>
      <c r="B7" s="6" t="s">
        <v>266</v>
      </c>
      <c r="C7" s="10">
        <v>1</v>
      </c>
      <c r="D7" s="6" t="s">
        <v>267</v>
      </c>
      <c r="E7" s="8">
        <v>225796.3113423604</v>
      </c>
      <c r="F7" s="12">
        <f>C7*E7</f>
        <v>225796.31134236042</v>
      </c>
      <c r="G7" s="6" t="s">
        <v>268</v>
      </c>
    </row>
    <row r="8" spans="1:7">
      <c r="A8" s="6" t="s">
        <v>259</v>
      </c>
      <c r="B8" s="6" t="s">
        <v>269</v>
      </c>
      <c r="C8" s="10">
        <v>1</v>
      </c>
      <c r="D8" s="6" t="s">
        <v>267</v>
      </c>
      <c r="E8" s="8">
        <v>185941.5299706136</v>
      </c>
      <c r="F8" s="12">
        <f>C8*E8</f>
        <v>185941.5299706136</v>
      </c>
      <c r="G8" s="6" t="s">
        <v>270</v>
      </c>
    </row>
    <row r="9" spans="1:7">
      <c r="A9" s="6" t="s">
        <v>259</v>
      </c>
      <c r="B9" s="6" t="s">
        <v>271</v>
      </c>
      <c r="C9" s="10">
        <v>1</v>
      </c>
      <c r="D9" s="6" t="s">
        <v>267</v>
      </c>
      <c r="E9" s="8">
        <v>59420.08193220011</v>
      </c>
      <c r="F9" s="12">
        <f>C9*E9</f>
        <v>59420.08193220011</v>
      </c>
      <c r="G9" s="6" t="s">
        <v>268</v>
      </c>
    </row>
    <row r="10" spans="1:7">
      <c r="A10" s="6" t="s">
        <v>259</v>
      </c>
      <c r="B10" s="6" t="s">
        <v>272</v>
      </c>
      <c r="C10" s="10">
        <v>1</v>
      </c>
      <c r="D10" s="6" t="s">
        <v>267</v>
      </c>
      <c r="E10" s="8">
        <v>297100.4096610005</v>
      </c>
      <c r="F10" s="12">
        <f>C10*E10</f>
        <v>297100.40966100054</v>
      </c>
      <c r="G10" s="6" t="s">
        <v>268</v>
      </c>
    </row>
    <row r="11" spans="1:7">
      <c r="A11" s="6" t="s">
        <v>259</v>
      </c>
      <c r="B11" s="6" t="s">
        <v>273</v>
      </c>
      <c r="C11" s="10">
        <v>1</v>
      </c>
      <c r="D11" s="6" t="s">
        <v>267</v>
      </c>
      <c r="E11" s="12">
        <f>90*t_gh_m3+50000</f>
        <v>168360.22349250922</v>
      </c>
      <c r="F11" s="12">
        <f>C11*E11</f>
        <v>168360.22349250922</v>
      </c>
      <c r="G11" s="6" t="s">
        <v>274</v>
      </c>
    </row>
    <row r="12" spans="1:7">
      <c r="A12" s="6" t="s">
        <v>259</v>
      </c>
      <c r="B12" s="6" t="s">
        <v>275</v>
      </c>
      <c r="C12" s="10">
        <v>1600</v>
      </c>
      <c r="D12" s="6" t="s">
        <v>167</v>
      </c>
      <c r="E12" s="12">
        <f>a_c_chp</f>
        <v>600.0</v>
      </c>
      <c r="F12" s="12">
        <f>C12*E12</f>
        <v>960000.0</v>
      </c>
      <c r="G12" s="6" t="s">
        <v>276</v>
      </c>
    </row>
    <row r="13" spans="1:7">
      <c r="A13" s="6" t="s">
        <v>259</v>
      </c>
      <c r="B13" s="6" t="s">
        <v>277</v>
      </c>
      <c r="C13" s="10">
        <v>1</v>
      </c>
      <c r="D13" s="6" t="s">
        <v>267</v>
      </c>
      <c r="E13" s="8">
        <v>118840.1638644002</v>
      </c>
      <c r="F13" s="12">
        <f>C13*E13</f>
        <v>118840.16386440022</v>
      </c>
      <c r="G13" s="6" t="s">
        <v>268</v>
      </c>
    </row>
    <row r="14" spans="1:7">
      <c r="A14" s="6" t="s">
        <v>259</v>
      </c>
      <c r="B14" s="6" t="s">
        <v>278</v>
      </c>
      <c r="C14" s="10">
        <v>1</v>
      </c>
      <c r="D14" s="6" t="s">
        <v>267</v>
      </c>
      <c r="E14" s="8">
        <v>136666.1884440602</v>
      </c>
      <c r="F14" s="12">
        <f>C14*E14</f>
        <v>136666.18844406024</v>
      </c>
      <c r="G14" s="6" t="s">
        <v>268</v>
      </c>
    </row>
    <row r="15" spans="1:7">
      <c r="A15" s="6" t="s">
        <v>259</v>
      </c>
      <c r="B15" s="6" t="s">
        <v>279</v>
      </c>
      <c r="C15" s="10">
        <v>1</v>
      </c>
      <c r="D15" s="6" t="s">
        <v>267</v>
      </c>
      <c r="E15" s="8">
        <v>106956.1474779602</v>
      </c>
      <c r="F15" s="12">
        <f>C15*E15</f>
        <v>106956.1474779602</v>
      </c>
      <c r="G15" s="6" t="s">
        <v>280</v>
      </c>
    </row>
    <row r="16" spans="1:7">
      <c r="A16" s="6" t="s">
        <v>259</v>
      </c>
      <c r="B16" s="6" t="s">
        <v>281</v>
      </c>
      <c r="C16" s="10">
        <v>1</v>
      </c>
      <c r="D16" s="6" t="s">
        <v>267</v>
      </c>
      <c r="E16" s="8">
        <v>237680.3277288004</v>
      </c>
      <c r="F16" s="12">
        <f>C16*E16</f>
        <v>237680.32772880045</v>
      </c>
      <c r="G16" s="6" t="s">
        <v>268</v>
      </c>
    </row>
    <row r="17" spans="1:7">
      <c r="A17" s="6" t="s">
        <v>259</v>
      </c>
      <c r="B17" s="6" t="s">
        <v>282</v>
      </c>
      <c r="C17" s="10">
        <v>1</v>
      </c>
      <c r="D17" s="6" t="s">
        <v>267</v>
      </c>
      <c r="E17" s="8">
        <v>106956.1474779602</v>
      </c>
      <c r="F17" s="12">
        <f>C17*E17</f>
        <v>106956.1474779602</v>
      </c>
      <c r="G17" s="6" t="s">
        <v>268</v>
      </c>
    </row>
    <row r="18" spans="1:7">
      <c r="A18" s="6" t="s">
        <v>283</v>
      </c>
      <c r="B18" s="6" t="s">
        <v>284</v>
      </c>
      <c r="C18" s="10">
        <v>1</v>
      </c>
      <c r="D18" s="6" t="s">
        <v>267</v>
      </c>
      <c r="E18" s="8">
        <v>242608.1966372803</v>
      </c>
      <c r="F18" s="12">
        <f>C18*E18</f>
        <v>242608.19663728026</v>
      </c>
      <c r="G18" s="6" t="s">
        <v>285</v>
      </c>
    </row>
    <row r="19" spans="1:7">
      <c r="A19" s="6" t="s">
        <v>283</v>
      </c>
      <c r="B19" s="6" t="s">
        <v>286</v>
      </c>
      <c r="C19" s="10">
        <v>23</v>
      </c>
      <c r="D19" s="6" t="s">
        <v>287</v>
      </c>
      <c r="E19" s="8">
        <v>4500</v>
      </c>
      <c r="F19" s="12">
        <f>C19*E19</f>
        <v>103500</v>
      </c>
      <c r="G19" s="6" t="s">
        <v>288</v>
      </c>
    </row>
    <row r="20" spans="1:7">
      <c r="A20" s="6" t="s">
        <v>283</v>
      </c>
      <c r="B20" s="6" t="s">
        <v>289</v>
      </c>
      <c r="C20" s="10">
        <v>1</v>
      </c>
      <c r="D20" s="6" t="s">
        <v>267</v>
      </c>
      <c r="E20" s="8">
        <v>282608.1966372803</v>
      </c>
      <c r="F20" s="12">
        <f>C20*E20</f>
        <v>282608.1966372803</v>
      </c>
      <c r="G20" s="6" t="s">
        <v>268</v>
      </c>
    </row>
    <row r="21" spans="1:7">
      <c r="A21" s="6" t="s">
        <v>283</v>
      </c>
      <c r="B21" s="6" t="s">
        <v>290</v>
      </c>
      <c r="C21" s="10">
        <v>161</v>
      </c>
      <c r="D21" s="6" t="s">
        <v>291</v>
      </c>
      <c r="E21" s="8">
        <v>140.1565217391304</v>
      </c>
      <c r="F21" s="12">
        <f>C21*E21</f>
        <v>22565.199999999997</v>
      </c>
      <c r="G21" s="6" t="s">
        <v>292</v>
      </c>
    </row>
    <row r="22" spans="1:7">
      <c r="A22" s="6" t="s">
        <v>283</v>
      </c>
      <c r="B22" s="6" t="s">
        <v>293</v>
      </c>
      <c r="C22" s="10">
        <v>154</v>
      </c>
      <c r="D22" s="6" t="s">
        <v>291</v>
      </c>
      <c r="E22" s="8">
        <v>69.83766233766234</v>
      </c>
      <c r="F22" s="12">
        <f>C22*E22</f>
        <v>10755.0</v>
      </c>
      <c r="G22" s="6" t="s">
        <v>292</v>
      </c>
    </row>
    <row r="23" spans="1:7">
      <c r="A23" s="6" t="s">
        <v>283</v>
      </c>
      <c r="B23" s="6" t="s">
        <v>294</v>
      </c>
      <c r="C23" s="10">
        <v>64</v>
      </c>
      <c r="D23" s="6" t="s">
        <v>291</v>
      </c>
      <c r="E23" s="8">
        <v>70.19140625000001</v>
      </c>
      <c r="F23" s="12">
        <f>C23*E23</f>
        <v>4492.250000000001</v>
      </c>
      <c r="G23" s="6" t="s">
        <v>292</v>
      </c>
    </row>
    <row r="24" spans="1:7">
      <c r="A24" s="6" t="s">
        <v>283</v>
      </c>
      <c r="B24" s="6" t="s">
        <v>295</v>
      </c>
      <c r="C24" s="10">
        <v>88</v>
      </c>
      <c r="D24" s="6" t="s">
        <v>291</v>
      </c>
      <c r="E24" s="8">
        <v>44.74431818181818</v>
      </c>
      <c r="F24" s="12">
        <f>C24*E24</f>
        <v>3937.5</v>
      </c>
      <c r="G24" s="6" t="s">
        <v>292</v>
      </c>
    </row>
    <row r="25" spans="1:7">
      <c r="A25" s="6" t="s">
        <v>283</v>
      </c>
      <c r="B25" s="6" t="s">
        <v>296</v>
      </c>
      <c r="C25" s="10">
        <v>256</v>
      </c>
      <c r="D25" s="6" t="s">
        <v>291</v>
      </c>
      <c r="E25" s="8">
        <v>110.28125</v>
      </c>
      <c r="F25" s="12">
        <f>C25*E25</f>
        <v>28232.0</v>
      </c>
      <c r="G25" s="6" t="s">
        <v>292</v>
      </c>
    </row>
    <row r="26" spans="1:7">
      <c r="A26" s="6" t="s">
        <v>283</v>
      </c>
      <c r="B26" s="6" t="s">
        <v>297</v>
      </c>
      <c r="C26" s="10">
        <v>1</v>
      </c>
      <c r="D26" s="6" t="s">
        <v>267</v>
      </c>
      <c r="E26" s="12">
        <f>a_c_grid</f>
        <v>120000.0</v>
      </c>
      <c r="F26" s="12">
        <f>C26*E26</f>
        <v>120000.0</v>
      </c>
      <c r="G26" s="6" t="s">
        <v>298</v>
      </c>
    </row>
    <row r="27" spans="1:7">
      <c r="A27" s="6" t="s">
        <v>299</v>
      </c>
      <c r="B27" s="6" t="s">
        <v>300</v>
      </c>
      <c r="C27" s="11">
        <f>a_eng</f>
        <v>0.06</v>
      </c>
      <c r="D27" s="6" t="s">
        <v>301</v>
      </c>
      <c r="E27" s="12">
        <f>PEC</f>
        <v>3650276.034046157</v>
      </c>
      <c r="F27" s="12">
        <f>C27*E27</f>
        <v>219016.5620427694</v>
      </c>
      <c r="G27" s="6" t="s">
        <v>302</v>
      </c>
    </row>
    <row r="28" spans="1:7">
      <c r="A28" s="6" t="s">
        <v>299</v>
      </c>
      <c r="B28" s="6" t="s">
        <v>303</v>
      </c>
      <c r="C28" s="10">
        <v>1</v>
      </c>
      <c r="D28" s="6" t="s">
        <v>267</v>
      </c>
      <c r="E28" s="8">
        <v>50000</v>
      </c>
      <c r="F28" s="12">
        <f>C28*E28</f>
        <v>50000</v>
      </c>
      <c r="G28" s="6" t="s">
        <v>268</v>
      </c>
    </row>
    <row r="29" spans="1:7">
      <c r="A29" s="6" t="s">
        <v>299</v>
      </c>
      <c r="B29" s="6" t="s">
        <v>304</v>
      </c>
      <c r="C29" s="10">
        <v>1</v>
      </c>
      <c r="D29" s="6" t="s">
        <v>267</v>
      </c>
      <c r="E29" s="8">
        <v>45000</v>
      </c>
      <c r="F29" s="12">
        <f>C29*E29</f>
        <v>45000</v>
      </c>
      <c r="G29" s="6" t="s">
        <v>268</v>
      </c>
    </row>
    <row r="30" spans="1:7">
      <c r="A30" s="6" t="s">
        <v>305</v>
      </c>
      <c r="B30" s="6" t="s">
        <v>306</v>
      </c>
      <c r="C30" s="11">
        <f>a_cont</f>
        <v>0.2</v>
      </c>
      <c r="D30" s="6" t="s">
        <v>307</v>
      </c>
      <c r="E30" s="12">
        <f>SUM(F4:F29)</f>
        <v>4782990.939363487</v>
      </c>
      <c r="F30" s="12">
        <f>C30*E30</f>
        <v>956598.1878726975</v>
      </c>
      <c r="G30" s="6" t="s">
        <v>308</v>
      </c>
    </row>
    <row r="32" spans="1:7">
      <c r="B32" s="9" t="s">
        <v>309</v>
      </c>
      <c r="F32" s="3">
        <f>SUM(F4:F17)</f>
        <v>3650276.034046157</v>
      </c>
    </row>
    <row r="33" spans="2:6">
      <c r="B33" s="9" t="s">
        <v>310</v>
      </c>
      <c r="F33" s="3">
        <f>SUM(F4:F30)</f>
        <v>5739589.127236185</v>
      </c>
    </row>
    <row r="34" spans="2:6">
      <c r="B34" s="9" t="s">
        <v>311</v>
      </c>
      <c r="F34" s="3">
        <f>FCI26*(1+a_infl)^(a_year0-2026)</f>
        <v>5854380.909780908</v>
      </c>
    </row>
    <row r="35" spans="2:6">
      <c r="B35" s="9" t="s">
        <v>312</v>
      </c>
      <c r="F35" s="3">
        <f>SUM(F4:F26)*(1+a_cont)*(1+a_infl)^(a_year0-2026)</f>
        <v>5470024.637840559</v>
      </c>
    </row>
    <row r="36" spans="2:6">
      <c r="B36" s="9" t="s">
        <v>313</v>
      </c>
      <c r="F36" s="3">
        <f>FCI26/t_P_gross</f>
        <v>3821.0155830597746</v>
      </c>
    </row>
    <row r="37" spans="2:6">
      <c r="B37" s="9" t="s">
        <v>314</v>
      </c>
      <c r="F37" s="3">
        <f>a_debt_frac*FCI*a_r_debt*0.5</f>
        <v>135821.63710691707</v>
      </c>
    </row>
    <row r="38" spans="2:6">
      <c r="B38" s="9" t="s">
        <v>315</v>
      </c>
      <c r="F38" s="3">
        <f>a_debt_frac*FCI+IDC</f>
        <v>3531362.5647798437</v>
      </c>
    </row>
    <row r="39" spans="2:6">
      <c r="B39" s="9" t="s">
        <v>316</v>
      </c>
      <c r="F39" s="3">
        <f>DEBT*a_r_debt/(1-(1+a_r_debt)^-(a_tenor-1))</f>
        <v>565299.4923508265</v>
      </c>
    </row>
    <row r="41" spans="2:6">
      <c r="B41" s="2" t="s">
        <v>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46.7109375" customWidth="1"/>
    <col min="2" max="3" width="16.7109375" customWidth="1"/>
    <col min="4" max="4" width="80.7109375" customWidth="1"/>
  </cols>
  <sheetData>
    <row r="1" spans="1:4">
      <c r="A1" s="1" t="s">
        <v>318</v>
      </c>
    </row>
    <row r="3" spans="1:4">
      <c r="A3" s="7" t="s">
        <v>319</v>
      </c>
      <c r="B3" s="7" t="s">
        <v>73</v>
      </c>
      <c r="C3" s="7" t="s">
        <v>320</v>
      </c>
      <c r="D3" s="7" t="s">
        <v>321</v>
      </c>
    </row>
    <row r="4" spans="1:4">
      <c r="A4" s="6" t="s">
        <v>322</v>
      </c>
      <c r="B4" s="12">
        <f>a_staff</f>
        <v>82000.0</v>
      </c>
      <c r="C4" s="6" t="s">
        <v>324</v>
      </c>
      <c r="D4" s="6" t="s">
        <v>323</v>
      </c>
    </row>
    <row r="5" spans="1:4">
      <c r="A5" s="6" t="s">
        <v>325</v>
      </c>
      <c r="B5" s="12">
        <f>a_c_eng_om*t_Eg_year*a_util/t_up*a_avail*1000000</f>
        <v>132402.5487150487</v>
      </c>
      <c r="C5" s="6" t="s">
        <v>327</v>
      </c>
      <c r="D5" s="6" t="s">
        <v>326</v>
      </c>
    </row>
    <row r="6" spans="1:4">
      <c r="A6" s="6" t="s">
        <v>113</v>
      </c>
      <c r="B6" s="12">
        <f>a_c_maint*(PEC-a_c_chp*t_chp_kWe)</f>
        <v>53805.52068092314</v>
      </c>
      <c r="C6" s="6" t="s">
        <v>324</v>
      </c>
      <c r="D6" s="6" t="s">
        <v>328</v>
      </c>
    </row>
    <row r="7" spans="1:4">
      <c r="A7" s="6" t="s">
        <v>329</v>
      </c>
      <c r="B7" s="12">
        <f>t_ffb*a_util*(t_poly*a_p_poly+t_ac*a_p_ac)/1000+t_naoh*t_days/1000*a_p_naoh</f>
        <v>49200.88536916162</v>
      </c>
      <c r="C7" s="6" t="s">
        <v>327</v>
      </c>
      <c r="D7" s="6" t="s">
        <v>330</v>
      </c>
    </row>
    <row r="8" spans="1:4">
      <c r="A8" s="6" t="s">
        <v>331</v>
      </c>
      <c r="B8" s="12">
        <f>a_c_ins*FCI26</f>
        <v>28697.945636180924</v>
      </c>
      <c r="C8" s="6" t="s">
        <v>324</v>
      </c>
      <c r="D8" s="6" t="s">
        <v>332</v>
      </c>
    </row>
    <row r="9" spans="1:4">
      <c r="A9" s="6" t="s">
        <v>333</v>
      </c>
      <c r="B9" s="12">
        <f>a_c_admin</f>
        <v>30000.0</v>
      </c>
      <c r="C9" s="6" t="s">
        <v>324</v>
      </c>
      <c r="D9" s="6" t="s">
        <v>334</v>
      </c>
    </row>
    <row r="10" spans="1:4">
      <c r="A10" s="6" t="s">
        <v>335</v>
      </c>
      <c r="B10" s="12">
        <f>a_lease*t_plot_m2</f>
        <v>8515.424666666666</v>
      </c>
      <c r="C10" s="6" t="s">
        <v>324</v>
      </c>
      <c r="D10" s="6" t="s">
        <v>336</v>
      </c>
    </row>
    <row r="12" spans="1:4">
      <c r="A12" s="9" t="s">
        <v>337</v>
      </c>
      <c r="B12" s="3">
        <f>B4+B6+B8+B9+B10</f>
        <v>203018.89098377072</v>
      </c>
    </row>
    <row r="13" spans="1:4">
      <c r="A13" s="9" t="s">
        <v>338</v>
      </c>
      <c r="B13" s="3">
        <f>B5+B7</f>
        <v>181603.4340842103</v>
      </c>
    </row>
    <row r="15" spans="1:4">
      <c r="A15" s="2" t="s">
        <v>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44.7109375" customWidth="1"/>
    <col min="2" max="2" width="3.7109375" customWidth="1"/>
    <col min="3" max="23" width="12.28515625" customWidth="1"/>
  </cols>
  <sheetData>
    <row r="1" spans="1:23">
      <c r="A1" s="1" t="s">
        <v>340</v>
      </c>
    </row>
    <row r="3" spans="1:23">
      <c r="A3" s="7" t="s">
        <v>341</v>
      </c>
      <c r="B3" s="7"/>
      <c r="C3" s="7">
        <v>2027</v>
      </c>
      <c r="D3" s="7">
        <v>2028</v>
      </c>
      <c r="E3" s="7">
        <v>2029</v>
      </c>
      <c r="F3" s="7">
        <v>2030</v>
      </c>
      <c r="G3" s="7">
        <v>2031</v>
      </c>
      <c r="H3" s="7">
        <v>2032</v>
      </c>
      <c r="I3" s="7">
        <v>2033</v>
      </c>
      <c r="J3" s="7">
        <v>2034</v>
      </c>
      <c r="K3" s="7">
        <v>2035</v>
      </c>
      <c r="L3" s="7">
        <v>2036</v>
      </c>
      <c r="M3" s="7">
        <v>2037</v>
      </c>
      <c r="N3" s="7">
        <v>2038</v>
      </c>
      <c r="O3" s="7">
        <v>2039</v>
      </c>
      <c r="P3" s="7">
        <v>2040</v>
      </c>
      <c r="Q3" s="7">
        <v>2041</v>
      </c>
      <c r="R3" s="7">
        <v>2042</v>
      </c>
      <c r="S3" s="7">
        <v>2043</v>
      </c>
      <c r="T3" s="7">
        <v>2044</v>
      </c>
      <c r="U3" s="7">
        <v>2045</v>
      </c>
      <c r="V3" s="7">
        <v>2046</v>
      </c>
      <c r="W3" s="7">
        <v>2047</v>
      </c>
    </row>
    <row r="4" spans="1:23">
      <c r="A4" t="s">
        <v>342</v>
      </c>
      <c r="C4" s="12">
        <v>0</v>
      </c>
      <c r="D4" s="12">
        <v>1</v>
      </c>
      <c r="E4" s="12">
        <v>2</v>
      </c>
      <c r="F4" s="12">
        <v>3</v>
      </c>
      <c r="G4" s="12">
        <v>4</v>
      </c>
      <c r="H4" s="12">
        <v>5</v>
      </c>
      <c r="I4" s="12">
        <v>6</v>
      </c>
      <c r="J4" s="12">
        <v>7</v>
      </c>
      <c r="K4" s="12">
        <v>8</v>
      </c>
      <c r="L4" s="12">
        <v>9</v>
      </c>
      <c r="M4" s="12">
        <v>10</v>
      </c>
      <c r="N4" s="12">
        <v>11</v>
      </c>
      <c r="O4" s="12">
        <v>12</v>
      </c>
      <c r="P4" s="12">
        <v>13</v>
      </c>
      <c r="Q4" s="12">
        <v>14</v>
      </c>
      <c r="R4" s="12">
        <v>15</v>
      </c>
      <c r="S4" s="12">
        <v>16</v>
      </c>
      <c r="T4" s="12">
        <v>17</v>
      </c>
      <c r="U4" s="12">
        <v>18</v>
      </c>
      <c r="V4" s="12">
        <v>19</v>
      </c>
      <c r="W4" s="12">
        <v>20</v>
      </c>
    </row>
    <row r="5" spans="1:23">
      <c r="A5" t="s">
        <v>343</v>
      </c>
      <c r="C5" s="12">
        <v>2027</v>
      </c>
      <c r="D5" s="12">
        <v>2028</v>
      </c>
      <c r="E5" s="12">
        <v>2029</v>
      </c>
      <c r="F5" s="12">
        <v>2030</v>
      </c>
      <c r="G5" s="12">
        <v>2031</v>
      </c>
      <c r="H5" s="12">
        <v>2032</v>
      </c>
      <c r="I5" s="12">
        <v>2033</v>
      </c>
      <c r="J5" s="12">
        <v>2034</v>
      </c>
      <c r="K5" s="12">
        <v>2035</v>
      </c>
      <c r="L5" s="12">
        <v>2036</v>
      </c>
      <c r="M5" s="12">
        <v>2037</v>
      </c>
      <c r="N5" s="12">
        <v>2038</v>
      </c>
      <c r="O5" s="12">
        <v>2039</v>
      </c>
      <c r="P5" s="12">
        <v>2040</v>
      </c>
      <c r="Q5" s="12">
        <v>2041</v>
      </c>
      <c r="R5" s="12">
        <v>2042</v>
      </c>
      <c r="S5" s="12">
        <v>2043</v>
      </c>
      <c r="T5" s="12">
        <v>2044</v>
      </c>
      <c r="U5" s="12">
        <v>2045</v>
      </c>
      <c r="V5" s="12">
        <v>2046</v>
      </c>
      <c r="W5" s="12">
        <v>2047</v>
      </c>
    </row>
    <row r="6" spans="1:23">
      <c r="A6" t="s">
        <v>344</v>
      </c>
      <c r="C6" s="10">
        <f>IF(C4=0,0,IF(C4=1,a_ramp1,1))</f>
        <v>0.0</v>
      </c>
      <c r="D6" s="10">
        <f>IF(D4=0,0,IF(D4=1,a_ramp1,1))</f>
        <v>0.7</v>
      </c>
      <c r="E6" s="10">
        <f>IF(E4=0,0,IF(E4=1,a_ramp1,1))</f>
        <v>1.0</v>
      </c>
      <c r="F6" s="10">
        <f>IF(F4=0,0,IF(F4=1,a_ramp1,1))</f>
        <v>1.0</v>
      </c>
      <c r="G6" s="10">
        <f>IF(G4=0,0,IF(G4=1,a_ramp1,1))</f>
        <v>1.0</v>
      </c>
      <c r="H6" s="10">
        <f>IF(H4=0,0,IF(H4=1,a_ramp1,1))</f>
        <v>1.0</v>
      </c>
      <c r="I6" s="10">
        <f>IF(I4=0,0,IF(I4=1,a_ramp1,1))</f>
        <v>1.0</v>
      </c>
      <c r="J6" s="10">
        <f>IF(J4=0,0,IF(J4=1,a_ramp1,1))</f>
        <v>1.0</v>
      </c>
      <c r="K6" s="10">
        <f>IF(K4=0,0,IF(K4=1,a_ramp1,1))</f>
        <v>1.0</v>
      </c>
      <c r="L6" s="10">
        <f>IF(L4=0,0,IF(L4=1,a_ramp1,1))</f>
        <v>1.0</v>
      </c>
      <c r="M6" s="10">
        <f>IF(M4=0,0,IF(M4=1,a_ramp1,1))</f>
        <v>1.0</v>
      </c>
      <c r="N6" s="10">
        <f>IF(N4=0,0,IF(N4=1,a_ramp1,1))</f>
        <v>1.0</v>
      </c>
      <c r="O6" s="10">
        <f>IF(O4=0,0,IF(O4=1,a_ramp1,1))</f>
        <v>1.0</v>
      </c>
      <c r="P6" s="10">
        <f>IF(P4=0,0,IF(P4=1,a_ramp1,1))</f>
        <v>1.0</v>
      </c>
      <c r="Q6" s="10">
        <f>IF(Q4=0,0,IF(Q4=1,a_ramp1,1))</f>
        <v>1.0</v>
      </c>
      <c r="R6" s="10">
        <f>IF(R4=0,0,IF(R4=1,a_ramp1,1))</f>
        <v>1.0</v>
      </c>
      <c r="S6" s="10">
        <f>IF(S4=0,0,IF(S4=1,a_ramp1,1))</f>
        <v>1.0</v>
      </c>
      <c r="T6" s="10">
        <f>IF(T4=0,0,IF(T4=1,a_ramp1,1))</f>
        <v>1.0</v>
      </c>
      <c r="U6" s="10">
        <f>IF(U4=0,0,IF(U4=1,a_ramp1,1))</f>
        <v>1.0</v>
      </c>
      <c r="V6" s="10">
        <f>IF(V4=0,0,IF(V4=1,a_ramp1,1))</f>
        <v>1.0</v>
      </c>
      <c r="W6" s="10">
        <f>IF(W4=0,0,IF(W4=1,a_ramp1,1))</f>
        <v>1.0</v>
      </c>
    </row>
    <row r="7" spans="1:23">
      <c r="A7" t="s">
        <v>345</v>
      </c>
      <c r="C7" s="10">
        <f>t_E_year*a_util/t_up*a_avail*C6</f>
        <v>0.0</v>
      </c>
      <c r="D7" s="10">
        <f>t_E_year*a_util/t_up*a_avail*D6</f>
        <v>4.5823590775166805</v>
      </c>
      <c r="E7" s="10">
        <f>t_E_year*a_util/t_up*a_avail*E6</f>
        <v>6.546227253595258</v>
      </c>
      <c r="F7" s="10">
        <f>t_E_year*a_util/t_up*a_avail*F6</f>
        <v>6.546227253595258</v>
      </c>
      <c r="G7" s="10">
        <f>t_E_year*a_util/t_up*a_avail*G6</f>
        <v>6.546227253595258</v>
      </c>
      <c r="H7" s="10">
        <f>t_E_year*a_util/t_up*a_avail*H6</f>
        <v>6.546227253595258</v>
      </c>
      <c r="I7" s="10">
        <f>t_E_year*a_util/t_up*a_avail*I6</f>
        <v>6.546227253595258</v>
      </c>
      <c r="J7" s="10">
        <f>t_E_year*a_util/t_up*a_avail*J6</f>
        <v>6.546227253595258</v>
      </c>
      <c r="K7" s="10">
        <f>t_E_year*a_util/t_up*a_avail*K6</f>
        <v>6.546227253595258</v>
      </c>
      <c r="L7" s="10">
        <f>t_E_year*a_util/t_up*a_avail*L6</f>
        <v>6.546227253595258</v>
      </c>
      <c r="M7" s="10">
        <f>t_E_year*a_util/t_up*a_avail*M6</f>
        <v>6.546227253595258</v>
      </c>
      <c r="N7" s="10">
        <f>t_E_year*a_util/t_up*a_avail*N6</f>
        <v>6.546227253595258</v>
      </c>
      <c r="O7" s="10">
        <f>t_E_year*a_util/t_up*a_avail*O6</f>
        <v>6.546227253595258</v>
      </c>
      <c r="P7" s="10">
        <f>t_E_year*a_util/t_up*a_avail*P6</f>
        <v>6.546227253595258</v>
      </c>
      <c r="Q7" s="10">
        <f>t_E_year*a_util/t_up*a_avail*Q6</f>
        <v>6.546227253595258</v>
      </c>
      <c r="R7" s="10">
        <f>t_E_year*a_util/t_up*a_avail*R6</f>
        <v>6.546227253595258</v>
      </c>
      <c r="S7" s="10">
        <f>t_E_year*a_util/t_up*a_avail*S6</f>
        <v>6.546227253595258</v>
      </c>
      <c r="T7" s="10">
        <f>t_E_year*a_util/t_up*a_avail*T6</f>
        <v>6.546227253595258</v>
      </c>
      <c r="U7" s="10">
        <f>t_E_year*a_util/t_up*a_avail*U6</f>
        <v>6.546227253595258</v>
      </c>
      <c r="V7" s="10">
        <f>t_E_year*a_util/t_up*a_avail*V6</f>
        <v>6.546227253595258</v>
      </c>
      <c r="W7" s="10">
        <f>t_E_year*a_util/t_up*a_avail*W6</f>
        <v>6.546227253595258</v>
      </c>
    </row>
    <row r="8" spans="1:23">
      <c r="A8" t="s">
        <v>346</v>
      </c>
      <c r="C8" s="10">
        <f>MIN(t_ffb*a_util*a_diesel_L_tffb/a_sfc/1000000*t_match*a_avail*IF(C6&gt;=1,1,C6),C7)</f>
        <v>0.0</v>
      </c>
      <c r="D8" s="10">
        <f>MIN(t_ffb*a_util*a_diesel_L_tffb/a_sfc/1000000*t_match*a_avail*IF(D6&gt;=1,1,D6),D7)</f>
        <v>1.0856248592665025</v>
      </c>
      <c r="E8" s="10">
        <f>MIN(t_ffb*a_util*a_diesel_L_tffb/a_sfc/1000000*t_match*a_avail*IF(E6&gt;=1,1,E6),E7)</f>
        <v>1.5508926560950038</v>
      </c>
      <c r="F8" s="10">
        <f>MIN(t_ffb*a_util*a_diesel_L_tffb/a_sfc/1000000*t_match*a_avail*IF(F6&gt;=1,1,F6),F7)</f>
        <v>1.5508926560950038</v>
      </c>
      <c r="G8" s="10">
        <f>MIN(t_ffb*a_util*a_diesel_L_tffb/a_sfc/1000000*t_match*a_avail*IF(G6&gt;=1,1,G6),G7)</f>
        <v>1.5508926560950038</v>
      </c>
      <c r="H8" s="10">
        <f>MIN(t_ffb*a_util*a_diesel_L_tffb/a_sfc/1000000*t_match*a_avail*IF(H6&gt;=1,1,H6),H7)</f>
        <v>1.5508926560950038</v>
      </c>
      <c r="I8" s="10">
        <f>MIN(t_ffb*a_util*a_diesel_L_tffb/a_sfc/1000000*t_match*a_avail*IF(I6&gt;=1,1,I6),I7)</f>
        <v>1.5508926560950038</v>
      </c>
      <c r="J8" s="10">
        <f>MIN(t_ffb*a_util*a_diesel_L_tffb/a_sfc/1000000*t_match*a_avail*IF(J6&gt;=1,1,J6),J7)</f>
        <v>1.5508926560950038</v>
      </c>
      <c r="K8" s="10">
        <f>MIN(t_ffb*a_util*a_diesel_L_tffb/a_sfc/1000000*t_match*a_avail*IF(K6&gt;=1,1,K6),K7)</f>
        <v>1.5508926560950038</v>
      </c>
      <c r="L8" s="10">
        <f>MIN(t_ffb*a_util*a_diesel_L_tffb/a_sfc/1000000*t_match*a_avail*IF(L6&gt;=1,1,L6),L7)</f>
        <v>1.5508926560950038</v>
      </c>
      <c r="M8" s="10">
        <f>MIN(t_ffb*a_util*a_diesel_L_tffb/a_sfc/1000000*t_match*a_avail*IF(M6&gt;=1,1,M6),M7)</f>
        <v>1.5508926560950038</v>
      </c>
      <c r="N8" s="10">
        <f>MIN(t_ffb*a_util*a_diesel_L_tffb/a_sfc/1000000*t_match*a_avail*IF(N6&gt;=1,1,N6),N7)</f>
        <v>1.5508926560950038</v>
      </c>
      <c r="O8" s="10">
        <f>MIN(t_ffb*a_util*a_diesel_L_tffb/a_sfc/1000000*t_match*a_avail*IF(O6&gt;=1,1,O6),O7)</f>
        <v>1.5508926560950038</v>
      </c>
      <c r="P8" s="10">
        <f>MIN(t_ffb*a_util*a_diesel_L_tffb/a_sfc/1000000*t_match*a_avail*IF(P6&gt;=1,1,P6),P7)</f>
        <v>1.5508926560950038</v>
      </c>
      <c r="Q8" s="10">
        <f>MIN(t_ffb*a_util*a_diesel_L_tffb/a_sfc/1000000*t_match*a_avail*IF(Q6&gt;=1,1,Q6),Q7)</f>
        <v>1.5508926560950038</v>
      </c>
      <c r="R8" s="10">
        <f>MIN(t_ffb*a_util*a_diesel_L_tffb/a_sfc/1000000*t_match*a_avail*IF(R6&gt;=1,1,R6),R7)</f>
        <v>1.5508926560950038</v>
      </c>
      <c r="S8" s="10">
        <f>MIN(t_ffb*a_util*a_diesel_L_tffb/a_sfc/1000000*t_match*a_avail*IF(S6&gt;=1,1,S6),S7)</f>
        <v>1.5508926560950038</v>
      </c>
      <c r="T8" s="10">
        <f>MIN(t_ffb*a_util*a_diesel_L_tffb/a_sfc/1000000*t_match*a_avail*IF(T6&gt;=1,1,T6),T7)</f>
        <v>1.5508926560950038</v>
      </c>
      <c r="U8" s="10">
        <f>MIN(t_ffb*a_util*a_diesel_L_tffb/a_sfc/1000000*t_match*a_avail*IF(U6&gt;=1,1,U6),U7)</f>
        <v>1.5508926560950038</v>
      </c>
      <c r="V8" s="10">
        <f>MIN(t_ffb*a_util*a_diesel_L_tffb/a_sfc/1000000*t_match*a_avail*IF(V6&gt;=1,1,V6),V7)</f>
        <v>1.5508926560950038</v>
      </c>
      <c r="W8" s="10">
        <f>MIN(t_ffb*a_util*a_diesel_L_tffb/a_sfc/1000000*t_match*a_avail*IF(W6&gt;=1,1,W6),W7)</f>
        <v>1.5508926560950038</v>
      </c>
    </row>
    <row r="9" spans="1:23">
      <c r="A9" t="s">
        <v>347</v>
      </c>
      <c r="C9" s="10">
        <f>(C7-C8)*t_capf*a_export_on</f>
        <v>0.0</v>
      </c>
      <c r="D9" s="10">
        <f>(D7-D8)*t_capf*a_export_on</f>
        <v>3.496734218250178</v>
      </c>
      <c r="E9" s="10">
        <f>(E7-E8)*t_capf*a_export_on</f>
        <v>4.995334597500253</v>
      </c>
      <c r="F9" s="10">
        <f>(F7-F8)*t_capf*a_export_on</f>
        <v>4.995334597500253</v>
      </c>
      <c r="G9" s="10">
        <f>(G7-G8)*t_capf*a_export_on</f>
        <v>4.995334597500253</v>
      </c>
      <c r="H9" s="10">
        <f>(H7-H8)*t_capf*a_export_on</f>
        <v>4.995334597500253</v>
      </c>
      <c r="I9" s="10">
        <f>(I7-I8)*t_capf*a_export_on</f>
        <v>4.995334597500253</v>
      </c>
      <c r="J9" s="10">
        <f>(J7-J8)*t_capf*a_export_on</f>
        <v>4.995334597500253</v>
      </c>
      <c r="K9" s="10">
        <f>(K7-K8)*t_capf*a_export_on</f>
        <v>4.995334597500253</v>
      </c>
      <c r="L9" s="10">
        <f>(L7-L8)*t_capf*a_export_on</f>
        <v>4.995334597500253</v>
      </c>
      <c r="M9" s="10">
        <f>(M7-M8)*t_capf*a_export_on</f>
        <v>4.995334597500253</v>
      </c>
      <c r="N9" s="10">
        <f>(N7-N8)*t_capf*a_export_on</f>
        <v>4.995334597500253</v>
      </c>
      <c r="O9" s="10">
        <f>(O7-O8)*t_capf*a_export_on</f>
        <v>4.995334597500253</v>
      </c>
      <c r="P9" s="10">
        <f>(P7-P8)*t_capf*a_export_on</f>
        <v>4.995334597500253</v>
      </c>
      <c r="Q9" s="10">
        <f>(Q7-Q8)*t_capf*a_export_on</f>
        <v>4.995334597500253</v>
      </c>
      <c r="R9" s="10">
        <f>(R7-R8)*t_capf*a_export_on</f>
        <v>4.995334597500253</v>
      </c>
      <c r="S9" s="10">
        <f>(S7-S8)*t_capf*a_export_on</f>
        <v>4.995334597500253</v>
      </c>
      <c r="T9" s="10">
        <f>(T7-T8)*t_capf*a_export_on</f>
        <v>4.995334597500253</v>
      </c>
      <c r="U9" s="10">
        <f>(U7-U8)*t_capf*a_export_on</f>
        <v>4.995334597500253</v>
      </c>
      <c r="V9" s="10">
        <f>(V7-V8)*t_capf*a_export_on</f>
        <v>4.995334597500253</v>
      </c>
      <c r="W9" s="10">
        <f>(W7-W8)*t_capf*a_export_on</f>
        <v>4.995334597500253</v>
      </c>
    </row>
    <row r="10" spans="1:23">
      <c r="A10" t="s">
        <v>348</v>
      </c>
      <c r="C10" s="11">
        <f>IF(C4=0,0,IF(C4&lt;=10,a_tariff1*a_F_loc,a_tariff2)/100)</f>
        <v>0.0</v>
      </c>
      <c r="D10" s="11">
        <f>IF(D4=0,0,IF(D4&lt;=10,a_tariff1*a_F_loc,a_tariff2)/100)</f>
        <v>0.0981</v>
      </c>
      <c r="E10" s="11">
        <f>IF(E4=0,0,IF(E4&lt;=10,a_tariff1*a_F_loc,a_tariff2)/100)</f>
        <v>0.0981</v>
      </c>
      <c r="F10" s="11">
        <f>IF(F4=0,0,IF(F4&lt;=10,a_tariff1*a_F_loc,a_tariff2)/100)</f>
        <v>0.0981</v>
      </c>
      <c r="G10" s="11">
        <f>IF(G4=0,0,IF(G4&lt;=10,a_tariff1*a_F_loc,a_tariff2)/100)</f>
        <v>0.0981</v>
      </c>
      <c r="H10" s="11">
        <f>IF(H4=0,0,IF(H4&lt;=10,a_tariff1*a_F_loc,a_tariff2)/100)</f>
        <v>0.0981</v>
      </c>
      <c r="I10" s="11">
        <f>IF(I4=0,0,IF(I4&lt;=10,a_tariff1*a_F_loc,a_tariff2)/100)</f>
        <v>0.0981</v>
      </c>
      <c r="J10" s="11">
        <f>IF(J4=0,0,IF(J4&lt;=10,a_tariff1*a_F_loc,a_tariff2)/100)</f>
        <v>0.0981</v>
      </c>
      <c r="K10" s="11">
        <f>IF(K4=0,0,IF(K4&lt;=10,a_tariff1*a_F_loc,a_tariff2)/100)</f>
        <v>0.0981</v>
      </c>
      <c r="L10" s="11">
        <f>IF(L4=0,0,IF(L4&lt;=10,a_tariff1*a_F_loc,a_tariff2)/100)</f>
        <v>0.0981</v>
      </c>
      <c r="M10" s="11">
        <f>IF(M4=0,0,IF(M4&lt;=10,a_tariff1*a_F_loc,a_tariff2)/100)</f>
        <v>0.0981</v>
      </c>
      <c r="N10" s="11">
        <f>IF(N4=0,0,IF(N4&lt;=10,a_tariff1*a_F_loc,a_tariff2)/100)</f>
        <v>0.058899999999999994</v>
      </c>
      <c r="O10" s="11">
        <f>IF(O4=0,0,IF(O4&lt;=10,a_tariff1*a_F_loc,a_tariff2)/100)</f>
        <v>0.058899999999999994</v>
      </c>
      <c r="P10" s="11">
        <f>IF(P4=0,0,IF(P4&lt;=10,a_tariff1*a_F_loc,a_tariff2)/100)</f>
        <v>0.058899999999999994</v>
      </c>
      <c r="Q10" s="11">
        <f>IF(Q4=0,0,IF(Q4&lt;=10,a_tariff1*a_F_loc,a_tariff2)/100)</f>
        <v>0.058899999999999994</v>
      </c>
      <c r="R10" s="11">
        <f>IF(R4=0,0,IF(R4&lt;=10,a_tariff1*a_F_loc,a_tariff2)/100)</f>
        <v>0.058899999999999994</v>
      </c>
      <c r="S10" s="11">
        <f>IF(S4=0,0,IF(S4&lt;=10,a_tariff1*a_F_loc,a_tariff2)/100)</f>
        <v>0.058899999999999994</v>
      </c>
      <c r="T10" s="11">
        <f>IF(T4=0,0,IF(T4&lt;=10,a_tariff1*a_F_loc,a_tariff2)/100)</f>
        <v>0.058899999999999994</v>
      </c>
      <c r="U10" s="11">
        <f>IF(U4=0,0,IF(U4&lt;=10,a_tariff1*a_F_loc,a_tariff2)/100)</f>
        <v>0.058899999999999994</v>
      </c>
      <c r="V10" s="11">
        <f>IF(V4=0,0,IF(V4&lt;=10,a_tariff1*a_F_loc,a_tariff2)/100)</f>
        <v>0.058899999999999994</v>
      </c>
      <c r="W10" s="11">
        <f>IF(W4=0,0,IF(W4&lt;=10,a_tariff1*a_F_loc,a_tariff2)/100)</f>
        <v>0.058899999999999994</v>
      </c>
    </row>
    <row r="11" spans="1:23">
      <c r="A11" t="s">
        <v>349</v>
      </c>
      <c r="C11" s="11">
        <f>IF(C4=0,0,a_p_captive*(1+a_infl)^(C5-2026))</f>
        <v>0.0</v>
      </c>
      <c r="D11" s="11">
        <f>IF(D4=0,0,a_p_captive*(1+a_infl)^(D5-2026))</f>
        <v>0.20808000000000001</v>
      </c>
      <c r="E11" s="11">
        <f>IF(E4=0,0,a_p_captive*(1+a_infl)^(E5-2026))</f>
        <v>0.21224160000000003</v>
      </c>
      <c r="F11" s="11">
        <f>IF(F4=0,0,a_p_captive*(1+a_infl)^(F5-2026))</f>
        <v>0.216486432</v>
      </c>
      <c r="G11" s="11">
        <f>IF(G4=0,0,a_p_captive*(1+a_infl)^(G5-2026))</f>
        <v>0.22081616064</v>
      </c>
      <c r="H11" s="11">
        <f>IF(H4=0,0,a_p_captive*(1+a_infl)^(H5-2026))</f>
        <v>0.22523248385280004</v>
      </c>
      <c r="I11" s="11">
        <f>IF(I4=0,0,a_p_captive*(1+a_infl)^(I5-2026))</f>
        <v>0.22973713352985603</v>
      </c>
      <c r="J11" s="11">
        <f>IF(J4=0,0,a_p_captive*(1+a_infl)^(J5-2026))</f>
        <v>0.23433187620045315</v>
      </c>
      <c r="K11" s="11">
        <f>IF(K4=0,0,a_p_captive*(1+a_infl)^(K5-2026))</f>
        <v>0.23901851372446223</v>
      </c>
      <c r="L11" s="11">
        <f>IF(L4=0,0,a_p_captive*(1+a_infl)^(L5-2026))</f>
        <v>0.24379888399895147</v>
      </c>
      <c r="M11" s="11">
        <f>IF(M4=0,0,a_p_captive*(1+a_infl)^(M5-2026))</f>
        <v>0.2486748616789305</v>
      </c>
      <c r="N11" s="11">
        <f>IF(N4=0,0,a_p_captive*(1+a_infl)^(N5-2026))</f>
        <v>0.2536483589125091</v>
      </c>
      <c r="O11" s="11">
        <f>IF(O4=0,0,a_p_captive*(1+a_infl)^(O5-2026))</f>
        <v>0.2587213260907593</v>
      </c>
      <c r="P11" s="11">
        <f>IF(P4=0,0,a_p_captive*(1+a_infl)^(P5-2026))</f>
        <v>0.2638957526125745</v>
      </c>
      <c r="Q11" s="11">
        <f>IF(Q4=0,0,a_p_captive*(1+a_infl)^(Q5-2026))</f>
        <v>0.269173667664826</v>
      </c>
      <c r="R11" s="11">
        <f>IF(R4=0,0,a_p_captive*(1+a_infl)^(R5-2026))</f>
        <v>0.2745571410181225</v>
      </c>
      <c r="S11" s="11">
        <f>IF(S4=0,0,a_p_captive*(1+a_infl)^(S5-2026))</f>
        <v>0.28004828383848496</v>
      </c>
      <c r="T11" s="11">
        <f>IF(T4=0,0,a_p_captive*(1+a_infl)^(T5-2026))</f>
        <v>0.28564924951525467</v>
      </c>
      <c r="U11" s="11">
        <f>IF(U4=0,0,a_p_captive*(1+a_infl)^(U5-2026))</f>
        <v>0.29136223450555976</v>
      </c>
      <c r="V11" s="11">
        <f>IF(V4=0,0,a_p_captive*(1+a_infl)^(V5-2026))</f>
        <v>0.297189479195671</v>
      </c>
      <c r="W11" s="11">
        <f>IF(W4=0,0,a_p_captive*(1+a_infl)^(W5-2026))</f>
        <v>0.3031332687795844</v>
      </c>
    </row>
    <row r="12" spans="1:23">
      <c r="A12" t="s">
        <v>350</v>
      </c>
      <c r="C12" s="13">
        <f>IF(C4=0,0,t_ffb*a_util*a_fee_ffb*(1+a_infl)^(C5-2026))</f>
        <v>0.0</v>
      </c>
      <c r="D12" s="13">
        <f>IF(D4=0,0,t_ffb*a_util*a_fee_ffb*(1+a_infl)^(D5-2026))</f>
        <v>351135.0</v>
      </c>
      <c r="E12" s="13">
        <f>IF(E4=0,0,t_ffb*a_util*a_fee_ffb*(1+a_infl)^(E5-2026))</f>
        <v>358157.70000000007</v>
      </c>
      <c r="F12" s="13">
        <f>IF(F4=0,0,t_ffb*a_util*a_fee_ffb*(1+a_infl)^(F5-2026))</f>
        <v>365320.854</v>
      </c>
      <c r="G12" s="13">
        <f>IF(G4=0,0,t_ffb*a_util*a_fee_ffb*(1+a_infl)^(G5-2026))</f>
        <v>372627.27108</v>
      </c>
      <c r="H12" s="13">
        <f>IF(H4=0,0,t_ffb*a_util*a_fee_ffb*(1+a_infl)^(H5-2026))</f>
        <v>380079.8165016</v>
      </c>
      <c r="I12" s="13">
        <f>IF(I4=0,0,t_ffb*a_util*a_fee_ffb*(1+a_infl)^(I5-2026))</f>
        <v>387681.412831632</v>
      </c>
      <c r="J12" s="13">
        <f>IF(J4=0,0,t_ffb*a_util*a_fee_ffb*(1+a_infl)^(J5-2026))</f>
        <v>395435.04108826467</v>
      </c>
      <c r="K12" s="13">
        <f>IF(K4=0,0,t_ffb*a_util*a_fee_ffb*(1+a_infl)^(K5-2026))</f>
        <v>403343.74191002996</v>
      </c>
      <c r="L12" s="13">
        <f>IF(L4=0,0,t_ffb*a_util*a_fee_ffb*(1+a_infl)^(L5-2026))</f>
        <v>411410.6167482306</v>
      </c>
      <c r="M12" s="13">
        <f>IF(M4=0,0,t_ffb*a_util*a_fee_ffb*(1+a_infl)^(M5-2026))</f>
        <v>419638.8290831952</v>
      </c>
      <c r="N12" s="13">
        <f>IF(N4=0,0,t_ffb*a_util*a_fee_ffb*(1+a_infl)^(N5-2026))</f>
        <v>428031.6056648591</v>
      </c>
      <c r="O12" s="13">
        <f>IF(O4=0,0,t_ffb*a_util*a_fee_ffb*(1+a_infl)^(O5-2026))</f>
        <v>436592.23777815636</v>
      </c>
      <c r="P12" s="13">
        <f>IF(P4=0,0,t_ffb*a_util*a_fee_ffb*(1+a_infl)^(P5-2026))</f>
        <v>445324.0825337194</v>
      </c>
      <c r="Q12" s="13">
        <f>IF(Q4=0,0,t_ffb*a_util*a_fee_ffb*(1+a_infl)^(Q5-2026))</f>
        <v>454230.56418439385</v>
      </c>
      <c r="R12" s="13">
        <f>IF(R4=0,0,t_ffb*a_util*a_fee_ffb*(1+a_infl)^(R5-2026))</f>
        <v>463315.1754680817</v>
      </c>
      <c r="S12" s="13">
        <f>IF(S4=0,0,t_ffb*a_util*a_fee_ffb*(1+a_infl)^(S5-2026))</f>
        <v>472581.47897744336</v>
      </c>
      <c r="T12" s="13">
        <f>IF(T4=0,0,t_ffb*a_util*a_fee_ffb*(1+a_infl)^(T5-2026))</f>
        <v>482033.10855699226</v>
      </c>
      <c r="U12" s="13">
        <f>IF(U4=0,0,t_ffb*a_util*a_fee_ffb*(1+a_infl)^(U5-2026))</f>
        <v>491673.7707281321</v>
      </c>
      <c r="V12" s="13">
        <f>IF(V4=0,0,t_ffb*a_util*a_fee_ffb*(1+a_infl)^(V5-2026))</f>
        <v>501507.2461426948</v>
      </c>
      <c r="W12" s="13">
        <f>IF(W4=0,0,t_ffb*a_util*a_fee_ffb*(1+a_infl)^(W5-2026))</f>
        <v>511537.39106554864</v>
      </c>
    </row>
    <row r="13" spans="1:23">
      <c r="A13" t="s">
        <v>351</v>
      </c>
      <c r="C13" s="13">
        <f>C8*1000000*C11</f>
        <v>0.0</v>
      </c>
      <c r="D13" s="13">
        <f>D8*1000000*D11</f>
        <v>225896.82071617385</v>
      </c>
      <c r="E13" s="13">
        <f>E8*1000000*E11</f>
        <v>329163.9387578534</v>
      </c>
      <c r="F13" s="13">
        <f>F8*1000000*F11</f>
        <v>335747.2175330104</v>
      </c>
      <c r="G13" s="13">
        <f>G8*1000000*G11</f>
        <v>342462.1618836706</v>
      </c>
      <c r="H13" s="13">
        <f>H8*1000000*H11</f>
        <v>349311.4051213441</v>
      </c>
      <c r="I13" s="13">
        <f>I8*1000000*I11</f>
        <v>356297.63322377094</v>
      </c>
      <c r="J13" s="13">
        <f>J8*1000000*J11</f>
        <v>363423.58588824637</v>
      </c>
      <c r="K13" s="13">
        <f>K8*1000000*K11</f>
        <v>370692.05760601134</v>
      </c>
      <c r="L13" s="13">
        <f>L8*1000000*L11</f>
        <v>378105.89875813155</v>
      </c>
      <c r="M13" s="13">
        <f>M8*1000000*M11</f>
        <v>385668.0167332942</v>
      </c>
      <c r="N13" s="13">
        <f>N8*1000000*N11</f>
        <v>393381.37706796004</v>
      </c>
      <c r="O13" s="13">
        <f>O8*1000000*O11</f>
        <v>401249.0046093193</v>
      </c>
      <c r="P13" s="13">
        <f>P8*1000000*P11</f>
        <v>409273.98470150563</v>
      </c>
      <c r="Q13" s="13">
        <f>Q8*1000000*Q11</f>
        <v>417459.46439553576</v>
      </c>
      <c r="R13" s="13">
        <f>R8*1000000*R11</f>
        <v>425808.6536834465</v>
      </c>
      <c r="S13" s="13">
        <f>S8*1000000*S11</f>
        <v>434324.8267571154</v>
      </c>
      <c r="T13" s="13">
        <f>T8*1000000*T11</f>
        <v>443011.3232922578</v>
      </c>
      <c r="U13" s="13">
        <f>U8*1000000*U11</f>
        <v>451871.5497581029</v>
      </c>
      <c r="V13" s="13">
        <f>V8*1000000*V11</f>
        <v>460908.9807532651</v>
      </c>
      <c r="W13" s="13">
        <f>W8*1000000*W11</f>
        <v>470127.1603683303</v>
      </c>
    </row>
    <row r="14" spans="1:23">
      <c r="A14" t="s">
        <v>352</v>
      </c>
      <c r="C14" s="13">
        <f>C9*1000000*C10</f>
        <v>0.0</v>
      </c>
      <c r="D14" s="13">
        <f>D9*1000000*D10</f>
        <v>343029.6268103425</v>
      </c>
      <c r="E14" s="13">
        <f>E9*1000000*E10</f>
        <v>490042.3240147749</v>
      </c>
      <c r="F14" s="13">
        <f>F9*1000000*F10</f>
        <v>490042.3240147749</v>
      </c>
      <c r="G14" s="13">
        <f>G9*1000000*G10</f>
        <v>490042.3240147749</v>
      </c>
      <c r="H14" s="13">
        <f>H9*1000000*H10</f>
        <v>490042.3240147749</v>
      </c>
      <c r="I14" s="13">
        <f>I9*1000000*I10</f>
        <v>490042.3240147749</v>
      </c>
      <c r="J14" s="13">
        <f>J9*1000000*J10</f>
        <v>490042.3240147749</v>
      </c>
      <c r="K14" s="13">
        <f>K9*1000000*K10</f>
        <v>490042.3240147749</v>
      </c>
      <c r="L14" s="13">
        <f>L9*1000000*L10</f>
        <v>490042.3240147749</v>
      </c>
      <c r="M14" s="13">
        <f>M9*1000000*M10</f>
        <v>490042.3240147749</v>
      </c>
      <c r="N14" s="13">
        <f>N9*1000000*N10</f>
        <v>294225.2077927649</v>
      </c>
      <c r="O14" s="13">
        <f>O9*1000000*O10</f>
        <v>294225.2077927649</v>
      </c>
      <c r="P14" s="13">
        <f>P9*1000000*P10</f>
        <v>294225.2077927649</v>
      </c>
      <c r="Q14" s="13">
        <f>Q9*1000000*Q10</f>
        <v>294225.2077927649</v>
      </c>
      <c r="R14" s="13">
        <f>R9*1000000*R10</f>
        <v>294225.2077927649</v>
      </c>
      <c r="S14" s="13">
        <f>S9*1000000*S10</f>
        <v>294225.2077927649</v>
      </c>
      <c r="T14" s="13">
        <f>T9*1000000*T10</f>
        <v>294225.2077927649</v>
      </c>
      <c r="U14" s="13">
        <f>U9*1000000*U10</f>
        <v>294225.2077927649</v>
      </c>
      <c r="V14" s="13">
        <f>V9*1000000*V10</f>
        <v>294225.2077927649</v>
      </c>
      <c r="W14" s="13">
        <f>W9*1000000*W10</f>
        <v>294225.2077927649</v>
      </c>
    </row>
    <row r="15" spans="1:23">
      <c r="A15" t="s">
        <v>353</v>
      </c>
      <c r="C15" s="12">
        <f>IF(AND(C4&gt;=1,C4&lt;=a_carbon_years),t_ER*a_cer_ratio*C6,0)</f>
        <v>0.0</v>
      </c>
      <c r="D15" s="12">
        <f>IF(AND(D4&gt;=1,D4&lt;=a_carbon_years),t_ER*a_cer_ratio*D6,0)</f>
        <v>21301.9844165466</v>
      </c>
      <c r="E15" s="12">
        <f>IF(AND(E4&gt;=1,E4&lt;=a_carbon_years),t_ER*a_cer_ratio*E6,0)</f>
        <v>30431.406309352285</v>
      </c>
      <c r="F15" s="12">
        <f>IF(AND(F4&gt;=1,F4&lt;=a_carbon_years),t_ER*a_cer_ratio*F6,0)</f>
        <v>30431.406309352285</v>
      </c>
      <c r="G15" s="12">
        <f>IF(AND(G4&gt;=1,G4&lt;=a_carbon_years),t_ER*a_cer_ratio*G6,0)</f>
        <v>30431.406309352285</v>
      </c>
      <c r="H15" s="12">
        <f>IF(AND(H4&gt;=1,H4&lt;=a_carbon_years),t_ER*a_cer_ratio*H6,0)</f>
        <v>30431.406309352285</v>
      </c>
      <c r="I15" s="12">
        <f>IF(AND(I4&gt;=1,I4&lt;=a_carbon_years),t_ER*a_cer_ratio*I6,0)</f>
        <v>30431.406309352285</v>
      </c>
      <c r="J15" s="12">
        <f>IF(AND(J4&gt;=1,J4&lt;=a_carbon_years),t_ER*a_cer_ratio*J6,0)</f>
        <v>30431.406309352285</v>
      </c>
      <c r="K15" s="12">
        <f>IF(AND(K4&gt;=1,K4&lt;=a_carbon_years),t_ER*a_cer_ratio*K6,0)</f>
        <v>30431.406309352285</v>
      </c>
      <c r="L15" s="12">
        <f>IF(AND(L4&gt;=1,L4&lt;=a_carbon_years),t_ER*a_cer_ratio*L6,0)</f>
        <v>30431.406309352285</v>
      </c>
      <c r="M15" s="12">
        <f>IF(AND(M4&gt;=1,M4&lt;=a_carbon_years),t_ER*a_cer_ratio*M6,0)</f>
        <v>30431.406309352285</v>
      </c>
      <c r="N15" s="12">
        <f>IF(AND(N4&gt;=1,N4&lt;=a_carbon_years),t_ER*a_cer_ratio*N6,0)</f>
        <v>0.0</v>
      </c>
      <c r="O15" s="12">
        <f>IF(AND(O4&gt;=1,O4&lt;=a_carbon_years),t_ER*a_cer_ratio*O6,0)</f>
        <v>0.0</v>
      </c>
      <c r="P15" s="12">
        <f>IF(AND(P4&gt;=1,P4&lt;=a_carbon_years),t_ER*a_cer_ratio*P6,0)</f>
        <v>0.0</v>
      </c>
      <c r="Q15" s="12">
        <f>IF(AND(Q4&gt;=1,Q4&lt;=a_carbon_years),t_ER*a_cer_ratio*Q6,0)</f>
        <v>0.0</v>
      </c>
      <c r="R15" s="12">
        <f>IF(AND(R4&gt;=1,R4&lt;=a_carbon_years),t_ER*a_cer_ratio*R6,0)</f>
        <v>0.0</v>
      </c>
      <c r="S15" s="12">
        <f>IF(AND(S4&gt;=1,S4&lt;=a_carbon_years),t_ER*a_cer_ratio*S6,0)</f>
        <v>0.0</v>
      </c>
      <c r="T15" s="12">
        <f>IF(AND(T4&gt;=1,T4&lt;=a_carbon_years),t_ER*a_cer_ratio*T6,0)</f>
        <v>0.0</v>
      </c>
      <c r="U15" s="12">
        <f>IF(AND(U4&gt;=1,U4&lt;=a_carbon_years),t_ER*a_cer_ratio*U6,0)</f>
        <v>0.0</v>
      </c>
      <c r="V15" s="12">
        <f>IF(AND(V4&gt;=1,V4&lt;=a_carbon_years),t_ER*a_cer_ratio*V6,0)</f>
        <v>0.0</v>
      </c>
      <c r="W15" s="12">
        <f>IF(AND(W4&gt;=1,W4&lt;=a_carbon_years),t_ER*a_cer_ratio*W6,0)</f>
        <v>0.0</v>
      </c>
    </row>
    <row r="16" spans="1:23">
      <c r="A16" t="s">
        <v>354</v>
      </c>
      <c r="C16" s="13">
        <v>0</v>
      </c>
      <c r="D16" s="13">
        <v>0</v>
      </c>
      <c r="E16" s="13">
        <f>D15*(a_p_carbon-a_c_levy)</f>
        <v>101610.46566692727</v>
      </c>
      <c r="F16" s="13">
        <f>E15*(a_p_carbon-a_c_levy)</f>
        <v>145157.80809561038</v>
      </c>
      <c r="G16" s="13">
        <f>F15*(a_p_carbon-a_c_levy)</f>
        <v>145157.80809561038</v>
      </c>
      <c r="H16" s="13">
        <f>G15*(a_p_carbon-a_c_levy)</f>
        <v>145157.80809561038</v>
      </c>
      <c r="I16" s="13">
        <f>H15*(a_p_carbon-a_c_levy)</f>
        <v>145157.80809561038</v>
      </c>
      <c r="J16" s="13">
        <f>I15*(a_p_carbon-a_c_levy)</f>
        <v>145157.80809561038</v>
      </c>
      <c r="K16" s="13">
        <f>J15*(a_p_carbon-a_c_levy)</f>
        <v>145157.80809561038</v>
      </c>
      <c r="L16" s="13">
        <f>K15*(a_p_carbon-a_c_levy)</f>
        <v>145157.80809561038</v>
      </c>
      <c r="M16" s="13">
        <f>L15*(a_p_carbon-a_c_levy)</f>
        <v>145157.80809561038</v>
      </c>
      <c r="N16" s="13">
        <f>M15*(a_p_carbon-a_c_levy)</f>
        <v>145157.80809561038</v>
      </c>
      <c r="O16" s="13">
        <f>N15*(a_p_carbon-a_c_levy)</f>
        <v>0.0</v>
      </c>
      <c r="P16" s="13">
        <f>O15*(a_p_carbon-a_c_levy)</f>
        <v>0.0</v>
      </c>
      <c r="Q16" s="13">
        <f>P15*(a_p_carbon-a_c_levy)</f>
        <v>0.0</v>
      </c>
      <c r="R16" s="13">
        <f>Q15*(a_p_carbon-a_c_levy)</f>
        <v>0.0</v>
      </c>
      <c r="S16" s="13">
        <f>R15*(a_p_carbon-a_c_levy)</f>
        <v>0.0</v>
      </c>
      <c r="T16" s="13">
        <f>S15*(a_p_carbon-a_c_levy)</f>
        <v>0.0</v>
      </c>
      <c r="U16" s="13">
        <f>T15*(a_p_carbon-a_c_levy)</f>
        <v>0.0</v>
      </c>
      <c r="V16" s="13">
        <f>U15*(a_p_carbon-a_c_levy)</f>
        <v>0.0</v>
      </c>
      <c r="W16" s="13">
        <f>V15*(a_p_carbon-a_c_levy)</f>
        <v>0.0</v>
      </c>
    </row>
    <row r="17" spans="1:23">
      <c r="A17" s="9" t="s">
        <v>355</v>
      </c>
      <c r="C17" s="14">
        <f>C12+C13+C14+C16</f>
        <v>0.0</v>
      </c>
      <c r="D17" s="14">
        <f>D12+D13+D14+D16</f>
        <v>920061.4475265164</v>
      </c>
      <c r="E17" s="14">
        <f>E12+E13+E14+E16</f>
        <v>1278974.4284395555</v>
      </c>
      <c r="F17" s="14">
        <f>F12+F13+F14+F16</f>
        <v>1336268.2036433958</v>
      </c>
      <c r="G17" s="14">
        <f>G12+G13+G14+G16</f>
        <v>1350289.565074056</v>
      </c>
      <c r="H17" s="14">
        <f>H12+H13+H14+H16</f>
        <v>1364591.3537333293</v>
      </c>
      <c r="I17" s="14">
        <f>I12+I13+I14+I16</f>
        <v>1379179.1781657883</v>
      </c>
      <c r="J17" s="14">
        <f>J12+J13+J14+J16</f>
        <v>1394058.7590868964</v>
      </c>
      <c r="K17" s="14">
        <f>K12+K13+K14+K16</f>
        <v>1409235.9316264265</v>
      </c>
      <c r="L17" s="14">
        <f>L12+L13+L14+L16</f>
        <v>1424716.6476167475</v>
      </c>
      <c r="M17" s="14">
        <f>M12+M13+M14+M16</f>
        <v>1440506.9779268748</v>
      </c>
      <c r="N17" s="14">
        <f>N12+N13+N14+N16</f>
        <v>1260795.9986211944</v>
      </c>
      <c r="O17" s="14">
        <f>O12+O13+O14+O16</f>
        <v>1132066.4501802404</v>
      </c>
      <c r="P17" s="14">
        <f>P12+P13+P14+P16</f>
        <v>1148823.2750279899</v>
      </c>
      <c r="Q17" s="14">
        <f>Q12+Q13+Q14+Q16</f>
        <v>1165915.2363726944</v>
      </c>
      <c r="R17" s="14">
        <f>R12+R13+R14+R16</f>
        <v>1183349.036944293</v>
      </c>
      <c r="S17" s="14">
        <f>S12+S13+S14+S16</f>
        <v>1201131.5135273237</v>
      </c>
      <c r="T17" s="14">
        <f>T12+T13+T14+T16</f>
        <v>1219269.639642015</v>
      </c>
      <c r="U17" s="14">
        <f>U12+U13+U14+U16</f>
        <v>1237770.528279</v>
      </c>
      <c r="V17" s="14">
        <f>V12+V13+V14+V16</f>
        <v>1256641.4346887248</v>
      </c>
      <c r="W17" s="14">
        <f>W12+W13+W14+W16</f>
        <v>1275889.759226644</v>
      </c>
    </row>
    <row r="18" spans="1:23">
      <c r="A18" t="s">
        <v>356</v>
      </c>
      <c r="C18" s="13">
        <f>IF(C4=0,0,-(OPEX_F+OPEX_V*C7/(t_E_year*a_util/t_up*a_avail))*(1+a_infl)^(C5-2026))</f>
        <v>-0.0</v>
      </c>
      <c r="D18" s="13">
        <f>IF(D4=0,0,-(OPEX_F+OPEX_V*D7/(t_E_year*a_util/t_up*a_avail))*(1+a_infl)^(D5-2026))</f>
        <v>-343479.0031543637</v>
      </c>
      <c r="E18" s="13">
        <f>IF(E4=0,0,-(OPEX_F+OPEX_V*E7/(t_E_year*a_util/t_up*a_avail))*(1+a_infl)^(E5-2026))</f>
        <v>-408164.28834074206</v>
      </c>
      <c r="F18" s="13">
        <f>IF(F4=0,0,-(OPEX_F+OPEX_V*F7/(t_E_year*a_util/t_up*a_avail))*(1+a_infl)^(F5-2026))</f>
        <v>-416327.57410755684</v>
      </c>
      <c r="G18" s="13">
        <f>IF(G4=0,0,-(OPEX_F+OPEX_V*G7/(t_E_year*a_util/t_up*a_avail))*(1+a_infl)^(G5-2026))</f>
        <v>-424654.125589708</v>
      </c>
      <c r="H18" s="13">
        <f>IF(H4=0,0,-(OPEX_F+OPEX_V*H7/(t_E_year*a_util/t_up*a_avail))*(1+a_infl)^(H5-2026))</f>
        <v>-433147.20810150215</v>
      </c>
      <c r="I18" s="13">
        <f>IF(I4=0,0,-(OPEX_F+OPEX_V*I7/(t_E_year*a_util/t_up*a_avail))*(1+a_infl)^(I5-2026))</f>
        <v>-441810.1522635322</v>
      </c>
      <c r="J18" s="13">
        <f>IF(J4=0,0,-(OPEX_F+OPEX_V*J7/(t_E_year*a_util/t_up*a_avail))*(1+a_infl)^(J5-2026))</f>
        <v>-450646.3553088029</v>
      </c>
      <c r="K18" s="13">
        <f>IF(K4=0,0,-(OPEX_F+OPEX_V*K7/(t_E_year*a_util/t_up*a_avail))*(1+a_infl)^(K5-2026))</f>
        <v>-459659.28241497895</v>
      </c>
      <c r="L18" s="13">
        <f>IF(L4=0,0,-(OPEX_F+OPEX_V*L7/(t_E_year*a_util/t_up*a_avail))*(1+a_infl)^(L5-2026))</f>
        <v>-468852.46806327853</v>
      </c>
      <c r="M18" s="13">
        <f>IF(M4=0,0,-(OPEX_F+OPEX_V*M7/(t_E_year*a_util/t_up*a_avail))*(1+a_infl)^(M5-2026))</f>
        <v>-478229.5174245441</v>
      </c>
      <c r="N18" s="13">
        <f>IF(N4=0,0,-(OPEX_F+OPEX_V*N7/(t_E_year*a_util/t_up*a_avail))*(1+a_infl)^(N5-2026))</f>
        <v>-487794.107773035</v>
      </c>
      <c r="O18" s="13">
        <f>IF(O4=0,0,-(OPEX_F+OPEX_V*O7/(t_E_year*a_util/t_up*a_avail))*(1+a_infl)^(O5-2026))</f>
        <v>-497549.9899284957</v>
      </c>
      <c r="P18" s="13">
        <f>IF(P4=0,0,-(OPEX_F+OPEX_V*P7/(t_E_year*a_util/t_up*a_avail))*(1+a_infl)^(P5-2026))</f>
        <v>-507500.9897270656</v>
      </c>
      <c r="Q18" s="13">
        <f>IF(Q4=0,0,-(OPEX_F+OPEX_V*Q7/(t_E_year*a_util/t_up*a_avail))*(1+a_infl)^(Q5-2026))</f>
        <v>-517651.00952160696</v>
      </c>
      <c r="R18" s="13">
        <f>IF(R4=0,0,-(OPEX_F+OPEX_V*R7/(t_E_year*a_util/t_up*a_avail))*(1+a_infl)^(R5-2026))</f>
        <v>-528004.029712039</v>
      </c>
      <c r="S18" s="13">
        <f>IF(S4=0,0,-(OPEX_F+OPEX_V*S7/(t_E_year*a_util/t_up*a_avail))*(1+a_infl)^(S5-2026))</f>
        <v>-538564.11030628</v>
      </c>
      <c r="T18" s="13">
        <f>IF(T4=0,0,-(OPEX_F+OPEX_V*T7/(t_E_year*a_util/t_up*a_avail))*(1+a_infl)^(T5-2026))</f>
        <v>-549335.3925124055</v>
      </c>
      <c r="U18" s="13">
        <f>IF(U4=0,0,-(OPEX_F+OPEX_V*U7/(t_E_year*a_util/t_up*a_avail))*(1+a_infl)^(U5-2026))</f>
        <v>-560322.1003626536</v>
      </c>
      <c r="V18" s="13">
        <f>IF(V4=0,0,-(OPEX_F+OPEX_V*V7/(t_E_year*a_util/t_up*a_avail))*(1+a_infl)^(V5-2026))</f>
        <v>-571528.5423699068</v>
      </c>
      <c r="W18" s="13">
        <f>IF(W4=0,0,-(OPEX_F+OPEX_V*W7/(t_E_year*a_util/t_up*a_avail))*(1+a_infl)^(W5-2026))</f>
        <v>-582959.1132173048</v>
      </c>
    </row>
    <row r="19" spans="1:23">
      <c r="A19" t="s">
        <v>357</v>
      </c>
      <c r="C19" s="13">
        <f>IF(C4=0,0,-(IF(C4&lt;=a_carbon_years+1,a_c_mrv,0)+IF(C4=1,a_c_val,0))*(1+a_infl)^(C5-2026))</f>
        <v>-0.0</v>
      </c>
      <c r="D19" s="13">
        <f>IF(D4=0,0,-(IF(D4&lt;=a_carbon_years+1,a_c_mrv,0)+IF(D4=1,a_c_val,0))*(1+a_infl)^(D5-2026))</f>
        <v>-48898.8</v>
      </c>
      <c r="E19" s="13">
        <f>IF(E4=0,0,-(IF(E4&lt;=a_carbon_years+1,a_c_mrv,0)+IF(E4=1,a_c_val,0))*(1+a_infl)^(E5-2026))</f>
        <v>-12734.496000000001</v>
      </c>
      <c r="F19" s="13">
        <f>IF(F4=0,0,-(IF(F4&lt;=a_carbon_years+1,a_c_mrv,0)+IF(F4=1,a_c_val,0))*(1+a_infl)^(F5-2026))</f>
        <v>-12989.18592</v>
      </c>
      <c r="G19" s="13">
        <f>IF(G4=0,0,-(IF(G4&lt;=a_carbon_years+1,a_c_mrv,0)+IF(G4=1,a_c_val,0))*(1+a_infl)^(G5-2026))</f>
        <v>-13248.9696384</v>
      </c>
      <c r="H19" s="13">
        <f>IF(H4=0,0,-(IF(H4&lt;=a_carbon_years+1,a_c_mrv,0)+IF(H4=1,a_c_val,0))*(1+a_infl)^(H5-2026))</f>
        <v>-13513.949031168</v>
      </c>
      <c r="I19" s="13">
        <f>IF(I4=0,0,-(IF(I4&lt;=a_carbon_years+1,a_c_mrv,0)+IF(I4=1,a_c_val,0))*(1+a_infl)^(I5-2026))</f>
        <v>-13784.22801179136</v>
      </c>
      <c r="J19" s="13">
        <f>IF(J4=0,0,-(IF(J4&lt;=a_carbon_years+1,a_c_mrv,0)+IF(J4=1,a_c_val,0))*(1+a_infl)^(J5-2026))</f>
        <v>-14059.91257202719</v>
      </c>
      <c r="K19" s="13">
        <f>IF(K4=0,0,-(IF(K4&lt;=a_carbon_years+1,a_c_mrv,0)+IF(K4=1,a_c_val,0))*(1+a_infl)^(K5-2026))</f>
        <v>-14341.110823467732</v>
      </c>
      <c r="L19" s="13">
        <f>IF(L4=0,0,-(IF(L4&lt;=a_carbon_years+1,a_c_mrv,0)+IF(L4=1,a_c_val,0))*(1+a_infl)^(L5-2026))</f>
        <v>-14627.933039937088</v>
      </c>
      <c r="M19" s="13">
        <f>IF(M4=0,0,-(IF(M4&lt;=a_carbon_years+1,a_c_mrv,0)+IF(M4=1,a_c_val,0))*(1+a_infl)^(M5-2026))</f>
        <v>-14920.491700735829</v>
      </c>
      <c r="N19" s="13">
        <f>IF(N4=0,0,-(IF(N4&lt;=a_carbon_years+1,a_c_mrv,0)+IF(N4=1,a_c_val,0))*(1+a_infl)^(N5-2026))</f>
        <v>-15218.901534750546</v>
      </c>
      <c r="O19" s="13">
        <f>IF(O4=0,0,-(IF(O4&lt;=a_carbon_years+1,a_c_mrv,0)+IF(O4=1,a_c_val,0))*(1+a_infl)^(O5-2026))</f>
        <v>-0.0</v>
      </c>
      <c r="P19" s="13">
        <f>IF(P4=0,0,-(IF(P4&lt;=a_carbon_years+1,a_c_mrv,0)+IF(P4=1,a_c_val,0))*(1+a_infl)^(P5-2026))</f>
        <v>-0.0</v>
      </c>
      <c r="Q19" s="13">
        <f>IF(Q4=0,0,-(IF(Q4&lt;=a_carbon_years+1,a_c_mrv,0)+IF(Q4=1,a_c_val,0))*(1+a_infl)^(Q5-2026))</f>
        <v>-0.0</v>
      </c>
      <c r="R19" s="13">
        <f>IF(R4=0,0,-(IF(R4&lt;=a_carbon_years+1,a_c_mrv,0)+IF(R4=1,a_c_val,0))*(1+a_infl)^(R5-2026))</f>
        <v>-0.0</v>
      </c>
      <c r="S19" s="13">
        <f>IF(S4=0,0,-(IF(S4&lt;=a_carbon_years+1,a_c_mrv,0)+IF(S4=1,a_c_val,0))*(1+a_infl)^(S5-2026))</f>
        <v>-0.0</v>
      </c>
      <c r="T19" s="13">
        <f>IF(T4=0,0,-(IF(T4&lt;=a_carbon_years+1,a_c_mrv,0)+IF(T4=1,a_c_val,0))*(1+a_infl)^(T5-2026))</f>
        <v>-0.0</v>
      </c>
      <c r="U19" s="13">
        <f>IF(U4=0,0,-(IF(U4&lt;=a_carbon_years+1,a_c_mrv,0)+IF(U4=1,a_c_val,0))*(1+a_infl)^(U5-2026))</f>
        <v>-0.0</v>
      </c>
      <c r="V19" s="13">
        <f>IF(V4=0,0,-(IF(V4&lt;=a_carbon_years+1,a_c_mrv,0)+IF(V4=1,a_c_val,0))*(1+a_infl)^(V5-2026))</f>
        <v>-0.0</v>
      </c>
      <c r="W19" s="13">
        <f>IF(W4=0,0,-(IF(W4&lt;=a_carbon_years+1,a_c_mrv,0)+IF(W4=1,a_c_val,0))*(1+a_infl)^(W5-2026))</f>
        <v>-0.0</v>
      </c>
    </row>
    <row r="20" spans="1:23">
      <c r="A20" s="9" t="s">
        <v>358</v>
      </c>
      <c r="C20" s="14">
        <f>C17+C18+C19</f>
        <v>0.0</v>
      </c>
      <c r="D20" s="14">
        <f>D17+D18+D19</f>
        <v>527683.6443721526</v>
      </c>
      <c r="E20" s="14">
        <f>E17+E18+E19</f>
        <v>858075.6440988134</v>
      </c>
      <c r="F20" s="14">
        <f>F17+F18+F19</f>
        <v>906951.4436158389</v>
      </c>
      <c r="G20" s="14">
        <f>G17+G18+G19</f>
        <v>912386.4698459479</v>
      </c>
      <c r="H20" s="14">
        <f>H17+H18+H19</f>
        <v>917930.1966006592</v>
      </c>
      <c r="I20" s="14">
        <f>I17+I18+I19</f>
        <v>923584.7978904648</v>
      </c>
      <c r="J20" s="14">
        <f>J17+J18+J19</f>
        <v>929352.4912060663</v>
      </c>
      <c r="K20" s="14">
        <f>K17+K18+K19</f>
        <v>935235.5383879798</v>
      </c>
      <c r="L20" s="14">
        <f>L17+L18+L19</f>
        <v>941236.2465135319</v>
      </c>
      <c r="M20" s="14">
        <f>M17+M18+M19</f>
        <v>947356.9688015948</v>
      </c>
      <c r="N20" s="14">
        <f>N17+N18+N19</f>
        <v>757782.9893134088</v>
      </c>
      <c r="O20" s="14">
        <f>O17+O18+O19</f>
        <v>634516.4602517447</v>
      </c>
      <c r="P20" s="14">
        <f>P17+P18+P19</f>
        <v>641322.2853009242</v>
      </c>
      <c r="Q20" s="14">
        <f>Q17+Q18+Q19</f>
        <v>648264.2268510874</v>
      </c>
      <c r="R20" s="14">
        <f>R17+R18+R19</f>
        <v>655345.0072322539</v>
      </c>
      <c r="S20" s="14">
        <f>S17+S18+S19</f>
        <v>662567.4032210438</v>
      </c>
      <c r="T20" s="14">
        <f>T17+T18+T19</f>
        <v>669934.2471296096</v>
      </c>
      <c r="U20" s="14">
        <f>U17+U18+U19</f>
        <v>677448.4279163464</v>
      </c>
      <c r="V20" s="14">
        <f>V17+V18+V19</f>
        <v>685112.892318818</v>
      </c>
      <c r="W20" s="14">
        <f>W17+W18+W19</f>
        <v>692930.6460093391</v>
      </c>
    </row>
    <row r="21" spans="1:23">
      <c r="A21" t="s">
        <v>359</v>
      </c>
      <c r="C21" s="13">
        <f>IF(C4=0,-FCI,0)</f>
        <v>-5854380.909780908</v>
      </c>
      <c r="D21" s="13">
        <f>IF(D4=0,-FCI,0)</f>
        <v>-0.0</v>
      </c>
      <c r="E21" s="13">
        <f>IF(E4=0,-FCI,0)</f>
        <v>-0.0</v>
      </c>
      <c r="F21" s="13">
        <f>IF(F4=0,-FCI,0)</f>
        <v>-0.0</v>
      </c>
      <c r="G21" s="13">
        <f>IF(G4=0,-FCI,0)</f>
        <v>-0.0</v>
      </c>
      <c r="H21" s="13">
        <f>IF(H4=0,-FCI,0)</f>
        <v>-0.0</v>
      </c>
      <c r="I21" s="13">
        <f>IF(I4=0,-FCI,0)</f>
        <v>-0.0</v>
      </c>
      <c r="J21" s="13">
        <f>IF(J4=0,-FCI,0)</f>
        <v>-0.0</v>
      </c>
      <c r="K21" s="13">
        <f>IF(K4=0,-FCI,0)</f>
        <v>-0.0</v>
      </c>
      <c r="L21" s="13">
        <f>IF(L4=0,-FCI,0)</f>
        <v>-0.0</v>
      </c>
      <c r="M21" s="13">
        <f>IF(M4=0,-FCI,0)</f>
        <v>-0.0</v>
      </c>
      <c r="N21" s="13">
        <f>IF(N4=0,-FCI,0)</f>
        <v>-0.0</v>
      </c>
      <c r="O21" s="13">
        <f>IF(O4=0,-FCI,0)</f>
        <v>-0.0</v>
      </c>
      <c r="P21" s="13">
        <f>IF(P4=0,-FCI,0)</f>
        <v>-0.0</v>
      </c>
      <c r="Q21" s="13">
        <f>IF(Q4=0,-FCI,0)</f>
        <v>-0.0</v>
      </c>
      <c r="R21" s="13">
        <f>IF(R4=0,-FCI,0)</f>
        <v>-0.0</v>
      </c>
      <c r="S21" s="13">
        <f>IF(S4=0,-FCI,0)</f>
        <v>-0.0</v>
      </c>
      <c r="T21" s="13">
        <f>IF(T4=0,-FCI,0)</f>
        <v>-0.0</v>
      </c>
      <c r="U21" s="13">
        <f>IF(U4=0,-FCI,0)</f>
        <v>-0.0</v>
      </c>
      <c r="V21" s="13">
        <f>IF(V4=0,-FCI,0)</f>
        <v>-0.0</v>
      </c>
      <c r="W21" s="13">
        <f>IF(W4=0,-FCI,0)</f>
        <v>-0.0</v>
      </c>
    </row>
    <row r="22" spans="1:23">
      <c r="A22" t="s">
        <v>360</v>
      </c>
      <c r="C22" s="13">
        <f>-(IF(OR(C4=8,C4=16),a_overhaul*t_chp_kWe,0)+IF(C4=12,a_roof_repl*t_n_vessel,0))*(1+a_infl)^(C5-2026)</f>
        <v>-0.0</v>
      </c>
      <c r="D22" s="13">
        <f>-(IF(OR(D4=8,D4=16),a_overhaul*t_chp_kWe,0)+IF(D4=12,a_roof_repl*t_n_vessel,0))*(1+a_infl)^(D5-2026)</f>
        <v>-0.0</v>
      </c>
      <c r="E22" s="13">
        <f>-(IF(OR(E4=8,E4=16),a_overhaul*t_chp_kWe,0)+IF(E4=12,a_roof_repl*t_n_vessel,0))*(1+a_infl)^(E5-2026)</f>
        <v>-0.0</v>
      </c>
      <c r="F22" s="13">
        <f>-(IF(OR(F4=8,F4=16),a_overhaul*t_chp_kWe,0)+IF(F4=12,a_roof_repl*t_n_vessel,0))*(1+a_infl)^(F5-2026)</f>
        <v>-0.0</v>
      </c>
      <c r="G22" s="13">
        <f>-(IF(OR(G4=8,G4=16),a_overhaul*t_chp_kWe,0)+IF(G4=12,a_roof_repl*t_n_vessel,0))*(1+a_infl)^(G5-2026)</f>
        <v>-0.0</v>
      </c>
      <c r="H22" s="13">
        <f>-(IF(OR(H4=8,H4=16),a_overhaul*t_chp_kWe,0)+IF(H4=12,a_roof_repl*t_n_vessel,0))*(1+a_infl)^(H5-2026)</f>
        <v>-0.0</v>
      </c>
      <c r="I22" s="13">
        <f>-(IF(OR(I4=8,I4=16),a_overhaul*t_chp_kWe,0)+IF(I4=12,a_roof_repl*t_n_vessel,0))*(1+a_infl)^(I5-2026)</f>
        <v>-0.0</v>
      </c>
      <c r="J22" s="13">
        <f>-(IF(OR(J4=8,J4=16),a_overhaul*t_chp_kWe,0)+IF(J4=12,a_roof_repl*t_n_vessel,0))*(1+a_infl)^(J5-2026)</f>
        <v>-0.0</v>
      </c>
      <c r="K22" s="13">
        <f>-(IF(OR(K4=8,K4=16),a_overhaul*t_chp_kWe,0)+IF(K4=12,a_roof_repl*t_n_vessel,0))*(1+a_infl)^(K5-2026)</f>
        <v>-286822.21646935464</v>
      </c>
      <c r="L22" s="13">
        <f>-(IF(OR(L4=8,L4=16),a_overhaul*t_chp_kWe,0)+IF(L4=12,a_roof_repl*t_n_vessel,0))*(1+a_infl)^(L5-2026)</f>
        <v>-0.0</v>
      </c>
      <c r="M22" s="13">
        <f>-(IF(OR(M4=8,M4=16),a_overhaul*t_chp_kWe,0)+IF(M4=12,a_roof_repl*t_n_vessel,0))*(1+a_infl)^(M5-2026)</f>
        <v>-0.0</v>
      </c>
      <c r="N22" s="13">
        <f>-(IF(OR(N4=8,N4=16),a_overhaul*t_chp_kWe,0)+IF(N4=12,a_roof_repl*t_n_vessel,0))*(1+a_infl)^(N5-2026)</f>
        <v>-0.0</v>
      </c>
      <c r="O22" s="13">
        <f>-(IF(OR(O4=8,O4=16),a_overhaul*t_chp_kWe,0)+IF(O4=12,a_roof_repl*t_n_vessel,0))*(1+a_infl)^(O5-2026)</f>
        <v>-129360.66304537965</v>
      </c>
      <c r="P22" s="13">
        <f>-(IF(OR(P4=8,P4=16),a_overhaul*t_chp_kWe,0)+IF(P4=12,a_roof_repl*t_n_vessel,0))*(1+a_infl)^(P5-2026)</f>
        <v>-0.0</v>
      </c>
      <c r="Q22" s="13">
        <f>-(IF(OR(Q4=8,Q4=16),a_overhaul*t_chp_kWe,0)+IF(Q4=12,a_roof_repl*t_n_vessel,0))*(1+a_infl)^(Q5-2026)</f>
        <v>-0.0</v>
      </c>
      <c r="R22" s="13">
        <f>-(IF(OR(R4=8,R4=16),a_overhaul*t_chp_kWe,0)+IF(R4=12,a_roof_repl*t_n_vessel,0))*(1+a_infl)^(R5-2026)</f>
        <v>-0.0</v>
      </c>
      <c r="S22" s="13">
        <f>-(IF(OR(S4=8,S4=16),a_overhaul*t_chp_kWe,0)+IF(S4=12,a_roof_repl*t_n_vessel,0))*(1+a_infl)^(S5-2026)</f>
        <v>-336057.940606182</v>
      </c>
      <c r="T22" s="13">
        <f>-(IF(OR(T4=8,T4=16),a_overhaul*t_chp_kWe,0)+IF(T4=12,a_roof_repl*t_n_vessel,0))*(1+a_infl)^(T5-2026)</f>
        <v>-0.0</v>
      </c>
      <c r="U22" s="13">
        <f>-(IF(OR(U4=8,U4=16),a_overhaul*t_chp_kWe,0)+IF(U4=12,a_roof_repl*t_n_vessel,0))*(1+a_infl)^(U5-2026)</f>
        <v>-0.0</v>
      </c>
      <c r="V22" s="13">
        <f>-(IF(OR(V4=8,V4=16),a_overhaul*t_chp_kWe,0)+IF(V4=12,a_roof_repl*t_n_vessel,0))*(1+a_infl)^(V5-2026)</f>
        <v>-0.0</v>
      </c>
      <c r="W22" s="13">
        <f>-(IF(OR(W4=8,W4=16),a_overhaul*t_chp_kWe,0)+IF(W4=12,a_roof_repl*t_n_vessel,0))*(1+a_infl)^(W5-2026)</f>
        <v>-0.0</v>
      </c>
    </row>
    <row r="23" spans="1:23">
      <c r="A23" t="s">
        <v>361</v>
      </c>
      <c r="C23" s="13">
        <f>IF(C4=0,-a_vat*FCI,IF(C4=2,a_vat*FCI,0))</f>
        <v>-643981.9000758999</v>
      </c>
      <c r="D23" s="13">
        <f>IF(D4=0,-a_vat*FCI,IF(D4=2,a_vat*FCI,0))</f>
        <v>-0.0</v>
      </c>
      <c r="E23" s="13">
        <f>IF(E4=0,-a_vat*FCI,IF(E4=2,a_vat*FCI,0))</f>
        <v>643981.9000758999</v>
      </c>
      <c r="F23" s="13">
        <f>IF(F4=0,-a_vat*FCI,IF(F4=2,a_vat*FCI,0))</f>
        <v>-0.0</v>
      </c>
      <c r="G23" s="13">
        <f>IF(G4=0,-a_vat*FCI,IF(G4=2,a_vat*FCI,0))</f>
        <v>-0.0</v>
      </c>
      <c r="H23" s="13">
        <f>IF(H4=0,-a_vat*FCI,IF(H4=2,a_vat*FCI,0))</f>
        <v>-0.0</v>
      </c>
      <c r="I23" s="13">
        <f>IF(I4=0,-a_vat*FCI,IF(I4=2,a_vat*FCI,0))</f>
        <v>-0.0</v>
      </c>
      <c r="J23" s="13">
        <f>IF(J4=0,-a_vat*FCI,IF(J4=2,a_vat*FCI,0))</f>
        <v>-0.0</v>
      </c>
      <c r="K23" s="13">
        <f>IF(K4=0,-a_vat*FCI,IF(K4=2,a_vat*FCI,0))</f>
        <v>-0.0</v>
      </c>
      <c r="L23" s="13">
        <f>IF(L4=0,-a_vat*FCI,IF(L4=2,a_vat*FCI,0))</f>
        <v>-0.0</v>
      </c>
      <c r="M23" s="13">
        <f>IF(M4=0,-a_vat*FCI,IF(M4=2,a_vat*FCI,0))</f>
        <v>-0.0</v>
      </c>
      <c r="N23" s="13">
        <f>IF(N4=0,-a_vat*FCI,IF(N4=2,a_vat*FCI,0))</f>
        <v>-0.0</v>
      </c>
      <c r="O23" s="13">
        <f>IF(O4=0,-a_vat*FCI,IF(O4=2,a_vat*FCI,0))</f>
        <v>-0.0</v>
      </c>
      <c r="P23" s="13">
        <f>IF(P4=0,-a_vat*FCI,IF(P4=2,a_vat*FCI,0))</f>
        <v>-0.0</v>
      </c>
      <c r="Q23" s="13">
        <f>IF(Q4=0,-a_vat*FCI,IF(Q4=2,a_vat*FCI,0))</f>
        <v>-0.0</v>
      </c>
      <c r="R23" s="13">
        <f>IF(R4=0,-a_vat*FCI,IF(R4=2,a_vat*FCI,0))</f>
        <v>-0.0</v>
      </c>
      <c r="S23" s="13">
        <f>IF(S4=0,-a_vat*FCI,IF(S4=2,a_vat*FCI,0))</f>
        <v>-0.0</v>
      </c>
      <c r="T23" s="13">
        <f>IF(T4=0,-a_vat*FCI,IF(T4=2,a_vat*FCI,0))</f>
        <v>-0.0</v>
      </c>
      <c r="U23" s="13">
        <f>IF(U4=0,-a_vat*FCI,IF(U4=2,a_vat*FCI,0))</f>
        <v>-0.0</v>
      </c>
      <c r="V23" s="13">
        <f>IF(V4=0,-a_vat*FCI,IF(V4=2,a_vat*FCI,0))</f>
        <v>-0.0</v>
      </c>
      <c r="W23" s="13">
        <f>IF(W4=0,-a_vat*FCI,IF(W4=2,a_vat*FCI,0))</f>
        <v>-0.0</v>
      </c>
    </row>
    <row r="24" spans="1:23">
      <c r="A24" t="s">
        <v>362</v>
      </c>
      <c r="C24" s="13">
        <f>C17*a_rec_days/365+(C18+C19)*a_pay_days/365</f>
        <v>0.0</v>
      </c>
      <c r="D24" s="13">
        <f>D17*a_rec_days/365+(D18+D19)*a_pay_days/365</f>
        <v>118992.74727934267</v>
      </c>
      <c r="E24" s="13">
        <f>E17*a_rec_days/365+(E18+E19)*a_pay_days/365</f>
        <v>175647.9511675372</v>
      </c>
      <c r="F24" s="13">
        <f>F17*a_rec_days/365+(F18+F19)*a_pay_days/365</f>
        <v>184374.21758295078</v>
      </c>
      <c r="G24" s="13">
        <f>G17*a_rec_days/365+(G18+G19)*a_pay_days/365</f>
        <v>185973.372733151</v>
      </c>
      <c r="H24" s="13">
        <f>H17*a_rec_days/365+(H18+H19)*a_pay_days/365</f>
        <v>187604.5109863552</v>
      </c>
      <c r="I24" s="13">
        <f>I17*a_rec_days/365+(I18+I19)*a_pay_days/365</f>
        <v>189268.27200462352</v>
      </c>
      <c r="J24" s="13">
        <f>J17*a_rec_days/365+(J18+J19)*a_pay_days/365</f>
        <v>190965.30824325723</v>
      </c>
      <c r="K24" s="13">
        <f>K17*a_rec_days/365+(K18+K19)*a_pay_days/365</f>
        <v>192696.28520666354</v>
      </c>
      <c r="L24" s="13">
        <f>L17*a_rec_days/365+(L18+L19)*a_pay_days/365</f>
        <v>194461.88170933805</v>
      </c>
      <c r="M24" s="13">
        <f>M17*a_rec_days/365+(M18+M19)*a_pay_days/365</f>
        <v>196262.79014206596</v>
      </c>
      <c r="N24" s="13">
        <f>N17*a_rec_days/365+(N18+N19)*a_pay_days/365</f>
        <v>165910.60174804958</v>
      </c>
      <c r="O24" s="13">
        <f>O17*a_rec_days/365+(O18+O19)*a_pay_days/365</f>
        <v>145198.5953779714</v>
      </c>
      <c r="P24" s="13">
        <f>P17*a_rec_days/365+(P18+P19)*a_pay_days/365</f>
        <v>147135.25153388333</v>
      </c>
      <c r="Q24" s="13">
        <f>Q17*a_rec_days/365+(Q18+Q19)*a_pay_days/365</f>
        <v>149110.64081291357</v>
      </c>
      <c r="R24" s="13">
        <f>R17*a_rec_days/365+(R18+R19)*a_pay_days/365</f>
        <v>151125.53787752442</v>
      </c>
      <c r="S24" s="13">
        <f>S17*a_rec_days/365+(S18+S19)*a_pay_days/365</f>
        <v>153180.73288342747</v>
      </c>
      <c r="T24" s="13">
        <f>T17*a_rec_days/365+(T18+T19)*a_pay_days/365</f>
        <v>155277.0317894486</v>
      </c>
      <c r="U24" s="13">
        <f>U17*a_rec_days/365+(U18+U19)*a_pay_days/365</f>
        <v>157415.25667359013</v>
      </c>
      <c r="V24" s="13">
        <f>V17*a_rec_days/365+(V18+V19)*a_pay_days/365</f>
        <v>159596.2460554145</v>
      </c>
      <c r="W24" s="13">
        <v>0</v>
      </c>
    </row>
    <row r="25" spans="1:23">
      <c r="A25" t="s">
        <v>363</v>
      </c>
      <c r="C25" s="13">
        <f>-C24</f>
        <v>-0.0</v>
      </c>
      <c r="D25" s="13">
        <f>-(D24-C24)</f>
        <v>-118992.74727934267</v>
      </c>
      <c r="E25" s="13">
        <f>-(E24-D24)</f>
        <v>-56655.20388819452</v>
      </c>
      <c r="F25" s="13">
        <f>-(F24-E24)</f>
        <v>-8726.266415413585</v>
      </c>
      <c r="G25" s="13">
        <f>-(G24-F24)</f>
        <v>-1599.1551502002112</v>
      </c>
      <c r="H25" s="13">
        <f>-(H24-G24)</f>
        <v>-1631.1382532042044</v>
      </c>
      <c r="I25" s="13">
        <f>-(I24-H24)</f>
        <v>-1663.7610182683275</v>
      </c>
      <c r="J25" s="13">
        <f>-(J24-I24)</f>
        <v>-1697.0362386337074</v>
      </c>
      <c r="K25" s="13">
        <f>-(K24-J24)</f>
        <v>-1730.9769634063123</v>
      </c>
      <c r="L25" s="13">
        <f>-(L24-K24)</f>
        <v>-1765.5965026745107</v>
      </c>
      <c r="M25" s="13">
        <f>-(M24-L24)</f>
        <v>-1800.9084327279124</v>
      </c>
      <c r="N25" s="13">
        <f>-(N24-M24)</f>
        <v>30352.188394016383</v>
      </c>
      <c r="O25" s="13">
        <f>-(O24-N24)</f>
        <v>20712.00637007819</v>
      </c>
      <c r="P25" s="13">
        <f>-(P24-O24)</f>
        <v>-1936.6561559119436</v>
      </c>
      <c r="Q25" s="13">
        <f>-(Q24-P24)</f>
        <v>-1975.3892790302343</v>
      </c>
      <c r="R25" s="13">
        <f>-(R24-Q24)</f>
        <v>-2014.89706461085</v>
      </c>
      <c r="S25" s="13">
        <f>-(S24-R24)</f>
        <v>-2055.1950059030496</v>
      </c>
      <c r="T25" s="13">
        <f>-(T24-S24)</f>
        <v>-2096.2989060211403</v>
      </c>
      <c r="U25" s="13">
        <f>-(U24-T24)</f>
        <v>-2138.2248841415276</v>
      </c>
      <c r="V25" s="13">
        <f>-(V24-U24)</f>
        <v>-2180.989381824358</v>
      </c>
      <c r="W25" s="13">
        <f>-(W24-V24)</f>
        <v>159596.2460554145</v>
      </c>
    </row>
    <row r="26" spans="1:23">
      <c r="A26" t="s">
        <v>364</v>
      </c>
      <c r="C26" s="13">
        <v>0</v>
      </c>
      <c r="D26" s="13">
        <f>IF(D4&lt;=a_dep_life,(FCI+IDC)/a_dep_life,0)-SUM(D22:D22)/8</f>
        <v>748775.3183609782</v>
      </c>
      <c r="E26" s="13">
        <f>IF(E4&lt;=a_dep_life,(FCI+IDC)/a_dep_life,0)-SUM(D22:E22)/8</f>
        <v>748775.3183609782</v>
      </c>
      <c r="F26" s="13">
        <f>IF(F4&lt;=a_dep_life,(FCI+IDC)/a_dep_life,0)-SUM(D22:F22)/8</f>
        <v>748775.3183609782</v>
      </c>
      <c r="G26" s="13">
        <f>IF(G4&lt;=a_dep_life,(FCI+IDC)/a_dep_life,0)-SUM(D22:G22)/8</f>
        <v>748775.3183609782</v>
      </c>
      <c r="H26" s="13">
        <f>IF(H4&lt;=a_dep_life,(FCI+IDC)/a_dep_life,0)-SUM(D22:H22)/8</f>
        <v>748775.3183609782</v>
      </c>
      <c r="I26" s="13">
        <f>IF(I4&lt;=a_dep_life,(FCI+IDC)/a_dep_life,0)-SUM(D22:I22)/8</f>
        <v>748775.3183609782</v>
      </c>
      <c r="J26" s="13">
        <f>IF(J4&lt;=a_dep_life,(FCI+IDC)/a_dep_life,0)-SUM(D22:J22)/8</f>
        <v>748775.3183609782</v>
      </c>
      <c r="K26" s="13">
        <f>IF(K4&lt;=a_dep_life,(FCI+IDC)/a_dep_life,0)-SUM(D22:K22)/8</f>
        <v>784628.0954196475</v>
      </c>
      <c r="L26" s="13">
        <f>IF(L4&lt;=a_dep_life,(FCI+IDC)/a_dep_life,0)-SUM(E22:L22)/8</f>
        <v>35852.77705866933</v>
      </c>
      <c r="M26" s="13">
        <f>IF(M4&lt;=a_dep_life,(FCI+IDC)/a_dep_life,0)-SUM(F22:M22)/8</f>
        <v>35852.77705866933</v>
      </c>
      <c r="N26" s="13">
        <f>IF(N4&lt;=a_dep_life,(FCI+IDC)/a_dep_life,0)-SUM(G22:N22)/8</f>
        <v>35852.77705866933</v>
      </c>
      <c r="O26" s="13">
        <f>IF(O4&lt;=a_dep_life,(FCI+IDC)/a_dep_life,0)-SUM(H22:O22)/8</f>
        <v>52022.85993934178</v>
      </c>
      <c r="P26" s="13">
        <f>IF(P4&lt;=a_dep_life,(FCI+IDC)/a_dep_life,0)-SUM(I22:P22)/8</f>
        <v>52022.85993934178</v>
      </c>
      <c r="Q26" s="13">
        <f>IF(Q4&lt;=a_dep_life,(FCI+IDC)/a_dep_life,0)-SUM(J22:Q22)/8</f>
        <v>52022.85993934178</v>
      </c>
      <c r="R26" s="13">
        <f>IF(R4&lt;=a_dep_life,(FCI+IDC)/a_dep_life,0)-SUM(K22:R22)/8</f>
        <v>52022.85993934178</v>
      </c>
      <c r="S26" s="13">
        <f>IF(S4&lt;=a_dep_life,(FCI+IDC)/a_dep_life,0)-SUM(L22:S22)/8</f>
        <v>58177.32545644521</v>
      </c>
      <c r="T26" s="13">
        <f>IF(T4&lt;=a_dep_life,(FCI+IDC)/a_dep_life,0)-SUM(M22:T22)/8</f>
        <v>58177.32545644521</v>
      </c>
      <c r="U26" s="13">
        <f>IF(U4&lt;=a_dep_life,(FCI+IDC)/a_dep_life,0)-SUM(N22:U22)/8</f>
        <v>58177.32545644521</v>
      </c>
      <c r="V26" s="13">
        <f>IF(V4&lt;=a_dep_life,(FCI+IDC)/a_dep_life,0)-SUM(O22:V22)/8</f>
        <v>58177.32545644521</v>
      </c>
      <c r="W26" s="13">
        <f>IF(W4&lt;=a_dep_life,(FCI+IDC)/a_dep_life,0)-SUM(P22:W22)/8</f>
        <v>42007.24257577275</v>
      </c>
    </row>
    <row r="27" spans="1:23">
      <c r="A27" t="s">
        <v>365</v>
      </c>
      <c r="C27" s="13">
        <f>IF(AND(C4&gt;=1,C4&lt;=6),a_allow*TANG/6,0)</f>
        <v>0.0</v>
      </c>
      <c r="D27" s="13">
        <f>IF(AND(D4&gt;=1,D4&lt;=6),a_allow*TANG/6,0)</f>
        <v>273501.23189202795</v>
      </c>
      <c r="E27" s="13">
        <f>IF(AND(E4&gt;=1,E4&lt;=6),a_allow*TANG/6,0)</f>
        <v>273501.23189202795</v>
      </c>
      <c r="F27" s="13">
        <f>IF(AND(F4&gt;=1,F4&lt;=6),a_allow*TANG/6,0)</f>
        <v>273501.23189202795</v>
      </c>
      <c r="G27" s="13">
        <f>IF(AND(G4&gt;=1,G4&lt;=6),a_allow*TANG/6,0)</f>
        <v>273501.23189202795</v>
      </c>
      <c r="H27" s="13">
        <f>IF(AND(H4&gt;=1,H4&lt;=6),a_allow*TANG/6,0)</f>
        <v>273501.23189202795</v>
      </c>
      <c r="I27" s="13">
        <f>IF(AND(I4&gt;=1,I4&lt;=6),a_allow*TANG/6,0)</f>
        <v>273501.23189202795</v>
      </c>
      <c r="J27" s="13">
        <f>IF(AND(J4&gt;=1,J4&lt;=6),a_allow*TANG/6,0)</f>
        <v>0.0</v>
      </c>
      <c r="K27" s="13">
        <f>IF(AND(K4&gt;=1,K4&lt;=6),a_allow*TANG/6,0)</f>
        <v>0.0</v>
      </c>
      <c r="L27" s="13">
        <f>IF(AND(L4&gt;=1,L4&lt;=6),a_allow*TANG/6,0)</f>
        <v>0.0</v>
      </c>
      <c r="M27" s="13">
        <f>IF(AND(M4&gt;=1,M4&lt;=6),a_allow*TANG/6,0)</f>
        <v>0.0</v>
      </c>
      <c r="N27" s="13">
        <f>IF(AND(N4&gt;=1,N4&lt;=6),a_allow*TANG/6,0)</f>
        <v>0.0</v>
      </c>
      <c r="O27" s="13">
        <f>IF(AND(O4&gt;=1,O4&lt;=6),a_allow*TANG/6,0)</f>
        <v>0.0</v>
      </c>
      <c r="P27" s="13">
        <f>IF(AND(P4&gt;=1,P4&lt;=6),a_allow*TANG/6,0)</f>
        <v>0.0</v>
      </c>
      <c r="Q27" s="13">
        <f>IF(AND(Q4&gt;=1,Q4&lt;=6),a_allow*TANG/6,0)</f>
        <v>0.0</v>
      </c>
      <c r="R27" s="13">
        <f>IF(AND(R4&gt;=1,R4&lt;=6),a_allow*TANG/6,0)</f>
        <v>0.0</v>
      </c>
      <c r="S27" s="13">
        <f>IF(AND(S4&gt;=1,S4&lt;=6),a_allow*TANG/6,0)</f>
        <v>0.0</v>
      </c>
      <c r="T27" s="13">
        <f>IF(AND(T4&gt;=1,T4&lt;=6),a_allow*TANG/6,0)</f>
        <v>0.0</v>
      </c>
      <c r="U27" s="13">
        <f>IF(AND(U4&gt;=1,U4&lt;=6),a_allow*TANG/6,0)</f>
        <v>0.0</v>
      </c>
      <c r="V27" s="13">
        <f>IF(AND(V4&gt;=1,V4&lt;=6),a_allow*TANG/6,0)</f>
        <v>0.0</v>
      </c>
      <c r="W27" s="13">
        <f>IF(AND(W4&gt;=1,W4&lt;=6),a_allow*TANG/6,0)</f>
        <v>0.0</v>
      </c>
    </row>
    <row r="28" spans="1:23">
      <c r="A28" t="s">
        <v>366</v>
      </c>
      <c r="C28" s="13">
        <f>C20-C26-C27</f>
        <v>0.0</v>
      </c>
      <c r="D28" s="13">
        <f>D20-D26-D27</f>
        <v>-494592.9058808535</v>
      </c>
      <c r="E28" s="13">
        <f>E20-E26-E27</f>
        <v>-164200.9061541927</v>
      </c>
      <c r="F28" s="13">
        <f>F20-F26-F27</f>
        <v>-115325.10663716722</v>
      </c>
      <c r="G28" s="13">
        <f>G20-G26-G27</f>
        <v>-109890.08040705818</v>
      </c>
      <c r="H28" s="13">
        <f>H20-H26-H27</f>
        <v>-104346.35365234694</v>
      </c>
      <c r="I28" s="13">
        <f>I20-I26-I27</f>
        <v>-98691.75236254133</v>
      </c>
      <c r="J28" s="13">
        <f>J20-J26-J27</f>
        <v>180577.17284508818</v>
      </c>
      <c r="K28" s="13">
        <f>K20-K26-K27</f>
        <v>150607.44296833233</v>
      </c>
      <c r="L28" s="13">
        <f>L20-L26-L27</f>
        <v>905383.4694548625</v>
      </c>
      <c r="M28" s="13">
        <f>M20-M26-M27</f>
        <v>911504.1917429254</v>
      </c>
      <c r="N28" s="13">
        <f>N20-N26-N27</f>
        <v>721930.2122547395</v>
      </c>
      <c r="O28" s="13">
        <f>O20-O26-O27</f>
        <v>582493.6003124029</v>
      </c>
      <c r="P28" s="13">
        <f>P20-P26-P27</f>
        <v>589299.4253615824</v>
      </c>
      <c r="Q28" s="13">
        <f>Q20-Q26-Q27</f>
        <v>596241.3669117456</v>
      </c>
      <c r="R28" s="13">
        <f>R20-R26-R27</f>
        <v>603322.1472929121</v>
      </c>
      <c r="S28" s="13">
        <f>S20-S26-S27</f>
        <v>604390.0777645985</v>
      </c>
      <c r="T28" s="13">
        <f>T20-T26-T27</f>
        <v>611756.9216731644</v>
      </c>
      <c r="U28" s="13">
        <f>U20-U26-U27</f>
        <v>619271.1024599011</v>
      </c>
      <c r="V28" s="13">
        <f>V20-V26-V27</f>
        <v>626935.5668623728</v>
      </c>
      <c r="W28" s="13">
        <f>W20-W26-W27</f>
        <v>650923.4034335664</v>
      </c>
    </row>
    <row r="29" spans="1:23">
      <c r="A29" t="s">
        <v>367</v>
      </c>
      <c r="C29" s="13">
        <f>MAX(0,-C28)</f>
        <v>0.0</v>
      </c>
      <c r="D29" s="13">
        <f>MAX(0,C29-D28)</f>
        <v>0.0</v>
      </c>
      <c r="E29" s="13">
        <f>MAX(0,D29-E28)</f>
        <v>0.0</v>
      </c>
      <c r="F29" s="13">
        <f>MAX(0,E29-F28)</f>
        <v>0.0</v>
      </c>
      <c r="G29" s="13">
        <f>MAX(0,F29-G28)</f>
        <v>0.0</v>
      </c>
      <c r="H29" s="13">
        <f>MAX(0,G29-H28)</f>
        <v>0.0</v>
      </c>
      <c r="I29" s="13">
        <f>MAX(0,H29-I28)</f>
        <v>0.0</v>
      </c>
      <c r="J29" s="13">
        <f>MAX(0,I29-J28)</f>
        <v>0.0</v>
      </c>
      <c r="K29" s="13">
        <f>MAX(0,J29-K28)</f>
        <v>0.0</v>
      </c>
      <c r="L29" s="13">
        <f>MAX(0,K29-L28)</f>
        <v>0.0</v>
      </c>
      <c r="M29" s="13">
        <f>MAX(0,L29-M28)</f>
        <v>0.0</v>
      </c>
      <c r="N29" s="13">
        <f>MAX(0,M29-N28)</f>
        <v>0.0</v>
      </c>
      <c r="O29" s="13">
        <f>MAX(0,N29-O28)</f>
        <v>0.0</v>
      </c>
      <c r="P29" s="13">
        <f>MAX(0,O29-P28)</f>
        <v>0.0</v>
      </c>
      <c r="Q29" s="13">
        <f>MAX(0,P29-Q28)</f>
        <v>0.0</v>
      </c>
      <c r="R29" s="13">
        <f>MAX(0,Q29-R28)</f>
        <v>0.0</v>
      </c>
      <c r="S29" s="13">
        <f>MAX(0,R29-S28)</f>
        <v>0.0</v>
      </c>
      <c r="T29" s="13">
        <f>MAX(0,S29-T28)</f>
        <v>0.0</v>
      </c>
      <c r="U29" s="13">
        <f>MAX(0,T29-U28)</f>
        <v>0.0</v>
      </c>
      <c r="V29" s="13">
        <f>MAX(0,U29-V28)</f>
        <v>0.0</v>
      </c>
      <c r="W29" s="13">
        <f>MAX(0,V29-W28)</f>
        <v>0.0</v>
      </c>
    </row>
    <row r="30" spans="1:23">
      <c r="A30" t="s">
        <v>368</v>
      </c>
      <c r="C30" s="13">
        <f>-a_tax*MAX(0,C28)</f>
        <v>-0.0</v>
      </c>
      <c r="D30" s="13">
        <f>-a_tax*MAX(0,D28-C29)</f>
        <v>-0.0</v>
      </c>
      <c r="E30" s="13">
        <f>-a_tax*MAX(0,E28-D29)</f>
        <v>-0.0</v>
      </c>
      <c r="F30" s="13">
        <f>-a_tax*MAX(0,F28-E29)</f>
        <v>-0.0</v>
      </c>
      <c r="G30" s="13">
        <f>-a_tax*MAX(0,G28-F29)</f>
        <v>-0.0</v>
      </c>
      <c r="H30" s="13">
        <f>-a_tax*MAX(0,H28-G29)</f>
        <v>-0.0</v>
      </c>
      <c r="I30" s="13">
        <f>-a_tax*MAX(0,I28-H29)</f>
        <v>-0.0</v>
      </c>
      <c r="J30" s="13">
        <f>-a_tax*MAX(0,J28-I29)</f>
        <v>-0.0</v>
      </c>
      <c r="K30" s="13">
        <f>-a_tax*MAX(0,K28-J29)</f>
        <v>-0.0</v>
      </c>
      <c r="L30" s="13">
        <f>-a_tax*MAX(0,L28-K29)</f>
        <v>-32894.61563830708</v>
      </c>
      <c r="M30" s="13">
        <f>-a_tax*MAX(0,M28-L29)</f>
        <v>-200530.9221834436</v>
      </c>
      <c r="N30" s="13">
        <f>-a_tax*MAX(0,N28-M29)</f>
        <v>-158824.64669604268</v>
      </c>
      <c r="O30" s="13">
        <f>-a_tax*MAX(0,O28-N29)</f>
        <v>-128148.59206872864</v>
      </c>
      <c r="P30" s="13">
        <f>-a_tax*MAX(0,P28-O29)</f>
        <v>-129645.87357954813</v>
      </c>
      <c r="Q30" s="13">
        <f>-a_tax*MAX(0,Q28-P29)</f>
        <v>-131173.10072058404</v>
      </c>
      <c r="R30" s="13">
        <f>-a_tax*MAX(0,R28-Q29)</f>
        <v>-132730.87240444066</v>
      </c>
      <c r="S30" s="13">
        <f>-a_tax*MAX(0,S28-R29)</f>
        <v>-132965.8171082117</v>
      </c>
      <c r="T30" s="13">
        <f>-a_tax*MAX(0,T28-S29)</f>
        <v>-134586.52276809615</v>
      </c>
      <c r="U30" s="13">
        <f>-a_tax*MAX(0,U28-T29)</f>
        <v>-136239.64254117824</v>
      </c>
      <c r="V30" s="13">
        <f>-a_tax*MAX(0,V28-U29)</f>
        <v>-137925.82470972202</v>
      </c>
      <c r="W30" s="13">
        <f>-a_tax*MAX(0,W28-V29)</f>
        <v>-143203.1487553846</v>
      </c>
    </row>
    <row r="31" spans="1:23">
      <c r="A31" s="9" t="s">
        <v>369</v>
      </c>
      <c r="C31" s="14">
        <f>C20+C30+C21+C22+C23+C25</f>
        <v>-6498362.809856808</v>
      </c>
      <c r="D31" s="14">
        <f>D20+D30+D21+D22+D23+D25</f>
        <v>408690.89709280996</v>
      </c>
      <c r="E31" s="14">
        <f>E20+E30+E21+E22+E23+E25</f>
        <v>1445402.340286519</v>
      </c>
      <c r="F31" s="14">
        <f>F20+F30+F21+F22+F23+F25</f>
        <v>898225.1772004253</v>
      </c>
      <c r="G31" s="14">
        <f>G20+G30+G21+G22+G23+G25</f>
        <v>910787.3146957477</v>
      </c>
      <c r="H31" s="14">
        <f>H20+H30+H21+H22+H23+H25</f>
        <v>916299.058347455</v>
      </c>
      <c r="I31" s="14">
        <f>I20+I30+I21+I22+I23+I25</f>
        <v>921921.0368721965</v>
      </c>
      <c r="J31" s="14">
        <f>J20+J30+J21+J22+J23+J25</f>
        <v>927655.4549674327</v>
      </c>
      <c r="K31" s="14">
        <f>K20+K30+K21+K22+K23+K25</f>
        <v>646682.3449552188</v>
      </c>
      <c r="L31" s="14">
        <f>L20+L30+L21+L22+L23+L25</f>
        <v>906576.0343725503</v>
      </c>
      <c r="M31" s="14">
        <f>M20+M30+M21+M22+M23+M25</f>
        <v>745025.1381854233</v>
      </c>
      <c r="N31" s="14">
        <f>N20+N30+N21+N22+N23+N25</f>
        <v>629310.5310113826</v>
      </c>
      <c r="O31" s="14">
        <f>O20+O30+O21+O22+O23+O25</f>
        <v>397719.2115077146</v>
      </c>
      <c r="P31" s="14">
        <f>P20+P30+P21+P22+P23+P25</f>
        <v>509739.75556546415</v>
      </c>
      <c r="Q31" s="14">
        <f>Q20+Q30+Q21+Q22+Q23+Q25</f>
        <v>515115.7368514731</v>
      </c>
      <c r="R31" s="14">
        <f>R20+R30+R21+R22+R23+R25</f>
        <v>520599.2377632024</v>
      </c>
      <c r="S31" s="14">
        <f>S20+S30+S21+S22+S23+S25</f>
        <v>191488.45050074704</v>
      </c>
      <c r="T31" s="14">
        <f>T20+T30+T21+T22+T23+T25</f>
        <v>533251.4254554922</v>
      </c>
      <c r="U31" s="14">
        <f>U20+U30+U21+U22+U23+U25</f>
        <v>539070.5604910266</v>
      </c>
      <c r="V31" s="14">
        <f>V20+V30+V21+V22+V23+V25</f>
        <v>545006.0782272716</v>
      </c>
      <c r="W31" s="14">
        <f>W20+W30+W21+W22+W23+W25</f>
        <v>709323.7433093691</v>
      </c>
    </row>
    <row r="32" spans="1:23">
      <c r="A32" t="s">
        <v>370</v>
      </c>
      <c r="C32" s="13">
        <f>C31</f>
        <v>-6498362.809856808</v>
      </c>
      <c r="D32" s="13">
        <f>C32+D31</f>
        <v>-6089671.912763998</v>
      </c>
      <c r="E32" s="13">
        <f>D32+E31</f>
        <v>-4644269.5724774785</v>
      </c>
      <c r="F32" s="13">
        <f>E32+F31</f>
        <v>-3746044.395277053</v>
      </c>
      <c r="G32" s="13">
        <f>F32+G31</f>
        <v>-2835257.0805813055</v>
      </c>
      <c r="H32" s="13">
        <f>G32+H31</f>
        <v>-1918958.0222338506</v>
      </c>
      <c r="I32" s="13">
        <f>H32+I31</f>
        <v>-997036.9853616541</v>
      </c>
      <c r="J32" s="13">
        <f>I32+J31</f>
        <v>-69381.53039422142</v>
      </c>
      <c r="K32" s="13">
        <f>J32+K31</f>
        <v>577300.8145609974</v>
      </c>
      <c r="L32" s="13">
        <f>K32+L31</f>
        <v>1483876.8489335477</v>
      </c>
      <c r="M32" s="13">
        <f>L32+M31</f>
        <v>2228901.987118971</v>
      </c>
      <c r="N32" s="13">
        <f>M32+N31</f>
        <v>2858212.5181303537</v>
      </c>
      <c r="O32" s="13">
        <f>N32+O31</f>
        <v>3255931.729638068</v>
      </c>
      <c r="P32" s="13">
        <f>O32+P31</f>
        <v>3765671.485203532</v>
      </c>
      <c r="Q32" s="13">
        <f>P32+Q31</f>
        <v>4280787.222055005</v>
      </c>
      <c r="R32" s="13">
        <f>Q32+R31</f>
        <v>4801386.459818208</v>
      </c>
      <c r="S32" s="13">
        <f>R32+S31</f>
        <v>4992874.910318955</v>
      </c>
      <c r="T32" s="13">
        <f>S32+T31</f>
        <v>5526126.335774447</v>
      </c>
      <c r="U32" s="13">
        <f>T32+U31</f>
        <v>6065196.896265473</v>
      </c>
      <c r="V32" s="13">
        <f>U32+V31</f>
        <v>6610202.974492745</v>
      </c>
      <c r="W32" s="13">
        <f>V32+W31</f>
        <v>7319526.717802114</v>
      </c>
    </row>
    <row r="33" spans="1:23">
      <c r="A33" t="s">
        <v>371</v>
      </c>
      <c r="C33" s="11">
        <f>1/(1+WACC)^0</f>
        <v>1.0</v>
      </c>
      <c r="D33" s="11">
        <f>1/(1+WACC)^1</f>
        <v>0.9097591685529007</v>
      </c>
      <c r="E33" s="11">
        <f>1/(1+WACC)^2</f>
        <v>0.8276617447660652</v>
      </c>
      <c r="F33" s="11">
        <f>1/(1+WACC)^3</f>
        <v>0.7529728607614187</v>
      </c>
      <c r="G33" s="11">
        <f>1/(1+WACC)^4</f>
        <v>0.6850239637492073</v>
      </c>
      <c r="H33" s="11">
        <f>1/(1+WACC)^5</f>
        <v>0.6232068316992913</v>
      </c>
      <c r="I33" s="11">
        <f>1/(1+WACC)^6</f>
        <v>0.5669681290432347</v>
      </c>
      <c r="J33" s="11">
        <f>1/(1+WACC)^7</f>
        <v>0.5158044536743669</v>
      </c>
      <c r="K33" s="11">
        <f>1/(1+WACC)^8</f>
        <v>0.46925783091067524</v>
      </c>
      <c r="L33" s="11">
        <f>1/(1+WACC)^9</f>
        <v>0.4269116140862336</v>
      </c>
      <c r="M33" s="11">
        <f>1/(1+WACC)^10</f>
        <v>0.3883867550766687</v>
      </c>
      <c r="N33" s="11">
        <f>1/(1+WACC)^11</f>
        <v>0.3533384113755092</v>
      </c>
      <c r="O33" s="11">
        <f>1/(1+WACC)^12</f>
        <v>0.32145285935078605</v>
      </c>
      <c r="P33" s="11">
        <f>1/(1+WACC)^13</f>
        <v>0.29244468605192364</v>
      </c>
      <c r="Q33" s="11">
        <f>1/(1+WACC)^14</f>
        <v>0.2660542344303122</v>
      </c>
      <c r="R33" s="11">
        <f>1/(1+WACC)^15</f>
        <v>0.24204527910529933</v>
      </c>
      <c r="S33" s="11">
        <f>1/(1+WACC)^16</f>
        <v>0.2202029118709919</v>
      </c>
      <c r="T33" s="11">
        <f>1/(1+WACC)^17</f>
        <v>0.20033161801668126</v>
      </c>
      <c r="U33" s="11">
        <f>1/(1+WACC)^18</f>
        <v>0.18225352624171326</v>
      </c>
      <c r="V33" s="11">
        <f>1/(1+WACC)^19</f>
        <v>0.16580681649949533</v>
      </c>
      <c r="W33" s="11">
        <f>1/(1+WACC)^20</f>
        <v>0.15084427151898425</v>
      </c>
    </row>
    <row r="34" spans="1:23">
      <c r="A34" t="s">
        <v>372</v>
      </c>
      <c r="C34" s="13">
        <f>C31*C33</f>
        <v>-6498362.809856808</v>
      </c>
      <c r="D34" s="13">
        <f>D31*D33</f>
        <v>371810.2907342939</v>
      </c>
      <c r="E34" s="13">
        <f>E31*E33</f>
        <v>1196304.222850494</v>
      </c>
      <c r="F34" s="13">
        <f>F31*F33</f>
        <v>676339.1812845365</v>
      </c>
      <c r="G34" s="13">
        <f>G31*G33</f>
        <v>623911.1364453777</v>
      </c>
      <c r="H34" s="13">
        <f>H31*H33</f>
        <v>571043.8330417614</v>
      </c>
      <c r="I34" s="13">
        <f>I31*I33</f>
        <v>522699.84540102823</v>
      </c>
      <c r="J34" s="13">
        <f>J31*J33</f>
        <v>478488.81514752284</v>
      </c>
      <c r="K34" s="13">
        <f>K31*K33</f>
        <v>303460.75448191504</v>
      </c>
      <c r="L34" s="13">
        <f>L31*L33</f>
        <v>387027.83812588226</v>
      </c>
      <c r="M34" s="13">
        <f>M31*M33</f>
        <v>289357.89587038325</v>
      </c>
      <c r="N34" s="13">
        <f>N31*N33</f>
        <v>222359.58328944005</v>
      </c>
      <c r="O34" s="13">
        <f>O31*O33</f>
        <v>127847.9777578949</v>
      </c>
      <c r="P34" s="13">
        <f>P31*P33</f>
        <v>149070.68278452646</v>
      </c>
      <c r="Q34" s="13">
        <f>Q31*Q33</f>
        <v>137048.72301102482</v>
      </c>
      <c r="R34" s="13">
        <f>R31*R33</f>
        <v>126008.5878064004</v>
      </c>
      <c r="S34" s="13">
        <f>S31*S33</f>
        <v>42166.3143899288</v>
      </c>
      <c r="T34" s="13">
        <f>T31*T33</f>
        <v>106827.12087120044</v>
      </c>
      <c r="U34" s="13">
        <f>U31*U33</f>
        <v>98247.51054258639</v>
      </c>
      <c r="V34" s="13">
        <f>V31*V33</f>
        <v>90365.72280373881</v>
      </c>
      <c r="W34" s="13">
        <f>W31*W33</f>
        <v>106997.42333062076</v>
      </c>
    </row>
    <row r="35" spans="1:23">
      <c r="A35" t="s">
        <v>373</v>
      </c>
      <c r="C35" s="13">
        <f>C34</f>
        <v>-6498362.809856808</v>
      </c>
      <c r="D35" s="13">
        <f>C35+D34</f>
        <v>-6126552.519122514</v>
      </c>
      <c r="E35" s="13">
        <f>D35+E34</f>
        <v>-4930248.29627202</v>
      </c>
      <c r="F35" s="13">
        <f>E35+F34</f>
        <v>-4253909.114987483</v>
      </c>
      <c r="G35" s="13">
        <f>F35+G34</f>
        <v>-3629997.9785421053</v>
      </c>
      <c r="H35" s="13">
        <f>G35+H34</f>
        <v>-3058954.1455003438</v>
      </c>
      <c r="I35" s="13">
        <f>H35+I34</f>
        <v>-2536254.3000993156</v>
      </c>
      <c r="J35" s="13">
        <f>I35+J34</f>
        <v>-2057765.4849517928</v>
      </c>
      <c r="K35" s="13">
        <f>J35+K34</f>
        <v>-1754304.7304698778</v>
      </c>
      <c r="L35" s="13">
        <f>K35+L34</f>
        <v>-1367276.8923439956</v>
      </c>
      <c r="M35" s="13">
        <f>L35+M34</f>
        <v>-1077918.9964736123</v>
      </c>
      <c r="N35" s="13">
        <f>M35+N34</f>
        <v>-855559.4131841722</v>
      </c>
      <c r="O35" s="13">
        <f>N35+O34</f>
        <v>-727711.4354262773</v>
      </c>
      <c r="P35" s="13">
        <f>O35+P34</f>
        <v>-578640.7526417508</v>
      </c>
      <c r="Q35" s="13">
        <f>P35+Q34</f>
        <v>-441592.029630726</v>
      </c>
      <c r="R35" s="13">
        <f>Q35+R34</f>
        <v>-315583.4418243256</v>
      </c>
      <c r="S35" s="13">
        <f>R35+S34</f>
        <v>-273417.12743439677</v>
      </c>
      <c r="T35" s="13">
        <f>S35+T34</f>
        <v>-166590.0065631963</v>
      </c>
      <c r="U35" s="13">
        <f>T35+U34</f>
        <v>-68342.49602060992</v>
      </c>
      <c r="V35" s="13">
        <f>U35+V34</f>
        <v>22023.226783128892</v>
      </c>
      <c r="W35" s="13">
        <f>V35+W34</f>
        <v>129020.65011374965</v>
      </c>
    </row>
    <row r="36" spans="1:23">
      <c r="A36" t="s">
        <v>374</v>
      </c>
      <c r="C36" s="10">
        <f>""</f>
        <v>0.0</v>
      </c>
      <c r="D36" s="10">
        <f>IF(AND(C32&lt;0,D32&gt;=0),0+(-C32/D31),"")</f>
        <v>0.0</v>
      </c>
      <c r="E36" s="10">
        <f>IF(AND(D32&lt;0,E32&gt;=0),1+(-D32/E31),"")</f>
        <v>0.0</v>
      </c>
      <c r="F36" s="10">
        <f>IF(AND(E32&lt;0,F32&gt;=0),2+(-E32/F31),"")</f>
        <v>0.0</v>
      </c>
      <c r="G36" s="10">
        <f>IF(AND(F32&lt;0,G32&gt;=0),3+(-F32/G31),"")</f>
        <v>0.0</v>
      </c>
      <c r="H36" s="10">
        <f>IF(AND(G32&lt;0,H32&gt;=0),4+(-G32/H31),"")</f>
        <v>0.0</v>
      </c>
      <c r="I36" s="10">
        <f>IF(AND(H32&lt;0,I32&gt;=0),5+(-H32/I31),"")</f>
        <v>0.0</v>
      </c>
      <c r="J36" s="10">
        <f>IF(AND(I32&lt;0,J32&gt;=0),6+(-I32/J31),"")</f>
        <v>0.0</v>
      </c>
      <c r="K36" s="10">
        <f>IF(AND(J32&lt;0,K32&gt;=0),7+(-J32/K31),"")</f>
        <v>0.0</v>
      </c>
      <c r="L36" s="10">
        <f>IF(AND(K32&lt;0,L32&gt;=0),8+(-K32/L31),"")</f>
        <v>0.0</v>
      </c>
      <c r="M36" s="10">
        <f>IF(AND(L32&lt;0,M32&gt;=0),9+(-L32/M31),"")</f>
        <v>0.0</v>
      </c>
      <c r="N36" s="10">
        <f>IF(AND(M32&lt;0,N32&gt;=0),10+(-M32/N31),"")</f>
        <v>0.0</v>
      </c>
      <c r="O36" s="10">
        <f>IF(AND(N32&lt;0,O32&gt;=0),11+(-N32/O31),"")</f>
        <v>0.0</v>
      </c>
      <c r="P36" s="10">
        <f>IF(AND(O32&lt;0,P32&gt;=0),12+(-O32/P31),"")</f>
        <v>0.0</v>
      </c>
      <c r="Q36" s="10">
        <f>IF(AND(P32&lt;0,Q32&gt;=0),13+(-P32/Q31),"")</f>
        <v>0.0</v>
      </c>
      <c r="R36" s="10">
        <f>IF(AND(Q32&lt;0,R32&gt;=0),14+(-Q32/R31),"")</f>
        <v>0.0</v>
      </c>
      <c r="S36" s="10">
        <f>IF(AND(R32&lt;0,S32&gt;=0),15+(-R32/S31),"")</f>
        <v>0.0</v>
      </c>
      <c r="T36" s="10">
        <f>IF(AND(S32&lt;0,T32&gt;=0),16+(-S32/T31),"")</f>
        <v>0.0</v>
      </c>
      <c r="U36" s="10">
        <f>IF(AND(T32&lt;0,U32&gt;=0),17+(-T32/U31),"")</f>
        <v>0.0</v>
      </c>
      <c r="V36" s="10">
        <f>IF(AND(U32&lt;0,V32&gt;=0),18+(-U32/V31),"")</f>
        <v>0.0</v>
      </c>
      <c r="W36" s="10">
        <f>IF(AND(V32&lt;0,W32&gt;=0),19+(-V32/W31),"")</f>
        <v>0.0</v>
      </c>
    </row>
    <row r="37" spans="1:23">
      <c r="A37" t="s">
        <v>375</v>
      </c>
      <c r="C37" s="10">
        <f>""</f>
        <v>0.0</v>
      </c>
      <c r="D37" s="10">
        <f>IF(AND(C35&lt;0,D35&gt;=0),0+(-C35/D34),"")</f>
        <v>0.0</v>
      </c>
      <c r="E37" s="10">
        <f>IF(AND(D35&lt;0,E35&gt;=0),1+(-D35/E34),"")</f>
        <v>0.0</v>
      </c>
      <c r="F37" s="10">
        <f>IF(AND(E35&lt;0,F35&gt;=0),2+(-E35/F34),"")</f>
        <v>0.0</v>
      </c>
      <c r="G37" s="10">
        <f>IF(AND(F35&lt;0,G35&gt;=0),3+(-F35/G34),"")</f>
        <v>0.0</v>
      </c>
      <c r="H37" s="10">
        <f>IF(AND(G35&lt;0,H35&gt;=0),4+(-G35/H34),"")</f>
        <v>0.0</v>
      </c>
      <c r="I37" s="10">
        <f>IF(AND(H35&lt;0,I35&gt;=0),5+(-H35/I34),"")</f>
        <v>0.0</v>
      </c>
      <c r="J37" s="10">
        <f>IF(AND(I35&lt;0,J35&gt;=0),6+(-I35/J34),"")</f>
        <v>0.0</v>
      </c>
      <c r="K37" s="10">
        <f>IF(AND(J35&lt;0,K35&gt;=0),7+(-J35/K34),"")</f>
        <v>0.0</v>
      </c>
      <c r="L37" s="10">
        <f>IF(AND(K35&lt;0,L35&gt;=0),8+(-K35/L34),"")</f>
        <v>0.0</v>
      </c>
      <c r="M37" s="10">
        <f>IF(AND(L35&lt;0,M35&gt;=0),9+(-L35/M34),"")</f>
        <v>0.0</v>
      </c>
      <c r="N37" s="10">
        <f>IF(AND(M35&lt;0,N35&gt;=0),10+(-M35/N34),"")</f>
        <v>0.0</v>
      </c>
      <c r="O37" s="10">
        <f>IF(AND(N35&lt;0,O35&gt;=0),11+(-N35/O34),"")</f>
        <v>0.0</v>
      </c>
      <c r="P37" s="10">
        <f>IF(AND(O35&lt;0,P35&gt;=0),12+(-O35/P34),"")</f>
        <v>0.0</v>
      </c>
      <c r="Q37" s="10">
        <f>IF(AND(P35&lt;0,Q35&gt;=0),13+(-P35/Q34),"")</f>
        <v>0.0</v>
      </c>
      <c r="R37" s="10">
        <f>IF(AND(Q35&lt;0,R35&gt;=0),14+(-Q35/R34),"")</f>
        <v>0.0</v>
      </c>
      <c r="S37" s="10">
        <f>IF(AND(R35&lt;0,S35&gt;=0),15+(-R35/S34),"")</f>
        <v>0.0</v>
      </c>
      <c r="T37" s="10">
        <f>IF(AND(S35&lt;0,T35&gt;=0),16+(-S35/T34),"")</f>
        <v>0.0</v>
      </c>
      <c r="U37" s="10">
        <f>IF(AND(T35&lt;0,U35&gt;=0),17+(-T35/U34),"")</f>
        <v>0.0</v>
      </c>
      <c r="V37" s="10">
        <f>IF(AND(U35&lt;0,V35&gt;=0),18+(-U35/V34),"")</f>
        <v>0.0</v>
      </c>
      <c r="W37" s="10">
        <f>IF(AND(V35&lt;0,W35&gt;=0),19+(-V35/W34),"")</f>
        <v>0.0</v>
      </c>
    </row>
    <row r="38" spans="1:23">
      <c r="A38" t="s">
        <v>376</v>
      </c>
      <c r="C38" s="13">
        <v>0</v>
      </c>
      <c r="D38" s="13">
        <f>IF(D4&lt;=a_tenor,C40*a_r_debt,0)</f>
        <v>282509.0051823875</v>
      </c>
      <c r="E38" s="13">
        <f>IF(E4&lt;=a_tenor,D40*a_r_debt,0)</f>
        <v>282509.0051823875</v>
      </c>
      <c r="F38" s="13">
        <f>IF(F4&lt;=a_tenor,E40*a_r_debt,0)</f>
        <v>259885.76620891236</v>
      </c>
      <c r="G38" s="13">
        <f>IF(G4&lt;=a_tenor,F40*a_r_debt,0)</f>
        <v>235452.66811755922</v>
      </c>
      <c r="H38" s="13">
        <f>IF(H4&lt;=a_tenor,G40*a_r_debt,0)</f>
        <v>209064.92217889783</v>
      </c>
      <c r="I38" s="13">
        <f>IF(I4&lt;=a_tenor,H40*a_r_debt,0)</f>
        <v>180566.15656514355</v>
      </c>
      <c r="J38" s="13">
        <f>IF(J4&lt;=a_tenor,I40*a_r_debt,0)</f>
        <v>149787.4897022889</v>
      </c>
      <c r="K38" s="13">
        <f>IF(K4&lt;=a_tenor,J40*a_r_debt,0)</f>
        <v>116546.52949040588</v>
      </c>
      <c r="L38" s="13">
        <f>IF(L4&lt;=a_tenor,K40*a_r_debt,0)</f>
        <v>80646.29246157223</v>
      </c>
      <c r="M38" s="13">
        <f>IF(M4&lt;=a_tenor,L40*a_r_debt,0)</f>
        <v>41874.03647043189</v>
      </c>
      <c r="N38" s="13">
        <f>IF(N4&lt;=a_tenor,M40*a_r_debt,0)</f>
        <v>0.0</v>
      </c>
      <c r="O38" s="13">
        <f>IF(O4&lt;=a_tenor,N40*a_r_debt,0)</f>
        <v>0.0</v>
      </c>
      <c r="P38" s="13">
        <f>IF(P4&lt;=a_tenor,O40*a_r_debt,0)</f>
        <v>0.0</v>
      </c>
      <c r="Q38" s="13">
        <f>IF(Q4&lt;=a_tenor,P40*a_r_debt,0)</f>
        <v>0.0</v>
      </c>
      <c r="R38" s="13">
        <f>IF(R4&lt;=a_tenor,Q40*a_r_debt,0)</f>
        <v>0.0</v>
      </c>
      <c r="S38" s="13">
        <f>IF(S4&lt;=a_tenor,R40*a_r_debt,0)</f>
        <v>0.0</v>
      </c>
      <c r="T38" s="13">
        <f>IF(T4&lt;=a_tenor,S40*a_r_debt,0)</f>
        <v>0.0</v>
      </c>
      <c r="U38" s="13">
        <f>IF(U4&lt;=a_tenor,T40*a_r_debt,0)</f>
        <v>0.0</v>
      </c>
      <c r="V38" s="13">
        <f>IF(V4&lt;=a_tenor,U40*a_r_debt,0)</f>
        <v>0.0</v>
      </c>
      <c r="W38" s="13">
        <f>IF(W4&lt;=a_tenor,V40*a_r_debt,0)</f>
        <v>0.0</v>
      </c>
    </row>
    <row r="39" spans="1:23">
      <c r="A39" t="s">
        <v>377</v>
      </c>
      <c r="C39" s="13">
        <v>0</v>
      </c>
      <c r="D39" s="13">
        <f>IF(AND(D4&gt;=2,D4&lt;=a_tenor),ANN-D38,0)</f>
        <v>0.0</v>
      </c>
      <c r="E39" s="13">
        <f>IF(AND(E4&gt;=2,E4&lt;=a_tenor),ANN-E38,0)</f>
        <v>282790.487168439</v>
      </c>
      <c r="F39" s="13">
        <f>IF(AND(F4&gt;=2,F4&lt;=a_tenor),ANN-F38,0)</f>
        <v>305413.72614191414</v>
      </c>
      <c r="G39" s="13">
        <f>IF(AND(G4&gt;=2,G4&lt;=a_tenor),ANN-G38,0)</f>
        <v>329846.8242332673</v>
      </c>
      <c r="H39" s="13">
        <f>IF(AND(H4&gt;=2,H4&lt;=a_tenor),ANN-H38,0)</f>
        <v>356234.5701719287</v>
      </c>
      <c r="I39" s="13">
        <f>IF(AND(I4&gt;=2,I4&lt;=a_tenor),ANN-I38,0)</f>
        <v>384733.33578568295</v>
      </c>
      <c r="J39" s="13">
        <f>IF(AND(J4&gt;=2,J4&lt;=a_tenor),ANN-J38,0)</f>
        <v>415512.00264853763</v>
      </c>
      <c r="K39" s="13">
        <f>IF(AND(K4&gt;=2,K4&lt;=a_tenor),ANN-K38,0)</f>
        <v>448752.96286042064</v>
      </c>
      <c r="L39" s="13">
        <f>IF(AND(L4&gt;=2,L4&lt;=a_tenor),ANN-L38,0)</f>
        <v>484653.1998892543</v>
      </c>
      <c r="M39" s="13">
        <f>IF(AND(M4&gt;=2,M4&lt;=a_tenor),ANN-M38,0)</f>
        <v>523425.4558803946</v>
      </c>
      <c r="N39" s="13">
        <f>IF(AND(N4&gt;=2,N4&lt;=a_tenor),ANN-N38,0)</f>
        <v>0.0</v>
      </c>
      <c r="O39" s="13">
        <f>IF(AND(O4&gt;=2,O4&lt;=a_tenor),ANN-O38,0)</f>
        <v>0.0</v>
      </c>
      <c r="P39" s="13">
        <f>IF(AND(P4&gt;=2,P4&lt;=a_tenor),ANN-P38,0)</f>
        <v>0.0</v>
      </c>
      <c r="Q39" s="13">
        <f>IF(AND(Q4&gt;=2,Q4&lt;=a_tenor),ANN-Q38,0)</f>
        <v>0.0</v>
      </c>
      <c r="R39" s="13">
        <f>IF(AND(R4&gt;=2,R4&lt;=a_tenor),ANN-R38,0)</f>
        <v>0.0</v>
      </c>
      <c r="S39" s="13">
        <f>IF(AND(S4&gt;=2,S4&lt;=a_tenor),ANN-S38,0)</f>
        <v>0.0</v>
      </c>
      <c r="T39" s="13">
        <f>IF(AND(T4&gt;=2,T4&lt;=a_tenor),ANN-T38,0)</f>
        <v>0.0</v>
      </c>
      <c r="U39" s="13">
        <f>IF(AND(U4&gt;=2,U4&lt;=a_tenor),ANN-U38,0)</f>
        <v>0.0</v>
      </c>
      <c r="V39" s="13">
        <f>IF(AND(V4&gt;=2,V4&lt;=a_tenor),ANN-V38,0)</f>
        <v>0.0</v>
      </c>
      <c r="W39" s="13">
        <f>IF(AND(W4&gt;=2,W4&lt;=a_tenor),ANN-W38,0)</f>
        <v>0.0</v>
      </c>
    </row>
    <row r="40" spans="1:23">
      <c r="A40" t="s">
        <v>378</v>
      </c>
      <c r="C40" s="13">
        <f>DEBT</f>
        <v>3531362.5647798437</v>
      </c>
      <c r="D40" s="13">
        <f>C40-D39</f>
        <v>3531362.5647798437</v>
      </c>
      <c r="E40" s="13">
        <f>D40-E39</f>
        <v>3248572.0776114045</v>
      </c>
      <c r="F40" s="13">
        <f>E40-F39</f>
        <v>2943158.35146949</v>
      </c>
      <c r="G40" s="13">
        <f>F40-G39</f>
        <v>2613311.5272362228</v>
      </c>
      <c r="H40" s="13">
        <f>G40-H39</f>
        <v>2257076.9570642943</v>
      </c>
      <c r="I40" s="13">
        <f>H40-I39</f>
        <v>1872343.6212786112</v>
      </c>
      <c r="J40" s="13">
        <f>I40-J39</f>
        <v>1456831.6186300735</v>
      </c>
      <c r="K40" s="13">
        <f>J40-K39</f>
        <v>1008078.6557696529</v>
      </c>
      <c r="L40" s="13">
        <f>K40-L39</f>
        <v>523425.45588039863</v>
      </c>
      <c r="M40" s="13">
        <f>L40-M39</f>
        <v>4.016328603029251e-09</v>
      </c>
      <c r="N40" s="13">
        <f>M40-N39</f>
        <v>4.016328603029251e-09</v>
      </c>
      <c r="O40" s="13">
        <f>N40-O39</f>
        <v>4.016328603029251e-09</v>
      </c>
      <c r="P40" s="13">
        <f>O40-P39</f>
        <v>4.016328603029251e-09</v>
      </c>
      <c r="Q40" s="13">
        <f>P40-Q39</f>
        <v>4.016328603029251e-09</v>
      </c>
      <c r="R40" s="13">
        <f>Q40-R39</f>
        <v>4.016328603029251e-09</v>
      </c>
      <c r="S40" s="13">
        <f>R40-S39</f>
        <v>4.016328603029251e-09</v>
      </c>
      <c r="T40" s="13">
        <f>S40-T39</f>
        <v>4.016328603029251e-09</v>
      </c>
      <c r="U40" s="13">
        <f>T40-U39</f>
        <v>4.016328603029251e-09</v>
      </c>
      <c r="V40" s="13">
        <f>U40-V39</f>
        <v>4.016328603029251e-09</v>
      </c>
      <c r="W40" s="13">
        <f>V40-W39</f>
        <v>4.016328603029251e-09</v>
      </c>
    </row>
    <row r="41" spans="1:23">
      <c r="A41" t="s">
        <v>154</v>
      </c>
      <c r="C41" s="13">
        <f>-a_fee_debt*DEBT</f>
        <v>-52970.43847169766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>
      <c r="A42" t="s">
        <v>379</v>
      </c>
      <c r="C42" s="13">
        <f>IF(C4=1,-ANN*a_dsra_m/12,IF(C4=a_tenor,ANN*a_dsra_m/12,0))</f>
        <v>-0.0</v>
      </c>
      <c r="D42" s="13">
        <f>IF(D4=1,-ANN*a_dsra_m/12,IF(D4=a_tenor,ANN*a_dsra_m/12,0))</f>
        <v>-282649.74617541325</v>
      </c>
      <c r="E42" s="13">
        <f>IF(E4=1,-ANN*a_dsra_m/12,IF(E4=a_tenor,ANN*a_dsra_m/12,0))</f>
        <v>-0.0</v>
      </c>
      <c r="F42" s="13">
        <f>IF(F4=1,-ANN*a_dsra_m/12,IF(F4=a_tenor,ANN*a_dsra_m/12,0))</f>
        <v>-0.0</v>
      </c>
      <c r="G42" s="13">
        <f>IF(G4=1,-ANN*a_dsra_m/12,IF(G4=a_tenor,ANN*a_dsra_m/12,0))</f>
        <v>-0.0</v>
      </c>
      <c r="H42" s="13">
        <f>IF(H4=1,-ANN*a_dsra_m/12,IF(H4=a_tenor,ANN*a_dsra_m/12,0))</f>
        <v>-0.0</v>
      </c>
      <c r="I42" s="13">
        <f>IF(I4=1,-ANN*a_dsra_m/12,IF(I4=a_tenor,ANN*a_dsra_m/12,0))</f>
        <v>-0.0</v>
      </c>
      <c r="J42" s="13">
        <f>IF(J4=1,-ANN*a_dsra_m/12,IF(J4=a_tenor,ANN*a_dsra_m/12,0))</f>
        <v>-0.0</v>
      </c>
      <c r="K42" s="13">
        <f>IF(K4=1,-ANN*a_dsra_m/12,IF(K4=a_tenor,ANN*a_dsra_m/12,0))</f>
        <v>-0.0</v>
      </c>
      <c r="L42" s="13">
        <f>IF(L4=1,-ANN*a_dsra_m/12,IF(L4=a_tenor,ANN*a_dsra_m/12,0))</f>
        <v>-0.0</v>
      </c>
      <c r="M42" s="13">
        <f>IF(M4=1,-ANN*a_dsra_m/12,IF(M4=a_tenor,ANN*a_dsra_m/12,0))</f>
        <v>282649.74617541325</v>
      </c>
      <c r="N42" s="13">
        <f>IF(N4=1,-ANN*a_dsra_m/12,IF(N4=a_tenor,ANN*a_dsra_m/12,0))</f>
        <v>-0.0</v>
      </c>
      <c r="O42" s="13">
        <f>IF(O4=1,-ANN*a_dsra_m/12,IF(O4=a_tenor,ANN*a_dsra_m/12,0))</f>
        <v>-0.0</v>
      </c>
      <c r="P42" s="13">
        <f>IF(P4=1,-ANN*a_dsra_m/12,IF(P4=a_tenor,ANN*a_dsra_m/12,0))</f>
        <v>-0.0</v>
      </c>
      <c r="Q42" s="13">
        <f>IF(Q4=1,-ANN*a_dsra_m/12,IF(Q4=a_tenor,ANN*a_dsra_m/12,0))</f>
        <v>-0.0</v>
      </c>
      <c r="R42" s="13">
        <f>IF(R4=1,-ANN*a_dsra_m/12,IF(R4=a_tenor,ANN*a_dsra_m/12,0))</f>
        <v>-0.0</v>
      </c>
      <c r="S42" s="13">
        <f>IF(S4=1,-ANN*a_dsra_m/12,IF(S4=a_tenor,ANN*a_dsra_m/12,0))</f>
        <v>-0.0</v>
      </c>
      <c r="T42" s="13">
        <f>IF(T4=1,-ANN*a_dsra_m/12,IF(T4=a_tenor,ANN*a_dsra_m/12,0))</f>
        <v>-0.0</v>
      </c>
      <c r="U42" s="13">
        <f>IF(U4=1,-ANN*a_dsra_m/12,IF(U4=a_tenor,ANN*a_dsra_m/12,0))</f>
        <v>-0.0</v>
      </c>
      <c r="V42" s="13">
        <f>IF(V4=1,-ANN*a_dsra_m/12,IF(V4=a_tenor,ANN*a_dsra_m/12,0))</f>
        <v>-0.0</v>
      </c>
      <c r="W42" s="13">
        <f>IF(W4=1,-ANN*a_dsra_m/12,IF(W4=a_tenor,ANN*a_dsra_m/12,0))</f>
        <v>-0.0</v>
      </c>
    </row>
    <row r="43" spans="1:23">
      <c r="A43" t="s">
        <v>380</v>
      </c>
      <c r="C43" s="13">
        <f>C28-C38+IF(C4=1,C41,0)</f>
        <v>0.0</v>
      </c>
      <c r="D43" s="13">
        <f>D28-D38+IF(D4=1,C41,0)</f>
        <v>-830072.3495349386</v>
      </c>
      <c r="E43" s="13">
        <f>E28-E38+IF(E4=1,C41,0)</f>
        <v>-446709.9113365802</v>
      </c>
      <c r="F43" s="13">
        <f>F28-F38+IF(F4=1,C41,0)</f>
        <v>-375210.8728460796</v>
      </c>
      <c r="G43" s="13">
        <f>G28-G38+IF(G4=1,C41,0)</f>
        <v>-345342.7485246174</v>
      </c>
      <c r="H43" s="13">
        <f>H28-H38+IF(H4=1,C41,0)</f>
        <v>-313411.27583124477</v>
      </c>
      <c r="I43" s="13">
        <f>I28-I38+IF(I4=1,C41,0)</f>
        <v>-279257.9089276849</v>
      </c>
      <c r="J43" s="13">
        <f>J28-J38+IF(J4=1,C41,0)</f>
        <v>30789.683142799273</v>
      </c>
      <c r="K43" s="13">
        <f>K28-K38+IF(K4=1,C41,0)</f>
        <v>34060.91347792644</v>
      </c>
      <c r="L43" s="13">
        <f>L28-L38+IF(L4=1,C41,0)</f>
        <v>824737.1769932903</v>
      </c>
      <c r="M43" s="13">
        <f>M28-M38+IF(M4=1,C41,0)</f>
        <v>869630.1552724936</v>
      </c>
      <c r="N43" s="13">
        <f>N28-N38+IF(N4=1,C41,0)</f>
        <v>721930.2122547395</v>
      </c>
      <c r="O43" s="13">
        <f>O28-O38+IF(O4=1,C41,0)</f>
        <v>582493.6003124029</v>
      </c>
      <c r="P43" s="13">
        <f>P28-P38+IF(P4=1,C41,0)</f>
        <v>589299.4253615824</v>
      </c>
      <c r="Q43" s="13">
        <f>Q28-Q38+IF(Q4=1,C41,0)</f>
        <v>596241.3669117456</v>
      </c>
      <c r="R43" s="13">
        <f>R28-R38+IF(R4=1,C41,0)</f>
        <v>603322.1472929121</v>
      </c>
      <c r="S43" s="13">
        <f>S28-S38+IF(S4=1,C41,0)</f>
        <v>604390.0777645985</v>
      </c>
      <c r="T43" s="13">
        <f>T28-T38+IF(T4=1,C41,0)</f>
        <v>611756.9216731644</v>
      </c>
      <c r="U43" s="13">
        <f>U28-U38+IF(U4=1,C41,0)</f>
        <v>619271.1024599011</v>
      </c>
      <c r="V43" s="13">
        <f>V28-V38+IF(V4=1,C41,0)</f>
        <v>626935.5668623728</v>
      </c>
      <c r="W43" s="13">
        <f>W28-W38+IF(W4=1,C41,0)</f>
        <v>650923.4034335664</v>
      </c>
    </row>
    <row r="44" spans="1:23">
      <c r="A44" t="s">
        <v>381</v>
      </c>
      <c r="C44" s="13">
        <f>MAX(0,-C43)</f>
        <v>0.0</v>
      </c>
      <c r="D44" s="13">
        <f>MAX(0,C44-D43)</f>
        <v>0.0</v>
      </c>
      <c r="E44" s="13">
        <f>MAX(0,D44-E43)</f>
        <v>0.0</v>
      </c>
      <c r="F44" s="13">
        <f>MAX(0,E44-F43)</f>
        <v>0.0</v>
      </c>
      <c r="G44" s="13">
        <f>MAX(0,F44-G43)</f>
        <v>0.0</v>
      </c>
      <c r="H44" s="13">
        <f>MAX(0,G44-H43)</f>
        <v>0.0</v>
      </c>
      <c r="I44" s="13">
        <f>MAX(0,H44-I43)</f>
        <v>0.0</v>
      </c>
      <c r="J44" s="13">
        <f>MAX(0,I44-J43)</f>
        <v>0.0</v>
      </c>
      <c r="K44" s="13">
        <f>MAX(0,J44-K43)</f>
        <v>0.0</v>
      </c>
      <c r="L44" s="13">
        <f>MAX(0,K44-L43)</f>
        <v>0.0</v>
      </c>
      <c r="M44" s="13">
        <f>MAX(0,L44-M43)</f>
        <v>0.0</v>
      </c>
      <c r="N44" s="13">
        <f>MAX(0,M44-N43)</f>
        <v>0.0</v>
      </c>
      <c r="O44" s="13">
        <f>MAX(0,N44-O43)</f>
        <v>0.0</v>
      </c>
      <c r="P44" s="13">
        <f>MAX(0,O44-P43)</f>
        <v>0.0</v>
      </c>
      <c r="Q44" s="13">
        <f>MAX(0,P44-Q43)</f>
        <v>0.0</v>
      </c>
      <c r="R44" s="13">
        <f>MAX(0,Q44-R43)</f>
        <v>0.0</v>
      </c>
      <c r="S44" s="13">
        <f>MAX(0,R44-S43)</f>
        <v>0.0</v>
      </c>
      <c r="T44" s="13">
        <f>MAX(0,S44-T43)</f>
        <v>0.0</v>
      </c>
      <c r="U44" s="13">
        <f>MAX(0,T44-U43)</f>
        <v>0.0</v>
      </c>
      <c r="V44" s="13">
        <f>MAX(0,U44-V43)</f>
        <v>0.0</v>
      </c>
      <c r="W44" s="13">
        <f>MAX(0,V44-W43)</f>
        <v>0.0</v>
      </c>
    </row>
    <row r="45" spans="1:23">
      <c r="A45" t="s">
        <v>382</v>
      </c>
      <c r="C45" s="13">
        <f>-a_tax*MAX(0,C43)</f>
        <v>-0.0</v>
      </c>
      <c r="D45" s="13">
        <f>-a_tax*MAX(0,D43-C44)</f>
        <v>-0.0</v>
      </c>
      <c r="E45" s="13">
        <f>-a_tax*MAX(0,E43-D44)</f>
        <v>-0.0</v>
      </c>
      <c r="F45" s="13">
        <f>-a_tax*MAX(0,F43-E44)</f>
        <v>-0.0</v>
      </c>
      <c r="G45" s="13">
        <f>-a_tax*MAX(0,G43-F44)</f>
        <v>-0.0</v>
      </c>
      <c r="H45" s="13">
        <f>-a_tax*MAX(0,H43-G44)</f>
        <v>-0.0</v>
      </c>
      <c r="I45" s="13">
        <f>-a_tax*MAX(0,I43-H44)</f>
        <v>-0.0</v>
      </c>
      <c r="J45" s="13">
        <f>-a_tax*MAX(0,J43-I44)</f>
        <v>-0.0</v>
      </c>
      <c r="K45" s="13">
        <f>-a_tax*MAX(0,K43-J44)</f>
        <v>-0.0</v>
      </c>
      <c r="L45" s="13">
        <f>-a_tax*MAX(0,L43-K44)</f>
        <v>-0.0</v>
      </c>
      <c r="M45" s="13">
        <f>-a_tax*MAX(0,M43-L44)</f>
        <v>-0.0</v>
      </c>
      <c r="N45" s="13">
        <f>-a_tax*MAX(0,N43-M44)</f>
        <v>-0.0</v>
      </c>
      <c r="O45" s="13">
        <f>-a_tax*MAX(0,O43-N44)</f>
        <v>-104200.06837955146</v>
      </c>
      <c r="P45" s="13">
        <f>-a_tax*MAX(0,P43-O44)</f>
        <v>-129645.87357954813</v>
      </c>
      <c r="Q45" s="13">
        <f>-a_tax*MAX(0,Q43-P44)</f>
        <v>-131173.10072058404</v>
      </c>
      <c r="R45" s="13">
        <f>-a_tax*MAX(0,R43-Q44)</f>
        <v>-132730.87240444066</v>
      </c>
      <c r="S45" s="13">
        <f>-a_tax*MAX(0,S43-R44)</f>
        <v>-132965.8171082117</v>
      </c>
      <c r="T45" s="13">
        <f>-a_tax*MAX(0,T43-S44)</f>
        <v>-134586.52276809615</v>
      </c>
      <c r="U45" s="13">
        <f>-a_tax*MAX(0,U43-T44)</f>
        <v>-136239.64254117824</v>
      </c>
      <c r="V45" s="13">
        <f>-a_tax*MAX(0,V43-U44)</f>
        <v>-137925.82470972202</v>
      </c>
      <c r="W45" s="13">
        <f>-a_tax*MAX(0,W43-V44)</f>
        <v>-143203.1487553846</v>
      </c>
    </row>
    <row r="46" spans="1:23">
      <c r="A46" t="s">
        <v>383</v>
      </c>
      <c r="C46" s="13">
        <v>0</v>
      </c>
      <c r="D46" s="13">
        <f>SUM(D22:W22)/a_n_op</f>
        <v>-37612.04100604581</v>
      </c>
      <c r="E46" s="13">
        <f>SUM(D22:W22)/a_n_op</f>
        <v>-37612.04100604581</v>
      </c>
      <c r="F46" s="13">
        <f>SUM(D22:W22)/a_n_op</f>
        <v>-37612.04100604581</v>
      </c>
      <c r="G46" s="13">
        <f>SUM(D22:W22)/a_n_op</f>
        <v>-37612.04100604581</v>
      </c>
      <c r="H46" s="13">
        <f>SUM(D22:W22)/a_n_op</f>
        <v>-37612.04100604581</v>
      </c>
      <c r="I46" s="13">
        <f>SUM(D22:W22)/a_n_op</f>
        <v>-37612.04100604581</v>
      </c>
      <c r="J46" s="13">
        <f>SUM(D22:W22)/a_n_op</f>
        <v>-37612.04100604581</v>
      </c>
      <c r="K46" s="13">
        <f>SUM(D22:W22)/a_n_op</f>
        <v>-37612.04100604581</v>
      </c>
      <c r="L46" s="13">
        <f>SUM(D22:W22)/a_n_op</f>
        <v>-37612.04100604581</v>
      </c>
      <c r="M46" s="13">
        <f>SUM(D22:W22)/a_n_op</f>
        <v>-37612.04100604581</v>
      </c>
      <c r="N46" s="13">
        <f>SUM(D22:W22)/a_n_op</f>
        <v>-37612.04100604581</v>
      </c>
      <c r="O46" s="13">
        <f>SUM(D22:W22)/a_n_op</f>
        <v>-37612.04100604581</v>
      </c>
      <c r="P46" s="13">
        <f>SUM(D22:W22)/a_n_op</f>
        <v>-37612.04100604581</v>
      </c>
      <c r="Q46" s="13">
        <f>SUM(D22:W22)/a_n_op</f>
        <v>-37612.04100604581</v>
      </c>
      <c r="R46" s="13">
        <f>SUM(D22:W22)/a_n_op</f>
        <v>-37612.04100604581</v>
      </c>
      <c r="S46" s="13">
        <f>SUM(D22:W22)/a_n_op</f>
        <v>-37612.04100604581</v>
      </c>
      <c r="T46" s="13">
        <f>SUM(D22:W22)/a_n_op</f>
        <v>-37612.04100604581</v>
      </c>
      <c r="U46" s="13">
        <f>SUM(D22:W22)/a_n_op</f>
        <v>-37612.04100604581</v>
      </c>
      <c r="V46" s="13">
        <f>SUM(D22:W22)/a_n_op</f>
        <v>-37612.04100604581</v>
      </c>
      <c r="W46" s="13">
        <f>SUM(D22:W22)/a_n_op</f>
        <v>-37612.04100604581</v>
      </c>
    </row>
    <row r="47" spans="1:23">
      <c r="A47" t="s">
        <v>384</v>
      </c>
      <c r="C47" s="10">
        <f>""</f>
        <v>0.0</v>
      </c>
      <c r="D47" s="10">
        <f>IF(D38+D39&gt;0,(D20+D45+D25+D46)/(D38+D39),"")</f>
        <v>0.0</v>
      </c>
      <c r="E47" s="10">
        <f>IF(E38+E39&gt;0,(E20+E45+E25+E46)/(E38+E39),"")</f>
        <v>0.0</v>
      </c>
      <c r="F47" s="10">
        <f>IF(F38+F39&gt;0,(F20+F45+F25+F46)/(F38+F39),"")</f>
        <v>0.0</v>
      </c>
      <c r="G47" s="10">
        <f>IF(G38+G39&gt;0,(G20+G45+G25+G46)/(G38+G39),"")</f>
        <v>0.0</v>
      </c>
      <c r="H47" s="10">
        <f>IF(H38+H39&gt;0,(H20+H45+H25+H46)/(H38+H39),"")</f>
        <v>0.0</v>
      </c>
      <c r="I47" s="10">
        <f>IF(I38+I39&gt;0,(I20+I45+I25+I46)/(I38+I39),"")</f>
        <v>0.0</v>
      </c>
      <c r="J47" s="10">
        <f>IF(J38+J39&gt;0,(J20+J45+J25+J46)/(J38+J39),"")</f>
        <v>0.0</v>
      </c>
      <c r="K47" s="10">
        <f>IF(K38+K39&gt;0,(K20+K45+K25+K46)/(K38+K39),"")</f>
        <v>0.0</v>
      </c>
      <c r="L47" s="10">
        <f>IF(L38+L39&gt;0,(L20+L45+L25+L46)/(L38+L39),"")</f>
        <v>0.0</v>
      </c>
      <c r="M47" s="10">
        <f>IF(M38+M39&gt;0,(M20+M45+M25+M46)/(M38+M39),"")</f>
        <v>0.0</v>
      </c>
      <c r="N47" s="10">
        <f>IF(N38+N39&gt;0,(N20+N45+N25+N46)/(N38+N39),"")</f>
        <v>0.0</v>
      </c>
      <c r="O47" s="10">
        <f>IF(O38+O39&gt;0,(O20+O45+O25+O46)/(O38+O39),"")</f>
        <v>0.0</v>
      </c>
      <c r="P47" s="10">
        <f>IF(P38+P39&gt;0,(P20+P45+P25+P46)/(P38+P39),"")</f>
        <v>0.0</v>
      </c>
      <c r="Q47" s="10">
        <f>IF(Q38+Q39&gt;0,(Q20+Q45+Q25+Q46)/(Q38+Q39),"")</f>
        <v>0.0</v>
      </c>
      <c r="R47" s="10">
        <f>IF(R38+R39&gt;0,(R20+R45+R25+R46)/(R38+R39),"")</f>
        <v>0.0</v>
      </c>
      <c r="S47" s="10">
        <f>IF(S38+S39&gt;0,(S20+S45+S25+S46)/(S38+S39),"")</f>
        <v>0.0</v>
      </c>
      <c r="T47" s="10">
        <f>IF(T38+T39&gt;0,(T20+T45+T25+T46)/(T38+T39),"")</f>
        <v>0.0</v>
      </c>
      <c r="U47" s="10">
        <f>IF(U38+U39&gt;0,(U20+U45+U25+U46)/(U38+U39),"")</f>
        <v>0.0</v>
      </c>
      <c r="V47" s="10">
        <f>IF(V38+V39&gt;0,(V20+V45+V25+V46)/(V38+V39),"")</f>
        <v>0.0</v>
      </c>
      <c r="W47" s="10">
        <f>IF(W38+W39&gt;0,(W20+W45+W25+W46)/(W38+W39),"")</f>
        <v>0.0</v>
      </c>
    </row>
    <row r="48" spans="1:23">
      <c r="A48" s="9" t="s">
        <v>385</v>
      </c>
      <c r="C48" s="14">
        <f>C20+C45+C21*(1-a_debt_frac)+C22+C23+C25-C38-C39+C41+C42</f>
        <v>-3155792.320655579</v>
      </c>
      <c r="D48" s="14">
        <f>D20+D45+D21*(1-a_debt_frac)+D22+D23+D25-D38-D39+D41+D42</f>
        <v>-156467.85426499078</v>
      </c>
      <c r="E48" s="14">
        <f>E20+E45+E21*(1-a_debt_frac)+E22+E23+E25-E38-E39+E41+E42</f>
        <v>880102.8479356924</v>
      </c>
      <c r="F48" s="14">
        <f>F20+F45+F21*(1-a_debt_frac)+F22+F23+F25-F38-F39+F41+F42</f>
        <v>332925.6848495988</v>
      </c>
      <c r="G48" s="14">
        <f>G20+G45+G21*(1-a_debt_frac)+G22+G23+G25-G38-G39+G41+G42</f>
        <v>345487.82234492124</v>
      </c>
      <c r="H48" s="14">
        <f>H20+H45+H21*(1-a_debt_frac)+H22+H23+H25-H38-H39+H41+H42</f>
        <v>350999.56599662855</v>
      </c>
      <c r="I48" s="14">
        <f>I20+I45+I21*(1-a_debt_frac)+I22+I23+I25-I38-I39+I41+I42</f>
        <v>356621.54452137003</v>
      </c>
      <c r="J48" s="14">
        <f>J20+J45+J21*(1-a_debt_frac)+J22+J23+J25-J38-J39+J41+J42</f>
        <v>362355.96261660615</v>
      </c>
      <c r="K48" s="14">
        <f>K20+K45+K21*(1-a_debt_frac)+K22+K23+K25-K38-K39+K41+K42</f>
        <v>81382.85260439228</v>
      </c>
      <c r="L48" s="14">
        <f>L20+L45+L21*(1-a_debt_frac)+L22+L23+L25-L38-L39+L41+L42</f>
        <v>374171.1576600309</v>
      </c>
      <c r="M48" s="14">
        <f>M20+M45+M21*(1-a_debt_frac)+M22+M23+M25-M38-M39+M41+M42</f>
        <v>662906.3141934536</v>
      </c>
      <c r="N48" s="14">
        <f>N20+N45+N21*(1-a_debt_frac)+N22+N23+N25-N38-N39+N41+N42</f>
        <v>788135.1777074252</v>
      </c>
      <c r="O48" s="14">
        <f>O20+O45+O21*(1-a_debt_frac)+O22+O23+O25-O38-O39+O41+O42</f>
        <v>421667.7351968917</v>
      </c>
      <c r="P48" s="14">
        <f>P20+P45+P21*(1-a_debt_frac)+P22+P23+P25-P38-P39+P41+P42</f>
        <v>509739.75556546415</v>
      </c>
      <c r="Q48" s="14">
        <f>Q20+Q45+Q21*(1-a_debt_frac)+Q22+Q23+Q25-Q38-Q39+Q41+Q42</f>
        <v>515115.7368514731</v>
      </c>
      <c r="R48" s="14">
        <f>R20+R45+R21*(1-a_debt_frac)+R22+R23+R25-R38-R39+R41+R42</f>
        <v>520599.2377632024</v>
      </c>
      <c r="S48" s="14">
        <f>S20+S45+S21*(1-a_debt_frac)+S22+S23+S25-S38-S39+S41+S42</f>
        <v>191488.45050074704</v>
      </c>
      <c r="T48" s="14">
        <f>T20+T45+T21*(1-a_debt_frac)+T22+T23+T25-T38-T39+T41+T42</f>
        <v>533251.4254554922</v>
      </c>
      <c r="U48" s="14">
        <f>U20+U45+U21*(1-a_debt_frac)+U22+U23+U25-U38-U39+U41+U42</f>
        <v>539070.5604910266</v>
      </c>
      <c r="V48" s="14">
        <f>V20+V45+V21*(1-a_debt_frac)+V22+V23+V25-V38-V39+V41+V42</f>
        <v>545006.0782272716</v>
      </c>
      <c r="W48" s="14">
        <f>W20+W45+W21*(1-a_debt_frac)+W22+W23+W25-W38-W39+W41+W42</f>
        <v>709323.7433093691</v>
      </c>
    </row>
    <row r="50" spans="1:1">
      <c r="A50" s="2" t="s">
        <v>386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cols>
    <col min="1" max="1" width="50.7109375" customWidth="1"/>
    <col min="2" max="2" width="16.7109375" customWidth="1"/>
    <col min="3" max="3" width="24.7109375" customWidth="1"/>
    <col min="4" max="4" width="14.7109375" customWidth="1"/>
  </cols>
  <sheetData>
    <row r="1" spans="1:4">
      <c r="A1" s="1" t="s">
        <v>387</v>
      </c>
    </row>
    <row r="3" spans="1:4">
      <c r="A3" s="7" t="s">
        <v>388</v>
      </c>
      <c r="B3" s="7" t="s">
        <v>389</v>
      </c>
      <c r="C3" s="7" t="s">
        <v>390</v>
      </c>
      <c r="D3" s="7" t="s">
        <v>391</v>
      </c>
    </row>
    <row r="4" spans="1:4">
      <c r="A4" s="6" t="s">
        <v>392</v>
      </c>
      <c r="B4" s="3">
        <f>SUMPRODUCT('Arus Kas'!$C$31:$W$31,'Arus Kas'!$C$33:$W$33)</f>
        <v>129020.65011374952</v>
      </c>
      <c r="C4" s="6" t="s">
        <v>393</v>
      </c>
      <c r="D4" s="6">
        <f>IF(B4&gt;0,"Layak","Tidak layak")</f>
        <v>0</v>
      </c>
    </row>
    <row r="5" spans="1:4">
      <c r="A5" s="6" t="s">
        <v>394</v>
      </c>
      <c r="B5" s="4">
        <f>IRR('Arus Kas'!$C$31:$W$31)</f>
        <v>0.10252362345214983</v>
      </c>
      <c r="C5" s="6" t="s">
        <v>395</v>
      </c>
      <c r="D5" s="6">
        <f>IF(B5&gt;WACC,"Layak","Tidak layak")</f>
        <v>0</v>
      </c>
    </row>
    <row r="6" spans="1:4">
      <c r="A6" s="6" t="s">
        <v>396</v>
      </c>
      <c r="B6" s="4">
        <f>IRR('Arus Kas'!$C$48:$W$48)</f>
        <v>0.1091252802661975</v>
      </c>
      <c r="C6" s="6" t="s">
        <v>397</v>
      </c>
      <c r="D6" s="6">
        <f>IF(B6&gt;=a_r_eq-0.0005,"Layak","Tidak layak")</f>
        <v>0</v>
      </c>
    </row>
    <row r="7" spans="1:4">
      <c r="A7" s="6" t="s">
        <v>238</v>
      </c>
      <c r="B7" s="4">
        <f>WACC</f>
        <v>0.099192</v>
      </c>
      <c r="C7" s="6" t="s">
        <v>12</v>
      </c>
      <c r="D7" s="6">
        <f>"Informasi"</f>
        <v>0</v>
      </c>
    </row>
    <row r="8" spans="1:4">
      <c r="A8" s="6" t="s">
        <v>398</v>
      </c>
      <c r="B8" s="5">
        <f>SUM('Arus Kas'!$C$36:$W$36)</f>
        <v>7.107288425198968</v>
      </c>
      <c r="C8" s="6" t="s">
        <v>399</v>
      </c>
      <c r="D8" s="6">
        <f>IF(B8&lt;a_n_op,"Layak","Tidak layak")</f>
        <v>0</v>
      </c>
    </row>
    <row r="9" spans="1:4">
      <c r="A9" s="6" t="s">
        <v>400</v>
      </c>
      <c r="B9" s="5">
        <f>IF(SUM('Arus Kas'!$C$37:$W$37)=0,"&gt; umur",SUM('Arus Kas'!$C$37:$W$37))</f>
        <v>18.75628782573941</v>
      </c>
      <c r="C9" s="6" t="s">
        <v>399</v>
      </c>
      <c r="D9" s="6">
        <f>IF(ISNUMBER(B9),IF(B9&lt;a_n_op,"Layak","Tidak layak"),"Tidak layak")</f>
        <v>0</v>
      </c>
    </row>
    <row r="10" spans="1:4">
      <c r="A10" s="6" t="s">
        <v>401</v>
      </c>
      <c r="B10" s="5">
        <f>SUMPRODUCT('Arus Kas'!$D$31:$W$31,'Arus Kas'!$D$33:$W$33)/FCI</f>
        <v>1.1320383080810812</v>
      </c>
      <c r="C10" s="6" t="s">
        <v>402</v>
      </c>
      <c r="D10" s="6">
        <f>IF(B10&gt;1,"Layak","Tidak layak")</f>
        <v>0</v>
      </c>
    </row>
    <row r="11" spans="1:4">
      <c r="A11" s="6" t="s">
        <v>403</v>
      </c>
      <c r="B11" s="5">
        <f>MIN('Arus Kas'!$C$47:$W$47)</f>
        <v>1.313511602390147</v>
      </c>
      <c r="C11" s="6" t="s">
        <v>404</v>
      </c>
      <c r="D11" s="6">
        <f>IF(B11&gt;=1.3,"Layak","Tidak layak")</f>
        <v>0</v>
      </c>
    </row>
    <row r="12" spans="1:4">
      <c r="A12" s="6" t="s">
        <v>405</v>
      </c>
      <c r="B12" s="11">
        <f>(FCI-SUMPRODUCT('Arus Kas'!$C$18:$W$18,'Arus Kas'!$C$33:$W$33)-SUMPRODUCT('Arus Kas'!$C$19:$W$19,'Arus Kas'!$C$33:$W$33)-SUMPRODUCT('Arus Kas'!$C$22:$W$22,'Arus Kas'!$C$33:$W$33))/(SUMPRODUCT('Arus Kas'!$C$7:$W$7,'Arus Kas'!$C$33:$W$33)*1000000)</f>
        <v>0.18606864422599462</v>
      </c>
      <c r="C12" s="6" t="s">
        <v>406</v>
      </c>
      <c r="D12" s="6">
        <f>"Informasi"</f>
        <v>0</v>
      </c>
    </row>
    <row r="13" spans="1:4">
      <c r="A13" s="6" t="s">
        <v>407</v>
      </c>
      <c r="B13" s="3">
        <f>-MIN('Arus Kas'!$C$32:$W$32)</f>
        <v>6498362.809856808</v>
      </c>
      <c r="C13" s="6" t="s">
        <v>408</v>
      </c>
      <c r="D13" s="6">
        <f>"Informasi"</f>
        <v>0</v>
      </c>
    </row>
    <row r="14" spans="1:4">
      <c r="A14" s="6" t="s">
        <v>409</v>
      </c>
      <c r="B14" s="4">
        <f>SUM('Arus Kas'!$C$12:$W$12)/SUM('Arus Kas'!$C$17:$W$17)</f>
        <v>0.3361628501675061</v>
      </c>
      <c r="C14" s="6" t="s">
        <v>406</v>
      </c>
      <c r="D14" s="6">
        <f>"Informasi"</f>
        <v>0</v>
      </c>
    </row>
    <row r="16" spans="1:4">
      <c r="A16" s="9" t="s">
        <v>410</v>
      </c>
    </row>
    <row r="17" spans="1:2">
      <c r="A17" s="6" t="s">
        <v>411</v>
      </c>
      <c r="B17" s="10">
        <v>1.192217990833503</v>
      </c>
    </row>
    <row r="18" spans="1:2">
      <c r="A18" s="6" t="s">
        <v>412</v>
      </c>
      <c r="B18" s="10">
        <v>5.677228527778584</v>
      </c>
    </row>
    <row r="19" spans="1:2">
      <c r="A19" s="6" t="s">
        <v>413</v>
      </c>
      <c r="B19" s="10">
        <v>9.285928939751152</v>
      </c>
    </row>
    <row r="20" spans="1:2">
      <c r="A20" s="6" t="s">
        <v>414</v>
      </c>
      <c r="B20" s="10">
        <v>4.040181784050739</v>
      </c>
    </row>
    <row r="21" spans="1:2">
      <c r="A21" s="6" t="s">
        <v>415</v>
      </c>
      <c r="B21" s="10">
        <v>0.9092791816241872</v>
      </c>
    </row>
    <row r="22" spans="1:2">
      <c r="A22" s="6" t="s">
        <v>416</v>
      </c>
      <c r="B22" s="10">
        <v>1.02111575816036</v>
      </c>
    </row>
    <row r="23" spans="1:2">
      <c r="A23" s="6" t="s">
        <v>417</v>
      </c>
      <c r="B23" s="15">
        <v>0</v>
      </c>
    </row>
    <row r="24" spans="1:2">
      <c r="A24" s="6" t="s">
        <v>418</v>
      </c>
      <c r="B24" s="15">
        <v>0.6115252266096132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cols>
    <col min="1" max="1" width="36.7109375" customWidth="1"/>
    <col min="2" max="5" width="15.7109375" customWidth="1"/>
  </cols>
  <sheetData>
    <row r="1" spans="1:5">
      <c r="A1" s="1" t="s">
        <v>419</v>
      </c>
    </row>
    <row r="3" spans="1:5">
      <c r="A3" s="7" t="s">
        <v>420</v>
      </c>
      <c r="B3" s="7" t="s">
        <v>421</v>
      </c>
      <c r="C3" s="7" t="s">
        <v>422</v>
      </c>
      <c r="D3" s="7" t="s">
        <v>423</v>
      </c>
      <c r="E3" s="7" t="s">
        <v>424</v>
      </c>
    </row>
    <row r="4" spans="1:5">
      <c r="A4" s="6" t="s">
        <v>425</v>
      </c>
      <c r="B4" s="13">
        <v>-1399280.636390959</v>
      </c>
      <c r="C4" s="13">
        <v>1549605.069585167</v>
      </c>
      <c r="D4" s="12">
        <f>ABS(C4-B4)</f>
        <v>2948885.705976126</v>
      </c>
      <c r="E4" s="12">
        <v>129020.6501137495</v>
      </c>
    </row>
    <row r="5" spans="1:5">
      <c r="A5" s="6" t="s">
        <v>426</v>
      </c>
      <c r="B5" s="13">
        <v>1327933.717935171</v>
      </c>
      <c r="C5" s="13">
        <v>-1109126.477062841</v>
      </c>
      <c r="D5" s="12">
        <f>ABS(C5-B5)</f>
        <v>2437060.194998012</v>
      </c>
      <c r="E5" s="12">
        <v>129020.6501137495</v>
      </c>
    </row>
    <row r="6" spans="1:5">
      <c r="A6" s="6" t="s">
        <v>427</v>
      </c>
      <c r="B6" s="13">
        <v>761326.8148026536</v>
      </c>
      <c r="C6" s="13">
        <v>-508538.8400312015</v>
      </c>
      <c r="D6" s="12">
        <f>ABS(C6-B6)</f>
        <v>1269865.654833855</v>
      </c>
      <c r="E6" s="12">
        <v>129020.6501137495</v>
      </c>
    </row>
    <row r="7" spans="1:5">
      <c r="A7" s="6" t="s">
        <v>428</v>
      </c>
      <c r="B7" s="13">
        <v>-465439.0035359638</v>
      </c>
      <c r="C7" s="13">
        <v>717520.7551733383</v>
      </c>
      <c r="D7" s="12">
        <f>ABS(C7-B7)</f>
        <v>1182959.7587093022</v>
      </c>
      <c r="E7" s="12">
        <v>129020.6501137495</v>
      </c>
    </row>
    <row r="8" spans="1:5">
      <c r="A8" s="6" t="s">
        <v>429</v>
      </c>
      <c r="B8" s="13">
        <v>-433416.5730094779</v>
      </c>
      <c r="C8" s="13">
        <v>686919.1128811147</v>
      </c>
      <c r="D8" s="12">
        <f>ABS(C8-B8)</f>
        <v>1120335.6858905926</v>
      </c>
      <c r="E8" s="12">
        <v>129020.6501137495</v>
      </c>
    </row>
    <row r="9" spans="1:5">
      <c r="A9" s="6" t="s">
        <v>430</v>
      </c>
      <c r="B9" s="13">
        <v>-372083.7416881716</v>
      </c>
      <c r="C9" s="13">
        <v>626220.4004434498</v>
      </c>
      <c r="D9" s="12">
        <f>ABS(C9-B9)</f>
        <v>998304.1421316215</v>
      </c>
      <c r="E9" s="12">
        <v>129020.6501137495</v>
      </c>
    </row>
    <row r="10" spans="1:5">
      <c r="A10" s="6" t="s">
        <v>431</v>
      </c>
      <c r="B10" s="13">
        <v>658168.0317155214</v>
      </c>
      <c r="C10" s="13">
        <v>-337487.327946347</v>
      </c>
      <c r="D10" s="12">
        <f>ABS(C10-B10)</f>
        <v>995655.3596618683</v>
      </c>
      <c r="E10" s="12">
        <v>129020.6501137495</v>
      </c>
    </row>
    <row r="11" spans="1:5">
      <c r="A11" s="6" t="s">
        <v>432</v>
      </c>
      <c r="B11" s="13">
        <v>-180582.1532703684</v>
      </c>
      <c r="C11" s="13">
        <v>343189.9820989551</v>
      </c>
      <c r="D11" s="12">
        <f>ABS(C11-B11)</f>
        <v>523772.13536932354</v>
      </c>
      <c r="E11" s="12">
        <v>129020.6501137495</v>
      </c>
    </row>
    <row r="12" spans="1:5">
      <c r="A12" s="6" t="s">
        <v>433</v>
      </c>
      <c r="B12" s="13">
        <v>-5454.36687789674</v>
      </c>
      <c r="C12" s="13">
        <v>262776.9401450586</v>
      </c>
      <c r="D12" s="12">
        <f>ABS(C12-B12)</f>
        <v>268231.3070229554</v>
      </c>
      <c r="E12" s="12">
        <v>129020.6501137495</v>
      </c>
    </row>
    <row r="15" spans="1:5">
      <c r="A15" s="9" t="s">
        <v>434</v>
      </c>
    </row>
    <row r="16" spans="1:5">
      <c r="A16" s="7" t="s">
        <v>435</v>
      </c>
      <c r="B16" s="7" t="s">
        <v>436</v>
      </c>
    </row>
    <row r="17" spans="1:2">
      <c r="A17" s="15">
        <v>0.04</v>
      </c>
      <c r="B17" s="13">
        <f>'Arus Kas'!$C$31+NPV(A17,'Arus Kas'!$D$31:$W$31)</f>
        <v>3381873.601864975</v>
      </c>
    </row>
    <row r="18" spans="1:2">
      <c r="A18" s="15">
        <v>0.045</v>
      </c>
      <c r="B18" s="13">
        <f>'Arus Kas'!$C$31+NPV(A18,'Arus Kas'!$D$31:$W$31)</f>
        <v>3015052.7318744874</v>
      </c>
    </row>
    <row r="19" spans="1:2">
      <c r="A19" s="15">
        <v>0.05</v>
      </c>
      <c r="B19" s="13">
        <f>'Arus Kas'!$C$31+NPV(A19,'Arus Kas'!$D$31:$W$31)</f>
        <v>2669457.1982995174</v>
      </c>
    </row>
    <row r="20" spans="1:2">
      <c r="A20" s="15">
        <v>0.055</v>
      </c>
      <c r="B20" s="13">
        <f>'Arus Kas'!$C$31+NPV(A20,'Arus Kas'!$D$31:$W$31)</f>
        <v>2343547.280543591</v>
      </c>
    </row>
    <row r="21" spans="1:2">
      <c r="A21" s="15">
        <v>0.06</v>
      </c>
      <c r="B21" s="13">
        <f>'Arus Kas'!$C$31+NPV(A21,'Arus Kas'!$D$31:$W$31)</f>
        <v>2035911.5914936422</v>
      </c>
    </row>
    <row r="22" spans="1:2">
      <c r="A22" s="15">
        <v>0.065</v>
      </c>
      <c r="B22" s="13">
        <f>'Arus Kas'!$C$31+NPV(A22,'Arus Kas'!$D$31:$W$31)</f>
        <v>1745255.2956564531</v>
      </c>
    </row>
    <row r="23" spans="1:2">
      <c r="A23" s="15">
        <v>0.06999999999999999</v>
      </c>
      <c r="B23" s="13">
        <f>'Arus Kas'!$C$31+NPV(A23,'Arus Kas'!$D$31:$W$31)</f>
        <v>1470389.4915733167</v>
      </c>
    </row>
    <row r="24" spans="1:2">
      <c r="A24" s="15">
        <v>0.075</v>
      </c>
      <c r="B24" s="13">
        <f>'Arus Kas'!$C$31+NPV(A24,'Arus Kas'!$D$31:$W$31)</f>
        <v>1210221.6363641906</v>
      </c>
    </row>
    <row r="25" spans="1:2">
      <c r="A25" s="15">
        <v>0.07999999999999999</v>
      </c>
      <c r="B25" s="13">
        <f>'Arus Kas'!$C$31+NPV(A25,'Arus Kas'!$D$31:$W$31)</f>
        <v>963746.9037373299</v>
      </c>
    </row>
    <row r="26" spans="1:2">
      <c r="A26" s="15">
        <v>0.08499999999999999</v>
      </c>
      <c r="B26" s="13">
        <f>'Arus Kas'!$C$31+NPV(A26,'Arus Kas'!$D$31:$W$31)</f>
        <v>730040.3787293993</v>
      </c>
    </row>
    <row r="27" spans="1:2">
      <c r="A27" s="15">
        <v>0.09</v>
      </c>
      <c r="B27" s="13">
        <f>'Arus Kas'!$C$31+NPV(A27,'Arus Kas'!$D$31:$W$31)</f>
        <v>508250.0029987219</v>
      </c>
    </row>
    <row r="28" spans="1:2">
      <c r="A28" s="15">
        <v>0.095</v>
      </c>
      <c r="B28" s="13">
        <f>'Arus Kas'!$C$31+NPV(A28,'Arus Kas'!$D$31:$W$31)</f>
        <v>297590.19384720107</v>
      </c>
    </row>
    <row r="29" spans="1:2">
      <c r="A29" s="15">
        <v>0.09999999999999999</v>
      </c>
      <c r="B29" s="13">
        <f>'Arus Kas'!$C$31+NPV(A29,'Arus Kas'!$D$31:$W$31)</f>
        <v>97336.06843554525</v>
      </c>
    </row>
    <row r="30" spans="1:2">
      <c r="A30" s="15">
        <v>0.105</v>
      </c>
      <c r="B30" s="13">
        <f>'Arus Kas'!$C$31+NPV(A30,'Arus Kas'!$D$31:$W$31)</f>
        <v>-93181.78799004351</v>
      </c>
    </row>
    <row r="31" spans="1:2">
      <c r="A31" s="15">
        <v>0.11</v>
      </c>
      <c r="B31" s="13">
        <f>'Arus Kas'!$C$31+NPV(A31,'Arus Kas'!$D$31:$W$31)</f>
        <v>-274582.06451560394</v>
      </c>
    </row>
    <row r="32" spans="1:2">
      <c r="A32" s="15">
        <v>0.115</v>
      </c>
      <c r="B32" s="13">
        <f>'Arus Kas'!$C$31+NPV(A32,'Arus Kas'!$D$31:$W$31)</f>
        <v>-447437.0264800318</v>
      </c>
    </row>
    <row r="33" spans="1:2">
      <c r="A33" s="15">
        <v>0.12</v>
      </c>
      <c r="B33" s="13">
        <f>'Arus Kas'!$C$31+NPV(A33,'Arus Kas'!$D$31:$W$31)</f>
        <v>-612276.4206049705</v>
      </c>
    </row>
    <row r="34" spans="1:2">
      <c r="A34" s="15">
        <v>0.125</v>
      </c>
      <c r="B34" s="13">
        <f>'Arus Kas'!$C$31+NPV(A34,'Arus Kas'!$D$31:$W$31)</f>
        <v>-769591.0224576788</v>
      </c>
    </row>
    <row r="35" spans="1:2">
      <c r="A35" s="15">
        <v>0.13</v>
      </c>
      <c r="B35" s="13">
        <f>'Arus Kas'!$C$31+NPV(A35,'Arus Kas'!$D$31:$W$31)</f>
        <v>-919835.861291954</v>
      </c>
    </row>
    <row r="36" spans="1:2">
      <c r="A36" s="15">
        <v>0.135</v>
      </c>
      <c r="B36" s="13">
        <f>'Arus Kas'!$C$31+NPV(A36,'Arus Kas'!$D$31:$W$31)</f>
        <v>-1063433.1536798473</v>
      </c>
    </row>
    <row r="37" spans="1:2">
      <c r="A37" s="15">
        <v>0.14</v>
      </c>
      <c r="B37" s="13">
        <f>'Arus Kas'!$C$31+NPV(A37,'Arus Kas'!$D$31:$W$31)</f>
        <v>-1200774.9741098657</v>
      </c>
    </row>
    <row r="38" spans="1:2">
      <c r="A38" s="15">
        <v>0.145</v>
      </c>
      <c r="B38" s="13">
        <f>'Arus Kas'!$C$31+NPV(A38,'Arus Kas'!$D$31:$W$31)</f>
        <v>-1332225.687840494</v>
      </c>
    </row>
    <row r="39" spans="1:2">
      <c r="A39" s="15">
        <v>0.15</v>
      </c>
      <c r="B39" s="13">
        <f>'Arus Kas'!$C$31+NPV(A39,'Arus Kas'!$D$31:$W$31)</f>
        <v>-1458124.1687217245</v>
      </c>
    </row>
    <row r="40" spans="1:2">
      <c r="A40" s="15">
        <v>0.155</v>
      </c>
      <c r="B40" s="13">
        <f>'Arus Kas'!$C$31+NPV(A40,'Arus Kas'!$D$31:$W$31)</f>
        <v>-1578785.8223972633</v>
      </c>
    </row>
    <row r="41" spans="1:2">
      <c r="A41" s="15">
        <v>0.16</v>
      </c>
      <c r="B41" s="13">
        <f>'Arus Kas'!$C$31+NPV(A41,'Arus Kas'!$D$31:$W$31)</f>
        <v>-1694504.433244409</v>
      </c>
    </row>
    <row r="42" spans="1:2">
      <c r="A42" s="15">
        <v>0.165</v>
      </c>
      <c r="B42" s="13">
        <f>'Arus Kas'!$C$31+NPV(A42,'Arus Kas'!$D$31:$W$31)</f>
        <v>-1805553.8515713003</v>
      </c>
    </row>
    <row r="43" spans="1:2">
      <c r="A43" s="15">
        <v>0.17</v>
      </c>
      <c r="B43" s="13">
        <f>'Arus Kas'!$C$31+NPV(A43,'Arus Kas'!$D$31:$W$31)</f>
        <v>-1912189.5359468353</v>
      </c>
    </row>
    <row r="44" spans="1:2">
      <c r="A44" s="15">
        <v>0.175</v>
      </c>
      <c r="B44" s="13">
        <f>'Arus Kas'!$C$31+NPV(A44,'Arus Kas'!$D$31:$W$31)</f>
        <v>-2014649.9640669688</v>
      </c>
    </row>
    <row r="45" spans="1:2">
      <c r="A45" s="15">
        <v>0.18</v>
      </c>
      <c r="B45" s="13">
        <f>'Arus Kas'!$C$31+NPV(A45,'Arus Kas'!$D$31:$W$31)</f>
        <v>-2113157.924242423</v>
      </c>
    </row>
    <row r="46" spans="1:2">
      <c r="A46" s="15">
        <v>0.185</v>
      </c>
      <c r="B46" s="13">
        <f>'Arus Kas'!$C$31+NPV(A46,'Arus Kas'!$D$31:$W$31)</f>
        <v>-2207921.6984111844</v>
      </c>
    </row>
    <row r="47" spans="1:2">
      <c r="A47" s="15">
        <v>0.19</v>
      </c>
      <c r="B47" s="13">
        <f>'Arus Kas'!$C$31+NPV(A47,'Arus Kas'!$D$31:$W$31)</f>
        <v>-2299136.1465189694</v>
      </c>
    </row>
    <row r="48" spans="1:2">
      <c r="A48" s="15">
        <v>0.195</v>
      </c>
      <c r="B48" s="13">
        <f>'Arus Kas'!$C$31+NPV(A48,'Arus Kas'!$D$31:$W$31)</f>
        <v>-2386983.70115969</v>
      </c>
    </row>
    <row r="49" spans="1:5">
      <c r="A49" s="15">
        <v>0.2</v>
      </c>
      <c r="B49" s="13">
        <f>'Arus Kas'!$C$31+NPV(A49,'Arus Kas'!$D$31:$W$31)</f>
        <v>-2471635.280513374</v>
      </c>
    </row>
    <row r="50" spans="1:5">
      <c r="A50" s="15">
        <v>0.205</v>
      </c>
      <c r="B50" s="13">
        <f>'Arus Kas'!$C$31+NPV(A50,'Arus Kas'!$D$31:$W$31)</f>
        <v>-2553251.126851489</v>
      </c>
    </row>
    <row r="51" spans="1:5">
      <c r="A51" s="15">
        <v>0.21</v>
      </c>
      <c r="B51" s="13">
        <f>'Arus Kas'!$C$31+NPV(A51,'Arus Kas'!$D$31:$W$31)</f>
        <v>-2631981.5771891926</v>
      </c>
    </row>
    <row r="52" spans="1:5">
      <c r="A52" s="15">
        <v>0.215</v>
      </c>
      <c r="B52" s="13">
        <f>'Arus Kas'!$C$31+NPV(A52,'Arus Kas'!$D$31:$W$31)</f>
        <v>-2707967.772043052</v>
      </c>
    </row>
    <row r="53" spans="1:5">
      <c r="A53" s="15">
        <v>0.22</v>
      </c>
      <c r="B53" s="13">
        <f>'Arus Kas'!$C$31+NPV(A53,'Arus Kas'!$D$31:$W$31)</f>
        <v>-2781342.30769363</v>
      </c>
    </row>
    <row r="54" spans="1:5">
      <c r="A54" s="15">
        <v>0.225</v>
      </c>
      <c r="B54" s="13">
        <f>'Arus Kas'!$C$31+NPV(A54,'Arus Kas'!$D$31:$W$31)</f>
        <v>-2852229.836848759</v>
      </c>
    </row>
    <row r="55" spans="1:5">
      <c r="A55" s="15">
        <v>0.23</v>
      </c>
      <c r="B55" s="13">
        <f>'Arus Kas'!$C$31+NPV(A55,'Arus Kas'!$D$31:$W$31)</f>
        <v>-2920747.62214938</v>
      </c>
    </row>
    <row r="56" spans="1:5">
      <c r="A56" s="15">
        <v>0.235</v>
      </c>
      <c r="B56" s="13">
        <f>'Arus Kas'!$C$31+NPV(A56,'Arus Kas'!$D$31:$W$31)</f>
        <v>-2987006.046550407</v>
      </c>
    </row>
    <row r="57" spans="1:5">
      <c r="A57" s="15">
        <v>0.24</v>
      </c>
      <c r="B57" s="13">
        <f>'Arus Kas'!$C$31+NPV(A57,'Arus Kas'!$D$31:$W$31)</f>
        <v>-3051109.0842396813</v>
      </c>
    </row>
    <row r="60" spans="1:5">
      <c r="A60" s="9" t="s">
        <v>437</v>
      </c>
    </row>
    <row r="61" spans="1:5">
      <c r="A61" s="7" t="s">
        <v>438</v>
      </c>
      <c r="B61" s="7" t="s">
        <v>439</v>
      </c>
      <c r="C61" s="7" t="s">
        <v>440</v>
      </c>
      <c r="D61" s="7" t="s">
        <v>441</v>
      </c>
      <c r="E61" s="7" t="s">
        <v>442</v>
      </c>
    </row>
    <row r="62" spans="1:5">
      <c r="A62" s="6" t="s">
        <v>443</v>
      </c>
      <c r="B62" s="12">
        <v>5854380.909780908</v>
      </c>
      <c r="C62" s="13">
        <v>129020.6501137495</v>
      </c>
      <c r="D62" s="15">
        <v>0.1025236234521498</v>
      </c>
      <c r="E62" s="10">
        <v>7.107288425198968</v>
      </c>
    </row>
    <row r="63" spans="1:5">
      <c r="A63" s="6" t="s">
        <v>444</v>
      </c>
      <c r="B63" s="12">
        <v>5613847.657542313</v>
      </c>
      <c r="C63" s="13">
        <v>46788.20651347695</v>
      </c>
      <c r="D63" s="15">
        <v>0.1004752598477032</v>
      </c>
      <c r="E63" s="10">
        <v>7.099516402048245</v>
      </c>
    </row>
    <row r="64" spans="1:5">
      <c r="A64" s="6" t="s">
        <v>445</v>
      </c>
      <c r="B64" s="12">
        <v>5854380.909780908</v>
      </c>
      <c r="C64" s="13">
        <v>-663516.954305687</v>
      </c>
      <c r="D64" s="15">
        <v>0.08091621616030009</v>
      </c>
      <c r="E64" s="10">
        <v>8.188288505884929</v>
      </c>
    </row>
    <row r="65" spans="1:5">
      <c r="A65" s="6" t="s">
        <v>446</v>
      </c>
      <c r="B65" s="12">
        <v>5854380.909780908</v>
      </c>
      <c r="C65" s="13">
        <v>861968.7203711972</v>
      </c>
      <c r="D65" s="15">
        <v>0.1203825991788454</v>
      </c>
      <c r="E65" s="10">
        <v>6.500350090316062</v>
      </c>
    </row>
    <row r="66" spans="1:5">
      <c r="A66" s="6" t="s">
        <v>447</v>
      </c>
      <c r="B66" s="12">
        <v>5854380.909780908</v>
      </c>
      <c r="C66" s="13">
        <v>-590639.2015641645</v>
      </c>
      <c r="D66" s="15">
        <v>0.08375183248823381</v>
      </c>
      <c r="E66" s="10">
        <v>8.383441384714269</v>
      </c>
    </row>
    <row r="67" spans="1:5">
      <c r="A67" s="6" t="s">
        <v>448</v>
      </c>
      <c r="B67" s="12">
        <v>5854380.909780908</v>
      </c>
      <c r="C67" s="13">
        <v>369291.0429316084</v>
      </c>
      <c r="D67" s="15">
        <v>0.1087897125018025</v>
      </c>
      <c r="E67" s="10">
        <v>6.743112836863582</v>
      </c>
    </row>
    <row r="68" spans="1:5">
      <c r="A68" s="6" t="s">
        <v>449</v>
      </c>
      <c r="B68" s="12">
        <v>5854380.909780908</v>
      </c>
      <c r="C68" s="13">
        <v>570416.4072170705</v>
      </c>
      <c r="D68" s="15">
        <v>0.1139252291250838</v>
      </c>
      <c r="E68" s="10">
        <v>6.526762844875988</v>
      </c>
    </row>
    <row r="69" spans="1:5">
      <c r="A69" s="6" t="s">
        <v>450</v>
      </c>
      <c r="B69" s="12">
        <v>5854380.909780908</v>
      </c>
      <c r="C69" s="13">
        <v>-2850683.397964505</v>
      </c>
      <c r="D69" s="15">
        <v>0.006497286797974677</v>
      </c>
      <c r="E69" s="10">
        <v>18.35286470051364</v>
      </c>
    </row>
    <row r="70" spans="1:5">
      <c r="A70" s="6" t="s">
        <v>451</v>
      </c>
      <c r="B70" s="12">
        <v>5854380.909780908</v>
      </c>
      <c r="C70" s="13">
        <v>-3015034.41998241</v>
      </c>
      <c r="D70" s="15">
        <v>0.01627929705291487</v>
      </c>
      <c r="E70" s="10">
        <v>17.14955695364662</v>
      </c>
    </row>
    <row r="71" spans="1:5">
      <c r="A71" s="6" t="s">
        <v>452</v>
      </c>
      <c r="B71" s="12">
        <v>5854380.909780908</v>
      </c>
      <c r="C71" s="13">
        <v>158139.3104125496</v>
      </c>
      <c r="D71" s="15">
        <v>0.1030465683674682</v>
      </c>
      <c r="E71" s="10">
        <v>7.107288425198968</v>
      </c>
    </row>
    <row r="72" spans="1:5">
      <c r="A72" s="6" t="s">
        <v>453</v>
      </c>
      <c r="B72" s="12">
        <v>4817059.722561858</v>
      </c>
      <c r="C72" s="13">
        <v>1196086.670692117</v>
      </c>
      <c r="D72" s="15">
        <v>0.1353801946826338</v>
      </c>
      <c r="E72" s="10">
        <v>5.857717417446513</v>
      </c>
    </row>
    <row r="73" spans="1:5">
      <c r="A73" s="6" t="s">
        <v>454</v>
      </c>
      <c r="B73" s="12">
        <v>4747903.480335422</v>
      </c>
      <c r="C73" s="13">
        <v>-545533.6550221357</v>
      </c>
      <c r="D73" s="15">
        <v>0.08135254033316719</v>
      </c>
      <c r="E73" s="10">
        <v>8.404459986041342</v>
      </c>
    </row>
    <row r="74" spans="1:5">
      <c r="A74" s="6" t="s">
        <v>455</v>
      </c>
      <c r="B74" s="12">
        <v>3582370.608208029</v>
      </c>
      <c r="C74" s="13">
        <v>-1122674.464101898</v>
      </c>
      <c r="D74" s="15">
        <v>0.04825998548643295</v>
      </c>
      <c r="E74" s="10">
        <v>10.63336095380515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cols>
    <col min="1" max="1" width="34.7109375" customWidth="1"/>
    <col min="2" max="3" width="14.7109375" customWidth="1"/>
    <col min="4" max="4" width="60.7109375" customWidth="1"/>
  </cols>
  <sheetData>
    <row r="1" spans="1:4">
      <c r="A1" s="1" t="s">
        <v>456</v>
      </c>
    </row>
    <row r="3" spans="1:4">
      <c r="A3" s="7" t="s">
        <v>457</v>
      </c>
      <c r="B3" s="7" t="s">
        <v>440</v>
      </c>
      <c r="C3" s="7" t="s">
        <v>441</v>
      </c>
      <c r="D3" s="7" t="s">
        <v>442</v>
      </c>
    </row>
    <row r="4" spans="1:4">
      <c r="A4" t="s">
        <v>458</v>
      </c>
      <c r="B4" s="13">
        <v>-1730281.914806355</v>
      </c>
      <c r="C4" s="15">
        <v>0.05929348207770387</v>
      </c>
      <c r="D4" s="10">
        <v>6.331808194027735</v>
      </c>
    </row>
    <row r="5" spans="1:4">
      <c r="A5" t="s">
        <v>459</v>
      </c>
      <c r="B5" s="13">
        <v>-388881.7636418015</v>
      </c>
      <c r="C5" s="15">
        <v>0.09041792651619118</v>
      </c>
      <c r="D5" s="10">
        <v>7.844877698693628</v>
      </c>
    </row>
    <row r="6" spans="1:4">
      <c r="A6" t="s">
        <v>460</v>
      </c>
      <c r="B6" s="13">
        <v>846751.2294309021</v>
      </c>
      <c r="C6" s="15">
        <v>0.1204583463938919</v>
      </c>
      <c r="D6" s="10">
        <v>9.752764313883594</v>
      </c>
    </row>
    <row r="7" spans="1:4">
      <c r="A7" t="s">
        <v>461</v>
      </c>
      <c r="B7" s="13">
        <v>-412305.237131255</v>
      </c>
    </row>
    <row r="9" spans="1:4">
      <c r="A9" s="9" t="s">
        <v>462</v>
      </c>
      <c r="B9" s="4">
        <v>0.3533333333333333</v>
      </c>
    </row>
    <row r="10" spans="1:4">
      <c r="A10" s="9" t="s">
        <v>463</v>
      </c>
      <c r="B10" s="4">
        <v>0.3613333333333333</v>
      </c>
    </row>
    <row r="11" spans="1:4">
      <c r="A11" t="s">
        <v>464</v>
      </c>
      <c r="B11">
        <v>0</v>
      </c>
      <c r="C11">
        <v>0</v>
      </c>
    </row>
    <row r="13" spans="1:4">
      <c r="A13" s="9" t="s">
        <v>465</v>
      </c>
    </row>
    <row r="14" spans="1:4">
      <c r="A14" s="7" t="s">
        <v>466</v>
      </c>
      <c r="B14" s="7" t="s">
        <v>467</v>
      </c>
      <c r="C14" s="7"/>
      <c r="D14" s="7" t="s">
        <v>468</v>
      </c>
    </row>
    <row r="15" spans="1:4">
      <c r="A15" t="s">
        <v>11</v>
      </c>
      <c r="B15" s="10">
        <v>0.6244353671594851</v>
      </c>
      <c r="D15" s="6" t="s">
        <v>469</v>
      </c>
    </row>
    <row r="16" spans="1:4">
      <c r="A16" t="s">
        <v>470</v>
      </c>
      <c r="B16" s="10">
        <v>-0.5979916295546255</v>
      </c>
      <c r="D16" s="6" t="s">
        <v>471</v>
      </c>
    </row>
    <row r="17" spans="1:4">
      <c r="A17" t="s">
        <v>472</v>
      </c>
      <c r="B17" s="10">
        <v>0.2911184083464898</v>
      </c>
      <c r="D17" s="6" t="s">
        <v>473</v>
      </c>
    </row>
    <row r="18" spans="1:4">
      <c r="A18" t="s">
        <v>474</v>
      </c>
      <c r="B18" s="10">
        <v>-0.1902136073570674</v>
      </c>
      <c r="D18" s="6" t="s">
        <v>475</v>
      </c>
    </row>
    <row r="19" spans="1:4">
      <c r="A19" t="s">
        <v>56</v>
      </c>
      <c r="B19" s="10">
        <v>0.1348816056535117</v>
      </c>
      <c r="D19" s="6" t="s">
        <v>476</v>
      </c>
    </row>
    <row r="20" spans="1:4">
      <c r="A20" t="s">
        <v>477</v>
      </c>
      <c r="B20" s="10">
        <v>0.1170079103342122</v>
      </c>
      <c r="D20" s="6" t="s">
        <v>478</v>
      </c>
    </row>
    <row r="21" spans="1:4">
      <c r="A21" t="s">
        <v>148</v>
      </c>
      <c r="B21" s="10">
        <v>-0.1037863155318128</v>
      </c>
      <c r="D21" s="6" t="s">
        <v>479</v>
      </c>
    </row>
    <row r="22" spans="1:4">
      <c r="A22" t="s">
        <v>46</v>
      </c>
      <c r="B22" s="10">
        <v>0.09086092787343641</v>
      </c>
      <c r="D22" s="6" t="s">
        <v>480</v>
      </c>
    </row>
    <row r="23" spans="1:4">
      <c r="A23" t="s">
        <v>481</v>
      </c>
      <c r="B23" s="10">
        <v>-0.09054101272677918</v>
      </c>
      <c r="D23" s="6" t="s">
        <v>482</v>
      </c>
    </row>
    <row r="24" spans="1:4">
      <c r="A24" t="s">
        <v>15</v>
      </c>
      <c r="B24" s="10">
        <v>0.06047098671899851</v>
      </c>
      <c r="D24" s="6" t="s">
        <v>483</v>
      </c>
    </row>
    <row r="25" spans="1:4">
      <c r="A25" t="s">
        <v>18</v>
      </c>
      <c r="B25" s="10">
        <v>0.03862920251435584</v>
      </c>
      <c r="D25" s="6" t="s">
        <v>484</v>
      </c>
    </row>
    <row r="26" spans="1:4">
      <c r="A26" t="s">
        <v>79</v>
      </c>
      <c r="B26" s="10">
        <v>0.02745968038440893</v>
      </c>
      <c r="D26" s="6" t="s">
        <v>485</v>
      </c>
    </row>
    <row r="27" spans="1:4">
      <c r="A27" t="s">
        <v>60</v>
      </c>
      <c r="B27" s="10">
        <v>0.02344594127177125</v>
      </c>
      <c r="D27" s="6" t="s">
        <v>486</v>
      </c>
    </row>
    <row r="30" spans="1:4">
      <c r="A30" s="7" t="s">
        <v>487</v>
      </c>
      <c r="B30" s="7" t="s">
        <v>488</v>
      </c>
    </row>
    <row r="31" spans="1:4">
      <c r="A31" s="12">
        <v>-3719617.447175603</v>
      </c>
      <c r="B31" s="12">
        <v>3</v>
      </c>
    </row>
    <row r="32" spans="1:4">
      <c r="A32" s="12">
        <v>-3494195.074023815</v>
      </c>
      <c r="B32" s="12">
        <v>2</v>
      </c>
    </row>
    <row r="33" spans="1:2">
      <c r="A33" s="12">
        <v>-3268772.700872026</v>
      </c>
      <c r="B33" s="12">
        <v>1</v>
      </c>
    </row>
    <row r="34" spans="1:2">
      <c r="A34" s="12">
        <v>-3043350.327720238</v>
      </c>
      <c r="B34" s="12">
        <v>9</v>
      </c>
    </row>
    <row r="35" spans="1:2">
      <c r="A35" s="12">
        <v>-2817927.954568449</v>
      </c>
      <c r="B35" s="12">
        <v>22</v>
      </c>
    </row>
    <row r="36" spans="1:2">
      <c r="A36" s="12">
        <v>-2592505.581416661</v>
      </c>
      <c r="B36" s="12">
        <v>22</v>
      </c>
    </row>
    <row r="37" spans="1:2">
      <c r="A37" s="12">
        <v>-2367083.208264872</v>
      </c>
      <c r="B37" s="12">
        <v>44</v>
      </c>
    </row>
    <row r="38" spans="1:2">
      <c r="A38" s="12">
        <v>-2141660.835113084</v>
      </c>
      <c r="B38" s="12">
        <v>73</v>
      </c>
    </row>
    <row r="39" spans="1:2">
      <c r="A39" s="12">
        <v>-1916238.461961296</v>
      </c>
      <c r="B39" s="12">
        <v>89</v>
      </c>
    </row>
    <row r="40" spans="1:2">
      <c r="A40" s="12">
        <v>-1690816.088809507</v>
      </c>
      <c r="B40" s="12">
        <v>110</v>
      </c>
    </row>
    <row r="41" spans="1:2">
      <c r="A41" s="12">
        <v>-1465393.715657719</v>
      </c>
      <c r="B41" s="12">
        <v>151</v>
      </c>
    </row>
    <row r="42" spans="1:2">
      <c r="A42" s="12">
        <v>-1239971.342505931</v>
      </c>
      <c r="B42" s="12">
        <v>185</v>
      </c>
    </row>
    <row r="43" spans="1:2">
      <c r="A43" s="12">
        <v>-1014548.969354142</v>
      </c>
      <c r="B43" s="12">
        <v>198</v>
      </c>
    </row>
    <row r="44" spans="1:2">
      <c r="A44" s="12">
        <v>-789126.5962023542</v>
      </c>
      <c r="B44" s="12">
        <v>222</v>
      </c>
    </row>
    <row r="45" spans="1:2">
      <c r="A45" s="12">
        <v>-563704.2230505659</v>
      </c>
      <c r="B45" s="12">
        <v>289</v>
      </c>
    </row>
    <row r="46" spans="1:2">
      <c r="A46" s="12">
        <v>-338281.8498987774</v>
      </c>
      <c r="B46" s="12">
        <v>270</v>
      </c>
    </row>
    <row r="47" spans="1:2">
      <c r="A47" s="12">
        <v>-112859.4767469889</v>
      </c>
      <c r="B47" s="12">
        <v>250</v>
      </c>
    </row>
    <row r="48" spans="1:2">
      <c r="A48" s="12">
        <v>112562.8964047995</v>
      </c>
      <c r="B48" s="12">
        <v>256</v>
      </c>
    </row>
    <row r="49" spans="1:2">
      <c r="A49" s="12">
        <v>337985.269556588</v>
      </c>
      <c r="B49" s="12">
        <v>227</v>
      </c>
    </row>
    <row r="50" spans="1:2">
      <c r="A50" s="12">
        <v>563407.6427083765</v>
      </c>
      <c r="B50" s="12">
        <v>163</v>
      </c>
    </row>
    <row r="51" spans="1:2">
      <c r="A51" s="12">
        <v>788830.0158601645</v>
      </c>
      <c r="B51" s="12">
        <v>142</v>
      </c>
    </row>
    <row r="52" spans="1:2">
      <c r="A52" s="12">
        <v>1014252.389011953</v>
      </c>
      <c r="B52" s="12">
        <v>120</v>
      </c>
    </row>
    <row r="53" spans="1:2">
      <c r="A53" s="12">
        <v>1239674.762163741</v>
      </c>
      <c r="B53" s="12">
        <v>57</v>
      </c>
    </row>
    <row r="54" spans="1:2">
      <c r="A54" s="12">
        <v>1465097.13531553</v>
      </c>
      <c r="B54" s="12">
        <v>49</v>
      </c>
    </row>
    <row r="55" spans="1:2">
      <c r="A55" s="12">
        <v>1690519.508467318</v>
      </c>
      <c r="B55" s="12">
        <v>26</v>
      </c>
    </row>
    <row r="56" spans="1:2">
      <c r="A56" s="12">
        <v>1915941.881619107</v>
      </c>
      <c r="B56" s="12">
        <v>13</v>
      </c>
    </row>
    <row r="57" spans="1:2">
      <c r="A57" s="12">
        <v>2141364.254770895</v>
      </c>
      <c r="B57" s="12">
        <v>3</v>
      </c>
    </row>
    <row r="58" spans="1:2">
      <c r="A58" s="12">
        <v>2366786.627922683</v>
      </c>
      <c r="B58" s="12">
        <v>2</v>
      </c>
    </row>
    <row r="59" spans="1:2">
      <c r="A59" s="12">
        <v>2592209.001074471</v>
      </c>
      <c r="B59" s="12">
        <v>1</v>
      </c>
    </row>
    <row r="60" spans="1:2">
      <c r="A60" s="12">
        <v>2817631.37422626</v>
      </c>
      <c r="B60" s="12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32.7109375" customWidth="1"/>
    <col min="2" max="4" width="16.7109375" customWidth="1"/>
  </cols>
  <sheetData>
    <row r="1" spans="1:4">
      <c r="A1" s="1" t="s">
        <v>489</v>
      </c>
    </row>
    <row r="3" spans="1:4">
      <c r="A3" s="7" t="s">
        <v>388</v>
      </c>
      <c r="B3" s="7" t="s">
        <v>490</v>
      </c>
      <c r="C3" s="7" t="s">
        <v>491</v>
      </c>
      <c r="D3" s="7" t="s">
        <v>492</v>
      </c>
    </row>
    <row r="4" spans="1:4">
      <c r="A4" t="s">
        <v>214</v>
      </c>
      <c r="B4" s="12">
        <v>2</v>
      </c>
      <c r="C4" s="12">
        <v>3</v>
      </c>
      <c r="D4" s="12">
        <v>4</v>
      </c>
    </row>
    <row r="5" spans="1:4">
      <c r="A5" t="s">
        <v>439</v>
      </c>
      <c r="B5" s="12">
        <v>3582370.608208029</v>
      </c>
      <c r="C5" s="12">
        <v>4747903.480335422</v>
      </c>
      <c r="D5" s="12">
        <v>5854380.909780908</v>
      </c>
    </row>
    <row r="6" spans="1:4">
      <c r="A6" t="s">
        <v>493</v>
      </c>
      <c r="B6" s="10">
        <v>3.257571040050231</v>
      </c>
      <c r="C6" s="10">
        <v>4.901899146822746</v>
      </c>
      <c r="D6" s="10">
        <v>6.546227253595258</v>
      </c>
    </row>
    <row r="7" spans="1:4">
      <c r="A7" t="s">
        <v>494</v>
      </c>
      <c r="B7" s="12">
        <v>647146.3478942681</v>
      </c>
      <c r="C7" s="12">
        <v>958468.4574497071</v>
      </c>
      <c r="D7" s="12">
        <v>1278974.428439555</v>
      </c>
    </row>
    <row r="8" spans="1:4">
      <c r="A8" t="s">
        <v>440</v>
      </c>
      <c r="B8" s="13">
        <v>-1122674.464101898</v>
      </c>
      <c r="C8" s="13">
        <v>-545533.6550221357</v>
      </c>
      <c r="D8" s="13">
        <v>129020.6501137495</v>
      </c>
    </row>
    <row r="9" spans="1:4">
      <c r="A9" t="s">
        <v>441</v>
      </c>
      <c r="B9" s="15">
        <v>0.04825998548643295</v>
      </c>
      <c r="C9" s="15">
        <v>0.08135254033316719</v>
      </c>
      <c r="D9" s="15">
        <v>0.1025236234521498</v>
      </c>
    </row>
    <row r="10" spans="1:4">
      <c r="A10" t="s">
        <v>442</v>
      </c>
      <c r="B10" s="10">
        <v>10.63336095380515</v>
      </c>
      <c r="C10" s="10">
        <v>8.404459986041342</v>
      </c>
      <c r="D10" s="10">
        <v>7.107288425198968</v>
      </c>
    </row>
    <row r="12" spans="1:4">
      <c r="A12" s="2" t="s">
        <v>495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33"/>
  <sheetViews>
    <sheetView workbookViewId="0"/>
  </sheetViews>
  <sheetFormatPr defaultRowHeight="15"/>
  <cols>
    <col min="1" max="1" width="32.7109375" customWidth="1"/>
    <col min="2" max="30" width="11.7109375" customWidth="1"/>
  </cols>
  <sheetData>
    <row r="1" spans="1:30">
      <c r="A1" s="1" t="s">
        <v>496</v>
      </c>
    </row>
    <row r="3" spans="1:30">
      <c r="A3" s="7" t="s">
        <v>341</v>
      </c>
      <c r="B3" s="7">
        <v>2026</v>
      </c>
      <c r="C3" s="7">
        <v>2027</v>
      </c>
      <c r="D3" s="7">
        <v>2028</v>
      </c>
      <c r="E3" s="7">
        <v>2029</v>
      </c>
      <c r="F3" s="7">
        <v>2030</v>
      </c>
      <c r="G3" s="7">
        <v>2031</v>
      </c>
      <c r="H3" s="7">
        <v>2032</v>
      </c>
      <c r="I3" s="7">
        <v>2033</v>
      </c>
      <c r="J3" s="7">
        <v>2034</v>
      </c>
      <c r="K3" s="7">
        <v>2035</v>
      </c>
      <c r="L3" s="7">
        <v>2036</v>
      </c>
      <c r="M3" s="7">
        <v>2037</v>
      </c>
      <c r="N3" s="7">
        <v>2038</v>
      </c>
      <c r="O3" s="7">
        <v>2039</v>
      </c>
      <c r="P3" s="7">
        <v>2040</v>
      </c>
      <c r="Q3" s="7">
        <v>2041</v>
      </c>
      <c r="R3" s="7">
        <v>2042</v>
      </c>
      <c r="S3" s="7">
        <v>2043</v>
      </c>
      <c r="T3" s="7">
        <v>2044</v>
      </c>
      <c r="U3" s="7">
        <v>2045</v>
      </c>
      <c r="V3" s="7">
        <v>2046</v>
      </c>
      <c r="W3" s="7">
        <v>2047</v>
      </c>
      <c r="X3" s="7">
        <v>2048</v>
      </c>
      <c r="Y3" s="7">
        <v>2049</v>
      </c>
      <c r="Z3" s="7">
        <v>2050</v>
      </c>
      <c r="AA3" s="7">
        <v>2051</v>
      </c>
      <c r="AB3" s="7">
        <v>2052</v>
      </c>
      <c r="AC3" s="7">
        <v>2053</v>
      </c>
      <c r="AD3" s="7">
        <v>2054</v>
      </c>
    </row>
    <row r="4" spans="1:30">
      <c r="A4" t="s">
        <v>497</v>
      </c>
      <c r="B4" s="12">
        <v>0</v>
      </c>
      <c r="C4" s="12">
        <v>1</v>
      </c>
      <c r="D4" s="12">
        <v>1</v>
      </c>
      <c r="E4" s="12">
        <v>1</v>
      </c>
      <c r="F4" s="12">
        <v>1</v>
      </c>
      <c r="G4" s="12">
        <v>1</v>
      </c>
      <c r="H4" s="12">
        <v>1</v>
      </c>
      <c r="I4" s="12">
        <v>2</v>
      </c>
      <c r="J4" s="12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</row>
    <row r="5" spans="1:30">
      <c r="A5" t="s">
        <v>498</v>
      </c>
      <c r="B5" s="12">
        <v>0</v>
      </c>
      <c r="C5" s="12">
        <v>0</v>
      </c>
      <c r="D5" s="12">
        <v>1</v>
      </c>
      <c r="E5" s="12">
        <v>2</v>
      </c>
      <c r="F5" s="12">
        <v>3</v>
      </c>
      <c r="G5" s="12">
        <v>4</v>
      </c>
      <c r="H5" s="12">
        <v>5</v>
      </c>
      <c r="I5" s="12">
        <v>6</v>
      </c>
      <c r="J5" s="12">
        <v>8</v>
      </c>
      <c r="K5" s="12">
        <v>10</v>
      </c>
      <c r="L5" s="12">
        <v>10</v>
      </c>
      <c r="M5" s="12">
        <v>10</v>
      </c>
      <c r="N5" s="12">
        <v>10</v>
      </c>
      <c r="O5" s="12">
        <v>10</v>
      </c>
      <c r="P5" s="12">
        <v>10</v>
      </c>
      <c r="Q5" s="12">
        <v>10</v>
      </c>
      <c r="R5" s="12">
        <v>10</v>
      </c>
      <c r="S5" s="12">
        <v>10</v>
      </c>
      <c r="T5" s="12">
        <v>10</v>
      </c>
      <c r="U5" s="12">
        <v>10</v>
      </c>
      <c r="V5" s="12">
        <v>10</v>
      </c>
      <c r="W5" s="12">
        <v>10</v>
      </c>
      <c r="X5" s="12">
        <v>9</v>
      </c>
      <c r="Y5" s="12">
        <v>8</v>
      </c>
      <c r="Z5" s="12">
        <v>7</v>
      </c>
      <c r="AA5" s="12">
        <v>6</v>
      </c>
      <c r="AB5" s="12">
        <v>5</v>
      </c>
      <c r="AC5" s="12">
        <v>4</v>
      </c>
      <c r="AD5" s="12">
        <v>2</v>
      </c>
    </row>
    <row r="6" spans="1:30">
      <c r="A6" t="s">
        <v>499</v>
      </c>
      <c r="B6" s="10">
        <v>0</v>
      </c>
      <c r="C6" s="10">
        <v>0</v>
      </c>
      <c r="D6" s="10">
        <v>4.58235907751668</v>
      </c>
      <c r="E6" s="10">
        <v>11.12858633111194</v>
      </c>
      <c r="F6" s="10">
        <v>17.67481358470719</v>
      </c>
      <c r="G6" s="10">
        <v>24.22104083830245</v>
      </c>
      <c r="H6" s="10">
        <v>30.76726809189771</v>
      </c>
      <c r="I6" s="10">
        <v>37.31349534549297</v>
      </c>
      <c r="J6" s="10">
        <v>48.4420816766049</v>
      </c>
      <c r="K6" s="10">
        <v>61.53453618379541</v>
      </c>
      <c r="L6" s="10">
        <v>65.46227253595256</v>
      </c>
      <c r="M6" s="10">
        <v>65.46227253595256</v>
      </c>
      <c r="N6" s="10">
        <v>65.46227253595256</v>
      </c>
      <c r="O6" s="10">
        <v>65.46227253595256</v>
      </c>
      <c r="P6" s="10">
        <v>65.46227253595256</v>
      </c>
      <c r="Q6" s="10">
        <v>65.46227253595256</v>
      </c>
      <c r="R6" s="10">
        <v>65.46227253595256</v>
      </c>
      <c r="S6" s="10">
        <v>65.46227253595256</v>
      </c>
      <c r="T6" s="10">
        <v>65.46227253595256</v>
      </c>
      <c r="U6" s="10">
        <v>65.46227253595256</v>
      </c>
      <c r="V6" s="10">
        <v>65.46227253595256</v>
      </c>
      <c r="W6" s="10">
        <v>65.46227253595256</v>
      </c>
      <c r="X6" s="10">
        <v>58.91604528235731</v>
      </c>
      <c r="Y6" s="10">
        <v>52.36981802876205</v>
      </c>
      <c r="Z6" s="10">
        <v>45.8235907751668</v>
      </c>
      <c r="AA6" s="10">
        <v>39.27736352157154</v>
      </c>
      <c r="AB6" s="10">
        <v>32.73113626797629</v>
      </c>
      <c r="AC6" s="10">
        <v>26.18490901438103</v>
      </c>
      <c r="AD6" s="10">
        <v>13.09245450719052</v>
      </c>
    </row>
    <row r="7" spans="1:30">
      <c r="A7" t="s">
        <v>500</v>
      </c>
      <c r="B7" s="12">
        <v>0</v>
      </c>
      <c r="C7" s="12">
        <v>0</v>
      </c>
      <c r="D7" s="12">
        <v>21301.9844165466</v>
      </c>
      <c r="E7" s="12">
        <v>51733.39072589888</v>
      </c>
      <c r="F7" s="12">
        <v>82164.79703525116</v>
      </c>
      <c r="G7" s="12">
        <v>112596.2033446034</v>
      </c>
      <c r="H7" s="12">
        <v>143027.6096539557</v>
      </c>
      <c r="I7" s="12">
        <v>173459.015963308</v>
      </c>
      <c r="J7" s="12">
        <v>225192.4066892069</v>
      </c>
      <c r="K7" s="12">
        <v>286055.2193079115</v>
      </c>
      <c r="L7" s="12">
        <v>304314.0630935228</v>
      </c>
      <c r="M7" s="12">
        <v>304314.0630935228</v>
      </c>
      <c r="N7" s="12">
        <v>273882.6567841705</v>
      </c>
      <c r="O7" s="12">
        <v>243451.2504748183</v>
      </c>
      <c r="P7" s="12">
        <v>213019.844165466</v>
      </c>
      <c r="Q7" s="12">
        <v>182588.4378561137</v>
      </c>
      <c r="R7" s="12">
        <v>152157.0315467614</v>
      </c>
      <c r="S7" s="12">
        <v>121725.6252374091</v>
      </c>
      <c r="T7" s="12">
        <v>60862.81261870457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</row>
    <row r="8" spans="1:30">
      <c r="A8" t="s">
        <v>501</v>
      </c>
      <c r="B8" s="12">
        <v>0</v>
      </c>
      <c r="C8" s="12">
        <v>0</v>
      </c>
      <c r="D8" s="12">
        <v>920061.4475265164</v>
      </c>
      <c r="E8" s="12">
        <v>2210576.512380396</v>
      </c>
      <c r="F8" s="12">
        <v>3572362.597941558</v>
      </c>
      <c r="G8" s="12">
        <v>4962701.764002397</v>
      </c>
      <c r="H8" s="12">
        <v>6382445.499401517</v>
      </c>
      <c r="I8" s="12">
        <v>7832467.931298872</v>
      </c>
      <c r="J8" s="12">
        <v>10306527.56813346</v>
      </c>
      <c r="K8" s="12">
        <v>13198508.38624321</v>
      </c>
      <c r="L8" s="12">
        <v>14160071.79131011</v>
      </c>
      <c r="M8" s="12">
        <v>14405069.77926875</v>
      </c>
      <c r="N8" s="12">
        <v>14370314.03221004</v>
      </c>
      <c r="O8" s="12">
        <v>14193621.70443898</v>
      </c>
      <c r="P8" s="12">
        <v>14020215.02859885</v>
      </c>
      <c r="Q8" s="12">
        <v>13850159.71772828</v>
      </c>
      <c r="R8" s="12">
        <v>13683522.79912664</v>
      </c>
      <c r="S8" s="12">
        <v>13520372.64063933</v>
      </c>
      <c r="T8" s="12">
        <v>13164961.86124661</v>
      </c>
      <c r="U8" s="12">
        <v>12668020.89898122</v>
      </c>
      <c r="V8" s="12">
        <v>12566414.34688725</v>
      </c>
      <c r="W8" s="12">
        <v>12758897.59226644</v>
      </c>
      <c r="X8" s="12">
        <v>11659707.45229789</v>
      </c>
      <c r="Y8" s="12">
        <v>10524392.05683658</v>
      </c>
      <c r="Z8" s="12">
        <v>9351828.381635662</v>
      </c>
      <c r="AA8" s="12">
        <v>8140862.931580616</v>
      </c>
      <c r="AB8" s="12">
        <v>6890310.971064249</v>
      </c>
      <c r="AC8" s="12">
        <v>5598955.735765006</v>
      </c>
      <c r="AD8" s="12">
        <v>2843698.416928443</v>
      </c>
    </row>
    <row r="9" spans="1:30">
      <c r="A9" t="s">
        <v>502</v>
      </c>
      <c r="B9" s="12">
        <v>0</v>
      </c>
      <c r="C9" s="12">
        <v>0</v>
      </c>
      <c r="D9" s="12">
        <v>351135</v>
      </c>
      <c r="E9" s="12">
        <v>716315.4000000001</v>
      </c>
      <c r="F9" s="12">
        <v>1095962.562</v>
      </c>
      <c r="G9" s="12">
        <v>1490509.08432</v>
      </c>
      <c r="H9" s="12">
        <v>1900399.082508</v>
      </c>
      <c r="I9" s="12">
        <v>2326088.476989792</v>
      </c>
      <c r="J9" s="12">
        <v>3163480.328706117</v>
      </c>
      <c r="K9" s="12">
        <v>4033437.4191003</v>
      </c>
      <c r="L9" s="12">
        <v>4114106.167482306</v>
      </c>
      <c r="M9" s="12">
        <v>4196388.29083195</v>
      </c>
      <c r="N9" s="12">
        <v>4280316.056648592</v>
      </c>
      <c r="O9" s="12">
        <v>4365922.377781564</v>
      </c>
      <c r="P9" s="12">
        <v>4453240.825337194</v>
      </c>
      <c r="Q9" s="12">
        <v>4542305.641843938</v>
      </c>
      <c r="R9" s="12">
        <v>4633151.754680817</v>
      </c>
      <c r="S9" s="12">
        <v>4725814.789774434</v>
      </c>
      <c r="T9" s="12">
        <v>4820331.085569923</v>
      </c>
      <c r="U9" s="12">
        <v>4916737.707281321</v>
      </c>
      <c r="V9" s="12">
        <v>5015072.461426948</v>
      </c>
      <c r="W9" s="12">
        <v>5115373.910655487</v>
      </c>
      <c r="X9" s="12">
        <v>4695913.249981737</v>
      </c>
      <c r="Y9" s="12">
        <v>4257628.013316774</v>
      </c>
      <c r="Z9" s="12">
        <v>3799933.001885222</v>
      </c>
      <c r="AA9" s="12">
        <v>3322227.138791079</v>
      </c>
      <c r="AB9" s="12">
        <v>2823893.067972417</v>
      </c>
      <c r="AC9" s="12">
        <v>2304296.743465493</v>
      </c>
      <c r="AD9" s="12">
        <v>1175191.339167401</v>
      </c>
    </row>
    <row r="10" spans="1:30">
      <c r="A10" t="s">
        <v>503</v>
      </c>
      <c r="B10" s="12">
        <v>0</v>
      </c>
      <c r="C10" s="12">
        <v>0</v>
      </c>
      <c r="D10" s="12">
        <v>568926.4475265164</v>
      </c>
      <c r="E10" s="12">
        <v>1392650.646713468</v>
      </c>
      <c r="F10" s="12">
        <v>2229631.76217902</v>
      </c>
      <c r="G10" s="12">
        <v>3080266.597824248</v>
      </c>
      <c r="H10" s="12">
        <v>3944962.526939759</v>
      </c>
      <c r="I10" s="12">
        <v>4824137.756259711</v>
      </c>
      <c r="J10" s="12">
        <v>6315647.733282358</v>
      </c>
      <c r="K10" s="12">
        <v>8090903.187235391</v>
      </c>
      <c r="L10" s="12">
        <v>8681482.227729063</v>
      </c>
      <c r="M10" s="12">
        <v>8757103.407480691</v>
      </c>
      <c r="N10" s="12">
        <v>8638419.894605337</v>
      </c>
      <c r="O10" s="12">
        <v>8521279.053796921</v>
      </c>
      <c r="P10" s="12">
        <v>8405711.738496775</v>
      </c>
      <c r="Q10" s="12">
        <v>8291749.419215066</v>
      </c>
      <c r="R10" s="12">
        <v>8179424.195872165</v>
      </c>
      <c r="S10" s="12">
        <v>8068768.810386842</v>
      </c>
      <c r="T10" s="12">
        <v>7763999.543294247</v>
      </c>
      <c r="U10" s="12">
        <v>7460967.575508676</v>
      </c>
      <c r="V10" s="12">
        <v>7551341.885460299</v>
      </c>
      <c r="W10" s="12">
        <v>7643523.681610952</v>
      </c>
      <c r="X10" s="12">
        <v>6963794.202316156</v>
      </c>
      <c r="Y10" s="12">
        <v>6266764.043519806</v>
      </c>
      <c r="Z10" s="12">
        <v>5551895.37975044</v>
      </c>
      <c r="AA10" s="12">
        <v>4818635.792789538</v>
      </c>
      <c r="AB10" s="12">
        <v>4066417.903091831</v>
      </c>
      <c r="AC10" s="12">
        <v>3294658.992299513</v>
      </c>
      <c r="AD10" s="12">
        <v>1668507.077761041</v>
      </c>
    </row>
    <row r="11" spans="1:30">
      <c r="A11" t="s">
        <v>504</v>
      </c>
      <c r="B11" s="12">
        <v>0</v>
      </c>
      <c r="C11" s="12">
        <v>0</v>
      </c>
      <c r="D11" s="12">
        <v>0</v>
      </c>
      <c r="E11" s="12">
        <v>101610.4656669273</v>
      </c>
      <c r="F11" s="12">
        <v>246768.2737625376</v>
      </c>
      <c r="G11" s="12">
        <v>391926.081858148</v>
      </c>
      <c r="H11" s="12">
        <v>537083.8899537585</v>
      </c>
      <c r="I11" s="12">
        <v>682241.6980493688</v>
      </c>
      <c r="J11" s="12">
        <v>827399.5061449792</v>
      </c>
      <c r="K11" s="12">
        <v>1074167.779907517</v>
      </c>
      <c r="L11" s="12">
        <v>1364483.396098737</v>
      </c>
      <c r="M11" s="12">
        <v>1451578.080956104</v>
      </c>
      <c r="N11" s="12">
        <v>1451578.080956104</v>
      </c>
      <c r="O11" s="12">
        <v>1306420.272860494</v>
      </c>
      <c r="P11" s="12">
        <v>1161262.464764883</v>
      </c>
      <c r="Q11" s="12">
        <v>1016104.656669273</v>
      </c>
      <c r="R11" s="12">
        <v>870946.8485736622</v>
      </c>
      <c r="S11" s="12">
        <v>725789.0404780519</v>
      </c>
      <c r="T11" s="12">
        <v>580631.2323824415</v>
      </c>
      <c r="U11" s="12">
        <v>290315.6161912208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</row>
    <row r="12" spans="1:30">
      <c r="A12" t="s">
        <v>505</v>
      </c>
      <c r="B12" s="12">
        <v>0</v>
      </c>
      <c r="C12" s="12">
        <v>0</v>
      </c>
      <c r="D12" s="12">
        <v>413540.2604256268</v>
      </c>
      <c r="E12" s="12">
        <v>836234.138049875</v>
      </c>
      <c r="F12" s="12">
        <v>1272117.138408425</v>
      </c>
      <c r="G12" s="12">
        <v>1722661.648099826</v>
      </c>
      <c r="H12" s="12">
        <v>2188862.717955993</v>
      </c>
      <c r="I12" s="12">
        <v>2671522.63540708</v>
      </c>
      <c r="J12" s="12">
        <v>3593857.794735684</v>
      </c>
      <c r="K12" s="12">
        <v>4571492.943742846</v>
      </c>
      <c r="L12" s="12">
        <v>4710417.336898394</v>
      </c>
      <c r="M12" s="12">
        <v>4804625.683636362</v>
      </c>
      <c r="N12" s="12">
        <v>4900718.197309089</v>
      </c>
      <c r="O12" s="12">
        <v>4983209.281689825</v>
      </c>
      <c r="P12" s="12">
        <v>5067039.722166867</v>
      </c>
      <c r="Q12" s="12">
        <v>5152230.096550315</v>
      </c>
      <c r="R12" s="12">
        <v>5238801.270020234</v>
      </c>
      <c r="S12" s="12">
        <v>5326774.39839033</v>
      </c>
      <c r="T12" s="12">
        <v>5416170.931387222</v>
      </c>
      <c r="U12" s="12">
        <v>5489530.881874299</v>
      </c>
      <c r="V12" s="12">
        <v>5563658.762008305</v>
      </c>
      <c r="W12" s="12">
        <v>5674931.93724847</v>
      </c>
      <c r="X12" s="12">
        <v>5162365.982237052</v>
      </c>
      <c r="Y12" s="12">
        <v>4668725.207762579</v>
      </c>
      <c r="Z12" s="12">
        <v>4158553.748374782</v>
      </c>
      <c r="AA12" s="12">
        <v>3629732.637311521</v>
      </c>
      <c r="AB12" s="12">
        <v>3080853.73347782</v>
      </c>
      <c r="AC12" s="12">
        <v>2510796.895505516</v>
      </c>
      <c r="AD12" s="12">
        <v>1277733.7830244</v>
      </c>
    </row>
    <row r="13" spans="1:30">
      <c r="A13" t="s">
        <v>506</v>
      </c>
      <c r="B13" s="12">
        <v>0</v>
      </c>
      <c r="C13" s="12">
        <v>0</v>
      </c>
      <c r="D13" s="12">
        <v>506521.1871008896</v>
      </c>
      <c r="E13" s="12">
        <v>1374342.37433052</v>
      </c>
      <c r="F13" s="12">
        <v>2300245.459533133</v>
      </c>
      <c r="G13" s="12">
        <v>3240040.115902571</v>
      </c>
      <c r="H13" s="12">
        <v>4193582.781445524</v>
      </c>
      <c r="I13" s="12">
        <v>5160945.295891793</v>
      </c>
      <c r="J13" s="12">
        <v>6712669.773397771</v>
      </c>
      <c r="K13" s="12">
        <v>8627015.442500358</v>
      </c>
      <c r="L13" s="12">
        <v>9449654.454411715</v>
      </c>
      <c r="M13" s="12">
        <v>9600444.095632387</v>
      </c>
      <c r="N13" s="12">
        <v>9469595.834900945</v>
      </c>
      <c r="O13" s="12">
        <v>9210412.422749154</v>
      </c>
      <c r="P13" s="12">
        <v>8953175.306431986</v>
      </c>
      <c r="Q13" s="12">
        <v>8697929.62117796</v>
      </c>
      <c r="R13" s="12">
        <v>8444721.529106408</v>
      </c>
      <c r="S13" s="12">
        <v>8193598.242248999</v>
      </c>
      <c r="T13" s="12">
        <v>7748790.929859391</v>
      </c>
      <c r="U13" s="12">
        <v>7178490.017106922</v>
      </c>
      <c r="V13" s="12">
        <v>7002755.584878942</v>
      </c>
      <c r="W13" s="12">
        <v>7083965.655017969</v>
      </c>
      <c r="X13" s="12">
        <v>6497341.47006084</v>
      </c>
      <c r="Y13" s="12">
        <v>5855666.849074</v>
      </c>
      <c r="Z13" s="12">
        <v>5193274.63326088</v>
      </c>
      <c r="AA13" s="12">
        <v>4511130.294269095</v>
      </c>
      <c r="AB13" s="12">
        <v>3809457.237586428</v>
      </c>
      <c r="AC13" s="12">
        <v>3088158.840259491</v>
      </c>
      <c r="AD13" s="12">
        <v>1565964.633904043</v>
      </c>
    </row>
    <row r="14" spans="1:30">
      <c r="A14" t="s">
        <v>507</v>
      </c>
      <c r="B14" s="12">
        <v>0</v>
      </c>
      <c r="C14" s="12">
        <v>7025257.091737091</v>
      </c>
      <c r="D14" s="12">
        <v>5613180.416297935</v>
      </c>
      <c r="E14" s="12">
        <v>5528851.717669508</v>
      </c>
      <c r="F14" s="12">
        <v>5504466.248865006</v>
      </c>
      <c r="G14" s="12">
        <v>5511846.170440171</v>
      </c>
      <c r="H14" s="12">
        <v>5539083.889328546</v>
      </c>
      <c r="I14" s="12">
        <v>11101059.71183097</v>
      </c>
      <c r="J14" s="12">
        <v>11112478.12369291</v>
      </c>
      <c r="K14" s="12">
        <v>286822.2164693546</v>
      </c>
      <c r="L14" s="12">
        <v>292558.6607987417</v>
      </c>
      <c r="M14" s="12">
        <v>298409.8340147166</v>
      </c>
      <c r="N14" s="12">
        <v>304378.0306950109</v>
      </c>
      <c r="O14" s="12">
        <v>439826.2543542908</v>
      </c>
      <c r="P14" s="12">
        <v>448622.7794413766</v>
      </c>
      <c r="Q14" s="12">
        <v>780603.6362279954</v>
      </c>
      <c r="R14" s="12">
        <v>796215.7089525552</v>
      </c>
      <c r="S14" s="12">
        <v>476082.0825254244</v>
      </c>
      <c r="T14" s="12">
        <v>485603.7241759329</v>
      </c>
      <c r="U14" s="12">
        <v>640996.9159122314</v>
      </c>
      <c r="V14" s="12">
        <v>653816.8542304761</v>
      </c>
      <c r="W14" s="12">
        <v>363759.9225355012</v>
      </c>
      <c r="X14" s="12">
        <v>371035.1209862113</v>
      </c>
      <c r="Y14" s="12">
        <v>756911.6468118711</v>
      </c>
      <c r="Z14" s="12">
        <v>772049.8797481086</v>
      </c>
      <c r="AA14" s="12">
        <v>0</v>
      </c>
      <c r="AB14" s="12">
        <v>0</v>
      </c>
      <c r="AC14" s="12">
        <v>0</v>
      </c>
      <c r="AD14" s="12">
        <v>0</v>
      </c>
    </row>
    <row r="15" spans="1:30">
      <c r="A15" t="s">
        <v>508</v>
      </c>
      <c r="B15" s="12">
        <v>1050000</v>
      </c>
      <c r="C15" s="12">
        <v>481500</v>
      </c>
      <c r="D15" s="12">
        <v>515205</v>
      </c>
      <c r="E15" s="12">
        <v>551269.3500000001</v>
      </c>
      <c r="F15" s="12">
        <v>589858.2045000001</v>
      </c>
      <c r="G15" s="12">
        <v>631148.2788150002</v>
      </c>
      <c r="H15" s="12">
        <v>675328.6583320502</v>
      </c>
      <c r="I15" s="12">
        <v>722601.6644152937</v>
      </c>
      <c r="J15" s="12">
        <v>773183.7809243645</v>
      </c>
      <c r="K15" s="12">
        <v>788647.4565428518</v>
      </c>
      <c r="L15" s="12">
        <v>804420.4056737088</v>
      </c>
      <c r="M15" s="12">
        <v>820508.813787183</v>
      </c>
      <c r="N15" s="12">
        <v>836918.9900629265</v>
      </c>
      <c r="O15" s="12">
        <v>853657.3698641851</v>
      </c>
      <c r="P15" s="12">
        <v>870730.5172614689</v>
      </c>
      <c r="Q15" s="12">
        <v>888145.1276066983</v>
      </c>
      <c r="R15" s="12">
        <v>905908.0301588323</v>
      </c>
      <c r="S15" s="12">
        <v>924026.190762009</v>
      </c>
      <c r="T15" s="12">
        <v>942506.7145772491</v>
      </c>
      <c r="U15" s="12">
        <v>961356.8488687942</v>
      </c>
      <c r="V15" s="12">
        <v>980583.98584617</v>
      </c>
      <c r="W15" s="12">
        <v>1000195.665563093</v>
      </c>
      <c r="X15" s="12">
        <v>1020199.578874355</v>
      </c>
      <c r="Y15" s="12">
        <v>1040603.570451843</v>
      </c>
      <c r="Z15" s="12">
        <v>1061415.641860879</v>
      </c>
      <c r="AA15" s="12">
        <v>1082643.954698097</v>
      </c>
      <c r="AB15" s="12">
        <v>1104296.833792059</v>
      </c>
      <c r="AC15" s="12">
        <v>1126382.7704679</v>
      </c>
      <c r="AD15" s="12">
        <v>1148910.425877258</v>
      </c>
    </row>
    <row r="16" spans="1:30">
      <c r="A16" s="9" t="s">
        <v>509</v>
      </c>
      <c r="B16" s="13">
        <v>-1050000</v>
      </c>
      <c r="C16" s="13">
        <v>-8279535.37182817</v>
      </c>
      <c r="D16" s="13">
        <v>-6356567.442219468</v>
      </c>
      <c r="E16" s="13">
        <v>-4718571.602362801</v>
      </c>
      <c r="F16" s="13">
        <v>-3970149.682326341</v>
      </c>
      <c r="G16" s="13">
        <v>-3092601.571576301</v>
      </c>
      <c r="H16" s="13">
        <v>-2219702.34235993</v>
      </c>
      <c r="I16" s="13">
        <v>-7476218.743579534</v>
      </c>
      <c r="J16" s="13">
        <v>-6116951.862561818</v>
      </c>
      <c r="K16" s="13">
        <v>8377621.804594023</v>
      </c>
      <c r="L16" s="13">
        <v>9428401.207547272</v>
      </c>
      <c r="M16" s="13">
        <v>8322475.6098988</v>
      </c>
      <c r="N16" s="13">
        <v>7969085.654486156</v>
      </c>
      <c r="O16" s="13">
        <v>7270085.728022884</v>
      </c>
      <c r="P16" s="13">
        <v>6831520.488639248</v>
      </c>
      <c r="Q16" s="13">
        <v>6056486.569788044</v>
      </c>
      <c r="R16" s="13">
        <v>5385762.711476308</v>
      </c>
      <c r="S16" s="13">
        <v>5130457.395029677</v>
      </c>
      <c r="T16" s="13">
        <v>4792535.742932299</v>
      </c>
      <c r="U16" s="13">
        <v>4204826.009975646</v>
      </c>
      <c r="V16" s="13">
        <v>3980392.284310313</v>
      </c>
      <c r="W16" s="13">
        <v>4426085.983409175</v>
      </c>
      <c r="X16" s="13">
        <v>3937211.706792635</v>
      </c>
      <c r="Y16" s="13">
        <v>3025017.930525307</v>
      </c>
      <c r="Z16" s="13">
        <v>2466808.235216787</v>
      </c>
      <c r="AA16" s="13">
        <v>2676662.816562089</v>
      </c>
      <c r="AB16" s="13">
        <v>2098643.226748772</v>
      </c>
      <c r="AC16" s="13">
        <v>1679174.777336169</v>
      </c>
      <c r="AD16" s="13">
        <v>451001.4881784462</v>
      </c>
    </row>
    <row r="17" spans="1:30">
      <c r="A17" s="9" t="s">
        <v>370</v>
      </c>
      <c r="B17" s="13">
        <f>B16</f>
        <v>0</v>
      </c>
      <c r="C17" s="13">
        <f>B17+C16</f>
        <v>0</v>
      </c>
      <c r="D17" s="13">
        <f>C17+D16</f>
        <v>0</v>
      </c>
      <c r="E17" s="13">
        <f>D17+E16</f>
        <v>0</v>
      </c>
      <c r="F17" s="13">
        <f>E17+F16</f>
        <v>0</v>
      </c>
      <c r="G17" s="13">
        <f>F17+G16</f>
        <v>0</v>
      </c>
      <c r="H17" s="13">
        <f>G17+H16</f>
        <v>0</v>
      </c>
      <c r="I17" s="13">
        <f>H17+I16</f>
        <v>0</v>
      </c>
      <c r="J17" s="13">
        <f>I17+J16</f>
        <v>0</v>
      </c>
      <c r="K17" s="13">
        <f>J17+K16</f>
        <v>0</v>
      </c>
      <c r="L17" s="13">
        <f>K17+L16</f>
        <v>0</v>
      </c>
      <c r="M17" s="13">
        <f>L17+M16</f>
        <v>0</v>
      </c>
      <c r="N17" s="13">
        <f>M17+N16</f>
        <v>0</v>
      </c>
      <c r="O17" s="13">
        <f>N17+O16</f>
        <v>0</v>
      </c>
      <c r="P17" s="13">
        <f>O17+P16</f>
        <v>0</v>
      </c>
      <c r="Q17" s="13">
        <f>P17+Q16</f>
        <v>0</v>
      </c>
      <c r="R17" s="13">
        <f>Q17+R16</f>
        <v>0</v>
      </c>
      <c r="S17" s="13">
        <f>R17+S16</f>
        <v>0</v>
      </c>
      <c r="T17" s="13">
        <f>S17+T16</f>
        <v>0</v>
      </c>
      <c r="U17" s="13">
        <f>T17+U16</f>
        <v>0</v>
      </c>
      <c r="V17" s="13">
        <f>U17+V16</f>
        <v>0</v>
      </c>
      <c r="W17" s="13">
        <f>V17+W16</f>
        <v>0</v>
      </c>
      <c r="X17" s="13">
        <f>W17+X16</f>
        <v>0</v>
      </c>
      <c r="Y17" s="13">
        <f>X17+Y16</f>
        <v>0</v>
      </c>
      <c r="Z17" s="13">
        <f>Y17+Z16</f>
        <v>0</v>
      </c>
      <c r="AA17" s="13">
        <f>Z17+AA16</f>
        <v>0</v>
      </c>
      <c r="AB17" s="13">
        <f>AA17+AB16</f>
        <v>0</v>
      </c>
      <c r="AC17" s="13">
        <f>AB17+AC16</f>
        <v>0</v>
      </c>
      <c r="AD17" s="13">
        <f>AC17+AD16</f>
        <v>0</v>
      </c>
    </row>
    <row r="19" spans="1:30">
      <c r="A19" s="9" t="s">
        <v>510</v>
      </c>
      <c r="B19" s="3">
        <f>B16+NPV(WACC,C16:AD16)</f>
        <v>-5202355.365054179</v>
      </c>
    </row>
    <row r="20" spans="1:30">
      <c r="A20" s="9" t="s">
        <v>511</v>
      </c>
      <c r="B20" s="4">
        <f>IRR(B16:AD16)</f>
        <v>0.07877958091348658</v>
      </c>
    </row>
    <row r="21" spans="1:30">
      <c r="A21" s="9" t="s">
        <v>512</v>
      </c>
      <c r="B21" s="3">
        <f>-MIN(B17:AD17)</f>
        <v>43280298.618814364</v>
      </c>
    </row>
    <row r="23" spans="1:30">
      <c r="A23" s="7" t="s">
        <v>513</v>
      </c>
      <c r="B23" s="7" t="s">
        <v>341</v>
      </c>
      <c r="C23" s="7" t="s">
        <v>514</v>
      </c>
      <c r="D23" s="7" t="s">
        <v>439</v>
      </c>
      <c r="E23" s="7" t="s">
        <v>515</v>
      </c>
      <c r="F23" s="7" t="s">
        <v>516</v>
      </c>
    </row>
    <row r="24" spans="1:30">
      <c r="A24">
        <v>1</v>
      </c>
      <c r="B24">
        <v>2027</v>
      </c>
      <c r="C24" s="10">
        <v>1.2</v>
      </c>
      <c r="D24" s="12">
        <v>7025257.091737091</v>
      </c>
      <c r="E24" s="13">
        <v>-1109126.477062841</v>
      </c>
      <c r="F24" s="15">
        <v>0.07455499125565535</v>
      </c>
    </row>
    <row r="25" spans="1:30">
      <c r="A25">
        <v>2</v>
      </c>
      <c r="B25">
        <v>2028</v>
      </c>
      <c r="C25" s="10">
        <v>0.9400000000000001</v>
      </c>
      <c r="D25" s="12">
        <v>5613180.416297935</v>
      </c>
      <c r="E25" s="13">
        <v>433111.6976284374</v>
      </c>
      <c r="F25" s="15">
        <v>0.1107386322636519</v>
      </c>
    </row>
    <row r="26" spans="1:30">
      <c r="A26">
        <v>3</v>
      </c>
      <c r="B26">
        <v>2029</v>
      </c>
      <c r="C26" s="10">
        <v>0.907723591787405</v>
      </c>
      <c r="D26" s="12">
        <v>5528851.717669508</v>
      </c>
      <c r="E26" s="13">
        <v>574894.665358255</v>
      </c>
      <c r="F26" s="15">
        <v>0.114670586811664</v>
      </c>
    </row>
    <row r="27" spans="1:30">
      <c r="A27">
        <v>4</v>
      </c>
      <c r="B27">
        <v>2030</v>
      </c>
      <c r="C27" s="10">
        <v>0.886</v>
      </c>
      <c r="D27" s="12">
        <v>5504466.248865006</v>
      </c>
      <c r="E27" s="13">
        <v>655332.0568112334</v>
      </c>
      <c r="F27" s="15">
        <v>0.1168548746558413</v>
      </c>
    </row>
    <row r="28" spans="1:30">
      <c r="A28">
        <v>5</v>
      </c>
      <c r="B28">
        <v>2031</v>
      </c>
      <c r="C28" s="10">
        <v>0.8697920330082306</v>
      </c>
      <c r="D28" s="12">
        <v>5511846.170440171</v>
      </c>
      <c r="E28" s="13">
        <v>703789.8400098421</v>
      </c>
      <c r="F28" s="15">
        <v>0.1180906934447368</v>
      </c>
    </row>
    <row r="29" spans="1:30">
      <c r="A29">
        <v>6</v>
      </c>
      <c r="B29">
        <v>2032</v>
      </c>
      <c r="C29" s="10">
        <v>0.8569512326086645</v>
      </c>
      <c r="D29" s="12">
        <v>5539083.889328546</v>
      </c>
      <c r="E29" s="13">
        <v>732502.3953735256</v>
      </c>
      <c r="F29" s="15">
        <v>0.118729939587872</v>
      </c>
    </row>
    <row r="30" spans="1:30">
      <c r="A30">
        <v>7</v>
      </c>
      <c r="B30">
        <v>2033</v>
      </c>
      <c r="C30" s="10">
        <v>0.8463687003893453</v>
      </c>
      <c r="D30" s="12">
        <v>5580095.103961911</v>
      </c>
      <c r="E30" s="13">
        <v>748137.1625505021</v>
      </c>
      <c r="F30" s="15">
        <v>0.1189733260147603</v>
      </c>
    </row>
    <row r="31" spans="1:30">
      <c r="A31">
        <v>8</v>
      </c>
      <c r="B31">
        <v>2033</v>
      </c>
      <c r="C31" s="10">
        <v>0.8374</v>
      </c>
      <c r="D31" s="12">
        <v>5520964.607869056</v>
      </c>
      <c r="E31" s="13">
        <v>808912.1042101912</v>
      </c>
      <c r="F31" s="15">
        <v>0.1207665536847264</v>
      </c>
    </row>
    <row r="32" spans="1:30">
      <c r="A32">
        <v>9</v>
      </c>
      <c r="B32">
        <v>2034</v>
      </c>
      <c r="C32" s="10">
        <v>0.8296387427625059</v>
      </c>
      <c r="D32" s="12">
        <v>5579190.660175485</v>
      </c>
      <c r="E32" s="13">
        <v>808009.0118129521</v>
      </c>
      <c r="F32" s="15">
        <v>0.1205004613958522</v>
      </c>
    </row>
    <row r="33" spans="1:6">
      <c r="A33">
        <v>10</v>
      </c>
      <c r="B33">
        <v>2034</v>
      </c>
      <c r="C33" s="10">
        <v>0.8228128297074077</v>
      </c>
      <c r="D33" s="12">
        <v>5533287.463517423</v>
      </c>
      <c r="E33" s="13">
        <v>855188.7969192037</v>
      </c>
      <c r="F33" s="15">
        <v>0.1218969941766184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1" width="70.7109375" customWidth="1"/>
    <col min="2" max="4" width="14.7109375" customWidth="1"/>
  </cols>
  <sheetData>
    <row r="1" spans="1:4">
      <c r="A1" s="1" t="s">
        <v>517</v>
      </c>
    </row>
    <row r="3" spans="1:4">
      <c r="A3" s="7" t="s">
        <v>518</v>
      </c>
      <c r="B3" s="7" t="s">
        <v>519</v>
      </c>
      <c r="C3" s="7" t="s">
        <v>520</v>
      </c>
      <c r="D3" s="7" t="s">
        <v>521</v>
      </c>
    </row>
    <row r="4" spans="1:4">
      <c r="A4" s="6" t="s">
        <v>522</v>
      </c>
      <c r="B4" s="12">
        <v>161</v>
      </c>
      <c r="C4" s="10">
        <v>140</v>
      </c>
      <c r="D4" s="12">
        <v>22565.2</v>
      </c>
    </row>
    <row r="5" spans="1:4">
      <c r="A5" s="6" t="s">
        <v>523</v>
      </c>
      <c r="B5" s="12">
        <v>154</v>
      </c>
      <c r="C5" s="10">
        <v>70</v>
      </c>
      <c r="D5" s="12">
        <v>10755</v>
      </c>
    </row>
    <row r="6" spans="1:4">
      <c r="A6" s="6" t="s">
        <v>524</v>
      </c>
      <c r="B6" s="12">
        <v>64</v>
      </c>
      <c r="C6" s="10">
        <v>70</v>
      </c>
      <c r="D6" s="12">
        <v>4492.250000000001</v>
      </c>
    </row>
    <row r="7" spans="1:4">
      <c r="A7" s="6" t="s">
        <v>525</v>
      </c>
      <c r="B7" s="12">
        <v>88</v>
      </c>
      <c r="C7" s="10">
        <v>45</v>
      </c>
      <c r="D7" s="12">
        <v>3937.5</v>
      </c>
    </row>
    <row r="8" spans="1:4">
      <c r="A8" s="6" t="s">
        <v>526</v>
      </c>
      <c r="B8" s="12">
        <v>256</v>
      </c>
      <c r="C8" s="10">
        <v>40</v>
      </c>
      <c r="D8" s="12">
        <v>28232</v>
      </c>
    </row>
    <row r="11" spans="1:4">
      <c r="A11" t="s">
        <v>527</v>
      </c>
      <c r="B11" s="12">
        <v>22361.43506493507</v>
      </c>
    </row>
    <row r="12" spans="1:4">
      <c r="A12" t="s">
        <v>528</v>
      </c>
      <c r="B12" s="12">
        <v>11280.68181818182</v>
      </c>
    </row>
    <row r="13" spans="1:4">
      <c r="A13" t="s">
        <v>529</v>
      </c>
      <c r="B13" s="12">
        <v>11080.75324675325</v>
      </c>
    </row>
    <row r="14" spans="1:4">
      <c r="A14" t="s">
        <v>530</v>
      </c>
      <c r="B14" s="12">
        <v>4257.712333333333</v>
      </c>
    </row>
    <row r="17" spans="1:4">
      <c r="A17" s="9" t="s">
        <v>531</v>
      </c>
    </row>
    <row r="18" spans="1:4">
      <c r="A18" s="7" t="s">
        <v>254</v>
      </c>
      <c r="B18" s="7" t="s">
        <v>532</v>
      </c>
      <c r="C18" s="7" t="s">
        <v>533</v>
      </c>
      <c r="D18" s="7" t="s">
        <v>534</v>
      </c>
    </row>
    <row r="19" spans="1:4">
      <c r="A19" s="6" t="s">
        <v>535</v>
      </c>
      <c r="B19" s="10">
        <v>15.8</v>
      </c>
      <c r="C19" s="12">
        <v>15</v>
      </c>
      <c r="D19" t="s">
        <v>536</v>
      </c>
    </row>
    <row r="20" spans="1:4">
      <c r="A20" s="6" t="s">
        <v>537</v>
      </c>
      <c r="B20" s="10">
        <v>20.8</v>
      </c>
      <c r="C20" s="12">
        <v>15</v>
      </c>
      <c r="D20" t="s">
        <v>536</v>
      </c>
    </row>
    <row r="21" spans="1:4">
      <c r="A21" s="6" t="s">
        <v>538</v>
      </c>
      <c r="B21" s="10">
        <v>141.5</v>
      </c>
      <c r="C21" s="12">
        <v>30</v>
      </c>
      <c r="D21" t="s">
        <v>536</v>
      </c>
    </row>
    <row r="22" spans="1:4">
      <c r="A22" s="6" t="s">
        <v>539</v>
      </c>
      <c r="B22" s="10">
        <v>208</v>
      </c>
      <c r="C22" s="12">
        <v>30</v>
      </c>
      <c r="D22" t="s">
        <v>536</v>
      </c>
    </row>
    <row r="23" spans="1:4">
      <c r="A23" s="6" t="s">
        <v>540</v>
      </c>
      <c r="B23" s="10">
        <v>21.5</v>
      </c>
      <c r="C23" s="12">
        <v>10</v>
      </c>
      <c r="D23" t="s">
        <v>536</v>
      </c>
    </row>
    <row r="24" spans="1:4">
      <c r="A24" s="6" t="s">
        <v>541</v>
      </c>
      <c r="B24" s="10">
        <v>20.9</v>
      </c>
      <c r="C24" s="12">
        <v>20</v>
      </c>
      <c r="D24" t="s">
        <v>536</v>
      </c>
    </row>
    <row r="25" spans="1:4">
      <c r="A25" s="6" t="s">
        <v>542</v>
      </c>
      <c r="B25" s="10">
        <v>137.1</v>
      </c>
      <c r="C25" s="12">
        <v>30</v>
      </c>
      <c r="D25" t="s">
        <v>536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1" width="52.7109375" customWidth="1"/>
    <col min="2" max="2" width="16.7109375" customWidth="1"/>
    <col min="3" max="3" width="14.7109375" customWidth="1"/>
    <col min="4" max="4" width="18.7109375" customWidth="1"/>
    <col min="5" max="5" width="60.7109375" customWidth="1"/>
    <col min="6" max="7" width="18.7109375" customWidth="1"/>
  </cols>
  <sheetData>
    <row r="1" spans="1:5">
      <c r="A1" s="1" t="s">
        <v>543</v>
      </c>
    </row>
    <row r="3" spans="1:5">
      <c r="A3" s="7" t="s">
        <v>544</v>
      </c>
      <c r="B3" s="7" t="s">
        <v>2</v>
      </c>
      <c r="C3" s="7" t="s">
        <v>3</v>
      </c>
      <c r="D3" s="7" t="s">
        <v>545</v>
      </c>
      <c r="E3" s="7" t="s">
        <v>546</v>
      </c>
    </row>
    <row r="4" spans="1:5">
      <c r="A4" t="s">
        <v>547</v>
      </c>
      <c r="B4" s="8">
        <v>1300</v>
      </c>
      <c r="C4" t="s">
        <v>548</v>
      </c>
      <c r="D4" t="s">
        <v>549</v>
      </c>
      <c r="E4" s="6" t="s">
        <v>550</v>
      </c>
    </row>
    <row r="5" spans="1:5">
      <c r="A5" t="s">
        <v>551</v>
      </c>
      <c r="B5" s="8">
        <v>0.115</v>
      </c>
      <c r="C5" t="s">
        <v>12</v>
      </c>
      <c r="D5" t="s">
        <v>552</v>
      </c>
      <c r="E5" s="6" t="s">
        <v>553</v>
      </c>
    </row>
    <row r="6" spans="1:5">
      <c r="A6" t="s">
        <v>554</v>
      </c>
      <c r="B6" s="8">
        <v>150000000</v>
      </c>
      <c r="C6" t="s">
        <v>555</v>
      </c>
      <c r="D6" t="s">
        <v>552</v>
      </c>
      <c r="E6" s="6" t="s">
        <v>556</v>
      </c>
    </row>
    <row r="7" spans="1:5">
      <c r="A7" t="s">
        <v>557</v>
      </c>
      <c r="B7" s="8">
        <v>0.65</v>
      </c>
      <c r="C7" t="s">
        <v>12</v>
      </c>
      <c r="D7" t="s">
        <v>558</v>
      </c>
      <c r="E7" s="6" t="s">
        <v>559</v>
      </c>
    </row>
    <row r="8" spans="1:5">
      <c r="A8" t="s">
        <v>560</v>
      </c>
      <c r="B8" s="8">
        <v>0.85</v>
      </c>
      <c r="C8" t="s">
        <v>12</v>
      </c>
      <c r="D8" t="s">
        <v>552</v>
      </c>
      <c r="E8" s="6" t="s">
        <v>561</v>
      </c>
    </row>
    <row r="9" spans="1:5">
      <c r="A9" t="s">
        <v>562</v>
      </c>
      <c r="B9" s="8">
        <v>0.2</v>
      </c>
      <c r="C9" t="s">
        <v>12</v>
      </c>
      <c r="D9" t="s">
        <v>563</v>
      </c>
      <c r="E9" s="6" t="s">
        <v>564</v>
      </c>
    </row>
    <row r="10" spans="1:5">
      <c r="A10" t="s">
        <v>565</v>
      </c>
      <c r="B10" s="8">
        <v>0.6</v>
      </c>
      <c r="C10" t="s">
        <v>12</v>
      </c>
      <c r="D10" t="s">
        <v>563</v>
      </c>
      <c r="E10" s="6" t="s">
        <v>566</v>
      </c>
    </row>
    <row r="11" spans="1:5">
      <c r="A11" t="s">
        <v>567</v>
      </c>
      <c r="B11" s="8">
        <v>0.75</v>
      </c>
      <c r="C11" t="s">
        <v>12</v>
      </c>
      <c r="D11" t="s">
        <v>563</v>
      </c>
      <c r="E11" s="6" t="s">
        <v>568</v>
      </c>
    </row>
    <row r="12" spans="1:5">
      <c r="A12" t="s">
        <v>569</v>
      </c>
      <c r="B12" s="8">
        <v>175500</v>
      </c>
      <c r="C12" t="s">
        <v>555</v>
      </c>
      <c r="D12" t="s">
        <v>570</v>
      </c>
      <c r="E12" s="6" t="s">
        <v>571</v>
      </c>
    </row>
    <row r="13" spans="1:5">
      <c r="A13" t="s">
        <v>572</v>
      </c>
      <c r="B13" s="8">
        <v>1268976.768267485</v>
      </c>
      <c r="C13" t="s">
        <v>73</v>
      </c>
      <c r="D13" t="s">
        <v>570</v>
      </c>
      <c r="E13" s="6" t="s">
        <v>573</v>
      </c>
    </row>
    <row r="14" spans="1:5">
      <c r="A14" t="s">
        <v>574</v>
      </c>
      <c r="B14" s="8">
        <v>10</v>
      </c>
      <c r="C14" t="s">
        <v>575</v>
      </c>
      <c r="D14" t="s">
        <v>576</v>
      </c>
      <c r="E14" s="6" t="s">
        <v>577</v>
      </c>
    </row>
    <row r="15" spans="1:5">
      <c r="A15" t="s">
        <v>578</v>
      </c>
      <c r="B15" s="8">
        <v>1.6</v>
      </c>
      <c r="C15" t="s">
        <v>579</v>
      </c>
      <c r="D15" t="s">
        <v>570</v>
      </c>
      <c r="E15" s="6" t="s">
        <v>580</v>
      </c>
    </row>
    <row r="18" spans="1:5">
      <c r="A18" s="7" t="s">
        <v>581</v>
      </c>
      <c r="B18" s="7" t="s">
        <v>582</v>
      </c>
      <c r="C18" s="7" t="s">
        <v>579</v>
      </c>
      <c r="D18" s="7" t="s">
        <v>583</v>
      </c>
      <c r="E18" s="7" t="s">
        <v>584</v>
      </c>
    </row>
    <row r="19" spans="1:5">
      <c r="A19" s="9" t="s">
        <v>585</v>
      </c>
      <c r="B19" s="3">
        <f>B6*(1-B5)/B12</f>
        <v>756.4102564102565</v>
      </c>
      <c r="C19" s="12">
        <f>B19*B15</f>
        <v>1210.2564102564102</v>
      </c>
      <c r="D19" s="3">
        <f>B19*B13</f>
        <v>959867042.6638668</v>
      </c>
      <c r="E19" s="6" t="s">
        <v>586</v>
      </c>
    </row>
    <row r="20" spans="1:5">
      <c r="A20" s="9" t="s">
        <v>587</v>
      </c>
      <c r="B20" s="3">
        <f>B4*(1-B5)*B7*B8</f>
        <v>635.65125</v>
      </c>
      <c r="C20" s="12">
        <f>B20*B15</f>
        <v>1017.042</v>
      </c>
      <c r="D20" s="3">
        <f>B20*B13</f>
        <v>806626668.9701871</v>
      </c>
      <c r="E20" s="6" t="s">
        <v>588</v>
      </c>
    </row>
    <row r="21" spans="1:5">
      <c r="A21" s="9" t="s">
        <v>589</v>
      </c>
      <c r="B21" s="3">
        <f>B20*B9*B10*B11</f>
        <v>57.2086125</v>
      </c>
      <c r="C21" s="12">
        <f>B21*B15</f>
        <v>91.53378</v>
      </c>
      <c r="D21" s="3">
        <f>B21*B13</f>
        <v>72596400.20731685</v>
      </c>
      <c r="E21" s="6" t="s">
        <v>590</v>
      </c>
    </row>
    <row r="22" spans="1:5">
      <c r="A22" s="9" t="s">
        <v>591</v>
      </c>
      <c r="B22" s="3">
        <f>B14</f>
        <v>10</v>
      </c>
      <c r="C22" s="12">
        <f>B22*B15</f>
        <v>16.0</v>
      </c>
      <c r="D22" s="3">
        <f>B22*B13</f>
        <v>12689767.682674848</v>
      </c>
      <c r="E22" s="6" t="s">
        <v>592</v>
      </c>
    </row>
    <row r="24" spans="1:5">
      <c r="A24" s="9" t="s">
        <v>593</v>
      </c>
      <c r="B24" s="4">
        <f>B22/B21</f>
        <v>0.1747988556792913</v>
      </c>
    </row>
    <row r="25" spans="1:5">
      <c r="A25" s="9" t="s">
        <v>594</v>
      </c>
      <c r="B25" s="4">
        <f>C22/8/9</f>
        <v>0.2222222222222222</v>
      </c>
    </row>
    <row r="26" spans="1:5">
      <c r="A26" s="9" t="s">
        <v>595</v>
      </c>
      <c r="B26" s="12">
        <v>18.4275</v>
      </c>
    </row>
    <row r="28" spans="1:5">
      <c r="A28" s="9" t="s">
        <v>596</v>
      </c>
    </row>
    <row r="29" spans="1:5">
      <c r="A29" s="7" t="s">
        <v>597</v>
      </c>
      <c r="B29" s="7" t="s">
        <v>548</v>
      </c>
      <c r="C29" s="7" t="s">
        <v>598</v>
      </c>
    </row>
    <row r="30" spans="1:5">
      <c r="A30" t="s">
        <v>599</v>
      </c>
      <c r="B30" s="12">
        <v>260</v>
      </c>
      <c r="C30" s="12">
        <f>B30*(1-$B$5)*$B$7*$B$9*$B$10*$B$11</f>
        <v>13.46085</v>
      </c>
    </row>
    <row r="31" spans="1:5">
      <c r="A31" t="s">
        <v>600</v>
      </c>
      <c r="B31" s="12">
        <v>180</v>
      </c>
      <c r="C31" s="12">
        <f>B31*(1-$B$5)*$B$7*$B$9*$B$10*$B$11</f>
        <v>9.31905</v>
      </c>
    </row>
    <row r="32" spans="1:5">
      <c r="A32" t="s">
        <v>601</v>
      </c>
      <c r="B32" s="12">
        <v>130</v>
      </c>
      <c r="C32" s="12">
        <f>B32*(1-$B$5)*$B$7*$B$9*$B$10*$B$11</f>
        <v>6.730425</v>
      </c>
    </row>
    <row r="33" spans="1:3">
      <c r="A33" t="s">
        <v>602</v>
      </c>
      <c r="B33" s="12">
        <v>120</v>
      </c>
      <c r="C33" s="12">
        <f>B33*(1-$B$5)*$B$7*$B$9*$B$10*$B$11</f>
        <v>6.2127</v>
      </c>
    </row>
    <row r="34" spans="1:3">
      <c r="A34" t="s">
        <v>603</v>
      </c>
      <c r="B34" s="12">
        <v>110</v>
      </c>
      <c r="C34" s="12">
        <f>B34*(1-$B$5)*$B$7*$B$9*$B$10*$B$11</f>
        <v>5.6949749999999995</v>
      </c>
    </row>
    <row r="35" spans="1:3">
      <c r="A35" t="s">
        <v>604</v>
      </c>
      <c r="B35" s="12">
        <v>99</v>
      </c>
      <c r="C35" s="12">
        <f>B35*(1-$B$5)*$B$7*$B$9*$B$10*$B$11</f>
        <v>5.1254775</v>
      </c>
    </row>
    <row r="36" spans="1:3">
      <c r="A36" t="s">
        <v>605</v>
      </c>
      <c r="B36" s="12">
        <v>90</v>
      </c>
      <c r="C36" s="12">
        <f>B36*(1-$B$5)*$B$7*$B$9*$B$10*$B$11</f>
        <v>4.659525</v>
      </c>
    </row>
    <row r="37" spans="1:3">
      <c r="A37" t="s">
        <v>606</v>
      </c>
      <c r="B37" s="12">
        <v>46</v>
      </c>
      <c r="C37" s="12">
        <f>B37*(1-$B$5)*$B$7*$B$9*$B$10*$B$11</f>
        <v>2.3815350000000004</v>
      </c>
    </row>
    <row r="38" spans="1:3">
      <c r="A38" t="s">
        <v>607</v>
      </c>
      <c r="B38" s="12">
        <v>196</v>
      </c>
      <c r="C38" s="12">
        <f>B38*(1-$B$5)*$B$7*$B$9*$B$10*$B$11</f>
        <v>10.14741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FormatPr defaultRowHeight="15"/>
  <cols>
    <col min="1" max="1" width="50.7109375" customWidth="1"/>
    <col min="2" max="5" width="15.7109375" customWidth="1"/>
    <col min="6" max="6" width="70.7109375" customWidth="1"/>
  </cols>
  <sheetData>
    <row r="1" spans="1:6">
      <c r="A1" s="1" t="s">
        <v>608</v>
      </c>
    </row>
    <row r="2" spans="1:6">
      <c r="A2" s="2" t="s">
        <v>609</v>
      </c>
    </row>
    <row r="4" spans="1:6">
      <c r="A4" s="7" t="s">
        <v>610</v>
      </c>
      <c r="B4" s="7" t="s">
        <v>2</v>
      </c>
      <c r="C4" s="7" t="s">
        <v>3</v>
      </c>
      <c r="D4" s="7" t="s">
        <v>4</v>
      </c>
      <c r="E4" s="7"/>
      <c r="F4" s="7" t="s">
        <v>546</v>
      </c>
    </row>
    <row r="5" spans="1:6">
      <c r="A5" t="s">
        <v>611</v>
      </c>
      <c r="B5" s="8">
        <v>0.12</v>
      </c>
      <c r="C5" s="6" t="s">
        <v>80</v>
      </c>
      <c r="D5" s="6" t="s">
        <v>612</v>
      </c>
      <c r="F5" s="6" t="s">
        <v>613</v>
      </c>
    </row>
    <row r="6" spans="1:6">
      <c r="A6" t="s">
        <v>614</v>
      </c>
      <c r="B6" s="8">
        <v>21000</v>
      </c>
      <c r="C6" s="6" t="s">
        <v>615</v>
      </c>
      <c r="D6" s="6" t="s">
        <v>616</v>
      </c>
      <c r="F6" s="6" t="s">
        <v>617</v>
      </c>
    </row>
    <row r="7" spans="1:6">
      <c r="A7" t="s">
        <v>618</v>
      </c>
      <c r="B7" s="8">
        <v>0.02</v>
      </c>
      <c r="C7" s="6" t="s">
        <v>39</v>
      </c>
      <c r="D7" s="6" t="s">
        <v>619</v>
      </c>
      <c r="F7" s="6" t="s">
        <v>620</v>
      </c>
    </row>
    <row r="8" spans="1:6">
      <c r="A8" t="s">
        <v>621</v>
      </c>
      <c r="B8" s="8">
        <v>400</v>
      </c>
      <c r="C8" s="6" t="s">
        <v>622</v>
      </c>
      <c r="D8" s="6" t="s">
        <v>623</v>
      </c>
      <c r="F8" s="6" t="s">
        <v>624</v>
      </c>
    </row>
    <row r="9" spans="1:6">
      <c r="A9" t="s">
        <v>625</v>
      </c>
      <c r="B9" s="8">
        <v>22</v>
      </c>
      <c r="C9" s="6" t="s">
        <v>622</v>
      </c>
      <c r="D9" s="6" t="s">
        <v>626</v>
      </c>
      <c r="F9" s="6" t="s">
        <v>627</v>
      </c>
    </row>
    <row r="10" spans="1:6">
      <c r="A10" t="s">
        <v>628</v>
      </c>
      <c r="B10" s="8">
        <v>10000</v>
      </c>
      <c r="C10" s="6" t="s">
        <v>629</v>
      </c>
      <c r="D10" s="6" t="s">
        <v>630</v>
      </c>
      <c r="F10" s="6" t="s">
        <v>631</v>
      </c>
    </row>
    <row r="11" spans="1:6">
      <c r="A11" t="s">
        <v>632</v>
      </c>
      <c r="B11" s="8">
        <v>250</v>
      </c>
      <c r="C11" s="6" t="s">
        <v>622</v>
      </c>
      <c r="D11" s="6" t="s">
        <v>633</v>
      </c>
      <c r="F11" s="6" t="s">
        <v>634</v>
      </c>
    </row>
    <row r="12" spans="1:6">
      <c r="A12" t="s">
        <v>635</v>
      </c>
      <c r="B12" s="8">
        <v>15</v>
      </c>
      <c r="C12" s="6" t="s">
        <v>53</v>
      </c>
      <c r="D12" s="6" t="s">
        <v>636</v>
      </c>
      <c r="F12" s="6" t="s">
        <v>637</v>
      </c>
    </row>
    <row r="13" spans="1:6">
      <c r="A13" t="s">
        <v>638</v>
      </c>
      <c r="B13" s="8">
        <v>0.03</v>
      </c>
      <c r="C13" s="6" t="s">
        <v>80</v>
      </c>
      <c r="D13" s="6" t="s">
        <v>639</v>
      </c>
      <c r="F13" s="6" t="s">
        <v>640</v>
      </c>
    </row>
    <row r="14" spans="1:6">
      <c r="A14" t="s">
        <v>641</v>
      </c>
      <c r="B14" s="8">
        <v>0.005</v>
      </c>
      <c r="C14" s="6" t="s">
        <v>80</v>
      </c>
      <c r="D14" s="6" t="s">
        <v>642</v>
      </c>
      <c r="F14" s="6" t="s">
        <v>643</v>
      </c>
    </row>
    <row r="15" spans="1:6">
      <c r="A15" t="s">
        <v>644</v>
      </c>
      <c r="B15" s="8">
        <v>30</v>
      </c>
      <c r="C15" s="6" t="s">
        <v>161</v>
      </c>
      <c r="D15" s="6" t="s">
        <v>645</v>
      </c>
      <c r="F15" s="6" t="s">
        <v>646</v>
      </c>
    </row>
    <row r="16" spans="1:6">
      <c r="A16" t="s">
        <v>647</v>
      </c>
      <c r="B16" s="8">
        <v>32</v>
      </c>
      <c r="C16" s="6" t="s">
        <v>648</v>
      </c>
      <c r="D16" s="6" t="s">
        <v>649</v>
      </c>
      <c r="F16" s="6" t="s">
        <v>650</v>
      </c>
    </row>
    <row r="17" spans="1:6">
      <c r="A17" t="s">
        <v>651</v>
      </c>
      <c r="B17" s="8">
        <v>6</v>
      </c>
      <c r="C17" s="6" t="s">
        <v>652</v>
      </c>
      <c r="D17" s="6" t="s">
        <v>653</v>
      </c>
      <c r="F17" s="6" t="s">
        <v>654</v>
      </c>
    </row>
    <row r="18" spans="1:6">
      <c r="A18" t="s">
        <v>655</v>
      </c>
      <c r="B18" s="8">
        <v>0</v>
      </c>
      <c r="C18" s="6" t="s">
        <v>12</v>
      </c>
      <c r="D18" s="6" t="s">
        <v>656</v>
      </c>
      <c r="F18" s="6" t="s">
        <v>657</v>
      </c>
    </row>
    <row r="19" spans="1:6">
      <c r="A19" t="s">
        <v>658</v>
      </c>
      <c r="B19" s="8">
        <v>2.2</v>
      </c>
      <c r="C19" s="6" t="s">
        <v>659</v>
      </c>
      <c r="D19" s="6" t="s">
        <v>660</v>
      </c>
      <c r="F19" s="6" t="s">
        <v>661</v>
      </c>
    </row>
    <row r="20" spans="1:6">
      <c r="A20" t="s">
        <v>662</v>
      </c>
      <c r="B20" s="8">
        <v>2.5</v>
      </c>
      <c r="C20" s="6" t="s">
        <v>659</v>
      </c>
      <c r="D20" s="6" t="s">
        <v>663</v>
      </c>
      <c r="F20" s="6" t="s">
        <v>664</v>
      </c>
    </row>
    <row r="21" spans="1:6">
      <c r="A21" t="s">
        <v>665</v>
      </c>
      <c r="B21" s="8">
        <v>3.3</v>
      </c>
      <c r="C21" s="6" t="s">
        <v>666</v>
      </c>
      <c r="D21" s="6" t="s">
        <v>667</v>
      </c>
      <c r="F21" s="6" t="s">
        <v>668</v>
      </c>
    </row>
    <row r="22" spans="1:6">
      <c r="A22" t="s">
        <v>669</v>
      </c>
      <c r="B22" s="8">
        <v>0.75</v>
      </c>
      <c r="C22" s="6" t="s">
        <v>12</v>
      </c>
      <c r="D22" s="6" t="s">
        <v>670</v>
      </c>
      <c r="F22" s="6" t="s">
        <v>671</v>
      </c>
    </row>
    <row r="23" spans="1:6">
      <c r="A23" t="s">
        <v>672</v>
      </c>
      <c r="B23" s="8">
        <v>0.85</v>
      </c>
      <c r="C23" s="6" t="s">
        <v>12</v>
      </c>
      <c r="D23" s="6" t="s">
        <v>673</v>
      </c>
      <c r="F23" s="6" t="s">
        <v>674</v>
      </c>
    </row>
    <row r="24" spans="1:6">
      <c r="A24" t="s">
        <v>675</v>
      </c>
      <c r="B24" s="8">
        <v>0.5</v>
      </c>
      <c r="C24" s="6" t="s">
        <v>12</v>
      </c>
      <c r="D24" s="6" t="s">
        <v>676</v>
      </c>
      <c r="F24" s="6" t="s">
        <v>677</v>
      </c>
    </row>
    <row r="26" spans="1:6">
      <c r="A26" s="9" t="s">
        <v>678</v>
      </c>
    </row>
    <row r="27" spans="1:6">
      <c r="A27" t="s">
        <v>679</v>
      </c>
      <c r="B27" s="12">
        <f>t_ffb*a_util</f>
        <v>270000.0</v>
      </c>
    </row>
    <row r="28" spans="1:6">
      <c r="A28" t="s">
        <v>680</v>
      </c>
      <c r="B28" s="12">
        <f>K_ffb*t_pome_tffb</f>
        <v>234000.0</v>
      </c>
    </row>
    <row r="29" spans="1:6">
      <c r="A29" t="s">
        <v>681</v>
      </c>
      <c r="B29" s="12">
        <f>K_pome*t_effratio</f>
        <v>163179.0862479199</v>
      </c>
    </row>
    <row r="30" spans="1:6">
      <c r="A30" t="s">
        <v>682</v>
      </c>
      <c r="B30" s="12">
        <f>t_E_year*a_util/t_up*a_avail*1000000</f>
        <v>6546227.253595258</v>
      </c>
    </row>
    <row r="31" spans="1:6">
      <c r="A31" t="s">
        <v>683</v>
      </c>
      <c r="B31" s="12">
        <f>K_ffb*a_diesel_L_tffb/a_sfc</f>
        <v>1800000.0</v>
      </c>
    </row>
    <row r="32" spans="1:6">
      <c r="A32" t="s">
        <v>684</v>
      </c>
      <c r="B32" s="10">
        <f>a_sfc*m_p_diesel/a_fx+m_genset_om</f>
        <v>0.37101404056162246</v>
      </c>
    </row>
    <row r="33" spans="1:6">
      <c r="A33" t="s">
        <v>685</v>
      </c>
      <c r="B33" s="12">
        <f>MIN(K_Edsl*t_match*a_avail,K_Enet)</f>
        <v>1550892.6560950037</v>
      </c>
    </row>
    <row r="34" spans="1:6">
      <c r="A34" t="s">
        <v>686</v>
      </c>
      <c r="B34" s="12">
        <f>t_land_m2/10000*m_land_margin*1000000/a_fx</f>
        <v>1975.6190321824379</v>
      </c>
    </row>
    <row r="35" spans="1:6">
      <c r="A35" t="s">
        <v>687</v>
      </c>
      <c r="B35" s="12">
        <f>K_ffb*t_cake/1000*m_cake_val</f>
        <v>33930.3430576634</v>
      </c>
    </row>
    <row r="36" spans="1:6">
      <c r="A36" t="s">
        <v>688</v>
      </c>
      <c r="B36" s="12">
        <f>t_ER*a_cer_ratio*(a_p_carbon-a_c_levy)</f>
        <v>145157.80809561038</v>
      </c>
    </row>
    <row r="37" spans="1:6">
      <c r="A37" t="s">
        <v>689</v>
      </c>
      <c r="B37" s="12">
        <f>m_p_enf_A*m_closure_d*K_ffb/t_days*m_margin</f>
        <v>12149.999999999998</v>
      </c>
    </row>
    <row r="38" spans="1:6">
      <c r="A38" t="s">
        <v>690</v>
      </c>
      <c r="B38" s="12">
        <f>m_p_enf_D*m_closure_d*K_ffb/t_days*m_margin</f>
        <v>2025.0</v>
      </c>
    </row>
    <row r="39" spans="1:6">
      <c r="A39" t="s">
        <v>691</v>
      </c>
      <c r="B39" s="12">
        <f>t_E_year*a_util/t_up*m_perf_B*1000000</f>
        <v>0</v>
      </c>
    </row>
    <row r="40" spans="1:6">
      <c r="A40" t="s">
        <v>692</v>
      </c>
      <c r="B40" s="12">
        <f>MIN(K_Edsl*m_perf_B,K_EB)</f>
        <v>0</v>
      </c>
    </row>
    <row r="41" spans="1:6">
      <c r="A41" t="s">
        <v>693</v>
      </c>
      <c r="B41" s="12">
        <f>t_E_year*a_util/t_up*m_perf_C*1000000</f>
        <v>0</v>
      </c>
    </row>
    <row r="42" spans="1:6">
      <c r="A42" t="s">
        <v>692</v>
      </c>
      <c r="B42" s="12">
        <f>MIN(K_Edsl*m_perf_C,K_EC)</f>
        <v>0</v>
      </c>
    </row>
    <row r="44" spans="1:6">
      <c r="A44" s="7" t="s">
        <v>694</v>
      </c>
      <c r="B44" s="7" t="s">
        <v>695</v>
      </c>
      <c r="C44" s="7" t="s">
        <v>696</v>
      </c>
      <c r="D44" s="7" t="s">
        <v>697</v>
      </c>
      <c r="E44" s="7" t="s">
        <v>698</v>
      </c>
      <c r="F44" s="7" t="s">
        <v>699</v>
      </c>
    </row>
    <row r="45" spans="1:6">
      <c r="A45" t="s">
        <v>700</v>
      </c>
      <c r="B45" s="13">
        <f>K_Edsl*K_cdsl</f>
        <v>667825.2730109204</v>
      </c>
      <c r="C45" s="13">
        <f>(K_Edsl-K_capB)*K_cdsl</f>
        <v>166956.3182527301</v>
      </c>
      <c r="D45" s="13">
        <f>(K_Edsl-K_capC)*K_cdsl</f>
        <v>100173.79095163806</v>
      </c>
      <c r="E45" s="13">
        <f>(K_Edsl-K_cap)*K_cdsl</f>
        <v>92422.32219576633</v>
      </c>
      <c r="F45" s="6" t="s">
        <v>701</v>
      </c>
    </row>
    <row r="46" spans="1:6">
      <c r="A46" t="s">
        <v>702</v>
      </c>
      <c r="B46" s="13">
        <v>0</v>
      </c>
      <c r="C46" s="13">
        <v>0</v>
      </c>
      <c r="D46" s="13">
        <v>0</v>
      </c>
      <c r="E46" s="13">
        <f>K_ffb*a_fee_ffb</f>
        <v>337500.0</v>
      </c>
      <c r="F46" s="6" t="s">
        <v>703</v>
      </c>
    </row>
    <row r="47" spans="1:6">
      <c r="A47" t="s">
        <v>704</v>
      </c>
      <c r="B47" s="13">
        <v>0</v>
      </c>
      <c r="C47" s="13">
        <v>0</v>
      </c>
      <c r="D47" s="13">
        <v>0</v>
      </c>
      <c r="E47" s="13">
        <f>K_cap*a_p_captive</f>
        <v>310178.53121900075</v>
      </c>
      <c r="F47" s="6" t="s">
        <v>705</v>
      </c>
    </row>
    <row r="48" spans="1:6">
      <c r="A48" t="s">
        <v>706</v>
      </c>
      <c r="B48" s="13">
        <v>0</v>
      </c>
      <c r="C48" s="13">
        <f>m_om_BC*1000000000/a_fx*t_chp_kWe/1000</f>
        <v>294183.1958992646</v>
      </c>
      <c r="D48" s="13">
        <f>m_om_BC*1000000000/a_fx*t_chp_kWe/1000</f>
        <v>294183.1958992646</v>
      </c>
      <c r="E48" s="13">
        <v>0</v>
      </c>
      <c r="F48" s="6" t="s">
        <v>707</v>
      </c>
    </row>
    <row r="49" spans="1:6">
      <c r="A49" t="s">
        <v>708</v>
      </c>
      <c r="B49" s="13">
        <f>(m_desludge+m_pond_om)*1000000/a_fx</f>
        <v>23512.36906619122</v>
      </c>
      <c r="C49" s="13">
        <f>m_desl_B*m_desludge*1000000/a_fx</f>
        <v>11143.302874972142</v>
      </c>
      <c r="D49" s="13">
        <v>0</v>
      </c>
      <c r="E49" s="13">
        <v>0</v>
      </c>
      <c r="F49" s="6" t="s">
        <v>709</v>
      </c>
    </row>
    <row r="50" spans="1:6">
      <c r="A50" t="s">
        <v>710</v>
      </c>
      <c r="B50" s="13">
        <f>K_pome*m_la_cost/a_fx</f>
        <v>130376.64363717406</v>
      </c>
      <c r="C50" s="13">
        <f>K_pome*m_la_cost/a_fx</f>
        <v>130376.64363717406</v>
      </c>
      <c r="D50" s="13">
        <f>K_pome*m_la_cost/a_fx</f>
        <v>130376.64363717406</v>
      </c>
      <c r="E50" s="13">
        <f>K_effm3*m_la_cost/a_fx</f>
        <v>90917.69904608866</v>
      </c>
      <c r="F50" s="6" t="s">
        <v>711</v>
      </c>
    </row>
    <row r="51" spans="1:6">
      <c r="A51" t="s">
        <v>712</v>
      </c>
      <c r="B51" s="13">
        <f>m_monitor*1000000/a_fx</f>
        <v>13929.128593715177</v>
      </c>
      <c r="C51" s="13">
        <f>m_monitor*1000000/a_fx</f>
        <v>13929.128593715177</v>
      </c>
      <c r="D51" s="13">
        <f>m_monitor*1000000/a_fx</f>
        <v>13929.128593715177</v>
      </c>
      <c r="E51" s="13">
        <f>m_monitor*1000000/a_fx</f>
        <v>13929.128593715177</v>
      </c>
      <c r="F51" s="6" t="s">
        <v>713</v>
      </c>
    </row>
    <row r="52" spans="1:6">
      <c r="A52" t="s">
        <v>714</v>
      </c>
      <c r="B52" s="13">
        <f>K_riskA</f>
        <v>12149.999999999998</v>
      </c>
      <c r="C52" s="13">
        <f>K_riskD</f>
        <v>2025.0</v>
      </c>
      <c r="D52" s="13">
        <f>K_riskD</f>
        <v>2025.0</v>
      </c>
      <c r="E52" s="13">
        <f>K_riskD</f>
        <v>2025.0</v>
      </c>
      <c r="F52" s="6" t="s">
        <v>715</v>
      </c>
    </row>
    <row r="53" spans="1:6">
      <c r="A53" t="s">
        <v>716</v>
      </c>
      <c r="B53" s="13">
        <v>0</v>
      </c>
      <c r="C53" s="13">
        <f>-(K_EB-K_capB)*a_tariff1*a_F_loc/100</f>
        <v>-385456.04320781835</v>
      </c>
      <c r="D53" s="13">
        <f>-(K_EC-K_capC)*a_tariff1*a_F_loc/100</f>
        <v>-436850.18230219424</v>
      </c>
      <c r="E53" s="13">
        <v>0</v>
      </c>
      <c r="F53" s="6" t="s">
        <v>717</v>
      </c>
    </row>
    <row r="54" spans="1:6">
      <c r="A54" t="s">
        <v>718</v>
      </c>
      <c r="B54" s="13">
        <v>0</v>
      </c>
      <c r="C54" s="13">
        <f>-K_cnet*m_perf_B+a_c_mrv</f>
        <v>-96868.35607170779</v>
      </c>
      <c r="D54" s="13">
        <f>-K_cnet*m_perf_C+a_c_mrv</f>
        <v>-111384.13688126882</v>
      </c>
      <c r="E54" s="13">
        <f>-m_c_share*K_cnet</f>
        <v>-0.0</v>
      </c>
      <c r="F54" s="6" t="s">
        <v>719</v>
      </c>
    </row>
    <row r="55" spans="1:6">
      <c r="A55" t="s">
        <v>720</v>
      </c>
      <c r="B55" s="13">
        <v>0</v>
      </c>
      <c r="C55" s="13">
        <v>0</v>
      </c>
      <c r="D55" s="13">
        <f>-K_land</f>
        <v>-1975.6190321824379</v>
      </c>
      <c r="E55" s="13">
        <f>-K_land</f>
        <v>-1975.6190321824379</v>
      </c>
      <c r="F55" s="6" t="s">
        <v>721</v>
      </c>
    </row>
    <row r="56" spans="1:6">
      <c r="A56" t="s">
        <v>722</v>
      </c>
      <c r="B56" s="13">
        <v>0</v>
      </c>
      <c r="C56" s="13">
        <v>0</v>
      </c>
      <c r="D56" s="13">
        <v>0</v>
      </c>
      <c r="E56" s="13">
        <f>-K_cake</f>
        <v>-33930.3430576634</v>
      </c>
      <c r="F56" s="6" t="s">
        <v>723</v>
      </c>
    </row>
    <row r="57" spans="1:6">
      <c r="A57" s="9" t="s">
        <v>724</v>
      </c>
      <c r="B57" s="14">
        <f>SUM(B45:B56)</f>
        <v>847793.4143080008</v>
      </c>
      <c r="C57" s="14">
        <f>SUM(C45:C56)</f>
        <v>136289.18997832993</v>
      </c>
      <c r="D57" s="14">
        <f>SUM(D45:D56)</f>
        <v>-9522.179133853604</v>
      </c>
      <c r="E57" s="14">
        <f>SUM(E45:E56)</f>
        <v>811066.718964725</v>
      </c>
    </row>
    <row r="58" spans="1:6">
      <c r="A58" s="9" t="s">
        <v>725</v>
      </c>
      <c r="B58" s="14">
        <f>0</f>
        <v>0.0</v>
      </c>
      <c r="C58" s="14">
        <f>m_capex_B*1000000*t_chp_kWe/1000</f>
        <v>3520000.0</v>
      </c>
      <c r="D58" s="14">
        <f>m_capex_C*1000000*t_chp_kWe/1000</f>
        <v>4000000.0</v>
      </c>
      <c r="E58" s="14">
        <f>0</f>
        <v>0.0</v>
      </c>
    </row>
    <row r="59" spans="1:6">
      <c r="A59" t="s">
        <v>726</v>
      </c>
      <c r="B59" s="11">
        <f>(1+a_infl)*((1+a_infl)/(1+m_r_mill))*(1-((1+a_infl)/(1+m_r_mill))^a_n_op)/(1-(1+a_infl)/(1+m_r_mill))</f>
        <v>8.801332886501566</v>
      </c>
    </row>
    <row r="60" spans="1:6">
      <c r="A60" s="9" t="s">
        <v>727</v>
      </c>
      <c r="B60" s="14">
        <f>B57*K_af+B58*(1+a_infl)</f>
        <v>7461712.058308455</v>
      </c>
      <c r="C60" s="14">
        <f>C57*K_af+C58*(1+a_infl)</f>
        <v>4789926.5298309345</v>
      </c>
      <c r="D60" s="14">
        <f>D57*K_af+D58*(1+a_infl)</f>
        <v>3996192.131638055</v>
      </c>
      <c r="E60" s="14">
        <f>E57*K_af+E58*(1+a_infl)</f>
        <v>7138468.186771158</v>
      </c>
    </row>
    <row r="61" spans="1:6">
      <c r="A61" s="9" t="s">
        <v>728</v>
      </c>
      <c r="B61" s="5">
        <f>B60/(K_ffb*K_af)</f>
        <v>3.1399756085481516</v>
      </c>
      <c r="C61" s="5">
        <f>C60/(K_ffb*K_af)</f>
        <v>2.015657043970201</v>
      </c>
      <c r="D61" s="5">
        <f>D60/(K_ffb*K_af)</f>
        <v>1.681644336093574</v>
      </c>
      <c r="E61" s="5">
        <f>E60/(K_ffb*K_af)</f>
        <v>3.0039508109804633</v>
      </c>
    </row>
    <row r="62" spans="1:6">
      <c r="A62" s="9" t="s">
        <v>729</v>
      </c>
      <c r="E62" s="5">
        <f>B61-E61</f>
        <v>0.13602479756768826</v>
      </c>
    </row>
    <row r="63" spans="1:6">
      <c r="A63" s="9" t="s">
        <v>730</v>
      </c>
      <c r="E63" s="4">
        <f>(B61-E61)/B61</f>
        <v>0.043320335736806194</v>
      </c>
    </row>
    <row r="64" spans="1:6">
      <c r="A64" s="9" t="s">
        <v>731</v>
      </c>
      <c r="E64" s="14">
        <f>B57-E57</f>
        <v>36726.69534327579</v>
      </c>
    </row>
    <row r="65" spans="1:5">
      <c r="A65" s="9" t="s">
        <v>732</v>
      </c>
      <c r="E65" s="3">
        <f>Indikator!B4</f>
        <v>129020.65011374952</v>
      </c>
    </row>
    <row r="66" spans="1:5">
      <c r="A66" s="9" t="s">
        <v>733</v>
      </c>
      <c r="E66" s="4">
        <f>Indikator!B5</f>
        <v>0.10252362345214983</v>
      </c>
    </row>
    <row r="67" spans="1:5">
      <c r="A67" s="9" t="s">
        <v>734</v>
      </c>
      <c r="E67" s="6" t="str">
        <f>IF(E63&gt;0,"D lebih murah dari kolam","Kolam lebih murah")</f>
        <v>D lebih murah dari kolam</v>
      </c>
    </row>
    <row r="69" spans="1:5">
      <c r="A69" s="9" t="s">
        <v>735</v>
      </c>
    </row>
    <row r="70" spans="1:5">
      <c r="A70" t="s">
        <v>736</v>
      </c>
      <c r="B70" s="5">
        <v>1.192217990833503</v>
      </c>
    </row>
    <row r="71" spans="1:5">
      <c r="A71" t="s">
        <v>737</v>
      </c>
      <c r="B71" s="5">
        <v>1.386024797567688</v>
      </c>
    </row>
    <row r="72" spans="1:5">
      <c r="A72" t="s">
        <v>738</v>
      </c>
      <c r="B72" s="5">
        <v>0.1938068067341852</v>
      </c>
    </row>
    <row r="73" spans="1:5">
      <c r="A73" t="s">
        <v>739</v>
      </c>
      <c r="B73" s="5">
        <v>1.25</v>
      </c>
    </row>
    <row r="74" spans="1:5">
      <c r="A74" s="2" t="s">
        <v>740</v>
      </c>
    </row>
    <row r="76" spans="1:5">
      <c r="A76" s="9" t="s">
        <v>741</v>
      </c>
    </row>
    <row r="77" spans="1:5">
      <c r="A77" s="7" t="s">
        <v>742</v>
      </c>
      <c r="B77" s="7" t="s">
        <v>53</v>
      </c>
    </row>
    <row r="78" spans="1:5">
      <c r="A78" t="s">
        <v>743</v>
      </c>
      <c r="B78" s="10">
        <f>B61</f>
        <v>3.1399756085481516</v>
      </c>
    </row>
    <row r="79" spans="1:5">
      <c r="A79" t="s">
        <v>744</v>
      </c>
      <c r="B79" s="10">
        <f>-(B45-E45)/K_ffb</f>
        <v>-2.131122040056126</v>
      </c>
    </row>
    <row r="80" spans="1:5">
      <c r="A80" t="s">
        <v>745</v>
      </c>
      <c r="B80" s="10">
        <f>E47/K_ffb</f>
        <v>1.148809374885188</v>
      </c>
    </row>
    <row r="81" spans="1:2">
      <c r="A81" t="s">
        <v>746</v>
      </c>
      <c r="B81" s="10">
        <f>-B49/K_ffb</f>
        <v>-0.08708284839330081</v>
      </c>
    </row>
    <row r="82" spans="1:2">
      <c r="A82" t="s">
        <v>710</v>
      </c>
      <c r="B82" s="10">
        <f>(E50-B50)/K_ffb</f>
        <v>-0.1461442392262422</v>
      </c>
    </row>
    <row r="83" spans="1:2">
      <c r="A83" t="s">
        <v>747</v>
      </c>
      <c r="B83" s="10">
        <f>(E52-B52)/K_ffb</f>
        <v>-0.03749999999999999</v>
      </c>
    </row>
    <row r="84" spans="1:2">
      <c r="A84" t="s">
        <v>748</v>
      </c>
      <c r="B84" s="10">
        <f>(E54+E55+E56)/K_ffb</f>
        <v>-0.1329850447772068</v>
      </c>
    </row>
    <row r="85" spans="1:2">
      <c r="A85" t="s">
        <v>749</v>
      </c>
      <c r="B85" s="10">
        <f>E46/K_ffb</f>
        <v>1.25</v>
      </c>
    </row>
    <row r="86" spans="1:2">
      <c r="A86" t="s">
        <v>750</v>
      </c>
      <c r="B86" s="10">
        <f>E61</f>
        <v>3.0039508109804633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1" width="46.7109375" customWidth="1"/>
    <col min="2" max="9" width="14.7109375" customWidth="1"/>
    <col min="10" max="10" width="60.7109375" customWidth="1"/>
  </cols>
  <sheetData>
    <row r="1" spans="1:10">
      <c r="A1" s="1" t="s">
        <v>751</v>
      </c>
    </row>
    <row r="3" spans="1:10">
      <c r="A3" s="7" t="s">
        <v>752</v>
      </c>
      <c r="B3" s="7" t="s">
        <v>753</v>
      </c>
      <c r="C3" s="7" t="s">
        <v>754</v>
      </c>
      <c r="D3" s="7" t="s">
        <v>755</v>
      </c>
      <c r="E3" s="7" t="s">
        <v>756</v>
      </c>
      <c r="F3" s="7" t="s">
        <v>757</v>
      </c>
      <c r="G3" s="7" t="s">
        <v>758</v>
      </c>
      <c r="H3" s="7" t="s">
        <v>759</v>
      </c>
      <c r="I3" s="7" t="s">
        <v>760</v>
      </c>
      <c r="J3" s="7" t="s">
        <v>761</v>
      </c>
    </row>
    <row r="4" spans="1:10">
      <c r="A4" s="6" t="s">
        <v>762</v>
      </c>
      <c r="B4" s="10">
        <v>0.75</v>
      </c>
      <c r="C4" s="10">
        <v>0.5</v>
      </c>
      <c r="D4" s="10">
        <v>1.721156030022396</v>
      </c>
      <c r="E4" s="10">
        <v>0.6485936491888689</v>
      </c>
      <c r="F4" s="6" t="str">
        <f>IF(E4&gt;D4,"Ya","Tidak")</f>
        <v>Tidak</v>
      </c>
      <c r="G4" s="13">
        <v>-1064322.680056703</v>
      </c>
      <c r="H4" s="15">
        <v>0.06871928626989066</v>
      </c>
      <c r="I4" s="15">
        <v>-0.4680549619641083</v>
      </c>
      <c r="J4" s="6" t="s">
        <v>763</v>
      </c>
    </row>
    <row r="5" spans="1:10">
      <c r="A5" s="6" t="s">
        <v>764</v>
      </c>
      <c r="B5" s="10">
        <v>0.75</v>
      </c>
      <c r="C5" s="10">
        <v>1</v>
      </c>
      <c r="D5" s="10">
        <v>1.544615117521048</v>
      </c>
      <c r="E5" s="10">
        <v>0.8947066581718768</v>
      </c>
      <c r="F5" s="6" t="str">
        <f>IF(E5&gt;D5,"Ya","Tidak")</f>
        <v>Tidak</v>
      </c>
      <c r="G5" s="13">
        <v>-663516.954305687</v>
      </c>
      <c r="H5" s="15">
        <v>0.08091621616030009</v>
      </c>
      <c r="I5" s="15">
        <v>-0.1866759887454948</v>
      </c>
      <c r="J5" s="6" t="s">
        <v>765</v>
      </c>
    </row>
    <row r="6" spans="1:10">
      <c r="A6" s="6" t="s">
        <v>766</v>
      </c>
      <c r="B6" s="10">
        <v>0.75</v>
      </c>
      <c r="C6" s="10">
        <v>2</v>
      </c>
      <c r="D6" s="10">
        <v>1.192217990833503</v>
      </c>
      <c r="E6" s="10">
        <v>1.386024797567688</v>
      </c>
      <c r="F6" s="6" t="str">
        <f>IF(E6&gt;D6,"Ya","Tidak")</f>
        <v>Ya</v>
      </c>
      <c r="G6" s="13">
        <v>129020.6501137495</v>
      </c>
      <c r="H6" s="15">
        <v>0.1025236234521498</v>
      </c>
      <c r="I6" s="15">
        <v>0.04332033573680619</v>
      </c>
      <c r="J6" s="6" t="s">
        <v>767</v>
      </c>
    </row>
    <row r="7" spans="1:10">
      <c r="A7" s="6" t="s">
        <v>768</v>
      </c>
      <c r="B7" s="10">
        <v>0.75</v>
      </c>
      <c r="C7" s="10">
        <v>3</v>
      </c>
      <c r="D7" s="10">
        <v>0.8641327226240627</v>
      </c>
      <c r="E7" s="10">
        <v>1.843900136104925</v>
      </c>
      <c r="F7" s="6" t="str">
        <f>IF(E7&gt;D7,"Ya","Tidak")</f>
        <v>Ya</v>
      </c>
      <c r="G7" s="13">
        <v>861968.7203711972</v>
      </c>
      <c r="H7" s="15">
        <v>0.1203825991788454</v>
      </c>
      <c r="I7" s="15">
        <v>0.13569621365478</v>
      </c>
      <c r="J7" s="6" t="s">
        <v>769</v>
      </c>
    </row>
    <row r="8" spans="1:10">
      <c r="A8" s="6" t="s">
        <v>770</v>
      </c>
      <c r="B8" s="10">
        <v>0.75</v>
      </c>
      <c r="C8" s="10">
        <v>5</v>
      </c>
      <c r="D8" s="10">
        <v>1.558187766777362</v>
      </c>
      <c r="E8" s="10">
        <v>2.22817054520101</v>
      </c>
      <c r="F8" s="6" t="str">
        <f>IF(E8&gt;D8,"Ya","Tidak")</f>
        <v>Ya</v>
      </c>
      <c r="G8" s="13">
        <v>-700659.5279899003</v>
      </c>
      <c r="H8" s="15">
        <v>0.08228800106287171</v>
      </c>
      <c r="I8" s="15">
        <v>0.1427962012874513</v>
      </c>
      <c r="J8" s="6" t="s">
        <v>771</v>
      </c>
    </row>
    <row r="10" spans="1:10">
      <c r="A10" s="2" t="s">
        <v>772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1" max="1" width="40.7109375" customWidth="1"/>
    <col min="2" max="6" width="15.7109375" customWidth="1"/>
    <col min="7" max="7" width="30.7109375" customWidth="1"/>
    <col min="8" max="15" width="11.7109375" customWidth="1"/>
  </cols>
  <sheetData>
    <row r="1" spans="1:15">
      <c r="A1" s="1" t="s">
        <v>773</v>
      </c>
    </row>
    <row r="3" spans="1:15">
      <c r="G3" s="9" t="s">
        <v>788</v>
      </c>
      <c r="H3" s="8">
        <v>0.25</v>
      </c>
      <c r="I3" s="8">
        <v>0.2</v>
      </c>
      <c r="J3" s="8">
        <v>0.15</v>
      </c>
      <c r="K3" s="8">
        <v>0.15</v>
      </c>
      <c r="L3" s="8">
        <v>0.1</v>
      </c>
      <c r="M3" s="8">
        <v>0.1</v>
      </c>
      <c r="N3" s="8">
        <v>0.05</v>
      </c>
    </row>
    <row r="4" spans="1:15">
      <c r="A4" s="7" t="s">
        <v>774</v>
      </c>
      <c r="B4" s="7" t="s">
        <v>775</v>
      </c>
      <c r="C4" s="7" t="s">
        <v>776</v>
      </c>
      <c r="D4" s="7" t="s">
        <v>777</v>
      </c>
      <c r="E4" s="7" t="s">
        <v>778</v>
      </c>
      <c r="F4" s="7" t="s">
        <v>779</v>
      </c>
      <c r="G4" s="7" t="s">
        <v>546</v>
      </c>
      <c r="H4" s="7" t="s">
        <v>780</v>
      </c>
      <c r="I4" s="7" t="s">
        <v>781</v>
      </c>
      <c r="J4" s="7" t="s">
        <v>782</v>
      </c>
      <c r="K4" s="7" t="s">
        <v>783</v>
      </c>
      <c r="L4" s="7" t="s">
        <v>784</v>
      </c>
      <c r="M4" s="7" t="s">
        <v>785</v>
      </c>
      <c r="N4" s="7" t="s">
        <v>786</v>
      </c>
      <c r="O4" s="7" t="s">
        <v>787</v>
      </c>
    </row>
    <row r="5" spans="1:15">
      <c r="A5" s="6" t="s">
        <v>789</v>
      </c>
      <c r="B5" s="6" t="s">
        <v>790</v>
      </c>
      <c r="C5" s="6" t="s">
        <v>791</v>
      </c>
      <c r="D5" s="6" t="s">
        <v>792</v>
      </c>
      <c r="E5" s="6" t="s">
        <v>793</v>
      </c>
      <c r="F5" s="6" t="s">
        <v>794</v>
      </c>
      <c r="G5" s="6" t="s">
        <v>795</v>
      </c>
      <c r="H5" s="8">
        <v>2.95</v>
      </c>
      <c r="I5" s="8">
        <v>5</v>
      </c>
      <c r="J5" s="8">
        <v>3</v>
      </c>
      <c r="K5" s="8">
        <v>5</v>
      </c>
      <c r="L5" s="8">
        <v>2</v>
      </c>
      <c r="M5" s="8">
        <v>1</v>
      </c>
      <c r="N5" s="8">
        <v>1</v>
      </c>
      <c r="O5" s="5">
        <f>SUMPRODUCT($H$3:$N$3,H5:N5)</f>
        <v>3.2875076223287025</v>
      </c>
    </row>
    <row r="6" spans="1:15">
      <c r="A6" s="6" t="s">
        <v>796</v>
      </c>
      <c r="B6" s="6" t="s">
        <v>797</v>
      </c>
      <c r="C6" s="6" t="s">
        <v>798</v>
      </c>
      <c r="D6" s="6" t="s">
        <v>799</v>
      </c>
      <c r="E6" s="6" t="s">
        <v>536</v>
      </c>
      <c r="F6" s="6" t="s">
        <v>800</v>
      </c>
      <c r="G6" s="6" t="s">
        <v>801</v>
      </c>
      <c r="H6" s="8">
        <v>4.36</v>
      </c>
      <c r="I6" s="8">
        <v>2</v>
      </c>
      <c r="J6" s="8">
        <v>2</v>
      </c>
      <c r="K6" s="8">
        <v>4</v>
      </c>
      <c r="L6" s="8">
        <v>3</v>
      </c>
      <c r="M6" s="8">
        <v>3</v>
      </c>
      <c r="N6" s="8">
        <v>1</v>
      </c>
      <c r="O6" s="5">
        <f>SUMPRODUCT($H$3:$N$3,H6:N6)</f>
        <v>3.0388571737593124</v>
      </c>
    </row>
    <row r="7" spans="1:15">
      <c r="A7" s="6" t="s">
        <v>802</v>
      </c>
      <c r="B7" s="6" t="s">
        <v>803</v>
      </c>
      <c r="C7" s="6" t="s">
        <v>804</v>
      </c>
      <c r="D7" s="6" t="s">
        <v>805</v>
      </c>
      <c r="E7" s="6" t="s">
        <v>536</v>
      </c>
      <c r="F7" s="6" t="s">
        <v>806</v>
      </c>
      <c r="G7" s="6" t="s">
        <v>807</v>
      </c>
      <c r="H7" s="8">
        <v>4.77</v>
      </c>
      <c r="I7" s="8">
        <v>1</v>
      </c>
      <c r="J7" s="8">
        <v>2</v>
      </c>
      <c r="K7" s="8">
        <v>4</v>
      </c>
      <c r="L7" s="8">
        <v>3</v>
      </c>
      <c r="M7" s="8">
        <v>4</v>
      </c>
      <c r="N7" s="8">
        <v>1</v>
      </c>
      <c r="O7" s="5">
        <f>SUMPRODUCT($H$3:$N$3,H7:N7)</f>
        <v>3.043236144970758</v>
      </c>
    </row>
    <row r="8" spans="1:15">
      <c r="A8" s="6" t="s">
        <v>808</v>
      </c>
      <c r="B8" s="6" t="s">
        <v>809</v>
      </c>
      <c r="C8" s="6" t="s">
        <v>798</v>
      </c>
      <c r="D8" s="6" t="s">
        <v>810</v>
      </c>
      <c r="E8" s="6" t="s">
        <v>793</v>
      </c>
      <c r="F8" s="6" t="s">
        <v>811</v>
      </c>
      <c r="G8" s="6" t="s">
        <v>812</v>
      </c>
      <c r="H8" s="8">
        <v>3.5</v>
      </c>
      <c r="I8" s="8">
        <v>5</v>
      </c>
      <c r="J8" s="8">
        <v>4</v>
      </c>
      <c r="K8" s="8">
        <v>3</v>
      </c>
      <c r="L8" s="8">
        <v>3</v>
      </c>
      <c r="M8" s="8">
        <v>4</v>
      </c>
      <c r="N8" s="8">
        <v>1</v>
      </c>
      <c r="O8" s="5">
        <f>SUMPRODUCT($H$3:$N$3,H8:N8)</f>
        <v>3.675</v>
      </c>
    </row>
    <row r="9" spans="1:15">
      <c r="A9" s="6" t="s">
        <v>813</v>
      </c>
      <c r="B9" s="6" t="s">
        <v>814</v>
      </c>
      <c r="C9" s="6" t="s">
        <v>815</v>
      </c>
      <c r="D9" s="6" t="s">
        <v>816</v>
      </c>
      <c r="E9" s="6" t="s">
        <v>536</v>
      </c>
      <c r="F9" s="6" t="s">
        <v>817</v>
      </c>
      <c r="G9" s="6" t="s">
        <v>807</v>
      </c>
      <c r="H9" s="8">
        <v>2.5</v>
      </c>
      <c r="I9" s="8">
        <v>1</v>
      </c>
      <c r="J9" s="8">
        <v>2</v>
      </c>
      <c r="K9" s="8">
        <v>1</v>
      </c>
      <c r="L9" s="8">
        <v>4</v>
      </c>
      <c r="M9" s="8">
        <v>4</v>
      </c>
      <c r="N9" s="8">
        <v>1</v>
      </c>
      <c r="O9" s="5">
        <f>SUMPRODUCT($H$3:$N$3,H9:N9)</f>
        <v>2.125</v>
      </c>
    </row>
    <row r="10" spans="1:15">
      <c r="A10" s="6" t="s">
        <v>818</v>
      </c>
      <c r="B10" s="6" t="s">
        <v>819</v>
      </c>
      <c r="C10" s="6" t="s">
        <v>820</v>
      </c>
      <c r="D10" s="6" t="s">
        <v>816</v>
      </c>
      <c r="E10" s="6" t="s">
        <v>536</v>
      </c>
      <c r="F10" s="6" t="s">
        <v>821</v>
      </c>
      <c r="G10" s="6" t="s">
        <v>822</v>
      </c>
      <c r="H10" s="8">
        <v>1.5</v>
      </c>
      <c r="I10" s="8">
        <v>1</v>
      </c>
      <c r="J10" s="8">
        <v>2</v>
      </c>
      <c r="K10" s="8">
        <v>1</v>
      </c>
      <c r="L10" s="8">
        <v>4</v>
      </c>
      <c r="M10" s="8">
        <v>5</v>
      </c>
      <c r="N10" s="8">
        <v>1</v>
      </c>
      <c r="O10" s="5">
        <f>SUMPRODUCT($H$3:$N$3,H10:N10)</f>
        <v>1.975</v>
      </c>
    </row>
    <row r="11" spans="1:15">
      <c r="A11" s="6" t="s">
        <v>823</v>
      </c>
      <c r="B11" s="6" t="s">
        <v>824</v>
      </c>
      <c r="C11" s="6" t="s">
        <v>825</v>
      </c>
      <c r="D11" s="6" t="s">
        <v>826</v>
      </c>
      <c r="E11" s="6" t="s">
        <v>793</v>
      </c>
      <c r="F11" s="6" t="s">
        <v>827</v>
      </c>
      <c r="G11" s="6" t="s">
        <v>828</v>
      </c>
      <c r="H11" s="8">
        <v>3.12</v>
      </c>
      <c r="I11" s="8">
        <v>5</v>
      </c>
      <c r="J11" s="8">
        <v>4</v>
      </c>
      <c r="K11" s="8">
        <v>2</v>
      </c>
      <c r="L11" s="8">
        <v>4</v>
      </c>
      <c r="M11" s="8">
        <v>5</v>
      </c>
      <c r="N11" s="8">
        <v>5</v>
      </c>
      <c r="O11" s="5">
        <f>SUMPRODUCT($H$3:$N$3,H11:N11)</f>
        <v>3.830015371568605</v>
      </c>
    </row>
    <row r="13" spans="1:15">
      <c r="A13" s="2" t="s">
        <v>829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8.7109375" customWidth="1"/>
    <col min="2" max="2" width="70.7109375" customWidth="1"/>
    <col min="3" max="3" width="30.7109375" customWidth="1"/>
    <col min="4" max="4" width="55.7109375" customWidth="1"/>
  </cols>
  <sheetData>
    <row r="1" spans="1:4">
      <c r="A1" s="1" t="s">
        <v>830</v>
      </c>
    </row>
    <row r="3" spans="1:4">
      <c r="A3" s="7" t="s">
        <v>831</v>
      </c>
      <c r="B3" s="7" t="s">
        <v>832</v>
      </c>
      <c r="C3" s="7" t="s">
        <v>833</v>
      </c>
      <c r="D3" s="7" t="s">
        <v>834</v>
      </c>
    </row>
    <row r="4" spans="1:4">
      <c r="A4" s="6" t="s">
        <v>835</v>
      </c>
      <c r="B4" s="6" t="s">
        <v>836</v>
      </c>
      <c r="C4" s="6" t="s">
        <v>837</v>
      </c>
      <c r="D4" s="6" t="s">
        <v>838</v>
      </c>
    </row>
    <row r="5" spans="1:4">
      <c r="A5" s="6" t="s">
        <v>839</v>
      </c>
      <c r="B5" s="6" t="s">
        <v>840</v>
      </c>
      <c r="C5" s="6" t="s">
        <v>841</v>
      </c>
      <c r="D5" s="6" t="s">
        <v>842</v>
      </c>
    </row>
    <row r="6" spans="1:4">
      <c r="A6" s="6" t="s">
        <v>843</v>
      </c>
      <c r="B6" s="6" t="s">
        <v>844</v>
      </c>
      <c r="C6" s="6" t="s">
        <v>845</v>
      </c>
      <c r="D6" s="6" t="s">
        <v>846</v>
      </c>
    </row>
    <row r="7" spans="1:4">
      <c r="A7" s="6" t="s">
        <v>847</v>
      </c>
      <c r="B7" s="6" t="s">
        <v>848</v>
      </c>
      <c r="C7" s="6" t="s">
        <v>849</v>
      </c>
      <c r="D7" s="6" t="s">
        <v>850</v>
      </c>
    </row>
    <row r="8" spans="1:4">
      <c r="A8" s="6" t="s">
        <v>851</v>
      </c>
      <c r="B8" s="6" t="s">
        <v>852</v>
      </c>
      <c r="C8" s="6" t="s">
        <v>853</v>
      </c>
      <c r="D8" s="6" t="s">
        <v>854</v>
      </c>
    </row>
    <row r="9" spans="1:4">
      <c r="A9" s="6" t="s">
        <v>855</v>
      </c>
      <c r="B9" s="6" t="s">
        <v>856</v>
      </c>
      <c r="C9" s="6" t="s">
        <v>807</v>
      </c>
      <c r="D9" s="6" t="s">
        <v>857</v>
      </c>
    </row>
    <row r="10" spans="1:4">
      <c r="A10" s="6" t="s">
        <v>858</v>
      </c>
      <c r="B10" s="6" t="s">
        <v>859</v>
      </c>
      <c r="C10" s="6" t="s">
        <v>807</v>
      </c>
      <c r="D10" s="6" t="s">
        <v>860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cols>
    <col min="1" max="1" width="6.7109375" customWidth="1"/>
    <col min="2" max="2" width="12.7109375" customWidth="1"/>
    <col min="3" max="3" width="54.7109375" customWidth="1"/>
    <col min="4" max="7" width="10.7109375" customWidth="1"/>
    <col min="8" max="8" width="66.7109375" customWidth="1"/>
  </cols>
  <sheetData>
    <row r="1" spans="1:8">
      <c r="A1" s="1" t="s">
        <v>861</v>
      </c>
    </row>
    <row r="3" spans="1:8">
      <c r="A3" s="7" t="s">
        <v>862</v>
      </c>
      <c r="B3" s="7" t="s">
        <v>863</v>
      </c>
      <c r="C3" s="7" t="s">
        <v>864</v>
      </c>
      <c r="D3" s="7" t="s">
        <v>865</v>
      </c>
      <c r="E3" s="7" t="s">
        <v>866</v>
      </c>
      <c r="F3" s="7" t="s">
        <v>867</v>
      </c>
      <c r="G3" s="7" t="s">
        <v>868</v>
      </c>
      <c r="H3" s="7" t="s">
        <v>869</v>
      </c>
    </row>
    <row r="4" spans="1:8">
      <c r="A4" s="6" t="s">
        <v>870</v>
      </c>
      <c r="B4" s="6" t="s">
        <v>871</v>
      </c>
      <c r="C4" s="6" t="s">
        <v>872</v>
      </c>
      <c r="D4" s="8">
        <v>1</v>
      </c>
      <c r="E4" s="8">
        <v>3</v>
      </c>
      <c r="F4" s="8">
        <v>4</v>
      </c>
      <c r="G4" s="13">
        <f>D4*E4*F4</f>
        <v>12</v>
      </c>
      <c r="H4" s="6" t="s">
        <v>873</v>
      </c>
    </row>
    <row r="5" spans="1:8">
      <c r="A5" s="6" t="s">
        <v>874</v>
      </c>
      <c r="B5" s="6" t="s">
        <v>871</v>
      </c>
      <c r="C5" s="6" t="s">
        <v>875</v>
      </c>
      <c r="D5" s="8">
        <v>1</v>
      </c>
      <c r="E5" s="8">
        <v>4</v>
      </c>
      <c r="F5" s="8">
        <v>3</v>
      </c>
      <c r="G5" s="13">
        <f>D5*E5*F5</f>
        <v>12</v>
      </c>
      <c r="H5" s="6" t="s">
        <v>876</v>
      </c>
    </row>
    <row r="6" spans="1:8">
      <c r="A6" s="6" t="s">
        <v>877</v>
      </c>
      <c r="B6" s="6" t="s">
        <v>871</v>
      </c>
      <c r="C6" s="6" t="s">
        <v>878</v>
      </c>
      <c r="D6" s="8">
        <v>-1</v>
      </c>
      <c r="E6" s="8">
        <v>4</v>
      </c>
      <c r="F6" s="8">
        <v>4</v>
      </c>
      <c r="G6" s="13">
        <f>D6*E6*F6</f>
        <v>-16</v>
      </c>
      <c r="H6" s="6" t="s">
        <v>879</v>
      </c>
    </row>
    <row r="7" spans="1:8">
      <c r="A7" s="6" t="s">
        <v>880</v>
      </c>
      <c r="B7" s="6" t="s">
        <v>871</v>
      </c>
      <c r="C7" s="6" t="s">
        <v>881</v>
      </c>
      <c r="D7" s="8">
        <v>1</v>
      </c>
      <c r="E7" s="8">
        <v>3</v>
      </c>
      <c r="F7" s="8">
        <v>4</v>
      </c>
      <c r="G7" s="13">
        <f>D7*E7*F7</f>
        <v>12</v>
      </c>
      <c r="H7" s="6" t="s">
        <v>882</v>
      </c>
    </row>
    <row r="8" spans="1:8">
      <c r="A8" s="6" t="s">
        <v>883</v>
      </c>
      <c r="B8" s="6" t="s">
        <v>871</v>
      </c>
      <c r="C8" s="6" t="s">
        <v>884</v>
      </c>
      <c r="D8" s="8">
        <v>1</v>
      </c>
      <c r="E8" s="8">
        <v>3</v>
      </c>
      <c r="F8" s="8">
        <v>3</v>
      </c>
      <c r="G8" s="13">
        <f>D8*E8*F8</f>
        <v>9</v>
      </c>
      <c r="H8" s="6" t="s">
        <v>885</v>
      </c>
    </row>
    <row r="9" spans="1:8">
      <c r="A9" s="6" t="s">
        <v>886</v>
      </c>
      <c r="B9" s="6" t="s">
        <v>887</v>
      </c>
      <c r="C9" s="6" t="s">
        <v>888</v>
      </c>
      <c r="D9" s="8">
        <v>1</v>
      </c>
      <c r="E9" s="8">
        <v>5</v>
      </c>
      <c r="F9" s="8">
        <v>4</v>
      </c>
      <c r="G9" s="13">
        <f>D9*E9*F9</f>
        <v>20</v>
      </c>
      <c r="H9" s="6" t="s">
        <v>889</v>
      </c>
    </row>
    <row r="10" spans="1:8">
      <c r="A10" s="6" t="s">
        <v>890</v>
      </c>
      <c r="B10" s="6" t="s">
        <v>887</v>
      </c>
      <c r="C10" s="6" t="s">
        <v>891</v>
      </c>
      <c r="D10" s="8">
        <v>-1</v>
      </c>
      <c r="E10" s="8">
        <v>3</v>
      </c>
      <c r="F10" s="8">
        <v>4</v>
      </c>
      <c r="G10" s="13">
        <f>D10*E10*F10</f>
        <v>-12</v>
      </c>
      <c r="H10" s="6" t="s">
        <v>892</v>
      </c>
    </row>
    <row r="11" spans="1:8">
      <c r="A11" s="6" t="s">
        <v>893</v>
      </c>
      <c r="B11" s="6" t="s">
        <v>887</v>
      </c>
      <c r="C11" s="6" t="s">
        <v>894</v>
      </c>
      <c r="D11" s="8">
        <v>-1</v>
      </c>
      <c r="E11" s="8">
        <v>3</v>
      </c>
      <c r="F11" s="8">
        <v>4</v>
      </c>
      <c r="G11" s="13">
        <f>D11*E11*F11</f>
        <v>-12</v>
      </c>
      <c r="H11" s="6" t="s">
        <v>895</v>
      </c>
    </row>
    <row r="12" spans="1:8">
      <c r="A12" s="6" t="s">
        <v>896</v>
      </c>
      <c r="B12" s="6" t="s">
        <v>887</v>
      </c>
      <c r="C12" s="6" t="s">
        <v>897</v>
      </c>
      <c r="D12" s="8">
        <v>-1</v>
      </c>
      <c r="E12" s="8">
        <v>4</v>
      </c>
      <c r="F12" s="8">
        <v>4</v>
      </c>
      <c r="G12" s="13">
        <f>D12*E12*F12</f>
        <v>-16</v>
      </c>
      <c r="H12" s="6" t="s">
        <v>898</v>
      </c>
    </row>
    <row r="13" spans="1:8">
      <c r="A13" s="6" t="s">
        <v>899</v>
      </c>
      <c r="B13" s="6" t="s">
        <v>887</v>
      </c>
      <c r="C13" s="6" t="s">
        <v>900</v>
      </c>
      <c r="D13" s="8">
        <v>1</v>
      </c>
      <c r="E13" s="8">
        <v>2</v>
      </c>
      <c r="F13" s="8">
        <v>4</v>
      </c>
      <c r="G13" s="13">
        <f>D13*E13*F13</f>
        <v>8</v>
      </c>
      <c r="H13" s="6" t="s">
        <v>901</v>
      </c>
    </row>
    <row r="14" spans="1:8">
      <c r="A14" s="6" t="s">
        <v>902</v>
      </c>
      <c r="B14" s="6" t="s">
        <v>903</v>
      </c>
      <c r="C14" s="6" t="s">
        <v>904</v>
      </c>
      <c r="D14" s="8">
        <v>1</v>
      </c>
      <c r="E14" s="8">
        <v>3</v>
      </c>
      <c r="F14" s="8">
        <v>4</v>
      </c>
      <c r="G14" s="13">
        <f>D14*E14*F14</f>
        <v>12</v>
      </c>
      <c r="H14" s="6" t="s">
        <v>905</v>
      </c>
    </row>
    <row r="15" spans="1:8">
      <c r="A15" s="6" t="s">
        <v>906</v>
      </c>
      <c r="B15" s="6" t="s">
        <v>903</v>
      </c>
      <c r="C15" s="6" t="s">
        <v>907</v>
      </c>
      <c r="D15" s="8">
        <v>1</v>
      </c>
      <c r="E15" s="8">
        <v>2</v>
      </c>
      <c r="F15" s="8">
        <v>4</v>
      </c>
      <c r="G15" s="13">
        <f>D15*E15*F15</f>
        <v>8</v>
      </c>
      <c r="H15" s="6" t="s">
        <v>908</v>
      </c>
    </row>
    <row r="16" spans="1:8">
      <c r="A16" s="6" t="s">
        <v>909</v>
      </c>
      <c r="B16" s="6" t="s">
        <v>903</v>
      </c>
      <c r="C16" s="6" t="s">
        <v>910</v>
      </c>
      <c r="D16" s="8">
        <v>-1</v>
      </c>
      <c r="E16" s="8">
        <v>3</v>
      </c>
      <c r="F16" s="8">
        <v>3</v>
      </c>
      <c r="G16" s="13">
        <f>D16*E16*F16</f>
        <v>-9</v>
      </c>
      <c r="H16" s="6" t="s">
        <v>911</v>
      </c>
    </row>
    <row r="17" spans="1:8">
      <c r="A17" s="6" t="s">
        <v>912</v>
      </c>
      <c r="B17" s="6" t="s">
        <v>913</v>
      </c>
      <c r="C17" s="6" t="s">
        <v>914</v>
      </c>
      <c r="D17" s="8">
        <v>-1</v>
      </c>
      <c r="E17" s="8">
        <v>4</v>
      </c>
      <c r="F17" s="8">
        <v>3</v>
      </c>
      <c r="G17" s="13">
        <f>D17*E17*F17</f>
        <v>-12</v>
      </c>
      <c r="H17" s="6" t="s">
        <v>915</v>
      </c>
    </row>
    <row r="18" spans="1:8">
      <c r="A18" s="6" t="s">
        <v>916</v>
      </c>
      <c r="B18" s="6" t="s">
        <v>913</v>
      </c>
      <c r="C18" s="6" t="s">
        <v>917</v>
      </c>
      <c r="D18" s="8">
        <v>1</v>
      </c>
      <c r="E18" s="8">
        <v>3</v>
      </c>
      <c r="F18" s="8">
        <v>5</v>
      </c>
      <c r="G18" s="13">
        <f>D18*E18*F18</f>
        <v>15</v>
      </c>
      <c r="H18" s="6" t="s">
        <v>918</v>
      </c>
    </row>
    <row r="19" spans="1:8">
      <c r="A19" s="6" t="s">
        <v>919</v>
      </c>
      <c r="B19" s="6" t="s">
        <v>913</v>
      </c>
      <c r="C19" s="6" t="s">
        <v>920</v>
      </c>
      <c r="D19" s="8">
        <v>-1</v>
      </c>
      <c r="E19" s="8">
        <v>3</v>
      </c>
      <c r="F19" s="8">
        <v>3</v>
      </c>
      <c r="G19" s="13">
        <f>D19*E19*F19</f>
        <v>-9</v>
      </c>
      <c r="H19" s="6" t="s">
        <v>921</v>
      </c>
    </row>
    <row r="20" spans="1:8">
      <c r="A20" s="6" t="s">
        <v>922</v>
      </c>
      <c r="B20" s="6" t="s">
        <v>913</v>
      </c>
      <c r="C20" s="6" t="s">
        <v>923</v>
      </c>
      <c r="D20" s="8">
        <v>1</v>
      </c>
      <c r="E20" s="8">
        <v>3</v>
      </c>
      <c r="F20" s="8">
        <v>4</v>
      </c>
      <c r="G20" s="13">
        <f>D20*E20*F20</f>
        <v>12</v>
      </c>
      <c r="H20" s="6" t="s">
        <v>924</v>
      </c>
    </row>
    <row r="21" spans="1:8">
      <c r="A21" s="6" t="s">
        <v>925</v>
      </c>
      <c r="B21" s="6" t="s">
        <v>926</v>
      </c>
      <c r="C21" s="6" t="s">
        <v>927</v>
      </c>
      <c r="D21" s="8">
        <v>-1</v>
      </c>
      <c r="E21" s="8">
        <v>4</v>
      </c>
      <c r="F21" s="8">
        <v>3</v>
      </c>
      <c r="G21" s="13">
        <f>D21*E21*F21</f>
        <v>-12</v>
      </c>
      <c r="H21" s="6" t="s">
        <v>928</v>
      </c>
    </row>
    <row r="22" spans="1:8">
      <c r="A22" s="6" t="s">
        <v>929</v>
      </c>
      <c r="B22" s="6" t="s">
        <v>926</v>
      </c>
      <c r="C22" s="6" t="s">
        <v>930</v>
      </c>
      <c r="D22" s="8">
        <v>-1</v>
      </c>
      <c r="E22" s="8">
        <v>4</v>
      </c>
      <c r="F22" s="8">
        <v>3</v>
      </c>
      <c r="G22" s="13">
        <f>D22*E22*F22</f>
        <v>-12</v>
      </c>
      <c r="H22" s="6" t="s">
        <v>931</v>
      </c>
    </row>
    <row r="23" spans="1:8">
      <c r="A23" s="6" t="s">
        <v>932</v>
      </c>
      <c r="B23" s="6" t="s">
        <v>926</v>
      </c>
      <c r="C23" s="6" t="s">
        <v>933</v>
      </c>
      <c r="D23" s="8">
        <v>1</v>
      </c>
      <c r="E23" s="8">
        <v>3</v>
      </c>
      <c r="F23" s="8">
        <v>3</v>
      </c>
      <c r="G23" s="13">
        <f>D23*E23*F23</f>
        <v>9</v>
      </c>
      <c r="H23" s="6" t="s">
        <v>934</v>
      </c>
    </row>
    <row r="24" spans="1:8">
      <c r="A24" s="6" t="s">
        <v>935</v>
      </c>
      <c r="B24" s="6" t="s">
        <v>936</v>
      </c>
      <c r="C24" s="6" t="s">
        <v>937</v>
      </c>
      <c r="D24" s="8">
        <v>1</v>
      </c>
      <c r="E24" s="8">
        <v>4</v>
      </c>
      <c r="F24" s="8">
        <v>4</v>
      </c>
      <c r="G24" s="13">
        <f>D24*E24*F24</f>
        <v>16</v>
      </c>
      <c r="H24" s="6" t="s">
        <v>938</v>
      </c>
    </row>
    <row r="25" spans="1:8">
      <c r="A25" s="6" t="s">
        <v>939</v>
      </c>
      <c r="B25" s="6" t="s">
        <v>936</v>
      </c>
      <c r="C25" s="6" t="s">
        <v>940</v>
      </c>
      <c r="D25" s="8">
        <v>1</v>
      </c>
      <c r="E25" s="8">
        <v>2</v>
      </c>
      <c r="F25" s="8">
        <v>4</v>
      </c>
      <c r="G25" s="13">
        <f>D25*E25*F25</f>
        <v>8</v>
      </c>
      <c r="H25" s="6" t="s">
        <v>941</v>
      </c>
    </row>
    <row r="27" spans="1:8">
      <c r="B27" s="7" t="s">
        <v>863</v>
      </c>
      <c r="C27" s="7" t="s">
        <v>942</v>
      </c>
    </row>
    <row r="28" spans="1:8">
      <c r="B28" t="s">
        <v>871</v>
      </c>
      <c r="C28" s="13">
        <f>SUMIF($B$4:$B$25,B28,$G$4:$G$25)</f>
        <v>29</v>
      </c>
    </row>
    <row r="29" spans="1:8">
      <c r="B29" t="s">
        <v>887</v>
      </c>
      <c r="C29" s="13">
        <f>SUMIF($B$4:$B$25,B29,$G$4:$G$25)</f>
        <v>-12</v>
      </c>
    </row>
    <row r="30" spans="1:8">
      <c r="B30" t="s">
        <v>903</v>
      </c>
      <c r="C30" s="13">
        <f>SUMIF($B$4:$B$25,B30,$G$4:$G$25)</f>
        <v>11</v>
      </c>
    </row>
    <row r="31" spans="1:8">
      <c r="B31" t="s">
        <v>913</v>
      </c>
      <c r="C31" s="13">
        <f>SUMIF($B$4:$B$25,B31,$G$4:$G$25)</f>
        <v>6</v>
      </c>
    </row>
    <row r="32" spans="1:8">
      <c r="B32" t="s">
        <v>926</v>
      </c>
      <c r="C32" s="13">
        <f>SUMIF($B$4:$B$25,B32,$G$4:$G$25)</f>
        <v>-15</v>
      </c>
    </row>
    <row r="33" spans="2:3">
      <c r="B33" t="s">
        <v>936</v>
      </c>
      <c r="C33" s="13">
        <f>SUMIF($B$4:$B$25,B33,$G$4:$G$25)</f>
        <v>24</v>
      </c>
    </row>
    <row r="34" spans="2:3">
      <c r="B34" s="9" t="s">
        <v>943</v>
      </c>
      <c r="C34" s="14">
        <f>SUM(C28:C33)</f>
        <v>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1" width="20.7109375" customWidth="1"/>
    <col min="2" max="2" width="46.7109375" customWidth="1"/>
    <col min="3" max="3" width="12.7109375" customWidth="1"/>
    <col min="4" max="4" width="50.7109375" customWidth="1"/>
  </cols>
  <sheetData>
    <row r="1" spans="1:4">
      <c r="A1" s="1" t="s">
        <v>944</v>
      </c>
    </row>
    <row r="3" spans="1:4">
      <c r="A3" s="7" t="s">
        <v>945</v>
      </c>
      <c r="B3" s="7" t="s">
        <v>946</v>
      </c>
      <c r="C3" s="7" t="s">
        <v>868</v>
      </c>
      <c r="D3" s="7" t="s">
        <v>947</v>
      </c>
    </row>
    <row r="4" spans="1:4">
      <c r="A4" s="6" t="s">
        <v>948</v>
      </c>
      <c r="B4" s="6" t="s">
        <v>949</v>
      </c>
      <c r="C4" s="8">
        <v>2.6</v>
      </c>
      <c r="D4" s="6" t="s">
        <v>950</v>
      </c>
    </row>
    <row r="5" spans="1:4">
      <c r="A5" s="6" t="s">
        <v>948</v>
      </c>
      <c r="B5" s="6" t="s">
        <v>951</v>
      </c>
      <c r="C5" s="8">
        <v>2.4</v>
      </c>
      <c r="D5" s="6" t="s">
        <v>952</v>
      </c>
    </row>
    <row r="6" spans="1:4">
      <c r="A6" s="6" t="s">
        <v>948</v>
      </c>
      <c r="B6" s="6" t="s">
        <v>953</v>
      </c>
      <c r="C6" s="8">
        <v>3.4</v>
      </c>
      <c r="D6" s="6" t="s">
        <v>954</v>
      </c>
    </row>
    <row r="7" spans="1:4">
      <c r="A7" s="6" t="s">
        <v>955</v>
      </c>
      <c r="B7" s="6" t="s">
        <v>956</v>
      </c>
      <c r="C7" s="8">
        <v>3.4</v>
      </c>
      <c r="D7" s="6" t="s">
        <v>957</v>
      </c>
    </row>
    <row r="8" spans="1:4">
      <c r="A8" s="6" t="s">
        <v>955</v>
      </c>
      <c r="B8" s="6" t="s">
        <v>958</v>
      </c>
      <c r="C8" s="8">
        <v>2.2</v>
      </c>
      <c r="D8" s="6" t="s">
        <v>959</v>
      </c>
    </row>
    <row r="9" spans="1:4">
      <c r="A9" s="6" t="s">
        <v>955</v>
      </c>
      <c r="B9" s="6" t="s">
        <v>960</v>
      </c>
      <c r="C9" s="8">
        <v>2</v>
      </c>
      <c r="D9" s="6" t="s">
        <v>961</v>
      </c>
    </row>
    <row r="10" spans="1:4">
      <c r="A10" s="6" t="s">
        <v>962</v>
      </c>
      <c r="B10" s="6" t="s">
        <v>963</v>
      </c>
      <c r="C10" s="8">
        <v>3.8</v>
      </c>
      <c r="D10" s="6" t="s">
        <v>964</v>
      </c>
    </row>
    <row r="11" spans="1:4">
      <c r="A11" s="6" t="s">
        <v>962</v>
      </c>
      <c r="B11" s="6" t="s">
        <v>965</v>
      </c>
      <c r="C11" s="8">
        <v>3.4</v>
      </c>
      <c r="D11" s="6" t="s">
        <v>966</v>
      </c>
    </row>
    <row r="12" spans="1:4">
      <c r="A12" s="6" t="s">
        <v>962</v>
      </c>
      <c r="B12" s="6" t="s">
        <v>967</v>
      </c>
      <c r="C12" s="8">
        <v>3.2</v>
      </c>
      <c r="D12" s="6" t="s">
        <v>968</v>
      </c>
    </row>
    <row r="13" spans="1:4">
      <c r="A13" s="6" t="s">
        <v>969</v>
      </c>
      <c r="B13" s="6" t="s">
        <v>970</v>
      </c>
      <c r="C13" s="8">
        <v>4</v>
      </c>
      <c r="D13" s="6" t="s">
        <v>971</v>
      </c>
    </row>
    <row r="14" spans="1:4">
      <c r="A14" s="6" t="s">
        <v>969</v>
      </c>
      <c r="B14" s="6" t="s">
        <v>972</v>
      </c>
      <c r="C14" s="8">
        <v>4.2</v>
      </c>
      <c r="D14" s="6" t="s">
        <v>973</v>
      </c>
    </row>
    <row r="15" spans="1:4">
      <c r="A15" s="6" t="s">
        <v>969</v>
      </c>
      <c r="B15" s="6" t="s">
        <v>974</v>
      </c>
      <c r="C15" s="8">
        <v>3.3</v>
      </c>
      <c r="D15" s="6" t="s">
        <v>975</v>
      </c>
    </row>
    <row r="16" spans="1:4">
      <c r="A16" s="6" t="s">
        <v>976</v>
      </c>
      <c r="B16" s="6" t="s">
        <v>977</v>
      </c>
      <c r="C16" s="8">
        <v>3.8</v>
      </c>
      <c r="D16" s="6" t="s">
        <v>978</v>
      </c>
    </row>
    <row r="17" spans="1:4">
      <c r="A17" s="6" t="s">
        <v>976</v>
      </c>
      <c r="B17" s="6" t="s">
        <v>979</v>
      </c>
      <c r="C17" s="8">
        <v>2.8</v>
      </c>
      <c r="D17" s="6" t="s">
        <v>980</v>
      </c>
    </row>
    <row r="18" spans="1:4">
      <c r="A18" s="6" t="s">
        <v>976</v>
      </c>
      <c r="B18" s="6" t="s">
        <v>981</v>
      </c>
      <c r="C18" s="8">
        <v>3</v>
      </c>
      <c r="D18" s="6" t="s">
        <v>982</v>
      </c>
    </row>
    <row r="20" spans="1:4">
      <c r="A20" s="7" t="s">
        <v>945</v>
      </c>
      <c r="B20" s="7" t="s">
        <v>983</v>
      </c>
    </row>
    <row r="21" spans="1:4">
      <c r="A21" t="s">
        <v>948</v>
      </c>
      <c r="B21" s="10">
        <f>AVERAGE(C4:C6)</f>
        <v>2.8000000000000003</v>
      </c>
    </row>
    <row r="22" spans="1:4">
      <c r="A22" t="s">
        <v>955</v>
      </c>
      <c r="B22" s="10">
        <f>AVERAGE(C7:C9)</f>
        <v>2.533333333333333</v>
      </c>
    </row>
    <row r="23" spans="1:4">
      <c r="A23" t="s">
        <v>962</v>
      </c>
      <c r="B23" s="10">
        <f>AVERAGE(C10:C12)</f>
        <v>3.4666666666666663</v>
      </c>
    </row>
    <row r="24" spans="1:4">
      <c r="A24" t="s">
        <v>969</v>
      </c>
      <c r="B24" s="10">
        <f>AVERAGE(C13:C15)</f>
        <v>3.8333333333333335</v>
      </c>
    </row>
    <row r="25" spans="1:4">
      <c r="A25" t="s">
        <v>976</v>
      </c>
      <c r="B25" s="10">
        <f>AVERAGE(C16:C18)</f>
        <v>3.1999999999999997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80"/>
  <sheetViews>
    <sheetView workbookViewId="0"/>
  </sheetViews>
  <sheetFormatPr defaultRowHeight="15"/>
  <cols>
    <col min="1" max="1" width="22.7109375" customWidth="1"/>
    <col min="2" max="2" width="46.7109375" customWidth="1"/>
    <col min="3" max="6" width="13.7109375" customWidth="1"/>
    <col min="7" max="7" width="30.7109375" customWidth="1"/>
    <col min="8" max="8" width="60.7109375" customWidth="1"/>
    <col min="9" max="10" width="12.7109375" customWidth="1"/>
    <col min="11" max="11" width="50.7109375" customWidth="1"/>
  </cols>
  <sheetData>
    <row r="1" spans="1:11">
      <c r="A1" s="1" t="s">
        <v>984</v>
      </c>
    </row>
    <row r="3" spans="1:11">
      <c r="A3" s="7" t="s">
        <v>985</v>
      </c>
      <c r="B3" s="7" t="s">
        <v>544</v>
      </c>
      <c r="C3" s="7" t="s">
        <v>2</v>
      </c>
      <c r="D3" s="7" t="s">
        <v>3</v>
      </c>
      <c r="E3" s="7" t="s">
        <v>986</v>
      </c>
      <c r="F3" s="7" t="s">
        <v>987</v>
      </c>
      <c r="G3" s="7" t="s">
        <v>546</v>
      </c>
      <c r="H3" s="7" t="s">
        <v>988</v>
      </c>
      <c r="I3" s="7" t="s">
        <v>989</v>
      </c>
      <c r="J3" s="7" t="s">
        <v>545</v>
      </c>
      <c r="K3" s="7" t="s">
        <v>761</v>
      </c>
    </row>
    <row r="4" spans="1:11">
      <c r="A4" t="s">
        <v>990</v>
      </c>
      <c r="B4" t="s">
        <v>991</v>
      </c>
      <c r="C4">
        <v>100</v>
      </c>
      <c r="D4" t="s">
        <v>992</v>
      </c>
      <c r="E4">
        <v>100</v>
      </c>
      <c r="F4">
        <v>100</v>
      </c>
      <c r="G4" t="s">
        <v>993</v>
      </c>
      <c r="H4" s="16" t="s">
        <v>994</v>
      </c>
      <c r="I4" t="s">
        <v>995</v>
      </c>
      <c r="J4" t="s">
        <v>996</v>
      </c>
      <c r="K4" t="s">
        <v>997</v>
      </c>
    </row>
    <row r="5" spans="1:11">
      <c r="A5" t="s">
        <v>990</v>
      </c>
      <c r="B5" t="s">
        <v>998</v>
      </c>
      <c r="C5">
        <v>350</v>
      </c>
      <c r="D5" t="s">
        <v>992</v>
      </c>
      <c r="E5">
        <v>350</v>
      </c>
      <c r="F5">
        <v>350</v>
      </c>
      <c r="G5" t="s">
        <v>999</v>
      </c>
      <c r="H5" s="16" t="s">
        <v>994</v>
      </c>
      <c r="I5" t="s">
        <v>995</v>
      </c>
      <c r="J5" t="s">
        <v>996</v>
      </c>
      <c r="K5" t="s">
        <v>1000</v>
      </c>
    </row>
    <row r="6" spans="1:11">
      <c r="A6" t="s">
        <v>990</v>
      </c>
      <c r="B6" t="s">
        <v>1001</v>
      </c>
      <c r="C6">
        <v>250</v>
      </c>
      <c r="D6" t="s">
        <v>992</v>
      </c>
      <c r="E6">
        <v>250</v>
      </c>
      <c r="F6">
        <v>250</v>
      </c>
      <c r="G6" t="s">
        <v>999</v>
      </c>
      <c r="H6" s="16" t="s">
        <v>994</v>
      </c>
      <c r="I6" t="s">
        <v>995</v>
      </c>
      <c r="J6" t="s">
        <v>996</v>
      </c>
      <c r="K6" t="s">
        <v>1002</v>
      </c>
    </row>
    <row r="7" spans="1:11">
      <c r="A7" t="s">
        <v>990</v>
      </c>
      <c r="B7" t="s">
        <v>1003</v>
      </c>
      <c r="C7">
        <v>25</v>
      </c>
      <c r="D7" t="s">
        <v>992</v>
      </c>
      <c r="E7">
        <v>25</v>
      </c>
      <c r="F7">
        <v>25</v>
      </c>
      <c r="G7" t="s">
        <v>999</v>
      </c>
      <c r="H7" s="16" t="s">
        <v>994</v>
      </c>
      <c r="I7" t="s">
        <v>995</v>
      </c>
      <c r="J7" t="s">
        <v>996</v>
      </c>
      <c r="K7" t="s">
        <v>1004</v>
      </c>
    </row>
    <row r="8" spans="1:11">
      <c r="A8" t="s">
        <v>990</v>
      </c>
      <c r="B8" t="s">
        <v>1005</v>
      </c>
      <c r="C8">
        <v>50</v>
      </c>
      <c r="D8" t="s">
        <v>992</v>
      </c>
      <c r="E8">
        <v>50</v>
      </c>
      <c r="F8">
        <v>50</v>
      </c>
      <c r="G8" t="s">
        <v>999</v>
      </c>
      <c r="H8" s="16" t="s">
        <v>994</v>
      </c>
      <c r="I8" t="s">
        <v>995</v>
      </c>
      <c r="J8" t="s">
        <v>996</v>
      </c>
      <c r="K8" t="s">
        <v>1006</v>
      </c>
    </row>
    <row r="9" spans="1:11">
      <c r="A9" t="s">
        <v>990</v>
      </c>
      <c r="B9" t="s">
        <v>1007</v>
      </c>
      <c r="C9" t="s">
        <v>1008</v>
      </c>
      <c r="D9" t="s">
        <v>12</v>
      </c>
      <c r="E9">
        <v>6</v>
      </c>
      <c r="F9">
        <v>9</v>
      </c>
      <c r="G9" t="s">
        <v>999</v>
      </c>
      <c r="H9" s="16" t="s">
        <v>994</v>
      </c>
      <c r="I9" t="s">
        <v>995</v>
      </c>
      <c r="J9" t="s">
        <v>996</v>
      </c>
    </row>
    <row r="10" spans="1:11">
      <c r="A10" t="s">
        <v>990</v>
      </c>
      <c r="B10" t="s">
        <v>1009</v>
      </c>
      <c r="C10">
        <v>2.5</v>
      </c>
      <c r="D10" t="s">
        <v>1010</v>
      </c>
      <c r="E10">
        <v>2.5</v>
      </c>
      <c r="F10">
        <v>2.5</v>
      </c>
      <c r="G10" t="s">
        <v>999</v>
      </c>
      <c r="H10" s="16" t="s">
        <v>994</v>
      </c>
      <c r="I10" t="s">
        <v>995</v>
      </c>
      <c r="J10" t="s">
        <v>996</v>
      </c>
      <c r="K10" t="s">
        <v>1011</v>
      </c>
    </row>
    <row r="11" spans="1:11">
      <c r="A11" t="s">
        <v>990</v>
      </c>
      <c r="B11" t="s">
        <v>1012</v>
      </c>
      <c r="C11">
        <v>5000</v>
      </c>
      <c r="D11" t="s">
        <v>992</v>
      </c>
      <c r="E11">
        <v>3500</v>
      </c>
      <c r="F11">
        <v>5000</v>
      </c>
      <c r="G11" t="s">
        <v>1013</v>
      </c>
      <c r="H11" s="16" t="s">
        <v>1014</v>
      </c>
      <c r="I11" t="s">
        <v>1015</v>
      </c>
      <c r="J11" t="s">
        <v>1016</v>
      </c>
      <c r="K11" t="s">
        <v>1017</v>
      </c>
    </row>
    <row r="12" spans="1:11">
      <c r="A12" t="s">
        <v>990</v>
      </c>
      <c r="B12" t="s">
        <v>1018</v>
      </c>
      <c r="C12">
        <v>10</v>
      </c>
      <c r="D12" t="s">
        <v>1019</v>
      </c>
      <c r="E12">
        <v>3</v>
      </c>
      <c r="F12">
        <v>10</v>
      </c>
      <c r="G12" t="s">
        <v>1020</v>
      </c>
      <c r="H12" s="16" t="s">
        <v>1021</v>
      </c>
      <c r="I12" t="s">
        <v>1022</v>
      </c>
      <c r="J12" t="s">
        <v>996</v>
      </c>
      <c r="K12" t="s">
        <v>1023</v>
      </c>
    </row>
    <row r="13" spans="1:11">
      <c r="A13" t="s">
        <v>990</v>
      </c>
      <c r="B13" t="s">
        <v>1024</v>
      </c>
      <c r="C13">
        <v>0.1</v>
      </c>
      <c r="D13" t="s">
        <v>1019</v>
      </c>
      <c r="E13">
        <v>0.1</v>
      </c>
      <c r="F13">
        <v>0.45</v>
      </c>
      <c r="G13" t="s">
        <v>1025</v>
      </c>
      <c r="H13" s="16" t="s">
        <v>1026</v>
      </c>
      <c r="I13" t="s">
        <v>1027</v>
      </c>
      <c r="J13" t="s">
        <v>1016</v>
      </c>
      <c r="K13" t="s">
        <v>1028</v>
      </c>
    </row>
    <row r="14" spans="1:11">
      <c r="A14" t="s">
        <v>990</v>
      </c>
      <c r="B14" t="s">
        <v>1029</v>
      </c>
      <c r="C14" t="s">
        <v>1030</v>
      </c>
      <c r="D14" t="s">
        <v>1031</v>
      </c>
      <c r="E14" t="s">
        <v>1030</v>
      </c>
      <c r="F14" t="s">
        <v>1032</v>
      </c>
      <c r="G14" t="s">
        <v>1033</v>
      </c>
      <c r="H14" s="16" t="s">
        <v>1034</v>
      </c>
      <c r="I14" t="s">
        <v>1035</v>
      </c>
      <c r="J14" t="s">
        <v>1016</v>
      </c>
      <c r="K14" t="s">
        <v>1036</v>
      </c>
    </row>
    <row r="15" spans="1:11">
      <c r="A15" t="s">
        <v>990</v>
      </c>
      <c r="B15" t="s">
        <v>1037</v>
      </c>
      <c r="C15">
        <v>0.25</v>
      </c>
      <c r="D15" t="s">
        <v>201</v>
      </c>
      <c r="E15">
        <v>0.25</v>
      </c>
      <c r="F15">
        <v>0.25</v>
      </c>
      <c r="G15" t="s">
        <v>1038</v>
      </c>
      <c r="H15" s="16" t="s">
        <v>1039</v>
      </c>
      <c r="I15" t="s">
        <v>1040</v>
      </c>
      <c r="J15" t="s">
        <v>996</v>
      </c>
      <c r="K15" t="s">
        <v>1041</v>
      </c>
    </row>
    <row r="16" spans="1:11">
      <c r="A16" t="s">
        <v>990</v>
      </c>
      <c r="B16" t="s">
        <v>1042</v>
      </c>
      <c r="C16">
        <v>0.8</v>
      </c>
      <c r="D16" t="s">
        <v>12</v>
      </c>
      <c r="E16">
        <v>0.8</v>
      </c>
      <c r="F16">
        <v>1</v>
      </c>
      <c r="G16" t="s">
        <v>1043</v>
      </c>
      <c r="H16" s="16" t="s">
        <v>1044</v>
      </c>
      <c r="I16" t="s">
        <v>1045</v>
      </c>
      <c r="J16" t="s">
        <v>996</v>
      </c>
      <c r="K16" t="s">
        <v>1046</v>
      </c>
    </row>
    <row r="17" spans="1:11">
      <c r="A17" t="s">
        <v>990</v>
      </c>
      <c r="B17" t="s">
        <v>1047</v>
      </c>
      <c r="C17">
        <v>0.89</v>
      </c>
      <c r="D17" t="s">
        <v>12</v>
      </c>
      <c r="E17">
        <v>0.89</v>
      </c>
      <c r="F17">
        <v>1</v>
      </c>
      <c r="G17" t="s">
        <v>1048</v>
      </c>
      <c r="H17" s="16" t="s">
        <v>1049</v>
      </c>
      <c r="I17" t="s">
        <v>1050</v>
      </c>
      <c r="J17" t="s">
        <v>1016</v>
      </c>
      <c r="K17" t="s">
        <v>1051</v>
      </c>
    </row>
    <row r="18" spans="1:11">
      <c r="A18" t="s">
        <v>990</v>
      </c>
      <c r="B18" t="s">
        <v>1052</v>
      </c>
      <c r="C18">
        <v>28</v>
      </c>
      <c r="D18" t="s">
        <v>1053</v>
      </c>
      <c r="E18">
        <v>21</v>
      </c>
      <c r="F18">
        <v>28</v>
      </c>
      <c r="G18" t="s">
        <v>1054</v>
      </c>
      <c r="H18" s="16" t="s">
        <v>1055</v>
      </c>
      <c r="I18" t="s">
        <v>1056</v>
      </c>
      <c r="J18" t="s">
        <v>996</v>
      </c>
      <c r="K18" t="s">
        <v>1057</v>
      </c>
    </row>
    <row r="19" spans="1:11">
      <c r="A19" t="s">
        <v>990</v>
      </c>
      <c r="B19" t="s">
        <v>1058</v>
      </c>
      <c r="C19">
        <v>43000</v>
      </c>
      <c r="D19" t="s">
        <v>1059</v>
      </c>
      <c r="E19">
        <v>32000</v>
      </c>
      <c r="F19">
        <v>47900</v>
      </c>
      <c r="G19" t="s">
        <v>1060</v>
      </c>
      <c r="H19" s="16" t="s">
        <v>1049</v>
      </c>
      <c r="I19" t="s">
        <v>1061</v>
      </c>
      <c r="J19" t="s">
        <v>1016</v>
      </c>
      <c r="K19" t="s">
        <v>1062</v>
      </c>
    </row>
    <row r="20" spans="1:11">
      <c r="A20" t="s">
        <v>990</v>
      </c>
      <c r="B20" t="s">
        <v>1063</v>
      </c>
      <c r="C20">
        <v>52000</v>
      </c>
      <c r="D20" t="s">
        <v>1059</v>
      </c>
      <c r="E20">
        <v>21675</v>
      </c>
      <c r="F20">
        <v>57640</v>
      </c>
      <c r="G20" t="s">
        <v>1064</v>
      </c>
      <c r="H20" s="16" t="s">
        <v>1065</v>
      </c>
      <c r="I20" t="s">
        <v>1066</v>
      </c>
      <c r="J20" t="s">
        <v>996</v>
      </c>
      <c r="K20" t="s">
        <v>1067</v>
      </c>
    </row>
    <row r="21" spans="1:11">
      <c r="A21" t="s">
        <v>990</v>
      </c>
      <c r="B21" t="s">
        <v>1068</v>
      </c>
      <c r="C21">
        <v>0.6899999999999999</v>
      </c>
      <c r="D21" t="s">
        <v>1069</v>
      </c>
      <c r="E21">
        <v>0.5</v>
      </c>
      <c r="F21">
        <v>1.1</v>
      </c>
      <c r="G21" t="s">
        <v>1070</v>
      </c>
      <c r="H21" s="16" t="s">
        <v>1071</v>
      </c>
      <c r="I21" t="s">
        <v>1072</v>
      </c>
      <c r="J21" t="s">
        <v>1016</v>
      </c>
      <c r="K21" t="s">
        <v>1073</v>
      </c>
    </row>
    <row r="22" spans="1:11">
      <c r="A22" t="s">
        <v>990</v>
      </c>
      <c r="B22" t="s">
        <v>1074</v>
      </c>
      <c r="C22">
        <v>25</v>
      </c>
      <c r="D22" t="s">
        <v>1075</v>
      </c>
      <c r="E22">
        <v>15</v>
      </c>
      <c r="F22">
        <v>35</v>
      </c>
      <c r="G22" t="s">
        <v>1076</v>
      </c>
      <c r="H22" s="16" t="s">
        <v>1077</v>
      </c>
      <c r="I22" t="s">
        <v>1078</v>
      </c>
      <c r="J22" t="s">
        <v>996</v>
      </c>
      <c r="K22" t="s">
        <v>1079</v>
      </c>
    </row>
    <row r="23" spans="1:11">
      <c r="A23" t="s">
        <v>990</v>
      </c>
      <c r="B23" t="s">
        <v>1080</v>
      </c>
      <c r="C23">
        <v>5</v>
      </c>
      <c r="D23" t="s">
        <v>57</v>
      </c>
      <c r="E23">
        <v>3</v>
      </c>
      <c r="F23">
        <v>8.300000000000001</v>
      </c>
      <c r="G23" t="s">
        <v>1081</v>
      </c>
      <c r="H23" s="16" t="s">
        <v>1082</v>
      </c>
      <c r="I23" t="s">
        <v>1083</v>
      </c>
      <c r="J23" t="s">
        <v>1016</v>
      </c>
      <c r="K23" t="s">
        <v>1084</v>
      </c>
    </row>
    <row r="24" spans="1:11">
      <c r="A24" t="s">
        <v>990</v>
      </c>
      <c r="B24" t="s">
        <v>1085</v>
      </c>
      <c r="C24">
        <v>3.5</v>
      </c>
      <c r="D24" t="s">
        <v>57</v>
      </c>
      <c r="E24">
        <v>3.5</v>
      </c>
      <c r="F24">
        <v>4.3</v>
      </c>
      <c r="G24" t="s">
        <v>1086</v>
      </c>
      <c r="H24" s="16" t="s">
        <v>1087</v>
      </c>
      <c r="I24" t="s">
        <v>1083</v>
      </c>
      <c r="J24" t="s">
        <v>996</v>
      </c>
      <c r="K24" t="s">
        <v>1088</v>
      </c>
    </row>
    <row r="25" spans="1:11">
      <c r="A25" t="s">
        <v>990</v>
      </c>
      <c r="B25" t="s">
        <v>1089</v>
      </c>
      <c r="C25">
        <v>3.6</v>
      </c>
      <c r="D25" t="s">
        <v>57</v>
      </c>
      <c r="E25">
        <v>2.5</v>
      </c>
      <c r="F25">
        <v>5.9</v>
      </c>
      <c r="G25" t="s">
        <v>1090</v>
      </c>
      <c r="H25" s="16" t="s">
        <v>1091</v>
      </c>
      <c r="I25" t="s">
        <v>1092</v>
      </c>
      <c r="J25" t="s">
        <v>996</v>
      </c>
      <c r="K25" t="s">
        <v>1093</v>
      </c>
    </row>
    <row r="26" spans="1:11">
      <c r="A26" t="s">
        <v>990</v>
      </c>
      <c r="B26" t="s">
        <v>1094</v>
      </c>
      <c r="C26">
        <v>1.98</v>
      </c>
      <c r="D26" t="s">
        <v>1095</v>
      </c>
      <c r="E26">
        <v>1.6</v>
      </c>
      <c r="F26">
        <v>1.98</v>
      </c>
      <c r="G26" t="s">
        <v>1096</v>
      </c>
      <c r="H26" s="16" t="s">
        <v>1097</v>
      </c>
      <c r="I26" t="s">
        <v>1098</v>
      </c>
      <c r="J26" t="s">
        <v>996</v>
      </c>
      <c r="K26" t="s">
        <v>1099</v>
      </c>
    </row>
    <row r="27" spans="1:11">
      <c r="A27" t="s">
        <v>990</v>
      </c>
      <c r="B27" t="s">
        <v>1100</v>
      </c>
      <c r="C27">
        <v>20</v>
      </c>
      <c r="D27" t="s">
        <v>57</v>
      </c>
      <c r="E27">
        <v>10</v>
      </c>
      <c r="F27">
        <v>40</v>
      </c>
      <c r="G27" t="s">
        <v>1101</v>
      </c>
      <c r="H27" s="16" t="s">
        <v>1102</v>
      </c>
      <c r="I27" t="s">
        <v>1103</v>
      </c>
      <c r="J27" t="s">
        <v>1104</v>
      </c>
      <c r="K27" t="s">
        <v>1105</v>
      </c>
    </row>
    <row r="28" spans="1:11">
      <c r="A28" t="s">
        <v>990</v>
      </c>
      <c r="B28" t="s">
        <v>1106</v>
      </c>
      <c r="C28">
        <v>0.23</v>
      </c>
      <c r="D28" t="s">
        <v>1107</v>
      </c>
      <c r="E28">
        <v>0.2</v>
      </c>
      <c r="F28">
        <v>0.25</v>
      </c>
      <c r="G28" t="s">
        <v>1108</v>
      </c>
      <c r="H28" s="16" t="s">
        <v>1109</v>
      </c>
      <c r="I28" t="s">
        <v>1110</v>
      </c>
      <c r="J28" t="s">
        <v>996</v>
      </c>
      <c r="K28" t="s">
        <v>1111</v>
      </c>
    </row>
    <row r="29" spans="1:11">
      <c r="A29" t="s">
        <v>990</v>
      </c>
      <c r="B29" t="s">
        <v>1112</v>
      </c>
      <c r="C29">
        <v>3750</v>
      </c>
      <c r="D29" t="s">
        <v>69</v>
      </c>
      <c r="E29">
        <v>3750</v>
      </c>
      <c r="F29">
        <v>3750</v>
      </c>
      <c r="G29" t="s">
        <v>1113</v>
      </c>
      <c r="H29" s="16" t="s">
        <v>1114</v>
      </c>
      <c r="I29" t="s">
        <v>1083</v>
      </c>
      <c r="J29" t="s">
        <v>996</v>
      </c>
      <c r="K29" t="s">
        <v>1115</v>
      </c>
    </row>
    <row r="30" spans="1:11">
      <c r="A30" t="s">
        <v>990</v>
      </c>
      <c r="B30" t="s">
        <v>1116</v>
      </c>
      <c r="C30">
        <v>50000</v>
      </c>
      <c r="D30" t="s">
        <v>69</v>
      </c>
      <c r="E30">
        <v>25000</v>
      </c>
      <c r="F30">
        <v>100000</v>
      </c>
      <c r="G30" t="s">
        <v>1117</v>
      </c>
      <c r="I30" t="s">
        <v>1061</v>
      </c>
      <c r="J30" t="s">
        <v>1104</v>
      </c>
      <c r="K30" t="s">
        <v>1118</v>
      </c>
    </row>
    <row r="31" spans="1:11">
      <c r="A31" t="s">
        <v>990</v>
      </c>
      <c r="B31" t="s">
        <v>1119</v>
      </c>
      <c r="C31">
        <v>9.94</v>
      </c>
      <c r="D31" t="s">
        <v>43</v>
      </c>
      <c r="E31">
        <v>9.81</v>
      </c>
      <c r="F31">
        <v>11.47</v>
      </c>
      <c r="G31" t="s">
        <v>1120</v>
      </c>
      <c r="H31" s="16" t="s">
        <v>1121</v>
      </c>
      <c r="I31" t="s">
        <v>1122</v>
      </c>
      <c r="J31" t="s">
        <v>1016</v>
      </c>
      <c r="K31" t="s">
        <v>1123</v>
      </c>
    </row>
    <row r="32" spans="1:11">
      <c r="A32" t="s">
        <v>990</v>
      </c>
      <c r="B32" t="s">
        <v>1124</v>
      </c>
      <c r="C32">
        <v>5.97</v>
      </c>
      <c r="D32" t="s">
        <v>43</v>
      </c>
      <c r="E32">
        <v>5.89</v>
      </c>
      <c r="F32">
        <v>6.88</v>
      </c>
      <c r="G32" t="s">
        <v>1125</v>
      </c>
      <c r="H32" s="16" t="s">
        <v>1121</v>
      </c>
      <c r="I32" t="s">
        <v>1122</v>
      </c>
      <c r="J32" t="s">
        <v>1016</v>
      </c>
    </row>
    <row r="33" spans="1:11">
      <c r="A33" t="s">
        <v>990</v>
      </c>
      <c r="B33" t="s">
        <v>1126</v>
      </c>
      <c r="C33">
        <v>0.9</v>
      </c>
      <c r="D33" t="s">
        <v>1127</v>
      </c>
      <c r="E33">
        <v>0.5</v>
      </c>
      <c r="F33">
        <v>0.9</v>
      </c>
      <c r="G33" t="s">
        <v>1128</v>
      </c>
      <c r="H33" s="16" t="s">
        <v>1129</v>
      </c>
      <c r="I33" t="s">
        <v>1130</v>
      </c>
      <c r="J33" t="s">
        <v>996</v>
      </c>
      <c r="K33" t="s">
        <v>1131</v>
      </c>
    </row>
    <row r="34" spans="1:11">
      <c r="A34" t="s">
        <v>990</v>
      </c>
      <c r="B34" t="s">
        <v>1132</v>
      </c>
      <c r="C34">
        <v>164.1</v>
      </c>
      <c r="D34" t="s">
        <v>1133</v>
      </c>
      <c r="E34">
        <v>155.84</v>
      </c>
      <c r="F34">
        <v>164.1</v>
      </c>
      <c r="G34" t="s">
        <v>1134</v>
      </c>
      <c r="H34" s="16" t="s">
        <v>1135</v>
      </c>
      <c r="I34" t="s">
        <v>1136</v>
      </c>
      <c r="J34" t="s">
        <v>1016</v>
      </c>
      <c r="K34" t="s">
        <v>1137</v>
      </c>
    </row>
    <row r="35" spans="1:11">
      <c r="A35" t="s">
        <v>990</v>
      </c>
      <c r="B35" t="s">
        <v>1138</v>
      </c>
      <c r="C35">
        <v>20</v>
      </c>
      <c r="D35" t="s">
        <v>1075</v>
      </c>
      <c r="E35">
        <v>19</v>
      </c>
      <c r="F35">
        <v>20</v>
      </c>
      <c r="G35" t="s">
        <v>1139</v>
      </c>
      <c r="H35" s="16" t="s">
        <v>1140</v>
      </c>
      <c r="I35" t="s">
        <v>1141</v>
      </c>
      <c r="J35" t="s">
        <v>996</v>
      </c>
      <c r="K35" t="s">
        <v>1142</v>
      </c>
    </row>
    <row r="36" spans="1:11">
      <c r="A36" t="s">
        <v>990</v>
      </c>
      <c r="B36" t="s">
        <v>1143</v>
      </c>
      <c r="C36">
        <v>5.46</v>
      </c>
      <c r="D36" t="s">
        <v>1144</v>
      </c>
      <c r="F36">
        <v>5.46</v>
      </c>
      <c r="G36" t="s">
        <v>1145</v>
      </c>
      <c r="H36" s="16" t="s">
        <v>1146</v>
      </c>
      <c r="I36" t="s">
        <v>1147</v>
      </c>
      <c r="J36" t="s">
        <v>1016</v>
      </c>
      <c r="K36" t="s">
        <v>1148</v>
      </c>
    </row>
    <row r="37" spans="1:11">
      <c r="A37" t="s">
        <v>990</v>
      </c>
      <c r="B37" t="s">
        <v>1149</v>
      </c>
      <c r="C37">
        <v>2</v>
      </c>
      <c r="D37" t="s">
        <v>1150</v>
      </c>
      <c r="E37">
        <v>2</v>
      </c>
      <c r="F37">
        <v>3.5</v>
      </c>
      <c r="G37" t="s">
        <v>1151</v>
      </c>
      <c r="H37" s="16" t="s">
        <v>1152</v>
      </c>
      <c r="I37" t="s">
        <v>1153</v>
      </c>
      <c r="J37" t="s">
        <v>1016</v>
      </c>
      <c r="K37" t="s">
        <v>1154</v>
      </c>
    </row>
    <row r="38" spans="1:11">
      <c r="A38" t="s">
        <v>990</v>
      </c>
      <c r="B38" t="s">
        <v>1155</v>
      </c>
      <c r="C38">
        <v>26</v>
      </c>
      <c r="D38" t="s">
        <v>1156</v>
      </c>
      <c r="E38">
        <v>3</v>
      </c>
      <c r="F38">
        <v>26</v>
      </c>
      <c r="G38" t="s">
        <v>1157</v>
      </c>
      <c r="H38" s="16" t="s">
        <v>1158</v>
      </c>
      <c r="I38" t="s">
        <v>1159</v>
      </c>
      <c r="J38" t="s">
        <v>996</v>
      </c>
      <c r="K38" t="s">
        <v>1160</v>
      </c>
    </row>
    <row r="39" spans="1:11">
      <c r="A39" t="s">
        <v>990</v>
      </c>
      <c r="B39" t="s">
        <v>1161</v>
      </c>
      <c r="C39">
        <v>2</v>
      </c>
      <c r="D39" t="s">
        <v>57</v>
      </c>
      <c r="E39">
        <v>0</v>
      </c>
      <c r="F39">
        <v>2</v>
      </c>
      <c r="G39" t="s">
        <v>1162</v>
      </c>
      <c r="H39" s="16" t="s">
        <v>1163</v>
      </c>
      <c r="I39" t="s">
        <v>1164</v>
      </c>
      <c r="J39" t="s">
        <v>1016</v>
      </c>
      <c r="K39" t="s">
        <v>1165</v>
      </c>
    </row>
    <row r="40" spans="1:11">
      <c r="A40" t="s">
        <v>1166</v>
      </c>
      <c r="B40" t="s">
        <v>1167</v>
      </c>
      <c r="C40">
        <v>17948</v>
      </c>
      <c r="D40" t="s">
        <v>84</v>
      </c>
      <c r="E40">
        <v>17500</v>
      </c>
      <c r="F40">
        <v>18500</v>
      </c>
      <c r="G40" t="s">
        <v>1168</v>
      </c>
      <c r="H40" s="16" t="s">
        <v>1169</v>
      </c>
      <c r="I40" t="s">
        <v>1170</v>
      </c>
      <c r="J40" t="s">
        <v>996</v>
      </c>
      <c r="K40" t="s">
        <v>1171</v>
      </c>
    </row>
    <row r="41" spans="1:11">
      <c r="A41" t="s">
        <v>1166</v>
      </c>
      <c r="B41" t="s">
        <v>1172</v>
      </c>
      <c r="C41">
        <v>5.75</v>
      </c>
      <c r="D41" t="s">
        <v>1075</v>
      </c>
      <c r="E41">
        <v>5.25</v>
      </c>
      <c r="F41">
        <v>6.25</v>
      </c>
      <c r="G41" t="s">
        <v>1173</v>
      </c>
      <c r="H41" s="16" t="s">
        <v>1174</v>
      </c>
      <c r="I41" t="s">
        <v>1175</v>
      </c>
      <c r="J41" t="s">
        <v>996</v>
      </c>
      <c r="K41" t="s">
        <v>1176</v>
      </c>
    </row>
    <row r="42" spans="1:11">
      <c r="A42" t="s">
        <v>1166</v>
      </c>
      <c r="B42" t="s">
        <v>1177</v>
      </c>
      <c r="C42">
        <v>9.4</v>
      </c>
      <c r="D42" t="s">
        <v>1178</v>
      </c>
      <c r="E42">
        <v>8</v>
      </c>
      <c r="F42">
        <v>10.5</v>
      </c>
      <c r="G42" t="s">
        <v>1179</v>
      </c>
      <c r="H42" s="16" t="s">
        <v>1180</v>
      </c>
      <c r="I42" t="s">
        <v>1181</v>
      </c>
      <c r="J42" t="s">
        <v>996</v>
      </c>
      <c r="K42" t="s">
        <v>1182</v>
      </c>
    </row>
    <row r="43" spans="1:11">
      <c r="A43" t="s">
        <v>1166</v>
      </c>
      <c r="B43" t="s">
        <v>1183</v>
      </c>
      <c r="C43">
        <v>9.1</v>
      </c>
      <c r="D43" t="s">
        <v>1075</v>
      </c>
      <c r="E43">
        <v>9</v>
      </c>
      <c r="F43">
        <v>11</v>
      </c>
      <c r="G43" t="s">
        <v>1184</v>
      </c>
      <c r="H43" s="16" t="s">
        <v>1185</v>
      </c>
      <c r="I43" t="s">
        <v>1186</v>
      </c>
      <c r="J43" t="s">
        <v>1016</v>
      </c>
      <c r="K43" t="s">
        <v>1187</v>
      </c>
    </row>
    <row r="44" spans="1:11">
      <c r="A44" t="s">
        <v>1166</v>
      </c>
      <c r="B44" t="s">
        <v>1188</v>
      </c>
      <c r="C44">
        <v>14.7</v>
      </c>
      <c r="D44" t="s">
        <v>1075</v>
      </c>
      <c r="E44">
        <v>14.7</v>
      </c>
      <c r="F44">
        <v>18</v>
      </c>
      <c r="G44" t="s">
        <v>1184</v>
      </c>
      <c r="H44" s="16" t="s">
        <v>1185</v>
      </c>
      <c r="I44" t="s">
        <v>1186</v>
      </c>
      <c r="J44" t="s">
        <v>1016</v>
      </c>
      <c r="K44" t="s">
        <v>1189</v>
      </c>
    </row>
    <row r="45" spans="1:11">
      <c r="A45" t="s">
        <v>1166</v>
      </c>
      <c r="B45" t="s">
        <v>1190</v>
      </c>
      <c r="C45">
        <v>12</v>
      </c>
      <c r="D45" t="s">
        <v>1191</v>
      </c>
      <c r="E45">
        <v>9.4</v>
      </c>
      <c r="F45">
        <v>14</v>
      </c>
      <c r="G45" t="s">
        <v>1192</v>
      </c>
      <c r="H45" t="s">
        <v>1193</v>
      </c>
      <c r="I45" t="s">
        <v>1061</v>
      </c>
      <c r="J45" t="s">
        <v>1104</v>
      </c>
      <c r="K45" t="s">
        <v>1194</v>
      </c>
    </row>
    <row r="46" spans="1:11">
      <c r="A46" t="s">
        <v>1166</v>
      </c>
      <c r="B46" t="s">
        <v>1195</v>
      </c>
      <c r="C46">
        <v>1114.74</v>
      </c>
      <c r="D46" t="s">
        <v>1196</v>
      </c>
      <c r="E46">
        <v>1114.74</v>
      </c>
      <c r="F46">
        <v>1560</v>
      </c>
      <c r="G46" t="s">
        <v>1197</v>
      </c>
      <c r="H46" s="16" t="s">
        <v>1198</v>
      </c>
      <c r="I46" t="s">
        <v>1199</v>
      </c>
      <c r="J46" t="s">
        <v>996</v>
      </c>
      <c r="K46" t="s">
        <v>1200</v>
      </c>
    </row>
    <row r="47" spans="1:11">
      <c r="A47" t="s">
        <v>1166</v>
      </c>
      <c r="B47" t="s">
        <v>1201</v>
      </c>
      <c r="C47">
        <v>996.74</v>
      </c>
      <c r="D47" t="s">
        <v>1196</v>
      </c>
      <c r="E47">
        <v>996.74</v>
      </c>
      <c r="F47">
        <v>996.74</v>
      </c>
      <c r="G47" t="s">
        <v>1202</v>
      </c>
      <c r="H47" s="16" t="s">
        <v>1203</v>
      </c>
      <c r="I47" t="s">
        <v>1199</v>
      </c>
      <c r="J47" t="s">
        <v>996</v>
      </c>
      <c r="K47" t="s">
        <v>1204</v>
      </c>
    </row>
    <row r="48" spans="1:11">
      <c r="A48" t="s">
        <v>1166</v>
      </c>
      <c r="B48" t="s">
        <v>1205</v>
      </c>
      <c r="C48">
        <v>23700</v>
      </c>
      <c r="D48" t="s">
        <v>1206</v>
      </c>
      <c r="E48">
        <v>19700</v>
      </c>
      <c r="F48">
        <v>24200</v>
      </c>
      <c r="G48" t="s">
        <v>1207</v>
      </c>
      <c r="H48" s="16" t="s">
        <v>1208</v>
      </c>
      <c r="I48" t="s">
        <v>1209</v>
      </c>
      <c r="J48" t="s">
        <v>996</v>
      </c>
      <c r="K48" t="s">
        <v>1210</v>
      </c>
    </row>
    <row r="49" spans="1:11">
      <c r="A49" t="s">
        <v>1166</v>
      </c>
      <c r="B49" t="s">
        <v>1211</v>
      </c>
      <c r="C49">
        <v>21000</v>
      </c>
      <c r="D49" t="s">
        <v>1206</v>
      </c>
      <c r="E49">
        <v>18200</v>
      </c>
      <c r="F49">
        <v>25850</v>
      </c>
      <c r="G49" t="s">
        <v>1212</v>
      </c>
      <c r="H49" s="16" t="s">
        <v>1213</v>
      </c>
      <c r="I49" t="s">
        <v>1214</v>
      </c>
      <c r="J49" t="s">
        <v>1104</v>
      </c>
      <c r="K49" t="s">
        <v>1215</v>
      </c>
    </row>
    <row r="50" spans="1:11">
      <c r="A50" t="s">
        <v>1166</v>
      </c>
      <c r="B50" t="s">
        <v>1216</v>
      </c>
      <c r="C50">
        <v>0.3</v>
      </c>
      <c r="D50" t="s">
        <v>35</v>
      </c>
      <c r="E50">
        <v>0.28</v>
      </c>
      <c r="F50">
        <v>0.42</v>
      </c>
      <c r="G50" t="s">
        <v>1217</v>
      </c>
      <c r="H50" s="16" t="s">
        <v>1218</v>
      </c>
      <c r="I50" t="s">
        <v>1219</v>
      </c>
      <c r="J50" t="s">
        <v>1016</v>
      </c>
      <c r="K50" t="s">
        <v>1220</v>
      </c>
    </row>
    <row r="51" spans="1:11">
      <c r="A51" t="s">
        <v>1166</v>
      </c>
      <c r="B51" t="s">
        <v>1221</v>
      </c>
      <c r="C51">
        <v>6600</v>
      </c>
      <c r="D51" t="s">
        <v>1196</v>
      </c>
      <c r="E51">
        <v>5300</v>
      </c>
      <c r="F51">
        <v>10500</v>
      </c>
      <c r="G51" t="s">
        <v>1222</v>
      </c>
      <c r="H51" t="s">
        <v>1193</v>
      </c>
      <c r="I51" t="s">
        <v>1061</v>
      </c>
      <c r="J51" t="s">
        <v>1016</v>
      </c>
      <c r="K51" t="s">
        <v>1223</v>
      </c>
    </row>
    <row r="52" spans="1:11">
      <c r="A52" t="s">
        <v>1166</v>
      </c>
      <c r="B52" t="s">
        <v>1224</v>
      </c>
      <c r="C52">
        <v>18</v>
      </c>
      <c r="D52" t="s">
        <v>1225</v>
      </c>
      <c r="E52">
        <v>17</v>
      </c>
      <c r="F52">
        <v>25</v>
      </c>
      <c r="G52" t="s">
        <v>1226</v>
      </c>
      <c r="H52" s="16" t="s">
        <v>1227</v>
      </c>
      <c r="I52" t="s">
        <v>1228</v>
      </c>
      <c r="J52" t="s">
        <v>1016</v>
      </c>
      <c r="K52" t="s">
        <v>1229</v>
      </c>
    </row>
    <row r="53" spans="1:11">
      <c r="A53" t="s">
        <v>1166</v>
      </c>
      <c r="B53" t="s">
        <v>1230</v>
      </c>
      <c r="C53">
        <v>0.53</v>
      </c>
      <c r="D53" t="s">
        <v>1231</v>
      </c>
      <c r="E53">
        <v>0.3</v>
      </c>
      <c r="F53">
        <v>1</v>
      </c>
      <c r="G53" t="s">
        <v>1232</v>
      </c>
      <c r="H53" s="16" t="s">
        <v>1233</v>
      </c>
      <c r="I53" t="s">
        <v>1083</v>
      </c>
      <c r="J53" t="s">
        <v>1016</v>
      </c>
      <c r="K53" t="s">
        <v>1234</v>
      </c>
    </row>
    <row r="54" spans="1:11">
      <c r="A54" t="s">
        <v>1166</v>
      </c>
      <c r="B54" t="s">
        <v>1235</v>
      </c>
      <c r="C54">
        <v>2.6</v>
      </c>
      <c r="D54" t="s">
        <v>1236</v>
      </c>
      <c r="E54">
        <v>2.6</v>
      </c>
      <c r="F54">
        <v>2.6</v>
      </c>
      <c r="G54" t="s">
        <v>1237</v>
      </c>
      <c r="H54" s="16" t="s">
        <v>1238</v>
      </c>
      <c r="I54" t="s">
        <v>1239</v>
      </c>
      <c r="J54" t="s">
        <v>996</v>
      </c>
      <c r="K54" t="s">
        <v>1240</v>
      </c>
    </row>
    <row r="55" spans="1:11">
      <c r="A55" t="s">
        <v>1166</v>
      </c>
      <c r="B55" t="s">
        <v>1241</v>
      </c>
      <c r="C55">
        <v>1.99</v>
      </c>
      <c r="D55" t="s">
        <v>1242</v>
      </c>
      <c r="E55">
        <v>1.99</v>
      </c>
      <c r="F55">
        <v>1.99</v>
      </c>
      <c r="G55" t="s">
        <v>1243</v>
      </c>
      <c r="H55" s="16" t="s">
        <v>1244</v>
      </c>
      <c r="I55" t="s">
        <v>1245</v>
      </c>
      <c r="J55" t="s">
        <v>1016</v>
      </c>
      <c r="K55" t="s">
        <v>1246</v>
      </c>
    </row>
    <row r="56" spans="1:11">
      <c r="A56" t="s">
        <v>1166</v>
      </c>
      <c r="B56" t="s">
        <v>1247</v>
      </c>
      <c r="C56">
        <v>10.18</v>
      </c>
      <c r="D56" t="s">
        <v>1248</v>
      </c>
      <c r="E56">
        <v>10.18</v>
      </c>
      <c r="F56">
        <v>11.2</v>
      </c>
      <c r="G56" t="s">
        <v>1249</v>
      </c>
      <c r="H56" s="16" t="s">
        <v>1250</v>
      </c>
      <c r="I56" t="s">
        <v>1251</v>
      </c>
      <c r="J56" t="s">
        <v>1016</v>
      </c>
      <c r="K56" t="s">
        <v>1252</v>
      </c>
    </row>
    <row r="57" spans="1:11">
      <c r="A57" t="s">
        <v>1166</v>
      </c>
      <c r="B57" t="s">
        <v>1253</v>
      </c>
      <c r="C57">
        <v>6.11</v>
      </c>
      <c r="D57" t="s">
        <v>43</v>
      </c>
      <c r="E57">
        <v>6.11</v>
      </c>
      <c r="F57">
        <v>6.11</v>
      </c>
      <c r="G57" t="s">
        <v>1249</v>
      </c>
      <c r="H57" s="16" t="s">
        <v>1250</v>
      </c>
      <c r="I57" t="s">
        <v>1251</v>
      </c>
      <c r="J57" t="s">
        <v>1016</v>
      </c>
      <c r="K57" t="s">
        <v>1254</v>
      </c>
    </row>
    <row r="58" spans="1:11">
      <c r="A58" t="s">
        <v>1166</v>
      </c>
      <c r="B58" t="s">
        <v>1255</v>
      </c>
      <c r="C58">
        <v>9.289999999999999</v>
      </c>
      <c r="D58" t="s">
        <v>1248</v>
      </c>
      <c r="E58">
        <v>9</v>
      </c>
      <c r="F58">
        <v>9.289999999999999</v>
      </c>
      <c r="G58" t="s">
        <v>1256</v>
      </c>
      <c r="H58" s="16" t="s">
        <v>1257</v>
      </c>
      <c r="I58" t="s">
        <v>1258</v>
      </c>
      <c r="J58" t="s">
        <v>1104</v>
      </c>
      <c r="K58" t="s">
        <v>1259</v>
      </c>
    </row>
    <row r="59" spans="1:11">
      <c r="A59" t="s">
        <v>1166</v>
      </c>
      <c r="B59" t="s">
        <v>1260</v>
      </c>
      <c r="C59">
        <v>1.1</v>
      </c>
      <c r="D59" t="s">
        <v>12</v>
      </c>
      <c r="E59">
        <v>1</v>
      </c>
      <c r="F59">
        <v>1.2</v>
      </c>
      <c r="G59" t="s">
        <v>1261</v>
      </c>
      <c r="H59" s="16" t="s">
        <v>1257</v>
      </c>
      <c r="I59" t="s">
        <v>1258</v>
      </c>
      <c r="J59" t="s">
        <v>1104</v>
      </c>
      <c r="K59" t="s">
        <v>1262</v>
      </c>
    </row>
    <row r="60" spans="1:11">
      <c r="A60" t="s">
        <v>1166</v>
      </c>
      <c r="B60" t="s">
        <v>1263</v>
      </c>
      <c r="C60">
        <v>7.44</v>
      </c>
      <c r="D60" t="s">
        <v>43</v>
      </c>
      <c r="E60">
        <v>6</v>
      </c>
      <c r="F60">
        <v>7.44</v>
      </c>
      <c r="G60" t="s">
        <v>1264</v>
      </c>
      <c r="H60" s="16" t="s">
        <v>1121</v>
      </c>
      <c r="I60" t="s">
        <v>1122</v>
      </c>
      <c r="J60" t="s">
        <v>1016</v>
      </c>
      <c r="K60" t="s">
        <v>1265</v>
      </c>
    </row>
    <row r="61" spans="1:11">
      <c r="A61" t="s">
        <v>1166</v>
      </c>
      <c r="B61" t="s">
        <v>1266</v>
      </c>
      <c r="C61">
        <v>1018</v>
      </c>
      <c r="D61" t="s">
        <v>1196</v>
      </c>
      <c r="E61">
        <v>975</v>
      </c>
      <c r="F61">
        <v>1050</v>
      </c>
      <c r="G61" t="s">
        <v>1267</v>
      </c>
      <c r="H61" s="16" t="s">
        <v>1268</v>
      </c>
      <c r="I61" t="s">
        <v>1269</v>
      </c>
      <c r="J61" t="s">
        <v>1016</v>
      </c>
      <c r="K61" t="s">
        <v>1270</v>
      </c>
    </row>
    <row r="62" spans="1:11">
      <c r="A62" t="s">
        <v>1166</v>
      </c>
      <c r="B62" t="s">
        <v>1271</v>
      </c>
      <c r="C62">
        <v>2.3</v>
      </c>
      <c r="D62" t="s">
        <v>1272</v>
      </c>
      <c r="E62">
        <v>2.1</v>
      </c>
      <c r="F62">
        <v>3.5</v>
      </c>
      <c r="G62" t="s">
        <v>1273</v>
      </c>
      <c r="H62" s="16" t="s">
        <v>1274</v>
      </c>
      <c r="I62" t="s">
        <v>1275</v>
      </c>
      <c r="J62" t="s">
        <v>1016</v>
      </c>
      <c r="K62" t="s">
        <v>1276</v>
      </c>
    </row>
    <row r="63" spans="1:11">
      <c r="A63" t="s">
        <v>1166</v>
      </c>
      <c r="B63" t="s">
        <v>1277</v>
      </c>
      <c r="C63">
        <v>26.3</v>
      </c>
      <c r="D63" t="s">
        <v>1278</v>
      </c>
      <c r="E63">
        <v>26.3</v>
      </c>
      <c r="F63">
        <v>26.3</v>
      </c>
      <c r="G63" t="s">
        <v>1279</v>
      </c>
      <c r="H63" s="16" t="s">
        <v>1280</v>
      </c>
      <c r="I63" t="s">
        <v>1281</v>
      </c>
      <c r="J63" t="s">
        <v>1016</v>
      </c>
      <c r="K63" t="s">
        <v>1282</v>
      </c>
    </row>
    <row r="64" spans="1:11">
      <c r="A64" t="s">
        <v>1166</v>
      </c>
      <c r="B64" t="s">
        <v>1283</v>
      </c>
      <c r="C64">
        <v>109.1</v>
      </c>
      <c r="D64" t="s">
        <v>1278</v>
      </c>
      <c r="E64">
        <v>109.1</v>
      </c>
      <c r="F64">
        <v>109.1</v>
      </c>
      <c r="G64" t="s">
        <v>1284</v>
      </c>
      <c r="H64" s="16" t="s">
        <v>1285</v>
      </c>
      <c r="I64" t="s">
        <v>1286</v>
      </c>
      <c r="J64" t="s">
        <v>1016</v>
      </c>
      <c r="K64" t="s">
        <v>1287</v>
      </c>
    </row>
    <row r="65" spans="1:11">
      <c r="A65" t="s">
        <v>1166</v>
      </c>
      <c r="B65" t="s">
        <v>1288</v>
      </c>
      <c r="C65">
        <v>3.3</v>
      </c>
      <c r="D65" t="s">
        <v>1289</v>
      </c>
      <c r="E65">
        <v>2.3</v>
      </c>
      <c r="F65">
        <v>4.3</v>
      </c>
      <c r="G65" t="s">
        <v>1290</v>
      </c>
      <c r="H65" s="16" t="s">
        <v>1280</v>
      </c>
      <c r="I65" t="s">
        <v>1291</v>
      </c>
      <c r="J65" t="s">
        <v>1016</v>
      </c>
      <c r="K65" t="s">
        <v>1292</v>
      </c>
    </row>
    <row r="66" spans="1:11">
      <c r="A66" t="s">
        <v>1166</v>
      </c>
      <c r="B66" t="s">
        <v>1293</v>
      </c>
      <c r="C66">
        <v>0.75</v>
      </c>
      <c r="D66" t="s">
        <v>12</v>
      </c>
      <c r="E66">
        <v>0.57</v>
      </c>
      <c r="F66">
        <v>0.85</v>
      </c>
      <c r="G66" t="s">
        <v>1294</v>
      </c>
      <c r="H66" s="16" t="s">
        <v>1295</v>
      </c>
      <c r="I66" t="s">
        <v>1296</v>
      </c>
      <c r="J66" t="s">
        <v>1016</v>
      </c>
      <c r="K66" t="s">
        <v>1297</v>
      </c>
    </row>
    <row r="67" spans="1:11">
      <c r="A67" t="s">
        <v>1166</v>
      </c>
      <c r="B67" t="s">
        <v>1298</v>
      </c>
      <c r="C67">
        <v>6.75</v>
      </c>
      <c r="D67" t="s">
        <v>1075</v>
      </c>
      <c r="E67">
        <v>6.75</v>
      </c>
      <c r="F67">
        <v>6.75</v>
      </c>
      <c r="G67" t="s">
        <v>1299</v>
      </c>
      <c r="H67" s="16" t="s">
        <v>1300</v>
      </c>
      <c r="I67" t="s">
        <v>1258</v>
      </c>
      <c r="J67" t="s">
        <v>996</v>
      </c>
      <c r="K67" t="s">
        <v>1301</v>
      </c>
    </row>
    <row r="68" spans="1:11">
      <c r="A68" t="s">
        <v>1166</v>
      </c>
      <c r="B68" t="s">
        <v>1302</v>
      </c>
      <c r="C68">
        <v>1.45</v>
      </c>
      <c r="D68" t="s">
        <v>1303</v>
      </c>
      <c r="E68">
        <v>0.8</v>
      </c>
      <c r="F68">
        <v>2</v>
      </c>
      <c r="G68" t="s">
        <v>1304</v>
      </c>
      <c r="H68" s="16" t="s">
        <v>1305</v>
      </c>
      <c r="I68" t="s">
        <v>1072</v>
      </c>
      <c r="J68" t="s">
        <v>1104</v>
      </c>
      <c r="K68" t="s">
        <v>1306</v>
      </c>
    </row>
    <row r="69" spans="1:11">
      <c r="A69" t="s">
        <v>1166</v>
      </c>
      <c r="B69" t="s">
        <v>1307</v>
      </c>
      <c r="C69">
        <v>22</v>
      </c>
      <c r="D69" t="s">
        <v>1308</v>
      </c>
      <c r="E69">
        <v>20</v>
      </c>
      <c r="F69">
        <v>100</v>
      </c>
      <c r="G69" t="s">
        <v>1309</v>
      </c>
      <c r="H69" s="16" t="s">
        <v>1305</v>
      </c>
      <c r="I69" t="s">
        <v>1072</v>
      </c>
      <c r="J69" t="s">
        <v>1104</v>
      </c>
    </row>
    <row r="70" spans="1:11">
      <c r="A70" t="s">
        <v>1166</v>
      </c>
      <c r="B70" t="s">
        <v>1310</v>
      </c>
      <c r="C70">
        <v>0.4</v>
      </c>
      <c r="D70" t="s">
        <v>1311</v>
      </c>
      <c r="E70">
        <v>0.2</v>
      </c>
      <c r="F70">
        <v>0.6</v>
      </c>
      <c r="G70" t="s">
        <v>1312</v>
      </c>
      <c r="H70" s="16" t="s">
        <v>1313</v>
      </c>
      <c r="I70" t="s">
        <v>1286</v>
      </c>
      <c r="J70" t="s">
        <v>1104</v>
      </c>
      <c r="K70" t="s">
        <v>1314</v>
      </c>
    </row>
    <row r="71" spans="1:11">
      <c r="A71" t="s">
        <v>1166</v>
      </c>
      <c r="B71" t="s">
        <v>1315</v>
      </c>
      <c r="C71">
        <v>3000</v>
      </c>
      <c r="D71" t="s">
        <v>1316</v>
      </c>
      <c r="E71">
        <v>1500</v>
      </c>
      <c r="F71">
        <v>6000</v>
      </c>
      <c r="G71" t="s">
        <v>1317</v>
      </c>
      <c r="H71" s="16" t="s">
        <v>1318</v>
      </c>
      <c r="I71" t="s">
        <v>1319</v>
      </c>
      <c r="J71" t="s">
        <v>1104</v>
      </c>
    </row>
    <row r="72" spans="1:11">
      <c r="A72" t="s">
        <v>1166</v>
      </c>
      <c r="B72" t="s">
        <v>1320</v>
      </c>
      <c r="C72">
        <v>10000</v>
      </c>
      <c r="D72" t="s">
        <v>1321</v>
      </c>
      <c r="E72">
        <v>7000</v>
      </c>
      <c r="F72">
        <v>19000</v>
      </c>
      <c r="G72" t="s">
        <v>1322</v>
      </c>
      <c r="H72" s="16" t="s">
        <v>1323</v>
      </c>
      <c r="I72" t="s">
        <v>1324</v>
      </c>
      <c r="J72" t="s">
        <v>1016</v>
      </c>
      <c r="K72" t="s">
        <v>1325</v>
      </c>
    </row>
    <row r="73" spans="1:11">
      <c r="A73" t="s">
        <v>1166</v>
      </c>
      <c r="B73" t="s">
        <v>1326</v>
      </c>
      <c r="C73">
        <v>8</v>
      </c>
      <c r="D73" t="s">
        <v>1327</v>
      </c>
      <c r="E73">
        <v>7</v>
      </c>
      <c r="F73">
        <v>12</v>
      </c>
      <c r="G73" t="s">
        <v>1328</v>
      </c>
      <c r="H73" s="16" t="s">
        <v>1329</v>
      </c>
      <c r="I73" t="s">
        <v>1045</v>
      </c>
      <c r="J73" t="s">
        <v>1016</v>
      </c>
      <c r="K73" t="s">
        <v>1330</v>
      </c>
    </row>
    <row r="74" spans="1:11">
      <c r="A74" t="s">
        <v>1166</v>
      </c>
      <c r="B74" t="s">
        <v>1331</v>
      </c>
      <c r="C74">
        <v>110</v>
      </c>
      <c r="D74" t="s">
        <v>1332</v>
      </c>
      <c r="E74">
        <v>100</v>
      </c>
      <c r="F74">
        <v>160</v>
      </c>
      <c r="G74" t="s">
        <v>1333</v>
      </c>
      <c r="H74" s="16" t="s">
        <v>1334</v>
      </c>
      <c r="I74" t="s">
        <v>1335</v>
      </c>
      <c r="J74" t="s">
        <v>1016</v>
      </c>
      <c r="K74" t="s">
        <v>1336</v>
      </c>
    </row>
    <row r="75" spans="1:11">
      <c r="A75" t="s">
        <v>1166</v>
      </c>
      <c r="B75" t="s">
        <v>1337</v>
      </c>
      <c r="C75">
        <v>190</v>
      </c>
      <c r="D75" t="s">
        <v>1327</v>
      </c>
      <c r="E75">
        <v>150</v>
      </c>
      <c r="F75">
        <v>250</v>
      </c>
      <c r="G75" t="s">
        <v>1338</v>
      </c>
      <c r="H75" s="16" t="s">
        <v>1339</v>
      </c>
      <c r="I75" t="s">
        <v>1340</v>
      </c>
      <c r="J75" t="s">
        <v>1104</v>
      </c>
      <c r="K75" t="s">
        <v>1330</v>
      </c>
    </row>
    <row r="76" spans="1:11">
      <c r="A76" t="s">
        <v>1166</v>
      </c>
      <c r="B76" t="s">
        <v>1341</v>
      </c>
      <c r="C76">
        <v>3762.58</v>
      </c>
      <c r="D76" t="s">
        <v>1342</v>
      </c>
      <c r="E76">
        <v>3259</v>
      </c>
      <c r="F76">
        <v>3900</v>
      </c>
      <c r="G76" t="s">
        <v>1343</v>
      </c>
      <c r="H76" s="16" t="s">
        <v>1344</v>
      </c>
      <c r="I76" t="s">
        <v>1199</v>
      </c>
      <c r="J76" t="s">
        <v>996</v>
      </c>
      <c r="K76" t="s">
        <v>1345</v>
      </c>
    </row>
    <row r="77" spans="1:11">
      <c r="A77" t="s">
        <v>1166</v>
      </c>
      <c r="B77" t="s">
        <v>1346</v>
      </c>
      <c r="C77">
        <v>3.6</v>
      </c>
      <c r="D77" t="s">
        <v>1347</v>
      </c>
      <c r="E77">
        <v>3</v>
      </c>
      <c r="F77">
        <v>4</v>
      </c>
      <c r="G77" t="s">
        <v>1348</v>
      </c>
      <c r="H77" s="16" t="s">
        <v>1349</v>
      </c>
      <c r="I77" t="s">
        <v>1083</v>
      </c>
      <c r="J77" t="s">
        <v>1016</v>
      </c>
      <c r="K77" t="s">
        <v>1350</v>
      </c>
    </row>
    <row r="78" spans="1:11">
      <c r="A78" t="s">
        <v>1166</v>
      </c>
      <c r="B78" t="s">
        <v>1351</v>
      </c>
      <c r="C78">
        <v>32</v>
      </c>
      <c r="D78" t="s">
        <v>1352</v>
      </c>
      <c r="E78">
        <v>20</v>
      </c>
      <c r="F78">
        <v>45</v>
      </c>
      <c r="G78" t="s">
        <v>1222</v>
      </c>
      <c r="H78" t="s">
        <v>1193</v>
      </c>
      <c r="I78" t="s">
        <v>1061</v>
      </c>
      <c r="J78" t="s">
        <v>1104</v>
      </c>
      <c r="K78" t="s">
        <v>1353</v>
      </c>
    </row>
    <row r="79" spans="1:11">
      <c r="A79" t="s">
        <v>1166</v>
      </c>
      <c r="B79" t="s">
        <v>1354</v>
      </c>
      <c r="C79">
        <v>200</v>
      </c>
      <c r="D79" t="s">
        <v>1355</v>
      </c>
      <c r="E79">
        <v>80</v>
      </c>
      <c r="F79">
        <v>300</v>
      </c>
      <c r="G79" t="s">
        <v>1356</v>
      </c>
      <c r="H79" s="16" t="s">
        <v>1357</v>
      </c>
      <c r="I79" t="s">
        <v>1358</v>
      </c>
      <c r="J79" t="s">
        <v>1104</v>
      </c>
      <c r="K79" t="s">
        <v>1359</v>
      </c>
    </row>
    <row r="80" spans="1:11">
      <c r="A80" t="s">
        <v>1166</v>
      </c>
      <c r="B80" t="s">
        <v>1360</v>
      </c>
      <c r="C80">
        <v>101.28</v>
      </c>
      <c r="D80" t="s">
        <v>77</v>
      </c>
      <c r="E80">
        <v>75</v>
      </c>
      <c r="F80">
        <v>132</v>
      </c>
      <c r="G80" t="s">
        <v>1361</v>
      </c>
      <c r="H80" s="16" t="s">
        <v>1362</v>
      </c>
      <c r="I80" t="s">
        <v>1363</v>
      </c>
      <c r="J80" t="s">
        <v>996</v>
      </c>
      <c r="K80" t="s">
        <v>1364</v>
      </c>
    </row>
    <row r="81" spans="1:11">
      <c r="A81" t="s">
        <v>1166</v>
      </c>
      <c r="B81" t="s">
        <v>1365</v>
      </c>
      <c r="C81">
        <v>1200</v>
      </c>
      <c r="D81" t="s">
        <v>1342</v>
      </c>
      <c r="E81">
        <v>750</v>
      </c>
      <c r="F81">
        <v>1450</v>
      </c>
      <c r="G81" t="s">
        <v>1366</v>
      </c>
      <c r="H81" t="s">
        <v>1193</v>
      </c>
      <c r="I81" t="s">
        <v>1103</v>
      </c>
      <c r="J81" t="s">
        <v>1104</v>
      </c>
    </row>
    <row r="82" spans="1:11">
      <c r="A82" t="s">
        <v>1166</v>
      </c>
      <c r="B82" t="s">
        <v>1367</v>
      </c>
      <c r="C82">
        <v>0.25</v>
      </c>
      <c r="D82" t="s">
        <v>1368</v>
      </c>
      <c r="E82">
        <v>0.15</v>
      </c>
      <c r="F82">
        <v>0.4</v>
      </c>
      <c r="G82" t="s">
        <v>1222</v>
      </c>
      <c r="H82" t="s">
        <v>1194</v>
      </c>
      <c r="I82" t="s">
        <v>1061</v>
      </c>
      <c r="J82" t="s">
        <v>1104</v>
      </c>
      <c r="K82" t="s">
        <v>1369</v>
      </c>
    </row>
    <row r="83" spans="1:11">
      <c r="A83" t="s">
        <v>1166</v>
      </c>
      <c r="B83" t="s">
        <v>1370</v>
      </c>
      <c r="C83">
        <v>0.29</v>
      </c>
      <c r="D83" t="s">
        <v>1371</v>
      </c>
      <c r="E83">
        <v>0.2815</v>
      </c>
      <c r="F83">
        <v>0.3015</v>
      </c>
      <c r="G83" t="s">
        <v>1372</v>
      </c>
      <c r="H83" s="16" t="s">
        <v>1373</v>
      </c>
      <c r="I83" t="s">
        <v>1374</v>
      </c>
      <c r="J83" t="s">
        <v>1016</v>
      </c>
      <c r="K83" t="s">
        <v>1375</v>
      </c>
    </row>
    <row r="84" spans="1:11">
      <c r="A84" t="s">
        <v>1166</v>
      </c>
      <c r="B84" t="s">
        <v>1376</v>
      </c>
      <c r="C84">
        <v>10</v>
      </c>
      <c r="D84" t="s">
        <v>1075</v>
      </c>
      <c r="E84">
        <v>5</v>
      </c>
      <c r="F84">
        <v>15</v>
      </c>
      <c r="G84" t="s">
        <v>1377</v>
      </c>
      <c r="H84" s="16" t="s">
        <v>1378</v>
      </c>
      <c r="I84" t="s">
        <v>1245</v>
      </c>
      <c r="J84" t="s">
        <v>1016</v>
      </c>
      <c r="K84" t="s">
        <v>1379</v>
      </c>
    </row>
    <row r="85" spans="1:11">
      <c r="A85" t="s">
        <v>1166</v>
      </c>
      <c r="B85" t="s">
        <v>1380</v>
      </c>
      <c r="C85">
        <v>38</v>
      </c>
      <c r="D85" t="s">
        <v>1075</v>
      </c>
      <c r="E85">
        <v>38</v>
      </c>
      <c r="F85">
        <v>38</v>
      </c>
      <c r="G85" t="s">
        <v>1381</v>
      </c>
      <c r="H85" s="16" t="s">
        <v>1382</v>
      </c>
      <c r="I85" t="s">
        <v>1083</v>
      </c>
      <c r="J85" t="s">
        <v>1016</v>
      </c>
      <c r="K85" t="s">
        <v>1383</v>
      </c>
    </row>
    <row r="86" spans="1:11">
      <c r="A86" t="s">
        <v>1166</v>
      </c>
      <c r="B86" t="s">
        <v>1384</v>
      </c>
      <c r="C86">
        <v>5.2</v>
      </c>
      <c r="D86" t="s">
        <v>1368</v>
      </c>
      <c r="E86">
        <v>3</v>
      </c>
      <c r="F86">
        <v>8</v>
      </c>
      <c r="G86" t="s">
        <v>1385</v>
      </c>
      <c r="H86" t="s">
        <v>1193</v>
      </c>
      <c r="I86" t="s">
        <v>1061</v>
      </c>
      <c r="J86" t="s">
        <v>1104</v>
      </c>
      <c r="K86" t="s">
        <v>1386</v>
      </c>
    </row>
    <row r="87" spans="1:11">
      <c r="A87" t="s">
        <v>1387</v>
      </c>
      <c r="B87" t="s">
        <v>1388</v>
      </c>
      <c r="C87">
        <v>1300</v>
      </c>
      <c r="D87" t="s">
        <v>1389</v>
      </c>
      <c r="E87">
        <v>1231</v>
      </c>
      <c r="F87">
        <v>1400</v>
      </c>
      <c r="G87" t="s">
        <v>1390</v>
      </c>
      <c r="H87" s="16" t="s">
        <v>1391</v>
      </c>
      <c r="I87" t="s">
        <v>1392</v>
      </c>
      <c r="J87" t="s">
        <v>549</v>
      </c>
      <c r="K87" t="s">
        <v>1393</v>
      </c>
    </row>
    <row r="88" spans="1:11">
      <c r="A88" t="s">
        <v>1387</v>
      </c>
      <c r="B88" t="s">
        <v>1394</v>
      </c>
      <c r="C88" t="s">
        <v>1395</v>
      </c>
      <c r="D88" t="s">
        <v>1389</v>
      </c>
      <c r="G88" t="s">
        <v>1396</v>
      </c>
      <c r="H88" s="16" t="s">
        <v>1391</v>
      </c>
      <c r="I88" t="s">
        <v>1392</v>
      </c>
      <c r="J88" t="s">
        <v>549</v>
      </c>
      <c r="K88" t="s">
        <v>1397</v>
      </c>
    </row>
    <row r="89" spans="1:11">
      <c r="A89" t="s">
        <v>1387</v>
      </c>
      <c r="B89" t="s">
        <v>1398</v>
      </c>
      <c r="C89">
        <v>442</v>
      </c>
      <c r="D89" t="s">
        <v>1389</v>
      </c>
      <c r="E89">
        <v>350</v>
      </c>
      <c r="F89">
        <v>500</v>
      </c>
      <c r="G89" t="s">
        <v>1399</v>
      </c>
      <c r="H89" s="16" t="s">
        <v>1400</v>
      </c>
      <c r="I89" t="s">
        <v>1401</v>
      </c>
      <c r="J89" t="s">
        <v>552</v>
      </c>
      <c r="K89" t="s">
        <v>1402</v>
      </c>
    </row>
    <row r="90" spans="1:11">
      <c r="A90" t="s">
        <v>1387</v>
      </c>
      <c r="B90" t="s">
        <v>1403</v>
      </c>
      <c r="C90">
        <v>105.56</v>
      </c>
      <c r="D90" t="s">
        <v>1404</v>
      </c>
      <c r="G90" t="s">
        <v>1405</v>
      </c>
      <c r="H90" s="16" t="s">
        <v>1406</v>
      </c>
      <c r="I90" t="s">
        <v>1083</v>
      </c>
      <c r="J90" t="s">
        <v>552</v>
      </c>
      <c r="K90" t="s">
        <v>1407</v>
      </c>
    </row>
    <row r="91" spans="1:11">
      <c r="A91" t="s">
        <v>1387</v>
      </c>
      <c r="B91" t="s">
        <v>1408</v>
      </c>
      <c r="C91" t="s">
        <v>1409</v>
      </c>
      <c r="D91" t="s">
        <v>1410</v>
      </c>
      <c r="G91" t="s">
        <v>1411</v>
      </c>
      <c r="H91" s="16" t="s">
        <v>1412</v>
      </c>
      <c r="I91" t="s">
        <v>1413</v>
      </c>
      <c r="J91" t="s">
        <v>552</v>
      </c>
      <c r="K91" t="s">
        <v>1414</v>
      </c>
    </row>
    <row r="92" spans="1:11">
      <c r="A92" t="s">
        <v>1387</v>
      </c>
      <c r="B92" t="s">
        <v>1415</v>
      </c>
      <c r="C92">
        <v>99</v>
      </c>
      <c r="D92" t="s">
        <v>1389</v>
      </c>
      <c r="G92" t="s">
        <v>1416</v>
      </c>
      <c r="H92" s="16" t="s">
        <v>1417</v>
      </c>
      <c r="I92" t="s">
        <v>1418</v>
      </c>
      <c r="J92" t="s">
        <v>549</v>
      </c>
      <c r="K92" t="s">
        <v>1419</v>
      </c>
    </row>
    <row r="93" spans="1:11">
      <c r="A93" t="s">
        <v>1387</v>
      </c>
      <c r="B93" t="s">
        <v>1420</v>
      </c>
      <c r="C93">
        <v>50</v>
      </c>
      <c r="D93" t="s">
        <v>1421</v>
      </c>
      <c r="E93">
        <v>45</v>
      </c>
      <c r="F93">
        <v>57</v>
      </c>
      <c r="G93" t="s">
        <v>1422</v>
      </c>
      <c r="H93" s="16" t="s">
        <v>1423</v>
      </c>
      <c r="I93" t="s">
        <v>1245</v>
      </c>
      <c r="J93" t="s">
        <v>552</v>
      </c>
      <c r="K93" t="s">
        <v>1424</v>
      </c>
    </row>
    <row r="94" spans="1:11">
      <c r="A94" t="s">
        <v>1387</v>
      </c>
      <c r="B94" t="s">
        <v>1425</v>
      </c>
      <c r="C94">
        <v>65000</v>
      </c>
      <c r="D94" t="s">
        <v>1421</v>
      </c>
      <c r="E94">
        <v>55000</v>
      </c>
      <c r="F94">
        <v>75000</v>
      </c>
      <c r="G94" t="s">
        <v>1426</v>
      </c>
      <c r="I94" t="s">
        <v>1061</v>
      </c>
      <c r="J94" t="s">
        <v>558</v>
      </c>
      <c r="K94" t="s">
        <v>1427</v>
      </c>
    </row>
    <row r="95" spans="1:11">
      <c r="A95" t="s">
        <v>1387</v>
      </c>
      <c r="B95" t="s">
        <v>1428</v>
      </c>
      <c r="C95" t="s">
        <v>1429</v>
      </c>
      <c r="D95" t="s">
        <v>1430</v>
      </c>
      <c r="G95" t="s">
        <v>563</v>
      </c>
      <c r="I95" t="s">
        <v>1061</v>
      </c>
      <c r="J95" t="s">
        <v>558</v>
      </c>
      <c r="K95" t="s">
        <v>1431</v>
      </c>
    </row>
    <row r="96" spans="1:11">
      <c r="A96" t="s">
        <v>1387</v>
      </c>
      <c r="B96" t="s">
        <v>1432</v>
      </c>
      <c r="C96" t="s">
        <v>1433</v>
      </c>
      <c r="D96" t="s">
        <v>1389</v>
      </c>
      <c r="G96" t="s">
        <v>1434</v>
      </c>
      <c r="I96" t="s">
        <v>1170</v>
      </c>
      <c r="J96" t="s">
        <v>558</v>
      </c>
      <c r="K96" t="s">
        <v>1435</v>
      </c>
    </row>
    <row r="97" spans="1:11">
      <c r="A97" t="s">
        <v>1387</v>
      </c>
      <c r="B97" t="s">
        <v>1436</v>
      </c>
      <c r="C97">
        <v>48.16</v>
      </c>
      <c r="D97" t="s">
        <v>1437</v>
      </c>
      <c r="E97">
        <v>45.44</v>
      </c>
      <c r="F97">
        <v>48.16</v>
      </c>
      <c r="G97" t="s">
        <v>1438</v>
      </c>
      <c r="H97" s="16" t="s">
        <v>1439</v>
      </c>
      <c r="I97" t="s">
        <v>1164</v>
      </c>
      <c r="J97" t="s">
        <v>549</v>
      </c>
      <c r="K97" t="s">
        <v>1440</v>
      </c>
    </row>
    <row r="98" spans="1:11">
      <c r="A98" t="s">
        <v>1387</v>
      </c>
      <c r="B98" t="s">
        <v>1441</v>
      </c>
      <c r="C98">
        <v>51.66</v>
      </c>
      <c r="D98" t="s">
        <v>1437</v>
      </c>
      <c r="E98">
        <v>51.66</v>
      </c>
      <c r="F98">
        <v>51.66</v>
      </c>
      <c r="G98" t="s">
        <v>1438</v>
      </c>
      <c r="H98" s="16" t="s">
        <v>1439</v>
      </c>
      <c r="I98" t="s">
        <v>1164</v>
      </c>
      <c r="J98" t="s">
        <v>549</v>
      </c>
      <c r="K98" t="s">
        <v>1442</v>
      </c>
    </row>
    <row r="99" spans="1:11">
      <c r="A99" t="s">
        <v>1387</v>
      </c>
      <c r="B99" t="s">
        <v>1443</v>
      </c>
      <c r="C99">
        <v>52.5</v>
      </c>
      <c r="D99" t="s">
        <v>1437</v>
      </c>
      <c r="E99">
        <v>51.2</v>
      </c>
      <c r="F99">
        <v>54</v>
      </c>
      <c r="G99" t="s">
        <v>1444</v>
      </c>
      <c r="H99" s="16" t="s">
        <v>1445</v>
      </c>
      <c r="I99" t="s">
        <v>1446</v>
      </c>
      <c r="J99" t="s">
        <v>552</v>
      </c>
      <c r="K99" t="s">
        <v>1447</v>
      </c>
    </row>
    <row r="100" spans="1:11">
      <c r="A100" t="s">
        <v>1387</v>
      </c>
      <c r="B100" t="s">
        <v>1448</v>
      </c>
      <c r="C100">
        <v>250</v>
      </c>
      <c r="D100" t="s">
        <v>1449</v>
      </c>
      <c r="E100">
        <v>240</v>
      </c>
      <c r="F100">
        <v>260</v>
      </c>
      <c r="G100" t="s">
        <v>1450</v>
      </c>
      <c r="H100" s="16" t="s">
        <v>1451</v>
      </c>
      <c r="I100" t="s">
        <v>1452</v>
      </c>
      <c r="J100" t="s">
        <v>552</v>
      </c>
      <c r="K100" t="s">
        <v>1453</v>
      </c>
    </row>
    <row r="101" spans="1:11">
      <c r="A101" t="s">
        <v>1387</v>
      </c>
      <c r="B101" t="s">
        <v>1454</v>
      </c>
      <c r="C101">
        <v>19.67</v>
      </c>
      <c r="D101" t="s">
        <v>1075</v>
      </c>
      <c r="G101" t="s">
        <v>1455</v>
      </c>
      <c r="H101" s="16" t="s">
        <v>1456</v>
      </c>
      <c r="I101" t="s">
        <v>1083</v>
      </c>
      <c r="J101" t="s">
        <v>549</v>
      </c>
      <c r="K101" t="s">
        <v>1457</v>
      </c>
    </row>
    <row r="102" spans="1:11">
      <c r="A102" t="s">
        <v>1387</v>
      </c>
      <c r="B102" t="s">
        <v>1458</v>
      </c>
      <c r="C102">
        <v>0.65</v>
      </c>
      <c r="D102" t="s">
        <v>1459</v>
      </c>
      <c r="E102">
        <v>0.5</v>
      </c>
      <c r="F102">
        <v>0.7</v>
      </c>
      <c r="G102" t="s">
        <v>1460</v>
      </c>
      <c r="H102" s="16" t="s">
        <v>1461</v>
      </c>
      <c r="I102" t="s">
        <v>1103</v>
      </c>
      <c r="J102" t="s">
        <v>552</v>
      </c>
    </row>
    <row r="103" spans="1:11">
      <c r="A103" t="s">
        <v>1387</v>
      </c>
      <c r="B103" t="s">
        <v>1462</v>
      </c>
      <c r="C103">
        <v>150</v>
      </c>
      <c r="D103" t="s">
        <v>1463</v>
      </c>
      <c r="E103">
        <v>125</v>
      </c>
      <c r="F103">
        <v>170</v>
      </c>
      <c r="G103" t="s">
        <v>1464</v>
      </c>
      <c r="H103" s="16" t="s">
        <v>1461</v>
      </c>
      <c r="I103" t="s">
        <v>1103</v>
      </c>
      <c r="J103" t="s">
        <v>552</v>
      </c>
      <c r="K103" t="s">
        <v>1465</v>
      </c>
    </row>
    <row r="104" spans="1:11">
      <c r="A104" t="s">
        <v>1387</v>
      </c>
      <c r="B104" t="s">
        <v>1466</v>
      </c>
      <c r="C104">
        <v>3.6</v>
      </c>
      <c r="D104" t="s">
        <v>1467</v>
      </c>
      <c r="E104">
        <v>3.3</v>
      </c>
      <c r="F104">
        <v>4</v>
      </c>
      <c r="G104" t="s">
        <v>1468</v>
      </c>
      <c r="H104" s="16" t="s">
        <v>1461</v>
      </c>
      <c r="I104" t="s">
        <v>1103</v>
      </c>
      <c r="J104" t="s">
        <v>552</v>
      </c>
      <c r="K104" t="s">
        <v>1469</v>
      </c>
    </row>
    <row r="105" spans="1:11">
      <c r="A105" t="s">
        <v>1387</v>
      </c>
      <c r="B105" t="s">
        <v>1470</v>
      </c>
      <c r="C105">
        <v>1050</v>
      </c>
      <c r="D105" t="s">
        <v>579</v>
      </c>
      <c r="E105">
        <v>1000</v>
      </c>
      <c r="F105">
        <v>1113</v>
      </c>
      <c r="G105" t="s">
        <v>1471</v>
      </c>
      <c r="H105" s="16" t="s">
        <v>1472</v>
      </c>
      <c r="I105" t="s">
        <v>1473</v>
      </c>
      <c r="J105" t="s">
        <v>552</v>
      </c>
      <c r="K105" t="s">
        <v>1474</v>
      </c>
    </row>
    <row r="106" spans="1:11">
      <c r="A106" t="s">
        <v>1387</v>
      </c>
      <c r="B106" t="s">
        <v>1475</v>
      </c>
      <c r="C106">
        <v>165</v>
      </c>
      <c r="D106" t="s">
        <v>1133</v>
      </c>
      <c r="E106">
        <v>130</v>
      </c>
      <c r="F106">
        <v>165</v>
      </c>
      <c r="G106" t="s">
        <v>1476</v>
      </c>
      <c r="H106" s="16" t="s">
        <v>1477</v>
      </c>
      <c r="I106" t="s">
        <v>1478</v>
      </c>
      <c r="J106" t="s">
        <v>552</v>
      </c>
      <c r="K106" t="s">
        <v>1479</v>
      </c>
    </row>
    <row r="107" spans="1:11">
      <c r="A107" t="s">
        <v>1387</v>
      </c>
      <c r="B107" t="s">
        <v>1480</v>
      </c>
      <c r="C107">
        <v>164.1</v>
      </c>
      <c r="D107" t="s">
        <v>1133</v>
      </c>
      <c r="G107" t="s">
        <v>1481</v>
      </c>
      <c r="H107" s="16" t="s">
        <v>1135</v>
      </c>
      <c r="I107" t="s">
        <v>1136</v>
      </c>
      <c r="J107" t="s">
        <v>549</v>
      </c>
      <c r="K107" t="s">
        <v>1482</v>
      </c>
    </row>
    <row r="108" spans="1:11">
      <c r="A108" t="s">
        <v>1387</v>
      </c>
      <c r="B108" t="s">
        <v>1483</v>
      </c>
      <c r="C108">
        <v>84</v>
      </c>
      <c r="D108" t="s">
        <v>1484</v>
      </c>
      <c r="E108">
        <v>78</v>
      </c>
      <c r="F108">
        <v>90</v>
      </c>
      <c r="G108" t="s">
        <v>1485</v>
      </c>
      <c r="H108" s="16" t="s">
        <v>1477</v>
      </c>
      <c r="I108" t="s">
        <v>1478</v>
      </c>
      <c r="J108" t="s">
        <v>552</v>
      </c>
    </row>
    <row r="109" spans="1:11">
      <c r="A109" t="s">
        <v>1387</v>
      </c>
      <c r="B109" t="s">
        <v>1486</v>
      </c>
      <c r="C109">
        <v>53.7</v>
      </c>
      <c r="D109" t="s">
        <v>1133</v>
      </c>
      <c r="G109" t="s">
        <v>1487</v>
      </c>
      <c r="H109" s="16" t="s">
        <v>1477</v>
      </c>
      <c r="I109" t="s">
        <v>1478</v>
      </c>
      <c r="J109" t="s">
        <v>552</v>
      </c>
      <c r="K109" t="s">
        <v>1488</v>
      </c>
    </row>
    <row r="110" spans="1:11">
      <c r="A110" t="s">
        <v>1387</v>
      </c>
      <c r="B110" t="s">
        <v>1489</v>
      </c>
      <c r="C110">
        <v>0.115</v>
      </c>
      <c r="D110" t="s">
        <v>1490</v>
      </c>
      <c r="E110">
        <v>0.09</v>
      </c>
      <c r="F110">
        <v>0.15</v>
      </c>
      <c r="G110" t="s">
        <v>1491</v>
      </c>
      <c r="H110" s="16" t="s">
        <v>1274</v>
      </c>
      <c r="I110" t="s">
        <v>1492</v>
      </c>
      <c r="J110" t="s">
        <v>552</v>
      </c>
      <c r="K110" t="s">
        <v>1493</v>
      </c>
    </row>
    <row r="111" spans="1:11">
      <c r="A111" t="s">
        <v>1387</v>
      </c>
      <c r="B111" t="s">
        <v>1494</v>
      </c>
      <c r="C111">
        <v>1150</v>
      </c>
      <c r="D111" t="s">
        <v>1389</v>
      </c>
      <c r="E111">
        <v>1050</v>
      </c>
      <c r="F111">
        <v>1250</v>
      </c>
      <c r="G111" t="s">
        <v>1193</v>
      </c>
      <c r="I111" t="s">
        <v>1061</v>
      </c>
      <c r="J111" t="s">
        <v>552</v>
      </c>
    </row>
    <row r="112" spans="1:11">
      <c r="A112" t="s">
        <v>1387</v>
      </c>
      <c r="B112" t="s">
        <v>1495</v>
      </c>
      <c r="C112">
        <v>165000</v>
      </c>
      <c r="D112" t="s">
        <v>1496</v>
      </c>
      <c r="E112">
        <v>155000</v>
      </c>
      <c r="F112">
        <v>175000</v>
      </c>
      <c r="G112" t="s">
        <v>1497</v>
      </c>
      <c r="I112" t="s">
        <v>1214</v>
      </c>
      <c r="J112" t="s">
        <v>1498</v>
      </c>
      <c r="K112" t="s">
        <v>1499</v>
      </c>
    </row>
    <row r="113" spans="1:11">
      <c r="A113" t="s">
        <v>1387</v>
      </c>
      <c r="B113" t="s">
        <v>1500</v>
      </c>
      <c r="C113">
        <v>900</v>
      </c>
      <c r="D113" t="s">
        <v>1501</v>
      </c>
      <c r="E113">
        <v>774</v>
      </c>
      <c r="F113">
        <v>1015</v>
      </c>
      <c r="G113" t="s">
        <v>1193</v>
      </c>
      <c r="I113" t="s">
        <v>1061</v>
      </c>
      <c r="J113" t="s">
        <v>552</v>
      </c>
    </row>
    <row r="114" spans="1:11">
      <c r="A114" t="s">
        <v>1387</v>
      </c>
      <c r="B114" t="s">
        <v>1502</v>
      </c>
      <c r="C114">
        <v>1130000000</v>
      </c>
      <c r="D114" t="s">
        <v>1503</v>
      </c>
      <c r="E114">
        <v>980000000</v>
      </c>
      <c r="F114">
        <v>1280000000</v>
      </c>
      <c r="G114" t="s">
        <v>1504</v>
      </c>
      <c r="I114" t="s">
        <v>1061</v>
      </c>
      <c r="J114" t="s">
        <v>552</v>
      </c>
    </row>
    <row r="115" spans="1:11">
      <c r="A115" t="s">
        <v>1387</v>
      </c>
      <c r="B115" t="s">
        <v>1505</v>
      </c>
      <c r="C115">
        <v>470</v>
      </c>
      <c r="D115" t="s">
        <v>1501</v>
      </c>
      <c r="E115">
        <v>405</v>
      </c>
      <c r="F115">
        <v>530</v>
      </c>
      <c r="G115" t="s">
        <v>1506</v>
      </c>
      <c r="I115" t="s">
        <v>1061</v>
      </c>
      <c r="J115" t="s">
        <v>1507</v>
      </c>
    </row>
    <row r="116" spans="1:11">
      <c r="A116" t="s">
        <v>1387</v>
      </c>
      <c r="B116" t="s">
        <v>1508</v>
      </c>
      <c r="C116">
        <v>590000000</v>
      </c>
      <c r="D116" t="s">
        <v>1503</v>
      </c>
      <c r="E116">
        <v>510000000</v>
      </c>
      <c r="F116">
        <v>670000000</v>
      </c>
      <c r="G116" t="s">
        <v>1193</v>
      </c>
      <c r="I116" t="s">
        <v>1061</v>
      </c>
      <c r="J116" t="s">
        <v>1507</v>
      </c>
    </row>
    <row r="117" spans="1:11">
      <c r="A117" t="s">
        <v>1387</v>
      </c>
      <c r="B117" t="s">
        <v>1509</v>
      </c>
      <c r="C117">
        <v>250</v>
      </c>
      <c r="D117" t="s">
        <v>1501</v>
      </c>
      <c r="E117">
        <v>200</v>
      </c>
      <c r="F117">
        <v>315</v>
      </c>
      <c r="G117" t="s">
        <v>1510</v>
      </c>
      <c r="I117" t="s">
        <v>1061</v>
      </c>
      <c r="J117" t="s">
        <v>563</v>
      </c>
    </row>
    <row r="118" spans="1:11">
      <c r="A118" t="s">
        <v>1387</v>
      </c>
      <c r="B118" t="s">
        <v>1511</v>
      </c>
      <c r="C118">
        <v>40</v>
      </c>
      <c r="D118" t="s">
        <v>1512</v>
      </c>
      <c r="E118">
        <v>15</v>
      </c>
      <c r="F118">
        <v>40</v>
      </c>
      <c r="G118" t="s">
        <v>1513</v>
      </c>
      <c r="I118" t="s">
        <v>1061</v>
      </c>
      <c r="J118" t="s">
        <v>563</v>
      </c>
      <c r="K118" t="s">
        <v>1514</v>
      </c>
    </row>
    <row r="119" spans="1:11">
      <c r="A119" t="s">
        <v>1387</v>
      </c>
      <c r="B119" t="s">
        <v>1515</v>
      </c>
      <c r="C119">
        <v>9</v>
      </c>
      <c r="D119" t="s">
        <v>1516</v>
      </c>
      <c r="E119">
        <v>7</v>
      </c>
      <c r="F119">
        <v>11</v>
      </c>
      <c r="G119" t="s">
        <v>1517</v>
      </c>
      <c r="H119" s="16" t="s">
        <v>1135</v>
      </c>
      <c r="I119" t="s">
        <v>1136</v>
      </c>
      <c r="J119" t="s">
        <v>552</v>
      </c>
    </row>
    <row r="120" spans="1:11">
      <c r="A120" t="s">
        <v>1387</v>
      </c>
      <c r="B120" t="s">
        <v>1518</v>
      </c>
      <c r="C120">
        <v>2.2</v>
      </c>
      <c r="D120" t="s">
        <v>1519</v>
      </c>
      <c r="E120">
        <v>1.8</v>
      </c>
      <c r="F120">
        <v>3.7</v>
      </c>
      <c r="G120" t="s">
        <v>1520</v>
      </c>
      <c r="H120" s="16" t="s">
        <v>1274</v>
      </c>
      <c r="I120" t="s">
        <v>1521</v>
      </c>
      <c r="J120" t="s">
        <v>552</v>
      </c>
    </row>
    <row r="121" spans="1:11">
      <c r="A121" t="s">
        <v>1387</v>
      </c>
      <c r="B121" t="s">
        <v>1522</v>
      </c>
      <c r="C121">
        <v>2.5</v>
      </c>
      <c r="D121" t="s">
        <v>1519</v>
      </c>
      <c r="E121">
        <v>1.8</v>
      </c>
      <c r="F121">
        <v>3.5</v>
      </c>
      <c r="G121" t="s">
        <v>1523</v>
      </c>
      <c r="H121" s="16" t="s">
        <v>1524</v>
      </c>
      <c r="I121" t="s">
        <v>1083</v>
      </c>
      <c r="J121" t="s">
        <v>552</v>
      </c>
    </row>
    <row r="122" spans="1:11">
      <c r="A122" t="s">
        <v>1387</v>
      </c>
      <c r="B122" t="s">
        <v>1525</v>
      </c>
      <c r="C122">
        <v>5.3</v>
      </c>
      <c r="D122" t="s">
        <v>1526</v>
      </c>
      <c r="E122">
        <v>5</v>
      </c>
      <c r="F122">
        <v>5.6</v>
      </c>
      <c r="G122" t="s">
        <v>1527</v>
      </c>
      <c r="H122" s="16" t="s">
        <v>1528</v>
      </c>
      <c r="I122" t="s">
        <v>1529</v>
      </c>
      <c r="J122" t="s">
        <v>552</v>
      </c>
      <c r="K122" t="s">
        <v>1530</v>
      </c>
    </row>
    <row r="123" spans="1:11">
      <c r="A123" t="s">
        <v>1387</v>
      </c>
      <c r="B123" t="s">
        <v>1531</v>
      </c>
      <c r="C123">
        <v>2.4</v>
      </c>
      <c r="D123" t="s">
        <v>1532</v>
      </c>
      <c r="E123">
        <v>1</v>
      </c>
      <c r="F123">
        <v>2.4</v>
      </c>
      <c r="G123" t="s">
        <v>1533</v>
      </c>
      <c r="H123" s="16" t="s">
        <v>1534</v>
      </c>
      <c r="I123" t="s">
        <v>1413</v>
      </c>
      <c r="J123" t="s">
        <v>552</v>
      </c>
      <c r="K123" t="s">
        <v>1535</v>
      </c>
    </row>
    <row r="124" spans="1:11">
      <c r="A124" t="s">
        <v>1387</v>
      </c>
      <c r="B124" t="s">
        <v>1536</v>
      </c>
      <c r="C124">
        <v>4.98</v>
      </c>
      <c r="D124" t="s">
        <v>1519</v>
      </c>
      <c r="G124" t="s">
        <v>1537</v>
      </c>
      <c r="I124" t="s">
        <v>1214</v>
      </c>
      <c r="J124" t="s">
        <v>1498</v>
      </c>
      <c r="K124" t="s">
        <v>1538</v>
      </c>
    </row>
    <row r="125" spans="1:11">
      <c r="A125" t="s">
        <v>1387</v>
      </c>
      <c r="B125" t="s">
        <v>1539</v>
      </c>
      <c r="C125">
        <v>91</v>
      </c>
      <c r="D125" t="s">
        <v>1075</v>
      </c>
      <c r="E125">
        <v>80</v>
      </c>
      <c r="F125">
        <v>91</v>
      </c>
      <c r="G125" t="s">
        <v>1540</v>
      </c>
      <c r="H125" s="16" t="s">
        <v>1300</v>
      </c>
      <c r="I125" t="s">
        <v>1258</v>
      </c>
      <c r="J125" t="s">
        <v>552</v>
      </c>
    </row>
    <row r="126" spans="1:11">
      <c r="A126" t="s">
        <v>1387</v>
      </c>
      <c r="B126" t="s">
        <v>1541</v>
      </c>
      <c r="C126" t="s">
        <v>1542</v>
      </c>
      <c r="D126" t="s">
        <v>1075</v>
      </c>
      <c r="E126">
        <v>93</v>
      </c>
      <c r="F126">
        <v>98</v>
      </c>
      <c r="G126" t="s">
        <v>1543</v>
      </c>
      <c r="H126" s="16" t="s">
        <v>1544</v>
      </c>
      <c r="I126" t="s">
        <v>1413</v>
      </c>
      <c r="J126" t="s">
        <v>552</v>
      </c>
      <c r="K126" t="s">
        <v>1545</v>
      </c>
    </row>
    <row r="127" spans="1:11">
      <c r="A127" t="s">
        <v>1387</v>
      </c>
      <c r="B127" t="s">
        <v>1546</v>
      </c>
      <c r="C127">
        <v>2</v>
      </c>
      <c r="D127" t="s">
        <v>1547</v>
      </c>
      <c r="G127" t="s">
        <v>1548</v>
      </c>
      <c r="H127" s="16" t="s">
        <v>1549</v>
      </c>
      <c r="I127" t="s">
        <v>1550</v>
      </c>
      <c r="J127" t="s">
        <v>552</v>
      </c>
      <c r="K127" t="s">
        <v>1551</v>
      </c>
    </row>
    <row r="128" spans="1:11">
      <c r="A128" t="s">
        <v>1387</v>
      </c>
      <c r="B128" t="s">
        <v>1552</v>
      </c>
      <c r="C128" t="s">
        <v>1553</v>
      </c>
      <c r="D128" t="s">
        <v>1327</v>
      </c>
      <c r="E128">
        <v>1</v>
      </c>
      <c r="F128">
        <v>18</v>
      </c>
      <c r="G128" t="s">
        <v>1554</v>
      </c>
      <c r="H128" s="16" t="s">
        <v>1555</v>
      </c>
      <c r="I128" t="s">
        <v>1556</v>
      </c>
      <c r="J128" t="s">
        <v>552</v>
      </c>
      <c r="K128" t="s">
        <v>1557</v>
      </c>
    </row>
    <row r="129" spans="1:11">
      <c r="A129" t="s">
        <v>1387</v>
      </c>
      <c r="B129" t="s">
        <v>1558</v>
      </c>
      <c r="C129">
        <v>14</v>
      </c>
      <c r="D129" t="s">
        <v>1559</v>
      </c>
      <c r="G129" t="s">
        <v>1560</v>
      </c>
      <c r="H129" s="16" t="s">
        <v>1561</v>
      </c>
      <c r="I129" t="s">
        <v>1562</v>
      </c>
      <c r="J129" t="s">
        <v>552</v>
      </c>
    </row>
    <row r="130" spans="1:11">
      <c r="A130" t="s">
        <v>1387</v>
      </c>
      <c r="B130" t="s">
        <v>1563</v>
      </c>
      <c r="C130">
        <v>24</v>
      </c>
      <c r="D130" t="s">
        <v>1559</v>
      </c>
      <c r="E130">
        <v>18</v>
      </c>
      <c r="F130">
        <v>24</v>
      </c>
      <c r="G130" t="s">
        <v>1564</v>
      </c>
      <c r="H130" s="16" t="s">
        <v>1565</v>
      </c>
      <c r="I130" t="s">
        <v>1083</v>
      </c>
      <c r="J130" t="s">
        <v>552</v>
      </c>
      <c r="K130" t="s">
        <v>1566</v>
      </c>
    </row>
    <row r="131" spans="1:11">
      <c r="A131" t="s">
        <v>1387</v>
      </c>
      <c r="B131" t="s">
        <v>1567</v>
      </c>
      <c r="C131">
        <v>7.44</v>
      </c>
      <c r="D131" t="s">
        <v>43</v>
      </c>
      <c r="E131">
        <v>7.43</v>
      </c>
      <c r="F131">
        <v>7.44</v>
      </c>
      <c r="G131" t="s">
        <v>1568</v>
      </c>
      <c r="H131" s="16" t="s">
        <v>1569</v>
      </c>
      <c r="I131" t="s">
        <v>1570</v>
      </c>
      <c r="J131" t="s">
        <v>552</v>
      </c>
    </row>
    <row r="132" spans="1:11">
      <c r="A132" t="s">
        <v>1387</v>
      </c>
      <c r="B132" t="s">
        <v>1571</v>
      </c>
      <c r="C132">
        <v>35</v>
      </c>
      <c r="D132" t="s">
        <v>1572</v>
      </c>
      <c r="E132">
        <v>28</v>
      </c>
      <c r="F132">
        <v>42</v>
      </c>
      <c r="G132" t="s">
        <v>1573</v>
      </c>
      <c r="H132" s="16" t="s">
        <v>1574</v>
      </c>
      <c r="I132" t="s">
        <v>1575</v>
      </c>
      <c r="J132" t="s">
        <v>552</v>
      </c>
    </row>
    <row r="133" spans="1:11">
      <c r="A133" t="s">
        <v>1387</v>
      </c>
      <c r="B133" t="s">
        <v>1576</v>
      </c>
      <c r="C133">
        <v>10.8</v>
      </c>
      <c r="D133" t="s">
        <v>1577</v>
      </c>
      <c r="E133">
        <v>6.6</v>
      </c>
      <c r="F133">
        <v>10.8</v>
      </c>
      <c r="G133" t="s">
        <v>1578</v>
      </c>
      <c r="H133" s="16" t="s">
        <v>1579</v>
      </c>
      <c r="I133" t="s">
        <v>1045</v>
      </c>
      <c r="J133" t="s">
        <v>552</v>
      </c>
    </row>
    <row r="134" spans="1:11">
      <c r="A134" t="s">
        <v>1387</v>
      </c>
      <c r="B134" t="s">
        <v>1580</v>
      </c>
      <c r="C134">
        <v>453</v>
      </c>
      <c r="D134" t="s">
        <v>1389</v>
      </c>
      <c r="E134">
        <v>447</v>
      </c>
      <c r="F134">
        <v>453</v>
      </c>
      <c r="G134" t="s">
        <v>1581</v>
      </c>
      <c r="H134" s="16" t="s">
        <v>1582</v>
      </c>
      <c r="I134" t="s">
        <v>1583</v>
      </c>
      <c r="J134" t="s">
        <v>549</v>
      </c>
      <c r="K134" t="s">
        <v>1584</v>
      </c>
    </row>
    <row r="135" spans="1:11">
      <c r="A135" t="s">
        <v>1387</v>
      </c>
      <c r="B135" t="s">
        <v>1585</v>
      </c>
      <c r="C135">
        <v>0.3</v>
      </c>
      <c r="D135" t="s">
        <v>1490</v>
      </c>
      <c r="E135">
        <v>0.28</v>
      </c>
      <c r="F135">
        <v>0.33</v>
      </c>
      <c r="G135" t="s">
        <v>1586</v>
      </c>
      <c r="H135" s="16" t="s">
        <v>1587</v>
      </c>
      <c r="I135" t="s">
        <v>1588</v>
      </c>
      <c r="J135" t="s">
        <v>552</v>
      </c>
      <c r="K135" t="s">
        <v>1589</v>
      </c>
    </row>
    <row r="136" spans="1:11">
      <c r="A136" t="s">
        <v>1387</v>
      </c>
      <c r="B136" t="s">
        <v>1590</v>
      </c>
      <c r="C136">
        <v>508</v>
      </c>
      <c r="D136" t="s">
        <v>579</v>
      </c>
      <c r="G136" t="s">
        <v>1581</v>
      </c>
      <c r="H136" s="16" t="s">
        <v>1591</v>
      </c>
      <c r="I136" t="s">
        <v>1592</v>
      </c>
      <c r="J136" t="s">
        <v>552</v>
      </c>
    </row>
    <row r="137" spans="1:11">
      <c r="A137" t="s">
        <v>1387</v>
      </c>
      <c r="B137" t="s">
        <v>1593</v>
      </c>
      <c r="C137">
        <v>315</v>
      </c>
      <c r="D137" t="s">
        <v>1389</v>
      </c>
      <c r="E137">
        <v>300</v>
      </c>
      <c r="F137">
        <v>320</v>
      </c>
      <c r="G137" t="s">
        <v>1193</v>
      </c>
      <c r="I137" t="s">
        <v>1061</v>
      </c>
      <c r="J137" t="s">
        <v>1507</v>
      </c>
    </row>
    <row r="138" spans="1:11">
      <c r="A138" t="s">
        <v>1387</v>
      </c>
      <c r="B138" t="s">
        <v>1594</v>
      </c>
      <c r="C138">
        <v>20</v>
      </c>
      <c r="D138" t="s">
        <v>1595</v>
      </c>
      <c r="E138">
        <v>0.2</v>
      </c>
      <c r="F138">
        <v>20</v>
      </c>
      <c r="G138" t="s">
        <v>1596</v>
      </c>
      <c r="H138" s="16" t="s">
        <v>1597</v>
      </c>
      <c r="I138" t="s">
        <v>1103</v>
      </c>
      <c r="J138" t="s">
        <v>552</v>
      </c>
      <c r="K138" t="s">
        <v>1598</v>
      </c>
    </row>
    <row r="139" spans="1:11">
      <c r="A139" t="s">
        <v>1599</v>
      </c>
      <c r="B139" t="s">
        <v>1600</v>
      </c>
      <c r="C139">
        <v>50</v>
      </c>
      <c r="D139" t="s">
        <v>1601</v>
      </c>
      <c r="E139">
        <v>40</v>
      </c>
      <c r="F139">
        <v>80</v>
      </c>
      <c r="H139" s="16" t="s">
        <v>1602</v>
      </c>
      <c r="K139" t="s">
        <v>1603</v>
      </c>
    </row>
    <row r="140" spans="1:11">
      <c r="A140" t="s">
        <v>1599</v>
      </c>
      <c r="B140" t="s">
        <v>1604</v>
      </c>
      <c r="C140">
        <v>0.65</v>
      </c>
      <c r="D140" t="s">
        <v>1459</v>
      </c>
      <c r="E140">
        <v>0.55</v>
      </c>
      <c r="F140">
        <v>0.7</v>
      </c>
      <c r="H140" s="16" t="s">
        <v>1605</v>
      </c>
      <c r="K140" t="s">
        <v>1606</v>
      </c>
    </row>
    <row r="141" spans="1:11">
      <c r="A141" t="s">
        <v>1599</v>
      </c>
      <c r="B141" t="s">
        <v>1607</v>
      </c>
      <c r="C141">
        <v>440</v>
      </c>
      <c r="D141" t="s">
        <v>1608</v>
      </c>
      <c r="E141">
        <v>410</v>
      </c>
      <c r="F141">
        <v>470</v>
      </c>
      <c r="H141" s="16" t="s">
        <v>1609</v>
      </c>
      <c r="K141" t="s">
        <v>1610</v>
      </c>
    </row>
    <row r="142" spans="1:11">
      <c r="A142" t="s">
        <v>1599</v>
      </c>
      <c r="B142" t="s">
        <v>1611</v>
      </c>
      <c r="C142">
        <v>55</v>
      </c>
      <c r="D142" t="s">
        <v>1612</v>
      </c>
      <c r="E142">
        <v>50</v>
      </c>
      <c r="F142">
        <v>57</v>
      </c>
      <c r="H142" s="16" t="s">
        <v>1613</v>
      </c>
      <c r="K142" t="s">
        <v>1614</v>
      </c>
    </row>
    <row r="143" spans="1:11">
      <c r="A143" t="s">
        <v>1599</v>
      </c>
      <c r="B143" t="s">
        <v>1615</v>
      </c>
      <c r="C143">
        <v>8</v>
      </c>
      <c r="D143" t="s">
        <v>1616</v>
      </c>
      <c r="E143">
        <v>3</v>
      </c>
      <c r="F143">
        <v>17</v>
      </c>
      <c r="H143" s="16" t="s">
        <v>1613</v>
      </c>
      <c r="K143" t="s">
        <v>1617</v>
      </c>
    </row>
    <row r="144" spans="1:11">
      <c r="A144" t="s">
        <v>1599</v>
      </c>
      <c r="B144" t="s">
        <v>1618</v>
      </c>
      <c r="C144">
        <v>5</v>
      </c>
      <c r="D144" t="s">
        <v>1332</v>
      </c>
      <c r="E144">
        <v>4.5</v>
      </c>
      <c r="F144">
        <v>7</v>
      </c>
      <c r="H144" s="16" t="s">
        <v>1613</v>
      </c>
      <c r="K144" t="s">
        <v>1619</v>
      </c>
    </row>
    <row r="145" spans="1:11">
      <c r="A145" t="s">
        <v>1599</v>
      </c>
      <c r="B145" t="s">
        <v>1620</v>
      </c>
      <c r="C145">
        <v>15</v>
      </c>
      <c r="D145" t="s">
        <v>1332</v>
      </c>
      <c r="E145">
        <v>10</v>
      </c>
      <c r="F145">
        <v>30</v>
      </c>
      <c r="H145" s="16" t="s">
        <v>1621</v>
      </c>
      <c r="K145" t="s">
        <v>1622</v>
      </c>
    </row>
    <row r="146" spans="1:11">
      <c r="A146" t="s">
        <v>1599</v>
      </c>
      <c r="B146" t="s">
        <v>1623</v>
      </c>
      <c r="C146">
        <v>70</v>
      </c>
      <c r="D146" t="s">
        <v>1075</v>
      </c>
      <c r="E146">
        <v>65</v>
      </c>
      <c r="F146">
        <v>72</v>
      </c>
      <c r="H146" s="16" t="s">
        <v>1613</v>
      </c>
      <c r="K146" t="s">
        <v>1624</v>
      </c>
    </row>
    <row r="147" spans="1:11">
      <c r="A147" t="s">
        <v>1599</v>
      </c>
      <c r="B147" t="s">
        <v>1625</v>
      </c>
      <c r="C147">
        <v>94</v>
      </c>
      <c r="D147" t="s">
        <v>1075</v>
      </c>
      <c r="E147">
        <v>93</v>
      </c>
      <c r="F147">
        <v>98</v>
      </c>
      <c r="H147" s="16" t="s">
        <v>1626</v>
      </c>
      <c r="K147" t="s">
        <v>1627</v>
      </c>
    </row>
    <row r="148" spans="1:11">
      <c r="A148" t="s">
        <v>1599</v>
      </c>
      <c r="B148" t="s">
        <v>1628</v>
      </c>
      <c r="C148">
        <v>2500</v>
      </c>
      <c r="D148" t="s">
        <v>992</v>
      </c>
      <c r="E148">
        <v>800</v>
      </c>
      <c r="F148">
        <v>3500</v>
      </c>
      <c r="H148" s="16" t="s">
        <v>1626</v>
      </c>
      <c r="K148" t="s">
        <v>1629</v>
      </c>
    </row>
    <row r="149" spans="1:11">
      <c r="A149" t="s">
        <v>1599</v>
      </c>
      <c r="B149" t="s">
        <v>1630</v>
      </c>
      <c r="C149">
        <v>22</v>
      </c>
      <c r="D149" t="s">
        <v>1631</v>
      </c>
      <c r="E149">
        <v>20</v>
      </c>
      <c r="F149">
        <v>34</v>
      </c>
      <c r="H149" s="16" t="s">
        <v>1632</v>
      </c>
      <c r="K149" t="s">
        <v>1633</v>
      </c>
    </row>
    <row r="150" spans="1:11">
      <c r="A150" t="s">
        <v>1599</v>
      </c>
      <c r="B150" t="s">
        <v>1634</v>
      </c>
      <c r="C150">
        <v>60</v>
      </c>
      <c r="D150" t="s">
        <v>1075</v>
      </c>
      <c r="E150">
        <v>54</v>
      </c>
      <c r="F150">
        <v>65</v>
      </c>
      <c r="H150" s="16" t="s">
        <v>1632</v>
      </c>
      <c r="K150" t="s">
        <v>1635</v>
      </c>
    </row>
    <row r="151" spans="1:11">
      <c r="A151" t="s">
        <v>1599</v>
      </c>
      <c r="B151" t="s">
        <v>1636</v>
      </c>
      <c r="C151">
        <v>0.24</v>
      </c>
      <c r="D151" t="s">
        <v>1637</v>
      </c>
      <c r="E151">
        <v>0.2</v>
      </c>
      <c r="F151">
        <v>0.31</v>
      </c>
      <c r="H151" s="16" t="s">
        <v>1638</v>
      </c>
      <c r="K151" t="s">
        <v>1639</v>
      </c>
    </row>
    <row r="152" spans="1:11">
      <c r="A152" t="s">
        <v>1599</v>
      </c>
      <c r="B152" t="s">
        <v>1640</v>
      </c>
      <c r="C152">
        <v>397</v>
      </c>
      <c r="D152" t="s">
        <v>1641</v>
      </c>
      <c r="F152">
        <v>350</v>
      </c>
      <c r="H152" s="16" t="s">
        <v>1613</v>
      </c>
      <c r="K152" t="s">
        <v>1642</v>
      </c>
    </row>
    <row r="153" spans="1:11">
      <c r="A153" t="s">
        <v>1599</v>
      </c>
      <c r="B153" t="s">
        <v>1643</v>
      </c>
      <c r="C153">
        <v>400</v>
      </c>
      <c r="D153" t="s">
        <v>992</v>
      </c>
      <c r="E153">
        <v>100</v>
      </c>
      <c r="F153">
        <v>1000</v>
      </c>
      <c r="H153" s="16" t="s">
        <v>1644</v>
      </c>
      <c r="K153" t="s">
        <v>1645</v>
      </c>
    </row>
    <row r="154" spans="1:11">
      <c r="A154" t="s">
        <v>1599</v>
      </c>
      <c r="B154" t="s">
        <v>1646</v>
      </c>
      <c r="C154">
        <v>400</v>
      </c>
      <c r="D154" t="s">
        <v>1647</v>
      </c>
      <c r="E154">
        <v>250</v>
      </c>
      <c r="F154">
        <v>600</v>
      </c>
      <c r="H154" s="16" t="s">
        <v>1602</v>
      </c>
      <c r="K154" t="s">
        <v>1648</v>
      </c>
    </row>
    <row r="155" spans="1:11">
      <c r="A155" t="s">
        <v>1599</v>
      </c>
      <c r="B155" t="s">
        <v>1649</v>
      </c>
      <c r="C155">
        <v>0</v>
      </c>
      <c r="D155" t="s">
        <v>1650</v>
      </c>
      <c r="E155">
        <v>0</v>
      </c>
      <c r="F155">
        <v>0</v>
      </c>
      <c r="H155" s="16" t="s">
        <v>1602</v>
      </c>
      <c r="K155" t="s">
        <v>1651</v>
      </c>
    </row>
    <row r="156" spans="1:11">
      <c r="A156" t="s">
        <v>1599</v>
      </c>
      <c r="B156" t="s">
        <v>1652</v>
      </c>
      <c r="C156">
        <v>8</v>
      </c>
      <c r="D156" t="s">
        <v>1653</v>
      </c>
      <c r="E156">
        <v>3</v>
      </c>
      <c r="F156">
        <v>14</v>
      </c>
      <c r="H156" s="16" t="s">
        <v>1654</v>
      </c>
      <c r="K156" t="s">
        <v>1655</v>
      </c>
    </row>
    <row r="157" spans="1:11">
      <c r="A157" t="s">
        <v>1599</v>
      </c>
      <c r="B157" t="s">
        <v>1656</v>
      </c>
      <c r="C157">
        <v>1900</v>
      </c>
      <c r="D157" t="s">
        <v>216</v>
      </c>
      <c r="E157">
        <v>1250</v>
      </c>
      <c r="F157">
        <v>3000</v>
      </c>
      <c r="H157" s="16" t="s">
        <v>1657</v>
      </c>
      <c r="K157" t="s">
        <v>1658</v>
      </c>
    </row>
    <row r="158" spans="1:11">
      <c r="A158" t="s">
        <v>1599</v>
      </c>
      <c r="B158" t="s">
        <v>1659</v>
      </c>
      <c r="C158">
        <v>1800</v>
      </c>
      <c r="D158" t="s">
        <v>1660</v>
      </c>
      <c r="E158">
        <v>1500</v>
      </c>
      <c r="F158">
        <v>2500</v>
      </c>
      <c r="H158" s="16" t="s">
        <v>1661</v>
      </c>
      <c r="K158" t="s">
        <v>1662</v>
      </c>
    </row>
    <row r="159" spans="1:11">
      <c r="A159" t="s">
        <v>1599</v>
      </c>
      <c r="B159" t="s">
        <v>1663</v>
      </c>
      <c r="C159">
        <v>120</v>
      </c>
      <c r="D159" t="s">
        <v>22</v>
      </c>
      <c r="E159">
        <v>60</v>
      </c>
      <c r="F159">
        <v>250</v>
      </c>
      <c r="H159" s="16" t="s">
        <v>1661</v>
      </c>
      <c r="K159" t="s">
        <v>1664</v>
      </c>
    </row>
    <row r="160" spans="1:11">
      <c r="A160" t="s">
        <v>1599</v>
      </c>
      <c r="B160" t="s">
        <v>1665</v>
      </c>
      <c r="C160">
        <v>5</v>
      </c>
      <c r="D160" t="s">
        <v>1577</v>
      </c>
      <c r="E160">
        <v>5</v>
      </c>
      <c r="F160">
        <v>7</v>
      </c>
      <c r="H160" s="16" t="s">
        <v>1661</v>
      </c>
      <c r="K160" t="s">
        <v>1666</v>
      </c>
    </row>
    <row r="161" spans="1:11">
      <c r="A161" t="s">
        <v>1599</v>
      </c>
      <c r="B161" t="s">
        <v>1667</v>
      </c>
      <c r="C161">
        <v>55</v>
      </c>
      <c r="D161" t="s">
        <v>1612</v>
      </c>
      <c r="E161">
        <v>40</v>
      </c>
      <c r="F161">
        <v>60</v>
      </c>
      <c r="H161" s="16" t="s">
        <v>1668</v>
      </c>
      <c r="K161" t="s">
        <v>1669</v>
      </c>
    </row>
    <row r="162" spans="1:11">
      <c r="A162" t="s">
        <v>1599</v>
      </c>
      <c r="B162" t="s">
        <v>1670</v>
      </c>
      <c r="C162">
        <v>600</v>
      </c>
      <c r="D162" t="s">
        <v>1671</v>
      </c>
      <c r="E162">
        <v>400</v>
      </c>
      <c r="F162">
        <v>800</v>
      </c>
      <c r="H162" s="16" t="s">
        <v>1661</v>
      </c>
      <c r="K162" t="s">
        <v>1672</v>
      </c>
    </row>
    <row r="163" spans="1:11">
      <c r="A163" t="s">
        <v>1599</v>
      </c>
      <c r="B163" t="s">
        <v>1673</v>
      </c>
      <c r="C163">
        <v>22</v>
      </c>
      <c r="D163" t="s">
        <v>1601</v>
      </c>
      <c r="E163">
        <v>15</v>
      </c>
      <c r="F163">
        <v>30</v>
      </c>
      <c r="H163" s="16" t="s">
        <v>1674</v>
      </c>
      <c r="K163" t="s">
        <v>1675</v>
      </c>
    </row>
    <row r="164" spans="1:11">
      <c r="A164" t="s">
        <v>1599</v>
      </c>
      <c r="B164" t="s">
        <v>1676</v>
      </c>
      <c r="C164">
        <v>2900</v>
      </c>
      <c r="D164" t="s">
        <v>1677</v>
      </c>
      <c r="E164">
        <v>1000</v>
      </c>
      <c r="F164">
        <v>4000</v>
      </c>
      <c r="H164" s="16" t="s">
        <v>1678</v>
      </c>
      <c r="K164" t="s">
        <v>1679</v>
      </c>
    </row>
    <row r="165" spans="1:11">
      <c r="A165" t="s">
        <v>1599</v>
      </c>
      <c r="B165" t="s">
        <v>1680</v>
      </c>
      <c r="C165">
        <v>95</v>
      </c>
      <c r="D165" t="s">
        <v>1075</v>
      </c>
      <c r="E165">
        <v>90</v>
      </c>
      <c r="F165">
        <v>99</v>
      </c>
      <c r="H165" s="16" t="s">
        <v>1681</v>
      </c>
      <c r="K165" t="s">
        <v>1682</v>
      </c>
    </row>
    <row r="166" spans="1:11">
      <c r="A166" t="s">
        <v>1599</v>
      </c>
      <c r="B166" t="s">
        <v>1683</v>
      </c>
      <c r="C166">
        <v>150</v>
      </c>
      <c r="D166" t="s">
        <v>1677</v>
      </c>
      <c r="E166">
        <v>100</v>
      </c>
      <c r="F166">
        <v>200</v>
      </c>
      <c r="H166" s="16" t="s">
        <v>1684</v>
      </c>
      <c r="K166" t="s">
        <v>1685</v>
      </c>
    </row>
    <row r="167" spans="1:11">
      <c r="A167" t="s">
        <v>1599</v>
      </c>
      <c r="B167" t="s">
        <v>1686</v>
      </c>
      <c r="C167">
        <v>39</v>
      </c>
      <c r="D167" t="s">
        <v>1075</v>
      </c>
      <c r="E167">
        <v>39</v>
      </c>
      <c r="F167">
        <v>43</v>
      </c>
      <c r="H167" s="16" t="s">
        <v>1687</v>
      </c>
      <c r="K167" t="s">
        <v>1688</v>
      </c>
    </row>
    <row r="168" spans="1:11">
      <c r="A168" t="s">
        <v>1599</v>
      </c>
      <c r="B168" t="s">
        <v>1689</v>
      </c>
      <c r="C168">
        <v>1200</v>
      </c>
      <c r="D168" t="s">
        <v>167</v>
      </c>
      <c r="E168">
        <v>1100</v>
      </c>
      <c r="F168">
        <v>1300</v>
      </c>
      <c r="K168" t="s">
        <v>1690</v>
      </c>
    </row>
    <row r="169" spans="1:11">
      <c r="A169" t="s">
        <v>1599</v>
      </c>
      <c r="B169" t="s">
        <v>1691</v>
      </c>
      <c r="C169">
        <v>92</v>
      </c>
      <c r="D169" t="s">
        <v>1075</v>
      </c>
      <c r="E169">
        <v>90</v>
      </c>
      <c r="F169">
        <v>97</v>
      </c>
      <c r="H169" s="16" t="s">
        <v>1692</v>
      </c>
      <c r="K169" t="s">
        <v>1693</v>
      </c>
    </row>
    <row r="170" spans="1:11">
      <c r="A170" t="s">
        <v>1599</v>
      </c>
      <c r="B170" t="s">
        <v>1694</v>
      </c>
      <c r="C170">
        <v>0.018</v>
      </c>
      <c r="D170" t="s">
        <v>39</v>
      </c>
      <c r="E170">
        <v>0.012</v>
      </c>
      <c r="F170">
        <v>0.025</v>
      </c>
      <c r="K170" t="s">
        <v>1695</v>
      </c>
    </row>
    <row r="171" spans="1:11">
      <c r="A171" t="s">
        <v>1599</v>
      </c>
      <c r="B171" t="s">
        <v>1696</v>
      </c>
      <c r="C171">
        <v>230</v>
      </c>
      <c r="D171" t="s">
        <v>22</v>
      </c>
      <c r="E171">
        <v>180</v>
      </c>
      <c r="F171">
        <v>350</v>
      </c>
      <c r="K171" t="s">
        <v>1697</v>
      </c>
    </row>
    <row r="172" spans="1:11">
      <c r="A172" t="s">
        <v>1599</v>
      </c>
      <c r="B172" t="s">
        <v>1698</v>
      </c>
      <c r="C172">
        <v>740</v>
      </c>
      <c r="D172" t="s">
        <v>22</v>
      </c>
      <c r="E172">
        <v>650</v>
      </c>
      <c r="F172">
        <v>850</v>
      </c>
      <c r="K172" t="s">
        <v>1699</v>
      </c>
    </row>
    <row r="173" spans="1:11">
      <c r="A173" t="s">
        <v>1599</v>
      </c>
      <c r="B173" t="s">
        <v>1700</v>
      </c>
      <c r="C173">
        <v>25</v>
      </c>
      <c r="D173" t="s">
        <v>22</v>
      </c>
      <c r="E173">
        <v>14</v>
      </c>
      <c r="F173">
        <v>27</v>
      </c>
      <c r="H173" s="16" t="s">
        <v>1701</v>
      </c>
      <c r="K173" t="s">
        <v>1702</v>
      </c>
    </row>
    <row r="174" spans="1:11">
      <c r="A174" t="s">
        <v>1599</v>
      </c>
      <c r="B174" t="s">
        <v>1703</v>
      </c>
      <c r="C174">
        <v>812</v>
      </c>
      <c r="D174" t="s">
        <v>1704</v>
      </c>
      <c r="E174">
        <v>650</v>
      </c>
      <c r="F174">
        <v>900</v>
      </c>
      <c r="H174" s="16" t="s">
        <v>1705</v>
      </c>
      <c r="K174" t="s">
        <v>1706</v>
      </c>
    </row>
    <row r="175" spans="1:11">
      <c r="A175" t="s">
        <v>1599</v>
      </c>
      <c r="B175" t="s">
        <v>1707</v>
      </c>
      <c r="C175">
        <v>20</v>
      </c>
      <c r="D175" t="s">
        <v>1075</v>
      </c>
      <c r="E175">
        <v>15</v>
      </c>
      <c r="F175">
        <v>25</v>
      </c>
      <c r="H175" s="16" t="s">
        <v>1708</v>
      </c>
      <c r="K175" t="s">
        <v>1709</v>
      </c>
    </row>
    <row r="176" spans="1:11">
      <c r="A176" t="s">
        <v>1599</v>
      </c>
      <c r="B176" t="s">
        <v>1710</v>
      </c>
      <c r="C176">
        <v>8</v>
      </c>
      <c r="D176" t="s">
        <v>1711</v>
      </c>
      <c r="E176">
        <v>6</v>
      </c>
      <c r="F176">
        <v>12</v>
      </c>
      <c r="K176" t="s">
        <v>1712</v>
      </c>
    </row>
    <row r="177" spans="1:11">
      <c r="A177" t="s">
        <v>1599</v>
      </c>
      <c r="B177" t="s">
        <v>1713</v>
      </c>
      <c r="C177">
        <v>85</v>
      </c>
      <c r="D177" t="s">
        <v>1075</v>
      </c>
      <c r="E177">
        <v>85</v>
      </c>
      <c r="F177">
        <v>95</v>
      </c>
      <c r="K177" t="s">
        <v>1714</v>
      </c>
    </row>
    <row r="178" spans="1:11">
      <c r="A178" t="s">
        <v>1599</v>
      </c>
      <c r="B178" t="s">
        <v>1715</v>
      </c>
      <c r="C178">
        <v>90</v>
      </c>
      <c r="D178" t="s">
        <v>1332</v>
      </c>
      <c r="E178">
        <v>36</v>
      </c>
      <c r="F178">
        <v>120</v>
      </c>
      <c r="H178" s="16" t="s">
        <v>1716</v>
      </c>
      <c r="K178" t="s">
        <v>1717</v>
      </c>
    </row>
    <row r="179" spans="1:11">
      <c r="A179" t="s">
        <v>1599</v>
      </c>
      <c r="B179" t="s">
        <v>1718</v>
      </c>
      <c r="C179">
        <v>350</v>
      </c>
      <c r="D179" t="s">
        <v>992</v>
      </c>
      <c r="F179">
        <v>350</v>
      </c>
      <c r="H179" s="16" t="s">
        <v>994</v>
      </c>
      <c r="K179" t="s">
        <v>1719</v>
      </c>
    </row>
    <row r="180" spans="1:11">
      <c r="A180" t="s">
        <v>1599</v>
      </c>
      <c r="B180" t="s">
        <v>1720</v>
      </c>
      <c r="C180">
        <v>3.5</v>
      </c>
      <c r="D180" t="s">
        <v>291</v>
      </c>
      <c r="F180">
        <v>2.5</v>
      </c>
      <c r="H180" s="16" t="s">
        <v>1721</v>
      </c>
      <c r="K180" t="s">
        <v>1722</v>
      </c>
    </row>
  </sheetData>
  <hyperlinks>
    <hyperlink ref="H4" r:id="rId1"/>
    <hyperlink ref="H5" r:id="rId2"/>
    <hyperlink ref="H6" r:id="rId3"/>
    <hyperlink ref="H7" r:id="rId4"/>
    <hyperlink ref="H8" r:id="rId5"/>
    <hyperlink ref="H9" r:id="rId6"/>
    <hyperlink ref="H10" r:id="rId7"/>
    <hyperlink ref="H11" r:id="rId8"/>
    <hyperlink ref="H12" r:id="rId9"/>
    <hyperlink ref="H13" r:id="rId10"/>
    <hyperlink ref="H14" r:id="rId11"/>
    <hyperlink ref="H15" r:id="rId12"/>
    <hyperlink ref="H16" r:id="rId13"/>
    <hyperlink ref="H17" r:id="rId14"/>
    <hyperlink ref="H18" r:id="rId15"/>
    <hyperlink ref="H19" r:id="rId16"/>
    <hyperlink ref="H20" r:id="rId17"/>
    <hyperlink ref="H21" r:id="rId18"/>
    <hyperlink ref="H22" r:id="rId19"/>
    <hyperlink ref="H23" r:id="rId20"/>
    <hyperlink ref="H24" r:id="rId21"/>
    <hyperlink ref="H25" r:id="rId22"/>
    <hyperlink ref="H26" r:id="rId23"/>
    <hyperlink ref="H27" r:id="rId24"/>
    <hyperlink ref="H28" r:id="rId25"/>
    <hyperlink ref="H29" r:id="rId26"/>
    <hyperlink ref="H31" r:id="rId27"/>
    <hyperlink ref="H32" r:id="rId28"/>
    <hyperlink ref="H33" r:id="rId29"/>
    <hyperlink ref="H34" r:id="rId30"/>
    <hyperlink ref="H35" r:id="rId31"/>
    <hyperlink ref="H36" r:id="rId32"/>
    <hyperlink ref="H37" r:id="rId33"/>
    <hyperlink ref="H38" r:id="rId34"/>
    <hyperlink ref="H39" r:id="rId35"/>
    <hyperlink ref="H40" r:id="rId36"/>
    <hyperlink ref="H41" r:id="rId37"/>
    <hyperlink ref="H42" r:id="rId38"/>
    <hyperlink ref="H43" r:id="rId39"/>
    <hyperlink ref="H44" r:id="rId40"/>
    <hyperlink ref="H46" r:id="rId41"/>
    <hyperlink ref="H47" r:id="rId42"/>
    <hyperlink ref="H48" r:id="rId43"/>
    <hyperlink ref="H49" r:id="rId44"/>
    <hyperlink ref="H50" r:id="rId45"/>
    <hyperlink ref="H52" r:id="rId46"/>
    <hyperlink ref="H53" r:id="rId47"/>
    <hyperlink ref="H54" r:id="rId48"/>
    <hyperlink ref="H55" r:id="rId49"/>
    <hyperlink ref="H56" r:id="rId50"/>
    <hyperlink ref="H57" r:id="rId51"/>
    <hyperlink ref="H58" r:id="rId52"/>
    <hyperlink ref="H59" r:id="rId53"/>
    <hyperlink ref="H60" r:id="rId54"/>
    <hyperlink ref="H61" r:id="rId55"/>
    <hyperlink ref="H62" r:id="rId56"/>
    <hyperlink ref="H63" r:id="rId57"/>
    <hyperlink ref="H64" r:id="rId58"/>
    <hyperlink ref="H65" r:id="rId59"/>
    <hyperlink ref="H66" r:id="rId60"/>
    <hyperlink ref="H67" r:id="rId61"/>
    <hyperlink ref="H68" r:id="rId62"/>
    <hyperlink ref="H69" r:id="rId63"/>
    <hyperlink ref="H70" r:id="rId64"/>
    <hyperlink ref="H71" r:id="rId65"/>
    <hyperlink ref="H72" r:id="rId66"/>
    <hyperlink ref="H73" r:id="rId67"/>
    <hyperlink ref="H74" r:id="rId68"/>
    <hyperlink ref="H75" r:id="rId69"/>
    <hyperlink ref="H76" r:id="rId70"/>
    <hyperlink ref="H77" r:id="rId71"/>
    <hyperlink ref="H79" r:id="rId72"/>
    <hyperlink ref="H80" r:id="rId73"/>
    <hyperlink ref="H83" r:id="rId74"/>
    <hyperlink ref="H84" r:id="rId75"/>
    <hyperlink ref="H85" r:id="rId76"/>
    <hyperlink ref="H87" r:id="rId77"/>
    <hyperlink ref="H88" r:id="rId78"/>
    <hyperlink ref="H89" r:id="rId79"/>
    <hyperlink ref="H90" r:id="rId80"/>
    <hyperlink ref="H91" r:id="rId81"/>
    <hyperlink ref="H92" r:id="rId82"/>
    <hyperlink ref="H93" r:id="rId83"/>
    <hyperlink ref="H97" r:id="rId84"/>
    <hyperlink ref="H98" r:id="rId85"/>
    <hyperlink ref="H99" r:id="rId86"/>
    <hyperlink ref="H100" r:id="rId87"/>
    <hyperlink ref="H101" r:id="rId88"/>
    <hyperlink ref="H102" r:id="rId89"/>
    <hyperlink ref="H103" r:id="rId90"/>
    <hyperlink ref="H104" r:id="rId91"/>
    <hyperlink ref="H105" r:id="rId92"/>
    <hyperlink ref="H106" r:id="rId93"/>
    <hyperlink ref="H107" r:id="rId94"/>
    <hyperlink ref="H108" r:id="rId95"/>
    <hyperlink ref="H109" r:id="rId96"/>
    <hyperlink ref="H110" r:id="rId97"/>
    <hyperlink ref="H119" r:id="rId98"/>
    <hyperlink ref="H120" r:id="rId99"/>
    <hyperlink ref="H121" r:id="rId100"/>
    <hyperlink ref="H122" r:id="rId101"/>
    <hyperlink ref="H123" r:id="rId102"/>
    <hyperlink ref="H125" r:id="rId103"/>
    <hyperlink ref="H126" r:id="rId104"/>
    <hyperlink ref="H127" r:id="rId105"/>
    <hyperlink ref="H128" r:id="rId106"/>
    <hyperlink ref="H129" r:id="rId107"/>
    <hyperlink ref="H130" r:id="rId108"/>
    <hyperlink ref="H131" r:id="rId109"/>
    <hyperlink ref="H132" r:id="rId110"/>
    <hyperlink ref="H133" r:id="rId111"/>
    <hyperlink ref="H134" r:id="rId112"/>
    <hyperlink ref="H135" r:id="rId113"/>
    <hyperlink ref="H136" r:id="rId114"/>
    <hyperlink ref="H138" r:id="rId115"/>
    <hyperlink ref="H139" r:id="rId116"/>
    <hyperlink ref="H140" r:id="rId117"/>
    <hyperlink ref="H141" r:id="rId118"/>
    <hyperlink ref="H142" r:id="rId119"/>
    <hyperlink ref="H143" r:id="rId120"/>
    <hyperlink ref="H144" r:id="rId121"/>
    <hyperlink ref="H145" r:id="rId122"/>
    <hyperlink ref="H146" r:id="rId123"/>
    <hyperlink ref="H147" r:id="rId124"/>
    <hyperlink ref="H148" r:id="rId125"/>
    <hyperlink ref="H149" r:id="rId126"/>
    <hyperlink ref="H150" r:id="rId127"/>
    <hyperlink ref="H151" r:id="rId128"/>
    <hyperlink ref="H152" r:id="rId129"/>
    <hyperlink ref="H153" r:id="rId130"/>
    <hyperlink ref="H154" r:id="rId131"/>
    <hyperlink ref="H155" r:id="rId132"/>
    <hyperlink ref="H156" r:id="rId133"/>
    <hyperlink ref="H157" r:id="rId134"/>
    <hyperlink ref="H158" r:id="rId135"/>
    <hyperlink ref="H159" r:id="rId136"/>
    <hyperlink ref="H160" r:id="rId137"/>
    <hyperlink ref="H161" r:id="rId138"/>
    <hyperlink ref="H162" r:id="rId139"/>
    <hyperlink ref="H163" r:id="rId140"/>
    <hyperlink ref="H164" r:id="rId141"/>
    <hyperlink ref="H165" r:id="rId142"/>
    <hyperlink ref="H166" r:id="rId143"/>
    <hyperlink ref="H167" r:id="rId144"/>
    <hyperlink ref="H169" r:id="rId145"/>
    <hyperlink ref="H173" r:id="rId146"/>
    <hyperlink ref="H174" r:id="rId147"/>
    <hyperlink ref="H175" r:id="rId148"/>
    <hyperlink ref="H178" r:id="rId149"/>
    <hyperlink ref="H179" r:id="rId150"/>
    <hyperlink ref="H180" r:id="rId15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136</vt:i4>
      </vt:variant>
    </vt:vector>
  </HeadingPairs>
  <TitlesOfParts>
    <vt:vector size="156" baseType="lpstr">
      <vt:lpstr>Ringkasan</vt:lpstr>
      <vt:lpstr>Asumsi</vt:lpstr>
      <vt:lpstr>CAPEX</vt:lpstr>
      <vt:lpstr>OPEX</vt:lpstr>
      <vt:lpstr>Arus Kas</vt:lpstr>
      <vt:lpstr>Indikator</vt:lpstr>
      <vt:lpstr>Sensitivitas</vt:lpstr>
      <vt:lpstr>Monte Carlo</vt:lpstr>
      <vt:lpstr>Skala Set</vt:lpstr>
      <vt:lpstr>Armada</vt:lpstr>
      <vt:lpstr>Lokasi</vt:lpstr>
      <vt:lpstr>Pasar</vt:lpstr>
      <vt:lpstr>Keputusan PKS</vt:lpstr>
      <vt:lpstr>Segmen</vt:lpstr>
      <vt:lpstr>Pesaing</vt:lpstr>
      <vt:lpstr>USP</vt:lpstr>
      <vt:lpstr>PESTLE</vt:lpstr>
      <vt:lpstr>Porter</vt:lpstr>
      <vt:lpstr>Sumber</vt:lpstr>
      <vt:lpstr>Gambar</vt:lpstr>
      <vt:lpstr>a_allow</vt:lpstr>
      <vt:lpstr>a_avail</vt:lpstr>
      <vt:lpstr>a_buffer</vt:lpstr>
      <vt:lpstr>a_c_admin</vt:lpstr>
      <vt:lpstr>a_c_chp</vt:lpstr>
      <vt:lpstr>a_c_eng_om</vt:lpstr>
      <vt:lpstr>a_c_gfs</vt:lpstr>
      <vt:lpstr>a_c_grid</vt:lpstr>
      <vt:lpstr>a_c_ins</vt:lpstr>
      <vt:lpstr>a_c_levy</vt:lpstr>
      <vt:lpstr>a_c_maint</vt:lpstr>
      <vt:lpstr>a_c_mrv</vt:lpstr>
      <vt:lpstr>a_c_val</vt:lpstr>
      <vt:lpstr>a_cap_kW</vt:lpstr>
      <vt:lpstr>a_carbon_years</vt:lpstr>
      <vt:lpstr>a_cer_ratio</vt:lpstr>
      <vt:lpstr>a_cont</vt:lpstr>
      <vt:lpstr>a_debt_frac</vt:lpstr>
      <vt:lpstr>a_dep_life</vt:lpstr>
      <vt:lpstr>a_diesel_L_tffb</vt:lpstr>
      <vt:lpstr>a_dsra_m</vt:lpstr>
      <vt:lpstr>a_eng</vt:lpstr>
      <vt:lpstr>a_export_on</vt:lpstr>
      <vt:lpstr>a_F_loc</vt:lpstr>
      <vt:lpstr>a_fee_debt</vt:lpstr>
      <vt:lpstr>a_fee_ffb</vt:lpstr>
      <vt:lpstr>a_fx</vt:lpstr>
      <vt:lpstr>a_infl</vt:lpstr>
      <vt:lpstr>a_lease</vt:lpstr>
      <vt:lpstr>a_loss_cf</vt:lpstr>
      <vt:lpstr>a_MCF_eff</vt:lpstr>
      <vt:lpstr>a_n_op</vt:lpstr>
      <vt:lpstr>a_overhaul</vt:lpstr>
      <vt:lpstr>a_p_ac</vt:lpstr>
      <vt:lpstr>a_p_captive</vt:lpstr>
      <vt:lpstr>a_p_carbon</vt:lpstr>
      <vt:lpstr>a_p_naoh</vt:lpstr>
      <vt:lpstr>a_p_poly</vt:lpstr>
      <vt:lpstr>a_pay_days</vt:lpstr>
      <vt:lpstr>a_r_debt</vt:lpstr>
      <vt:lpstr>a_r_eq</vt:lpstr>
      <vt:lpstr>a_ramp1</vt:lpstr>
      <vt:lpstr>a_rec_days</vt:lpstr>
      <vt:lpstr>a_roof_repl</vt:lpstr>
      <vt:lpstr>a_sfc</vt:lpstr>
      <vt:lpstr>a_staff</vt:lpstr>
      <vt:lpstr>a_tariff1</vt:lpstr>
      <vt:lpstr>a_tariff2</vt:lpstr>
      <vt:lpstr>a_tax</vt:lpstr>
      <vt:lpstr>a_tenor</vt:lpstr>
      <vt:lpstr>a_util</vt:lpstr>
      <vt:lpstr>a_vat</vt:lpstr>
      <vt:lpstr>a_year0</vt:lpstr>
      <vt:lpstr>ANN</vt:lpstr>
      <vt:lpstr>DEBT</vt:lpstr>
      <vt:lpstr>FCI26</vt:lpstr>
      <vt:lpstr>FCI</vt:lpstr>
      <vt:lpstr>IDC</vt:lpstr>
      <vt:lpstr>K_af</vt:lpstr>
      <vt:lpstr>K_cake</vt:lpstr>
      <vt:lpstr>K_cap</vt:lpstr>
      <vt:lpstr>K_capB</vt:lpstr>
      <vt:lpstr>K_capC</vt:lpstr>
      <vt:lpstr>K_cdsl</vt:lpstr>
      <vt:lpstr>K_cnet</vt:lpstr>
      <vt:lpstr>K_EB</vt:lpstr>
      <vt:lpstr>K_EC</vt:lpstr>
      <vt:lpstr>K_Edsl</vt:lpstr>
      <vt:lpstr>K_effm3</vt:lpstr>
      <vt:lpstr>K_Enet</vt:lpstr>
      <vt:lpstr>K_ffb</vt:lpstr>
      <vt:lpstr>K_land</vt:lpstr>
      <vt:lpstr>K_pome</vt:lpstr>
      <vt:lpstr>K_riskA</vt:lpstr>
      <vt:lpstr>K_riskD</vt:lpstr>
      <vt:lpstr>m_c_share</vt:lpstr>
      <vt:lpstr>m_cake_val</vt:lpstr>
      <vt:lpstr>m_capex_B</vt:lpstr>
      <vt:lpstr>m_capex_C</vt:lpstr>
      <vt:lpstr>m_closure_d</vt:lpstr>
      <vt:lpstr>m_desl_B</vt:lpstr>
      <vt:lpstr>m_desludge</vt:lpstr>
      <vt:lpstr>m_genset_om</vt:lpstr>
      <vt:lpstr>m_la_cost</vt:lpstr>
      <vt:lpstr>m_land_margin</vt:lpstr>
      <vt:lpstr>m_margin</vt:lpstr>
      <vt:lpstr>m_monitor</vt:lpstr>
      <vt:lpstr>m_om_BC</vt:lpstr>
      <vt:lpstr>m_p_diesel</vt:lpstr>
      <vt:lpstr>m_p_enf_A</vt:lpstr>
      <vt:lpstr>m_p_enf_D</vt:lpstr>
      <vt:lpstr>m_perf_B</vt:lpstr>
      <vt:lpstr>m_perf_C</vt:lpstr>
      <vt:lpstr>m_pond_om</vt:lpstr>
      <vt:lpstr>m_r_mill</vt:lpstr>
      <vt:lpstr>mt_x</vt:lpstr>
      <vt:lpstr>mt_y1</vt:lpstr>
      <vt:lpstr>mt_y2</vt:lpstr>
      <vt:lpstr>OPEX_F</vt:lpstr>
      <vt:lpstr>OPEX_V</vt:lpstr>
      <vt:lpstr>PEC</vt:lpstr>
      <vt:lpstr>t_A_lam</vt:lpstr>
      <vt:lpstr>t_ac</vt:lpstr>
      <vt:lpstr>t_B0</vt:lpstr>
      <vt:lpstr>t_base</vt:lpstr>
      <vt:lpstr>t_cake</vt:lpstr>
      <vt:lpstr>t_capf</vt:lpstr>
      <vt:lpstr>t_chp_kWe</vt:lpstr>
      <vt:lpstr>t_days</vt:lpstr>
      <vt:lpstr>t_E_year</vt:lpstr>
      <vt:lpstr>t_effCOD</vt:lpstr>
      <vt:lpstr>t_effratio</vt:lpstr>
      <vt:lpstr>t_Eg_year</vt:lpstr>
      <vt:lpstr>t_ER</vt:lpstr>
      <vt:lpstr>t_ffb45</vt:lpstr>
      <vt:lpstr>t_ffb</vt:lpstr>
      <vt:lpstr>t_gh_m3</vt:lpstr>
      <vt:lpstr>t_GWP</vt:lpstr>
      <vt:lpstr>t_land_m2</vt:lpstr>
      <vt:lpstr>t_load</vt:lpstr>
      <vt:lpstr>t_match</vt:lpstr>
      <vt:lpstr>t_MCFp</vt:lpstr>
      <vt:lpstr>t_mpos</vt:lpstr>
      <vt:lpstr>t_n_vessel</vt:lpstr>
      <vt:lpstr>t_naoh</vt:lpstr>
      <vt:lpstr>t_P_gross</vt:lpstr>
      <vt:lpstr>t_P_net</vt:lpstr>
      <vt:lpstr>t_plot_m2</vt:lpstr>
      <vt:lpstr>t_poly</vt:lpstr>
      <vt:lpstr>t_pome_tffb</vt:lpstr>
      <vt:lpstr>t_proj</vt:lpstr>
      <vt:lpstr>t_up</vt:lpstr>
      <vt:lpstr>t_V_tank</vt:lpstr>
      <vt:lpstr>t_xc</vt:lpstr>
      <vt:lpstr>TANG</vt:lpstr>
      <vt:lpstr>WACC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2026-10-16T11:21:37Z</dcterms:created>
  <dcterms:modified xsi:type="dcterms:W3CDTF">2026-10-16T11:21:37Z</dcterms:modified>
</cp:coreProperties>
</file>