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C6E01C-3008-457C-A81B-F555CCCD5043}" xr6:coauthVersionLast="47" xr6:coauthVersionMax="47" xr10:uidLastSave="{00000000-0000-0000-0000-000000000000}"/>
  <bookViews>
    <workbookView xWindow="-108" yWindow="-108" windowWidth="23256" windowHeight="12456" activeTab="5" xr2:uid="{5E36E42C-D238-47E4-8A5F-9DEC4D486315}"/>
  </bookViews>
  <sheets>
    <sheet name="A" sheetId="1" r:id="rId1"/>
    <sheet name="demografi" sheetId="2" r:id="rId2"/>
    <sheet name="Sheet1" sheetId="12" state="hidden" r:id="rId3"/>
    <sheet name="dashboard (EDIT)" sheetId="11" r:id="rId4"/>
    <sheet name="Sheet2" sheetId="13" r:id="rId5"/>
    <sheet name="Database" sheetId="4" r:id="rId6"/>
    <sheet name="logut" sheetId="5" r:id="rId7"/>
    <sheet name="Data Mutasi" sheetId="6" r:id="rId8"/>
    <sheet name="DataFoto" sheetId="7" r:id="rId9"/>
    <sheet name="CV" sheetId="9" r:id="rId10"/>
  </sheets>
  <externalReferences>
    <externalReference r:id="rId11"/>
    <externalReference r:id="rId12"/>
    <externalReference r:id="rId13"/>
  </externalReferences>
  <definedNames>
    <definedName name="__xleta.FILTER">#NAME?</definedName>
    <definedName name="_xlnm._FilterDatabase" localSheetId="0" hidden="1">A!$A$34:$F$35</definedName>
    <definedName name="_xlnm._FilterDatabase" localSheetId="7" hidden="1">'Data Mutasi'!$B$3:$J$1314</definedName>
    <definedName name="_xlnm._FilterDatabase" localSheetId="5" hidden="1">Database!$D$421:$D$423</definedName>
    <definedName name="_xlnm._FilterDatabase" localSheetId="8" hidden="1">DataFoto!$B$2:$E$512</definedName>
    <definedName name="_xlnm._FilterDatabase" localSheetId="1" hidden="1">demografi!$A$40:$F$41</definedName>
    <definedName name="_xlnm._FilterDatabase" localSheetId="6" hidden="1">logut!$A$3:$CG$3</definedName>
    <definedName name="capeg" localSheetId="5">#REF!</definedName>
    <definedName name="capeg">#REF!</definedName>
    <definedName name="pkwtlap" localSheetId="5">#REF!</definedName>
    <definedName name="pkwtlap">#REF!</definedName>
    <definedName name="_xlnm.Print_Area" localSheetId="9">CV!$C$1:$I$75</definedName>
  </definedNames>
  <calcPr calcId="191029"/>
  <pivotCaches>
    <pivotCache cacheId="0" r:id="rId14"/>
    <pivotCache cacheId="1" r:id="rId15"/>
    <pivotCache cacheId="2" r:id="rId16"/>
  </pivotCaches>
</workbook>
</file>

<file path=xl/calcChain.xml><?xml version="1.0" encoding="utf-8"?>
<calcChain xmlns="http://schemas.openxmlformats.org/spreadsheetml/2006/main">
  <c r="AT148" i="5" l="1"/>
  <c r="AU148" i="5" s="1"/>
  <c r="AB148" i="5"/>
  <c r="L148" i="5"/>
  <c r="AT147" i="5"/>
  <c r="AU147" i="5" s="1"/>
  <c r="AB147" i="5"/>
  <c r="L147" i="5"/>
  <c r="D903" i="6"/>
  <c r="E12" i="2"/>
  <c r="E11" i="2"/>
  <c r="E13" i="2"/>
  <c r="C5" i="2"/>
  <c r="C4" i="2"/>
  <c r="D4" i="13"/>
  <c r="D6" i="13"/>
  <c r="D5" i="13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289" i="6"/>
  <c r="D1290" i="6"/>
  <c r="D1291" i="6"/>
  <c r="D1292" i="6"/>
  <c r="D1293" i="6"/>
  <c r="D1294" i="6"/>
  <c r="D1295" i="6"/>
  <c r="D1296" i="6"/>
  <c r="D1297" i="6"/>
  <c r="D1298" i="6"/>
  <c r="D1283" i="6"/>
  <c r="D1284" i="6"/>
  <c r="D1285" i="6"/>
  <c r="D1286" i="6"/>
  <c r="D1287" i="6"/>
  <c r="D128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62" i="6"/>
  <c r="D1263" i="6"/>
  <c r="D1264" i="6"/>
  <c r="D1265" i="6"/>
  <c r="D1266" i="6"/>
  <c r="D1267" i="6"/>
  <c r="D1268" i="6"/>
  <c r="C156" i="2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19" i="6"/>
  <c r="D1220" i="6"/>
  <c r="D1221" i="6"/>
  <c r="D1222" i="6"/>
  <c r="D1223" i="6"/>
  <c r="D1224" i="6"/>
  <c r="D1225" i="6"/>
  <c r="D1226" i="6"/>
  <c r="D1227" i="6"/>
  <c r="D1228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9" i="6"/>
  <c r="D1030" i="6"/>
  <c r="D1031" i="6"/>
  <c r="D1032" i="6"/>
  <c r="D1027" i="6"/>
  <c r="D1028" i="6"/>
  <c r="D1189" i="6"/>
  <c r="D1190" i="6"/>
  <c r="D1191" i="6"/>
  <c r="D1192" i="6"/>
  <c r="D1193" i="6"/>
  <c r="D1188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7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2" i="6"/>
  <c r="D1173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4" i="6"/>
  <c r="H237" i="2"/>
  <c r="G237" i="2"/>
  <c r="F237" i="2"/>
  <c r="E237" i="2"/>
  <c r="D237" i="2"/>
  <c r="C237" i="2"/>
  <c r="H236" i="2"/>
  <c r="G236" i="2"/>
  <c r="F236" i="2"/>
  <c r="E236" i="2"/>
  <c r="D236" i="2"/>
  <c r="C236" i="2"/>
  <c r="H235" i="2"/>
  <c r="G235" i="2"/>
  <c r="F235" i="2"/>
  <c r="E235" i="2"/>
  <c r="D235" i="2"/>
  <c r="C235" i="2"/>
  <c r="H234" i="2"/>
  <c r="G234" i="2"/>
  <c r="F234" i="2"/>
  <c r="E234" i="2"/>
  <c r="D234" i="2"/>
  <c r="C234" i="2"/>
  <c r="H233" i="2"/>
  <c r="G233" i="2"/>
  <c r="F233" i="2"/>
  <c r="E233" i="2"/>
  <c r="D233" i="2"/>
  <c r="C233" i="2"/>
  <c r="H232" i="2"/>
  <c r="G232" i="2"/>
  <c r="F232" i="2"/>
  <c r="E232" i="2"/>
  <c r="D232" i="2"/>
  <c r="C232" i="2"/>
  <c r="H231" i="2"/>
  <c r="G231" i="2"/>
  <c r="F231" i="2"/>
  <c r="E231" i="2"/>
  <c r="D231" i="2"/>
  <c r="C231" i="2"/>
  <c r="H230" i="2"/>
  <c r="G230" i="2"/>
  <c r="F230" i="2"/>
  <c r="E230" i="2"/>
  <c r="D230" i="2"/>
  <c r="C230" i="2"/>
  <c r="H229" i="2"/>
  <c r="G229" i="2"/>
  <c r="F229" i="2"/>
  <c r="E229" i="2"/>
  <c r="D229" i="2"/>
  <c r="C229" i="2"/>
  <c r="H228" i="2"/>
  <c r="G228" i="2"/>
  <c r="F228" i="2"/>
  <c r="E228" i="2"/>
  <c r="D228" i="2"/>
  <c r="C228" i="2"/>
  <c r="H227" i="2"/>
  <c r="G227" i="2"/>
  <c r="F227" i="2"/>
  <c r="E227" i="2"/>
  <c r="D227" i="2"/>
  <c r="C227" i="2"/>
  <c r="H226" i="2"/>
  <c r="G226" i="2"/>
  <c r="F226" i="2"/>
  <c r="E226" i="2"/>
  <c r="D226" i="2"/>
  <c r="C226" i="2"/>
  <c r="H225" i="2"/>
  <c r="G225" i="2"/>
  <c r="F225" i="2"/>
  <c r="E225" i="2"/>
  <c r="D225" i="2"/>
  <c r="C225" i="2"/>
  <c r="H224" i="2"/>
  <c r="G224" i="2"/>
  <c r="F224" i="2"/>
  <c r="E224" i="2"/>
  <c r="D224" i="2"/>
  <c r="C224" i="2"/>
  <c r="H223" i="2"/>
  <c r="G223" i="2"/>
  <c r="F223" i="2"/>
  <c r="E223" i="2"/>
  <c r="D223" i="2"/>
  <c r="C223" i="2"/>
  <c r="H222" i="2"/>
  <c r="G222" i="2"/>
  <c r="F222" i="2"/>
  <c r="E222" i="2"/>
  <c r="D222" i="2"/>
  <c r="C222" i="2"/>
  <c r="H221" i="2"/>
  <c r="G221" i="2"/>
  <c r="F221" i="2"/>
  <c r="E221" i="2"/>
  <c r="D221" i="2"/>
  <c r="C221" i="2"/>
  <c r="H220" i="2"/>
  <c r="G220" i="2"/>
  <c r="F220" i="2"/>
  <c r="E220" i="2"/>
  <c r="D220" i="2"/>
  <c r="C220" i="2"/>
  <c r="H219" i="2"/>
  <c r="G219" i="2"/>
  <c r="F219" i="2"/>
  <c r="E219" i="2"/>
  <c r="D219" i="2"/>
  <c r="C219" i="2"/>
  <c r="H218" i="2"/>
  <c r="G218" i="2"/>
  <c r="F218" i="2"/>
  <c r="E218" i="2"/>
  <c r="D218" i="2"/>
  <c r="C218" i="2"/>
  <c r="H217" i="2"/>
  <c r="G217" i="2"/>
  <c r="F217" i="2"/>
  <c r="E217" i="2"/>
  <c r="D217" i="2"/>
  <c r="C217" i="2"/>
  <c r="H216" i="2"/>
  <c r="G216" i="2"/>
  <c r="F216" i="2"/>
  <c r="E216" i="2"/>
  <c r="D216" i="2"/>
  <c r="C216" i="2"/>
  <c r="H215" i="2"/>
  <c r="G215" i="2"/>
  <c r="F215" i="2"/>
  <c r="E215" i="2"/>
  <c r="D215" i="2"/>
  <c r="C215" i="2"/>
  <c r="H214" i="2"/>
  <c r="G214" i="2"/>
  <c r="F214" i="2"/>
  <c r="E214" i="2"/>
  <c r="D214" i="2"/>
  <c r="C214" i="2"/>
  <c r="H213" i="2"/>
  <c r="G213" i="2"/>
  <c r="F213" i="2"/>
  <c r="E213" i="2"/>
  <c r="D213" i="2"/>
  <c r="C213" i="2"/>
  <c r="H212" i="2"/>
  <c r="G212" i="2"/>
  <c r="F212" i="2"/>
  <c r="E212" i="2"/>
  <c r="D212" i="2"/>
  <c r="C212" i="2"/>
  <c r="H211" i="2"/>
  <c r="G211" i="2"/>
  <c r="F211" i="2"/>
  <c r="E211" i="2"/>
  <c r="D211" i="2"/>
  <c r="C211" i="2"/>
  <c r="H210" i="2"/>
  <c r="G210" i="2"/>
  <c r="F210" i="2"/>
  <c r="E210" i="2"/>
  <c r="D210" i="2"/>
  <c r="C210" i="2"/>
  <c r="H209" i="2"/>
  <c r="G209" i="2"/>
  <c r="F209" i="2"/>
  <c r="E209" i="2"/>
  <c r="D209" i="2"/>
  <c r="C209" i="2"/>
  <c r="H208" i="2"/>
  <c r="G208" i="2"/>
  <c r="F208" i="2"/>
  <c r="E208" i="2"/>
  <c r="D208" i="2"/>
  <c r="C208" i="2"/>
  <c r="H207" i="2"/>
  <c r="G207" i="2"/>
  <c r="F207" i="2"/>
  <c r="E207" i="2"/>
  <c r="D207" i="2"/>
  <c r="C207" i="2"/>
  <c r="H206" i="2"/>
  <c r="G206" i="2"/>
  <c r="F206" i="2"/>
  <c r="E206" i="2"/>
  <c r="D206" i="2"/>
  <c r="C206" i="2"/>
  <c r="H205" i="2"/>
  <c r="G205" i="2"/>
  <c r="F205" i="2"/>
  <c r="E205" i="2"/>
  <c r="D205" i="2"/>
  <c r="C205" i="2"/>
  <c r="H204" i="2"/>
  <c r="G204" i="2"/>
  <c r="F204" i="2"/>
  <c r="E204" i="2"/>
  <c r="D204" i="2"/>
  <c r="C204" i="2"/>
  <c r="H203" i="2"/>
  <c r="G203" i="2"/>
  <c r="F203" i="2"/>
  <c r="E203" i="2"/>
  <c r="D203" i="2"/>
  <c r="C203" i="2"/>
  <c r="H202" i="2"/>
  <c r="G202" i="2"/>
  <c r="F202" i="2"/>
  <c r="E202" i="2"/>
  <c r="D202" i="2"/>
  <c r="C202" i="2"/>
  <c r="H201" i="2"/>
  <c r="G201" i="2"/>
  <c r="F201" i="2"/>
  <c r="E201" i="2"/>
  <c r="D201" i="2"/>
  <c r="C201" i="2"/>
  <c r="H200" i="2"/>
  <c r="G200" i="2"/>
  <c r="F200" i="2"/>
  <c r="E200" i="2"/>
  <c r="D200" i="2"/>
  <c r="C200" i="2"/>
  <c r="H199" i="2"/>
  <c r="G199" i="2"/>
  <c r="F199" i="2"/>
  <c r="E199" i="2"/>
  <c r="D199" i="2"/>
  <c r="C199" i="2"/>
  <c r="H198" i="2"/>
  <c r="G198" i="2"/>
  <c r="F198" i="2"/>
  <c r="E198" i="2"/>
  <c r="D198" i="2"/>
  <c r="C198" i="2"/>
  <c r="H197" i="2"/>
  <c r="G197" i="2"/>
  <c r="F197" i="2"/>
  <c r="E197" i="2"/>
  <c r="D197" i="2"/>
  <c r="C197" i="2"/>
  <c r="H196" i="2"/>
  <c r="G196" i="2"/>
  <c r="F196" i="2"/>
  <c r="E196" i="2"/>
  <c r="D196" i="2"/>
  <c r="C196" i="2"/>
  <c r="D191" i="2"/>
  <c r="C191" i="2"/>
  <c r="D190" i="2"/>
  <c r="C190" i="2"/>
  <c r="D189" i="2"/>
  <c r="C189" i="2"/>
  <c r="D188" i="2"/>
  <c r="C188" i="2"/>
  <c r="D187" i="2"/>
  <c r="C187" i="2"/>
  <c r="D181" i="2"/>
  <c r="C181" i="2"/>
  <c r="D180" i="2"/>
  <c r="C180" i="2"/>
  <c r="D179" i="2"/>
  <c r="C179" i="2"/>
  <c r="E179" i="2" s="1"/>
  <c r="D178" i="2"/>
  <c r="C178" i="2"/>
  <c r="D177" i="2"/>
  <c r="C177" i="2"/>
  <c r="D176" i="2"/>
  <c r="C176" i="2"/>
  <c r="D175" i="2"/>
  <c r="C175" i="2"/>
  <c r="D170" i="2"/>
  <c r="C170" i="2"/>
  <c r="D169" i="2"/>
  <c r="C169" i="2"/>
  <c r="E169" i="2" s="1"/>
  <c r="D168" i="2"/>
  <c r="C168" i="2"/>
  <c r="D167" i="2"/>
  <c r="C167" i="2"/>
  <c r="E167" i="2" s="1"/>
  <c r="D166" i="2"/>
  <c r="C166" i="2"/>
  <c r="D165" i="2"/>
  <c r="C165" i="2"/>
  <c r="D164" i="2"/>
  <c r="C164" i="2"/>
  <c r="E159" i="2"/>
  <c r="D159" i="2"/>
  <c r="C159" i="2"/>
  <c r="E158" i="2"/>
  <c r="D158" i="2"/>
  <c r="C158" i="2"/>
  <c r="E157" i="2"/>
  <c r="D157" i="2"/>
  <c r="C157" i="2"/>
  <c r="E156" i="2"/>
  <c r="D15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4" i="2"/>
  <c r="C104" i="2"/>
  <c r="D103" i="2"/>
  <c r="C103" i="2"/>
  <c r="D102" i="2"/>
  <c r="C102" i="2"/>
  <c r="D101" i="2"/>
  <c r="C101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D549" i="6"/>
  <c r="D1171" i="6"/>
  <c r="D976" i="6"/>
  <c r="D1118" i="6"/>
  <c r="D1174" i="6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K9" i="9" s="1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AX432" i="4"/>
  <c r="AX433" i="4"/>
  <c r="AX434" i="4"/>
  <c r="AX435" i="4"/>
  <c r="AX436" i="4"/>
  <c r="AX437" i="4"/>
  <c r="AX438" i="4"/>
  <c r="AX439" i="4"/>
  <c r="AY432" i="4"/>
  <c r="AY433" i="4"/>
  <c r="AY434" i="4"/>
  <c r="AY435" i="4"/>
  <c r="AY436" i="4"/>
  <c r="AY437" i="4"/>
  <c r="AY438" i="4"/>
  <c r="AY439" i="4"/>
  <c r="A59" i="9" a="1"/>
  <c r="D60" i="9" s="1"/>
  <c r="AX424" i="4"/>
  <c r="AX425" i="4"/>
  <c r="AX426" i="4"/>
  <c r="AX427" i="4"/>
  <c r="AX428" i="4"/>
  <c r="AX429" i="4"/>
  <c r="AX430" i="4"/>
  <c r="AX431" i="4"/>
  <c r="AY424" i="4"/>
  <c r="AY425" i="4"/>
  <c r="AY426" i="4"/>
  <c r="AY427" i="4"/>
  <c r="AY428" i="4"/>
  <c r="AY429" i="4"/>
  <c r="AY430" i="4"/>
  <c r="AY431" i="4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AT146" i="5"/>
  <c r="AU146" i="5" s="1"/>
  <c r="L146" i="5"/>
  <c r="E17" i="9"/>
  <c r="E15" i="9"/>
  <c r="E14" i="9"/>
  <c r="AX422" i="4"/>
  <c r="AX423" i="4"/>
  <c r="AY422" i="4"/>
  <c r="AY423" i="4"/>
  <c r="E28" i="9"/>
  <c r="E33" i="9"/>
  <c r="E32" i="9"/>
  <c r="E31" i="9"/>
  <c r="E30" i="9"/>
  <c r="E29" i="9"/>
  <c r="E27" i="9"/>
  <c r="E26" i="9"/>
  <c r="E25" i="9"/>
  <c r="E24" i="9"/>
  <c r="E23" i="9"/>
  <c r="E21" i="9"/>
  <c r="E20" i="9"/>
  <c r="E19" i="9"/>
  <c r="E18" i="9"/>
  <c r="E16" i="9"/>
  <c r="E11" i="9"/>
  <c r="E13" i="9" s="1"/>
  <c r="E10" i="9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8" i="4"/>
  <c r="M107" i="4"/>
  <c r="M106" i="4"/>
  <c r="M105" i="4"/>
  <c r="M104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8" i="4"/>
  <c r="M37" i="4"/>
  <c r="M36" i="4"/>
  <c r="M35" i="4"/>
  <c r="M34" i="4"/>
  <c r="M33" i="4"/>
  <c r="M32" i="4"/>
  <c r="M30" i="4"/>
  <c r="M29" i="4"/>
  <c r="M28" i="4"/>
  <c r="M27" i="4"/>
  <c r="M26" i="4"/>
  <c r="M25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5" i="4"/>
  <c r="AX418" i="4"/>
  <c r="AX419" i="4"/>
  <c r="AX420" i="4"/>
  <c r="AX421" i="4"/>
  <c r="AY418" i="4"/>
  <c r="AY419" i="4"/>
  <c r="AY420" i="4"/>
  <c r="AY421" i="4"/>
  <c r="M140" i="5"/>
  <c r="AT140" i="5"/>
  <c r="AU140" i="5" s="1"/>
  <c r="M141" i="5"/>
  <c r="AT141" i="5"/>
  <c r="AU141" i="5" s="1"/>
  <c r="K161" i="2"/>
  <c r="V41" i="11"/>
  <c r="X39" i="11"/>
  <c r="AT139" i="5"/>
  <c r="AU139" i="5" s="1"/>
  <c r="AT138" i="5"/>
  <c r="AU138" i="5" s="1"/>
  <c r="AT137" i="5"/>
  <c r="AU137" i="5" s="1"/>
  <c r="M139" i="5"/>
  <c r="M138" i="5"/>
  <c r="M137" i="5"/>
  <c r="AX417" i="4"/>
  <c r="AY417" i="4" s="1"/>
  <c r="E3" i="7"/>
  <c r="AT136" i="5"/>
  <c r="AU136" i="5" s="1"/>
  <c r="M136" i="5"/>
  <c r="AT135" i="5"/>
  <c r="AU135" i="5" s="1"/>
  <c r="CE134" i="5"/>
  <c r="AT134" i="5"/>
  <c r="AU134" i="5" s="1"/>
  <c r="M134" i="5"/>
  <c r="AT127" i="5"/>
  <c r="AU127" i="5" s="1"/>
  <c r="AB127" i="5"/>
  <c r="M127" i="5"/>
  <c r="K127" i="5"/>
  <c r="J127" i="5"/>
  <c r="AT126" i="5"/>
  <c r="AU126" i="5" s="1"/>
  <c r="AB126" i="5"/>
  <c r="M126" i="5"/>
  <c r="K126" i="5"/>
  <c r="J126" i="5"/>
  <c r="CE125" i="5"/>
  <c r="AT125" i="5"/>
  <c r="AU125" i="5" s="1"/>
  <c r="AB125" i="5"/>
  <c r="M125" i="5"/>
  <c r="K125" i="5"/>
  <c r="J125" i="5"/>
  <c r="AT124" i="5"/>
  <c r="AU124" i="5" s="1"/>
  <c r="M124" i="5"/>
  <c r="K124" i="5"/>
  <c r="J124" i="5"/>
  <c r="CE123" i="5"/>
  <c r="AT123" i="5"/>
  <c r="AU123" i="5" s="1"/>
  <c r="M123" i="5"/>
  <c r="K123" i="5"/>
  <c r="J123" i="5"/>
  <c r="AT122" i="5"/>
  <c r="AU122" i="5" s="1"/>
  <c r="M122" i="5"/>
  <c r="K122" i="5"/>
  <c r="J122" i="5"/>
  <c r="CE121" i="5"/>
  <c r="AT121" i="5"/>
  <c r="AU121" i="5" s="1"/>
  <c r="M121" i="5"/>
  <c r="K121" i="5"/>
  <c r="J121" i="5"/>
  <c r="CE120" i="5"/>
  <c r="AT120" i="5"/>
  <c r="AU120" i="5" s="1"/>
  <c r="M120" i="5"/>
  <c r="K120" i="5"/>
  <c r="J120" i="5"/>
  <c r="AT119" i="5"/>
  <c r="AU119" i="5" s="1"/>
  <c r="M119" i="5"/>
  <c r="K119" i="5"/>
  <c r="J119" i="5"/>
  <c r="AT118" i="5"/>
  <c r="AU118" i="5" s="1"/>
  <c r="M118" i="5"/>
  <c r="K118" i="5"/>
  <c r="J118" i="5"/>
  <c r="CE117" i="5"/>
  <c r="AT117" i="5"/>
  <c r="AU117" i="5" s="1"/>
  <c r="M117" i="5"/>
  <c r="K117" i="5"/>
  <c r="J117" i="5"/>
  <c r="CE116" i="5"/>
  <c r="AT116" i="5"/>
  <c r="AU116" i="5" s="1"/>
  <c r="M116" i="5"/>
  <c r="K116" i="5"/>
  <c r="J116" i="5"/>
  <c r="CE115" i="5"/>
  <c r="M115" i="5"/>
  <c r="K115" i="5"/>
  <c r="J115" i="5"/>
  <c r="CE114" i="5"/>
  <c r="AT114" i="5"/>
  <c r="AU114" i="5" s="1"/>
  <c r="M114" i="5"/>
  <c r="K114" i="5"/>
  <c r="J114" i="5"/>
  <c r="M113" i="5"/>
  <c r="K113" i="5"/>
  <c r="J113" i="5"/>
  <c r="AT112" i="5"/>
  <c r="AU112" i="5" s="1"/>
  <c r="M112" i="5"/>
  <c r="K112" i="5"/>
  <c r="J112" i="5"/>
  <c r="CE111" i="5"/>
  <c r="AT111" i="5"/>
  <c r="AU111" i="5" s="1"/>
  <c r="M111" i="5"/>
  <c r="K111" i="5"/>
  <c r="J111" i="5"/>
  <c r="AT110" i="5"/>
  <c r="AU110" i="5" s="1"/>
  <c r="K110" i="5"/>
  <c r="J110" i="5"/>
  <c r="CE109" i="5"/>
  <c r="M109" i="5"/>
  <c r="K109" i="5"/>
  <c r="J109" i="5"/>
  <c r="CE108" i="5"/>
  <c r="AU108" i="5"/>
  <c r="K108" i="5"/>
  <c r="J108" i="5"/>
  <c r="CE107" i="5"/>
  <c r="K107" i="5"/>
  <c r="J107" i="5"/>
  <c r="CE106" i="5"/>
  <c r="K106" i="5"/>
  <c r="J106" i="5"/>
  <c r="M105" i="5"/>
  <c r="K105" i="5"/>
  <c r="J105" i="5"/>
  <c r="CE104" i="5"/>
  <c r="M104" i="5"/>
  <c r="K104" i="5"/>
  <c r="J104" i="5"/>
  <c r="CE103" i="5"/>
  <c r="AT103" i="5"/>
  <c r="AU103" i="5" s="1"/>
  <c r="M103" i="5"/>
  <c r="K103" i="5"/>
  <c r="J103" i="5"/>
  <c r="CE102" i="5"/>
  <c r="M102" i="5"/>
  <c r="K102" i="5"/>
  <c r="J102" i="5"/>
  <c r="CE101" i="5"/>
  <c r="AT101" i="5"/>
  <c r="AU101" i="5" s="1"/>
  <c r="M101" i="5"/>
  <c r="K101" i="5"/>
  <c r="J101" i="5"/>
  <c r="CE100" i="5"/>
  <c r="AT100" i="5"/>
  <c r="AU100" i="5" s="1"/>
  <c r="M100" i="5"/>
  <c r="K100" i="5"/>
  <c r="J100" i="5"/>
  <c r="CE99" i="5"/>
  <c r="AT99" i="5"/>
  <c r="AU99" i="5" s="1"/>
  <c r="M99" i="5"/>
  <c r="K99" i="5"/>
  <c r="J99" i="5"/>
  <c r="CE98" i="5"/>
  <c r="AT98" i="5"/>
  <c r="AU98" i="5" s="1"/>
  <c r="M98" i="5"/>
  <c r="K98" i="5"/>
  <c r="J98" i="5"/>
  <c r="CE97" i="5"/>
  <c r="AT97" i="5"/>
  <c r="AU97" i="5" s="1"/>
  <c r="M97" i="5"/>
  <c r="K97" i="5"/>
  <c r="J97" i="5"/>
  <c r="CE96" i="5"/>
  <c r="AT96" i="5"/>
  <c r="AU96" i="5" s="1"/>
  <c r="M96" i="5"/>
  <c r="K96" i="5"/>
  <c r="J96" i="5"/>
  <c r="CE95" i="5"/>
  <c r="AT95" i="5"/>
  <c r="AU95" i="5" s="1"/>
  <c r="M95" i="5"/>
  <c r="K95" i="5"/>
  <c r="J95" i="5"/>
  <c r="AT94" i="5"/>
  <c r="AU94" i="5" s="1"/>
  <c r="M94" i="5"/>
  <c r="K94" i="5"/>
  <c r="J94" i="5"/>
  <c r="CE93" i="5"/>
  <c r="AT93" i="5"/>
  <c r="AU93" i="5" s="1"/>
  <c r="M93" i="5"/>
  <c r="K93" i="5"/>
  <c r="J93" i="5"/>
  <c r="CE92" i="5"/>
  <c r="AT92" i="5"/>
  <c r="AU92" i="5" s="1"/>
  <c r="M92" i="5"/>
  <c r="K92" i="5"/>
  <c r="J92" i="5"/>
  <c r="CE91" i="5"/>
  <c r="AT91" i="5"/>
  <c r="AU91" i="5" s="1"/>
  <c r="M91" i="5"/>
  <c r="K91" i="5"/>
  <c r="J91" i="5"/>
  <c r="CE90" i="5"/>
  <c r="AT90" i="5"/>
  <c r="AU90" i="5" s="1"/>
  <c r="M90" i="5"/>
  <c r="K90" i="5"/>
  <c r="J90" i="5"/>
  <c r="CE89" i="5"/>
  <c r="AT89" i="5"/>
  <c r="AU89" i="5" s="1"/>
  <c r="M89" i="5"/>
  <c r="K89" i="5"/>
  <c r="J89" i="5"/>
  <c r="CE88" i="5"/>
  <c r="AT88" i="5"/>
  <c r="AU88" i="5" s="1"/>
  <c r="M88" i="5"/>
  <c r="K88" i="5"/>
  <c r="J88" i="5"/>
  <c r="CE87" i="5"/>
  <c r="AT87" i="5"/>
  <c r="AU87" i="5" s="1"/>
  <c r="M87" i="5"/>
  <c r="K87" i="5"/>
  <c r="J87" i="5"/>
  <c r="CE86" i="5"/>
  <c r="AT86" i="5"/>
  <c r="AU86" i="5" s="1"/>
  <c r="M86" i="5"/>
  <c r="K86" i="5"/>
  <c r="J86" i="5"/>
  <c r="CE85" i="5"/>
  <c r="AT85" i="5"/>
  <c r="AU85" i="5" s="1"/>
  <c r="M85" i="5"/>
  <c r="K85" i="5"/>
  <c r="J85" i="5"/>
  <c r="CE84" i="5"/>
  <c r="AT84" i="5"/>
  <c r="AU84" i="5" s="1"/>
  <c r="M84" i="5"/>
  <c r="K84" i="5"/>
  <c r="J84" i="5"/>
  <c r="CE83" i="5"/>
  <c r="AT83" i="5"/>
  <c r="AU83" i="5" s="1"/>
  <c r="M83" i="5"/>
  <c r="K83" i="5"/>
  <c r="J83" i="5"/>
  <c r="CE82" i="5"/>
  <c r="AT82" i="5"/>
  <c r="AU82" i="5" s="1"/>
  <c r="M82" i="5"/>
  <c r="K82" i="5"/>
  <c r="J82" i="5"/>
  <c r="CE81" i="5"/>
  <c r="AT81" i="5"/>
  <c r="AU81" i="5" s="1"/>
  <c r="M81" i="5"/>
  <c r="K81" i="5"/>
  <c r="J81" i="5"/>
  <c r="CE80" i="5"/>
  <c r="AT80" i="5"/>
  <c r="AU80" i="5" s="1"/>
  <c r="M80" i="5"/>
  <c r="K80" i="5"/>
  <c r="J80" i="5"/>
  <c r="CE79" i="5"/>
  <c r="AT79" i="5"/>
  <c r="AU79" i="5" s="1"/>
  <c r="M79" i="5"/>
  <c r="K79" i="5"/>
  <c r="J79" i="5"/>
  <c r="CE78" i="5"/>
  <c r="AT78" i="5"/>
  <c r="AU78" i="5" s="1"/>
  <c r="M78" i="5"/>
  <c r="K78" i="5"/>
  <c r="J78" i="5"/>
  <c r="CE77" i="5"/>
  <c r="AT77" i="5"/>
  <c r="AU77" i="5" s="1"/>
  <c r="M77" i="5"/>
  <c r="K77" i="5"/>
  <c r="J77" i="5"/>
  <c r="CE76" i="5"/>
  <c r="AT76" i="5"/>
  <c r="AU76" i="5" s="1"/>
  <c r="M76" i="5"/>
  <c r="K76" i="5"/>
  <c r="J76" i="5"/>
  <c r="CE75" i="5"/>
  <c r="AT75" i="5"/>
  <c r="AU75" i="5" s="1"/>
  <c r="M75" i="5"/>
  <c r="K75" i="5"/>
  <c r="J75" i="5"/>
  <c r="CE74" i="5"/>
  <c r="AT74" i="5"/>
  <c r="AU74" i="5" s="1"/>
  <c r="M74" i="5"/>
  <c r="K74" i="5"/>
  <c r="J74" i="5"/>
  <c r="CE73" i="5"/>
  <c r="AT73" i="5"/>
  <c r="AU73" i="5" s="1"/>
  <c r="M73" i="5"/>
  <c r="K73" i="5"/>
  <c r="J73" i="5"/>
  <c r="CE72" i="5"/>
  <c r="M72" i="5"/>
  <c r="K72" i="5"/>
  <c r="J72" i="5"/>
  <c r="CE71" i="5"/>
  <c r="M71" i="5"/>
  <c r="K71" i="5"/>
  <c r="J71" i="5"/>
  <c r="BR70" i="5"/>
  <c r="AT70" i="5"/>
  <c r="AU70" i="5" s="1"/>
  <c r="M70" i="5"/>
  <c r="K70" i="5"/>
  <c r="J70" i="5"/>
  <c r="CE69" i="5"/>
  <c r="BR69" i="5"/>
  <c r="AT69" i="5"/>
  <c r="AU69" i="5" s="1"/>
  <c r="M69" i="5"/>
  <c r="K69" i="5"/>
  <c r="J69" i="5"/>
  <c r="CE68" i="5"/>
  <c r="AT68" i="5"/>
  <c r="AU68" i="5" s="1"/>
  <c r="M68" i="5"/>
  <c r="K68" i="5"/>
  <c r="J68" i="5"/>
  <c r="CE67" i="5"/>
  <c r="BR67" i="5"/>
  <c r="AT67" i="5"/>
  <c r="AU67" i="5" s="1"/>
  <c r="M67" i="5"/>
  <c r="K67" i="5"/>
  <c r="J67" i="5"/>
  <c r="CE66" i="5"/>
  <c r="AT66" i="5"/>
  <c r="AU66" i="5" s="1"/>
  <c r="M66" i="5"/>
  <c r="K66" i="5"/>
  <c r="J66" i="5"/>
  <c r="CE65" i="5"/>
  <c r="AT65" i="5"/>
  <c r="AU65" i="5" s="1"/>
  <c r="M65" i="5"/>
  <c r="K65" i="5"/>
  <c r="J65" i="5"/>
  <c r="CE64" i="5"/>
  <c r="M64" i="5"/>
  <c r="K64" i="5"/>
  <c r="J64" i="5"/>
  <c r="CE63" i="5"/>
  <c r="M63" i="5"/>
  <c r="K63" i="5"/>
  <c r="J63" i="5"/>
  <c r="BR62" i="5"/>
  <c r="M62" i="5"/>
  <c r="K62" i="5"/>
  <c r="J62" i="5"/>
  <c r="M61" i="5"/>
  <c r="K61" i="5"/>
  <c r="J61" i="5"/>
  <c r="CE60" i="5"/>
  <c r="M60" i="5"/>
  <c r="K60" i="5"/>
  <c r="J60" i="5"/>
  <c r="CE59" i="5"/>
  <c r="M59" i="5"/>
  <c r="K59" i="5"/>
  <c r="J59" i="5"/>
  <c r="CE58" i="5"/>
  <c r="M58" i="5"/>
  <c r="K58" i="5"/>
  <c r="J58" i="5"/>
  <c r="M57" i="5"/>
  <c r="K57" i="5"/>
  <c r="J57" i="5"/>
  <c r="BR56" i="5"/>
  <c r="M56" i="5"/>
  <c r="K56" i="5"/>
  <c r="J56" i="5"/>
  <c r="M55" i="5"/>
  <c r="K55" i="5"/>
  <c r="J55" i="5"/>
  <c r="CE54" i="5"/>
  <c r="M54" i="5"/>
  <c r="K54" i="5"/>
  <c r="J54" i="5"/>
  <c r="CE53" i="5"/>
  <c r="M53" i="5"/>
  <c r="K53" i="5"/>
  <c r="J53" i="5"/>
  <c r="CE52" i="5"/>
  <c r="M52" i="5"/>
  <c r="K52" i="5"/>
  <c r="J52" i="5"/>
  <c r="CE51" i="5"/>
  <c r="M51" i="5"/>
  <c r="K51" i="5"/>
  <c r="J51" i="5"/>
  <c r="CE50" i="5"/>
  <c r="M50" i="5"/>
  <c r="K50" i="5"/>
  <c r="J50" i="5"/>
  <c r="CE49" i="5"/>
  <c r="M49" i="5"/>
  <c r="K49" i="5"/>
  <c r="J49" i="5"/>
  <c r="CE48" i="5"/>
  <c r="M48" i="5"/>
  <c r="K48" i="5"/>
  <c r="J48" i="5"/>
  <c r="CE47" i="5"/>
  <c r="M47" i="5"/>
  <c r="K47" i="5"/>
  <c r="J47" i="5"/>
  <c r="CE46" i="5"/>
  <c r="BR46" i="5"/>
  <c r="M46" i="5"/>
  <c r="K46" i="5"/>
  <c r="J46" i="5"/>
  <c r="CE45" i="5"/>
  <c r="BR45" i="5"/>
  <c r="M45" i="5"/>
  <c r="K45" i="5"/>
  <c r="J45" i="5"/>
  <c r="CE44" i="5"/>
  <c r="BN44" i="5"/>
  <c r="M44" i="5"/>
  <c r="K44" i="5"/>
  <c r="J44" i="5"/>
  <c r="CE43" i="5"/>
  <c r="BN43" i="5"/>
  <c r="M43" i="5"/>
  <c r="K43" i="5"/>
  <c r="J43" i="5"/>
  <c r="CE42" i="5"/>
  <c r="M42" i="5"/>
  <c r="K42" i="5"/>
  <c r="J42" i="5"/>
  <c r="CE41" i="5"/>
  <c r="M41" i="5"/>
  <c r="K41" i="5"/>
  <c r="J41" i="5"/>
  <c r="CE40" i="5"/>
  <c r="M40" i="5"/>
  <c r="K40" i="5"/>
  <c r="J40" i="5"/>
  <c r="M39" i="5"/>
  <c r="K39" i="5"/>
  <c r="J39" i="5"/>
  <c r="CE38" i="5"/>
  <c r="M38" i="5"/>
  <c r="K38" i="5"/>
  <c r="J38" i="5"/>
  <c r="CE37" i="5"/>
  <c r="M37" i="5"/>
  <c r="K37" i="5"/>
  <c r="J37" i="5"/>
  <c r="CE36" i="5"/>
  <c r="M36" i="5"/>
  <c r="K36" i="5"/>
  <c r="J36" i="5"/>
  <c r="CE35" i="5"/>
  <c r="M35" i="5"/>
  <c r="K35" i="5"/>
  <c r="J35" i="5"/>
  <c r="CE34" i="5"/>
  <c r="M34" i="5"/>
  <c r="K34" i="5"/>
  <c r="J34" i="5"/>
  <c r="CE33" i="5"/>
  <c r="M33" i="5"/>
  <c r="K33" i="5"/>
  <c r="J33" i="5"/>
  <c r="CE32" i="5"/>
  <c r="M32" i="5"/>
  <c r="K32" i="5"/>
  <c r="J32" i="5"/>
  <c r="CE31" i="5"/>
  <c r="M31" i="5"/>
  <c r="K31" i="5"/>
  <c r="J31" i="5"/>
  <c r="CE30" i="5"/>
  <c r="BR30" i="5"/>
  <c r="M30" i="5"/>
  <c r="K30" i="5"/>
  <c r="J30" i="5"/>
  <c r="CE29" i="5"/>
  <c r="M29" i="5"/>
  <c r="K29" i="5"/>
  <c r="J29" i="5"/>
  <c r="CE28" i="5"/>
  <c r="M28" i="5"/>
  <c r="K28" i="5"/>
  <c r="J28" i="5"/>
  <c r="CE27" i="5"/>
  <c r="M27" i="5"/>
  <c r="K27" i="5"/>
  <c r="J27" i="5"/>
  <c r="CE26" i="5"/>
  <c r="M26" i="5"/>
  <c r="K26" i="5"/>
  <c r="J26" i="5"/>
  <c r="CE25" i="5"/>
  <c r="M25" i="5"/>
  <c r="K25" i="5"/>
  <c r="J25" i="5"/>
  <c r="CE24" i="5"/>
  <c r="BR24" i="5"/>
  <c r="M24" i="5"/>
  <c r="K24" i="5"/>
  <c r="J24" i="5"/>
  <c r="CE23" i="5"/>
  <c r="M23" i="5"/>
  <c r="K23" i="5"/>
  <c r="J23" i="5"/>
  <c r="CE22" i="5"/>
  <c r="M22" i="5"/>
  <c r="K22" i="5"/>
  <c r="J22" i="5"/>
  <c r="CE21" i="5"/>
  <c r="M21" i="5"/>
  <c r="K21" i="5"/>
  <c r="J21" i="5"/>
  <c r="CE20" i="5"/>
  <c r="M20" i="5"/>
  <c r="K20" i="5"/>
  <c r="J20" i="5"/>
  <c r="CE19" i="5"/>
  <c r="M19" i="5"/>
  <c r="K19" i="5"/>
  <c r="J19" i="5"/>
  <c r="CE18" i="5"/>
  <c r="M18" i="5"/>
  <c r="K18" i="5"/>
  <c r="J18" i="5"/>
  <c r="CE17" i="5"/>
  <c r="M17" i="5"/>
  <c r="K17" i="5"/>
  <c r="J17" i="5"/>
  <c r="M16" i="5"/>
  <c r="K16" i="5"/>
  <c r="J16" i="5"/>
  <c r="BR15" i="5"/>
  <c r="M15" i="5"/>
  <c r="K15" i="5"/>
  <c r="J15" i="5"/>
  <c r="M14" i="5"/>
  <c r="K14" i="5"/>
  <c r="J14" i="5"/>
  <c r="CE13" i="5"/>
  <c r="M13" i="5"/>
  <c r="K13" i="5"/>
  <c r="J13" i="5"/>
  <c r="CE12" i="5"/>
  <c r="M12" i="5"/>
  <c r="K12" i="5"/>
  <c r="J12" i="5"/>
  <c r="CE11" i="5"/>
  <c r="M11" i="5"/>
  <c r="K11" i="5"/>
  <c r="J11" i="5"/>
  <c r="CE10" i="5"/>
  <c r="M10" i="5"/>
  <c r="K10" i="5"/>
  <c r="J10" i="5"/>
  <c r="CE9" i="5"/>
  <c r="M9" i="5"/>
  <c r="K9" i="5"/>
  <c r="J9" i="5"/>
  <c r="CE8" i="5"/>
  <c r="M8" i="5"/>
  <c r="K8" i="5"/>
  <c r="J8" i="5"/>
  <c r="CE7" i="5"/>
  <c r="M7" i="5"/>
  <c r="K7" i="5"/>
  <c r="J7" i="5"/>
  <c r="CE6" i="5"/>
  <c r="M6" i="5"/>
  <c r="K6" i="5"/>
  <c r="J6" i="5"/>
  <c r="CE5" i="5"/>
  <c r="M5" i="5"/>
  <c r="K5" i="5"/>
  <c r="J5" i="5"/>
  <c r="CE4" i="5"/>
  <c r="M4" i="5"/>
  <c r="K4" i="5"/>
  <c r="J4" i="5"/>
  <c r="C2" i="5"/>
  <c r="AB44" i="5" s="1"/>
  <c r="AX414" i="4"/>
  <c r="AY414" i="4" s="1"/>
  <c r="AX411" i="4"/>
  <c r="AY411" i="4" s="1"/>
  <c r="AX409" i="4"/>
  <c r="AY409" i="4" s="1"/>
  <c r="AX408" i="4"/>
  <c r="AY408" i="4" s="1"/>
  <c r="AX407" i="4"/>
  <c r="AY407" i="4" s="1"/>
  <c r="AX406" i="4"/>
  <c r="AY406" i="4" s="1"/>
  <c r="AX405" i="4"/>
  <c r="AY405" i="4" s="1"/>
  <c r="AX404" i="4"/>
  <c r="AY404" i="4" s="1"/>
  <c r="AX403" i="4"/>
  <c r="AY403" i="4" s="1"/>
  <c r="AX402" i="4"/>
  <c r="AY402" i="4" s="1"/>
  <c r="AX401" i="4"/>
  <c r="AY401" i="4" s="1"/>
  <c r="AX400" i="4"/>
  <c r="AY400" i="4" s="1"/>
  <c r="AX399" i="4"/>
  <c r="AY399" i="4" s="1"/>
  <c r="AX398" i="4"/>
  <c r="AY398" i="4" s="1"/>
  <c r="AX397" i="4"/>
  <c r="AY397" i="4" s="1"/>
  <c r="AX396" i="4"/>
  <c r="AY396" i="4" s="1"/>
  <c r="AX395" i="4"/>
  <c r="AY395" i="4" s="1"/>
  <c r="AX394" i="4"/>
  <c r="AY394" i="4" s="1"/>
  <c r="AX393" i="4"/>
  <c r="AY393" i="4" s="1"/>
  <c r="AX392" i="4"/>
  <c r="AY392" i="4" s="1"/>
  <c r="AX391" i="4"/>
  <c r="AY391" i="4" s="1"/>
  <c r="AX390" i="4"/>
  <c r="AY390" i="4" s="1"/>
  <c r="AX389" i="4"/>
  <c r="AY389" i="4" s="1"/>
  <c r="AX388" i="4"/>
  <c r="AY388" i="4" s="1"/>
  <c r="AX387" i="4"/>
  <c r="AY387" i="4" s="1"/>
  <c r="AX386" i="4"/>
  <c r="AY386" i="4" s="1"/>
  <c r="AX384" i="4"/>
  <c r="AY384" i="4" s="1"/>
  <c r="AX383" i="4"/>
  <c r="AY383" i="4" s="1"/>
  <c r="AX382" i="4"/>
  <c r="AY382" i="4" s="1"/>
  <c r="AX381" i="4"/>
  <c r="AY381" i="4" s="1"/>
  <c r="AX380" i="4"/>
  <c r="AY380" i="4" s="1"/>
  <c r="AX379" i="4"/>
  <c r="AY379" i="4" s="1"/>
  <c r="AX378" i="4"/>
  <c r="AY378" i="4" s="1"/>
  <c r="AX377" i="4"/>
  <c r="AY377" i="4" s="1"/>
  <c r="AX376" i="4"/>
  <c r="AY376" i="4" s="1"/>
  <c r="AX375" i="4"/>
  <c r="AY375" i="4" s="1"/>
  <c r="AX374" i="4"/>
  <c r="AY374" i="4" s="1"/>
  <c r="AX373" i="4"/>
  <c r="AY373" i="4" s="1"/>
  <c r="AX372" i="4"/>
  <c r="AY372" i="4" s="1"/>
  <c r="AX371" i="4"/>
  <c r="AY371" i="4" s="1"/>
  <c r="AX370" i="4"/>
  <c r="AY370" i="4" s="1"/>
  <c r="AX369" i="4"/>
  <c r="AY369" i="4" s="1"/>
  <c r="AX368" i="4"/>
  <c r="AY368" i="4" s="1"/>
  <c r="AX367" i="4"/>
  <c r="AY367" i="4" s="1"/>
  <c r="AX366" i="4"/>
  <c r="AY366" i="4" s="1"/>
  <c r="AX365" i="4"/>
  <c r="AY365" i="4" s="1"/>
  <c r="AX364" i="4"/>
  <c r="AY364" i="4" s="1"/>
  <c r="AX363" i="4"/>
  <c r="AY363" i="4" s="1"/>
  <c r="AX362" i="4"/>
  <c r="AY362" i="4" s="1"/>
  <c r="AX361" i="4"/>
  <c r="AY361" i="4" s="1"/>
  <c r="AX360" i="4"/>
  <c r="AY360" i="4" s="1"/>
  <c r="AX359" i="4"/>
  <c r="AY359" i="4" s="1"/>
  <c r="AX358" i="4"/>
  <c r="AY358" i="4" s="1"/>
  <c r="AX357" i="4"/>
  <c r="AY357" i="4" s="1"/>
  <c r="AX356" i="4"/>
  <c r="AY356" i="4" s="1"/>
  <c r="AX355" i="4"/>
  <c r="AY355" i="4" s="1"/>
  <c r="AX354" i="4"/>
  <c r="AY354" i="4" s="1"/>
  <c r="AX353" i="4"/>
  <c r="AY353" i="4" s="1"/>
  <c r="AX352" i="4"/>
  <c r="AY352" i="4" s="1"/>
  <c r="AX351" i="4"/>
  <c r="AY351" i="4" s="1"/>
  <c r="AX350" i="4"/>
  <c r="AY350" i="4" s="1"/>
  <c r="AX349" i="4"/>
  <c r="AY349" i="4" s="1"/>
  <c r="AX348" i="4"/>
  <c r="AY348" i="4" s="1"/>
  <c r="AX347" i="4"/>
  <c r="AY347" i="4" s="1"/>
  <c r="AX346" i="4"/>
  <c r="AY346" i="4" s="1"/>
  <c r="AX345" i="4"/>
  <c r="AY345" i="4" s="1"/>
  <c r="AX344" i="4"/>
  <c r="AY344" i="4" s="1"/>
  <c r="AX343" i="4"/>
  <c r="AY343" i="4" s="1"/>
  <c r="AX342" i="4"/>
  <c r="AY342" i="4" s="1"/>
  <c r="AX341" i="4"/>
  <c r="AY341" i="4" s="1"/>
  <c r="AX340" i="4"/>
  <c r="AY340" i="4" s="1"/>
  <c r="AX339" i="4"/>
  <c r="AY339" i="4" s="1"/>
  <c r="AX338" i="4"/>
  <c r="AY338" i="4" s="1"/>
  <c r="AX337" i="4"/>
  <c r="AY337" i="4" s="1"/>
  <c r="AX336" i="4"/>
  <c r="AY336" i="4" s="1"/>
  <c r="AX335" i="4"/>
  <c r="AY335" i="4" s="1"/>
  <c r="AX334" i="4"/>
  <c r="AY334" i="4" s="1"/>
  <c r="AX333" i="4"/>
  <c r="AY333" i="4" s="1"/>
  <c r="AX332" i="4"/>
  <c r="AY332" i="4" s="1"/>
  <c r="AX331" i="4"/>
  <c r="AY331" i="4" s="1"/>
  <c r="AX330" i="4"/>
  <c r="AY330" i="4" s="1"/>
  <c r="AX329" i="4"/>
  <c r="AY329" i="4" s="1"/>
  <c r="AX328" i="4"/>
  <c r="AY328" i="4" s="1"/>
  <c r="AX327" i="4"/>
  <c r="AY327" i="4" s="1"/>
  <c r="AX326" i="4"/>
  <c r="AY326" i="4" s="1"/>
  <c r="AX6" i="4"/>
  <c r="AY6" i="4" s="1"/>
  <c r="AX325" i="4"/>
  <c r="AY325" i="4" s="1"/>
  <c r="AX324" i="4"/>
  <c r="AY324" i="4" s="1"/>
  <c r="AX323" i="4"/>
  <c r="AY323" i="4" s="1"/>
  <c r="AX322" i="4"/>
  <c r="AY322" i="4" s="1"/>
  <c r="AX321" i="4"/>
  <c r="AY321" i="4" s="1"/>
  <c r="AX320" i="4"/>
  <c r="AY320" i="4" s="1"/>
  <c r="AX319" i="4"/>
  <c r="AY319" i="4" s="1"/>
  <c r="AX318" i="4"/>
  <c r="AY318" i="4" s="1"/>
  <c r="AX317" i="4"/>
  <c r="AY317" i="4" s="1"/>
  <c r="AX316" i="4"/>
  <c r="AY316" i="4" s="1"/>
  <c r="AX315" i="4"/>
  <c r="AY315" i="4" s="1"/>
  <c r="AX314" i="4"/>
  <c r="AY314" i="4" s="1"/>
  <c r="AX313" i="4"/>
  <c r="AY313" i="4" s="1"/>
  <c r="AX312" i="4"/>
  <c r="AY312" i="4" s="1"/>
  <c r="AX311" i="4"/>
  <c r="AY311" i="4" s="1"/>
  <c r="AX310" i="4"/>
  <c r="AY310" i="4" s="1"/>
  <c r="AX309" i="4"/>
  <c r="AY309" i="4" s="1"/>
  <c r="AX308" i="4"/>
  <c r="AY308" i="4" s="1"/>
  <c r="CE307" i="4"/>
  <c r="AX307" i="4"/>
  <c r="AY307" i="4" s="1"/>
  <c r="AX306" i="4"/>
  <c r="AY306" i="4" s="1"/>
  <c r="AX305" i="4"/>
  <c r="AY305" i="4" s="1"/>
  <c r="AX304" i="4"/>
  <c r="AY304" i="4" s="1"/>
  <c r="CE303" i="4"/>
  <c r="AX303" i="4"/>
  <c r="AY303" i="4" s="1"/>
  <c r="CE302" i="4"/>
  <c r="AX302" i="4"/>
  <c r="AY302" i="4" s="1"/>
  <c r="CE301" i="4"/>
  <c r="AX301" i="4"/>
  <c r="AY301" i="4" s="1"/>
  <c r="CE300" i="4"/>
  <c r="AX300" i="4"/>
  <c r="AY300" i="4" s="1"/>
  <c r="CE299" i="4"/>
  <c r="AX299" i="4"/>
  <c r="AY299" i="4" s="1"/>
  <c r="CE298" i="4"/>
  <c r="AX298" i="4"/>
  <c r="AY298" i="4" s="1"/>
  <c r="CE297" i="4"/>
  <c r="AX297" i="4"/>
  <c r="AY297" i="4" s="1"/>
  <c r="CE296" i="4"/>
  <c r="AX296" i="4"/>
  <c r="AY296" i="4" s="1"/>
  <c r="CE295" i="4"/>
  <c r="AX295" i="4"/>
  <c r="AY295" i="4" s="1"/>
  <c r="CE294" i="4"/>
  <c r="AX294" i="4"/>
  <c r="AY294" i="4" s="1"/>
  <c r="CE293" i="4"/>
  <c r="AX293" i="4"/>
  <c r="AY293" i="4" s="1"/>
  <c r="CE292" i="4"/>
  <c r="AX292" i="4"/>
  <c r="AY292" i="4" s="1"/>
  <c r="CE291" i="4"/>
  <c r="AX291" i="4"/>
  <c r="AY291" i="4" s="1"/>
  <c r="CE290" i="4"/>
  <c r="AX290" i="4"/>
  <c r="AY290" i="4" s="1"/>
  <c r="CE289" i="4"/>
  <c r="AX289" i="4"/>
  <c r="AY289" i="4" s="1"/>
  <c r="CE288" i="4"/>
  <c r="AX288" i="4"/>
  <c r="AY288" i="4" s="1"/>
  <c r="CE287" i="4"/>
  <c r="AX287" i="4"/>
  <c r="AY287" i="4" s="1"/>
  <c r="CE286" i="4"/>
  <c r="AX286" i="4"/>
  <c r="AY286" i="4" s="1"/>
  <c r="CE285" i="4"/>
  <c r="AX285" i="4"/>
  <c r="AY285" i="4" s="1"/>
  <c r="CE284" i="4"/>
  <c r="AX284" i="4"/>
  <c r="AY284" i="4" s="1"/>
  <c r="CE283" i="4"/>
  <c r="AX283" i="4"/>
  <c r="AY283" i="4" s="1"/>
  <c r="CE282" i="4"/>
  <c r="AX282" i="4"/>
  <c r="AY282" i="4" s="1"/>
  <c r="CE281" i="4"/>
  <c r="AX281" i="4"/>
  <c r="AY281" i="4" s="1"/>
  <c r="CE280" i="4"/>
  <c r="AX280" i="4"/>
  <c r="AY280" i="4" s="1"/>
  <c r="CE279" i="4"/>
  <c r="AX279" i="4"/>
  <c r="AY279" i="4" s="1"/>
  <c r="CE278" i="4"/>
  <c r="AX278" i="4"/>
  <c r="AY278" i="4" s="1"/>
  <c r="CE277" i="4"/>
  <c r="AX277" i="4"/>
  <c r="AY277" i="4" s="1"/>
  <c r="CE276" i="4"/>
  <c r="AX276" i="4"/>
  <c r="AY276" i="4" s="1"/>
  <c r="CE275" i="4"/>
  <c r="AX275" i="4"/>
  <c r="AY275" i="4" s="1"/>
  <c r="CE274" i="4"/>
  <c r="AX274" i="4"/>
  <c r="AY274" i="4" s="1"/>
  <c r="CE273" i="4"/>
  <c r="AX273" i="4"/>
  <c r="AY273" i="4" s="1"/>
  <c r="CE272" i="4"/>
  <c r="AX272" i="4"/>
  <c r="AY272" i="4" s="1"/>
  <c r="CE271" i="4"/>
  <c r="AX271" i="4"/>
  <c r="AY271" i="4" s="1"/>
  <c r="CE270" i="4"/>
  <c r="AX270" i="4"/>
  <c r="AY270" i="4" s="1"/>
  <c r="CE269" i="4"/>
  <c r="AX269" i="4"/>
  <c r="AY269" i="4" s="1"/>
  <c r="CE268" i="4"/>
  <c r="AX268" i="4"/>
  <c r="AY268" i="4" s="1"/>
  <c r="CE267" i="4"/>
  <c r="AX267" i="4"/>
  <c r="AY267" i="4" s="1"/>
  <c r="CE266" i="4"/>
  <c r="AX266" i="4"/>
  <c r="AY266" i="4" s="1"/>
  <c r="CE265" i="4"/>
  <c r="AX265" i="4"/>
  <c r="AY265" i="4" s="1"/>
  <c r="CE264" i="4"/>
  <c r="AX264" i="4"/>
  <c r="AY264" i="4" s="1"/>
  <c r="CE263" i="4"/>
  <c r="AX263" i="4"/>
  <c r="AY263" i="4" s="1"/>
  <c r="CE262" i="4"/>
  <c r="AX262" i="4"/>
  <c r="AY262" i="4" s="1"/>
  <c r="CE261" i="4"/>
  <c r="AX261" i="4"/>
  <c r="AY261" i="4" s="1"/>
  <c r="CE260" i="4"/>
  <c r="AX260" i="4"/>
  <c r="AY260" i="4" s="1"/>
  <c r="CE259" i="4"/>
  <c r="AX259" i="4"/>
  <c r="AY259" i="4" s="1"/>
  <c r="CE258" i="4"/>
  <c r="AX258" i="4"/>
  <c r="AY258" i="4" s="1"/>
  <c r="CE257" i="4"/>
  <c r="AX257" i="4"/>
  <c r="AY257" i="4" s="1"/>
  <c r="CE256" i="4"/>
  <c r="AX256" i="4"/>
  <c r="AY256" i="4" s="1"/>
  <c r="CE255" i="4"/>
  <c r="AX255" i="4"/>
  <c r="AY255" i="4" s="1"/>
  <c r="CE254" i="4"/>
  <c r="AX254" i="4"/>
  <c r="AY254" i="4" s="1"/>
  <c r="CE253" i="4"/>
  <c r="AX253" i="4"/>
  <c r="AY253" i="4" s="1"/>
  <c r="CE252" i="4"/>
  <c r="AX252" i="4"/>
  <c r="AY252" i="4" s="1"/>
  <c r="CE251" i="4"/>
  <c r="AX251" i="4"/>
  <c r="AY251" i="4" s="1"/>
  <c r="CE250" i="4"/>
  <c r="AX250" i="4"/>
  <c r="AY250" i="4" s="1"/>
  <c r="CE249" i="4"/>
  <c r="AX249" i="4"/>
  <c r="AY249" i="4" s="1"/>
  <c r="CE248" i="4"/>
  <c r="AX248" i="4"/>
  <c r="AY248" i="4" s="1"/>
  <c r="CE247" i="4"/>
  <c r="AX247" i="4"/>
  <c r="AY247" i="4" s="1"/>
  <c r="CE246" i="4"/>
  <c r="AX246" i="4"/>
  <c r="AY246" i="4" s="1"/>
  <c r="CE245" i="4"/>
  <c r="AX245" i="4"/>
  <c r="AY245" i="4" s="1"/>
  <c r="CE244" i="4"/>
  <c r="AX244" i="4"/>
  <c r="AY244" i="4" s="1"/>
  <c r="CE243" i="4"/>
  <c r="AX243" i="4"/>
  <c r="AY243" i="4" s="1"/>
  <c r="CE242" i="4"/>
  <c r="AX242" i="4"/>
  <c r="AY242" i="4" s="1"/>
  <c r="CE241" i="4"/>
  <c r="AX241" i="4"/>
  <c r="AY241" i="4" s="1"/>
  <c r="CE240" i="4"/>
  <c r="AX240" i="4"/>
  <c r="AY240" i="4" s="1"/>
  <c r="CE239" i="4"/>
  <c r="AX239" i="4"/>
  <c r="AY239" i="4" s="1"/>
  <c r="CE238" i="4"/>
  <c r="AX238" i="4"/>
  <c r="AY238" i="4" s="1"/>
  <c r="CE237" i="4"/>
  <c r="AX237" i="4"/>
  <c r="AY237" i="4" s="1"/>
  <c r="CE236" i="4"/>
  <c r="AX236" i="4"/>
  <c r="AY236" i="4" s="1"/>
  <c r="CE235" i="4"/>
  <c r="AX235" i="4"/>
  <c r="AY235" i="4" s="1"/>
  <c r="CE234" i="4"/>
  <c r="AX234" i="4"/>
  <c r="AY234" i="4" s="1"/>
  <c r="CE232" i="4"/>
  <c r="AX232" i="4"/>
  <c r="AY232" i="4" s="1"/>
  <c r="CE231" i="4"/>
  <c r="AX231" i="4"/>
  <c r="AY231" i="4" s="1"/>
  <c r="CE230" i="4"/>
  <c r="AX230" i="4"/>
  <c r="AY230" i="4" s="1"/>
  <c r="CE229" i="4"/>
  <c r="AX229" i="4"/>
  <c r="AY229" i="4" s="1"/>
  <c r="CE228" i="4"/>
  <c r="AX228" i="4"/>
  <c r="AY228" i="4" s="1"/>
  <c r="CE227" i="4"/>
  <c r="AX227" i="4"/>
  <c r="AY227" i="4" s="1"/>
  <c r="CE226" i="4"/>
  <c r="AX226" i="4"/>
  <c r="AY226" i="4" s="1"/>
  <c r="CE225" i="4"/>
  <c r="AX225" i="4"/>
  <c r="AY225" i="4" s="1"/>
  <c r="CE224" i="4"/>
  <c r="AX224" i="4"/>
  <c r="AY224" i="4" s="1"/>
  <c r="CE223" i="4"/>
  <c r="AX223" i="4"/>
  <c r="AY223" i="4" s="1"/>
  <c r="CE222" i="4"/>
  <c r="AX222" i="4"/>
  <c r="AY222" i="4" s="1"/>
  <c r="CE221" i="4"/>
  <c r="AX221" i="4"/>
  <c r="AY221" i="4" s="1"/>
  <c r="CE220" i="4"/>
  <c r="AX220" i="4"/>
  <c r="AY220" i="4" s="1"/>
  <c r="CE219" i="4"/>
  <c r="AX219" i="4"/>
  <c r="AY219" i="4" s="1"/>
  <c r="CE218" i="4"/>
  <c r="AX218" i="4"/>
  <c r="AY218" i="4" s="1"/>
  <c r="CE217" i="4"/>
  <c r="AX217" i="4"/>
  <c r="AY217" i="4" s="1"/>
  <c r="CE216" i="4"/>
  <c r="AX216" i="4"/>
  <c r="AY216" i="4" s="1"/>
  <c r="CE215" i="4"/>
  <c r="AX215" i="4"/>
  <c r="AY215" i="4" s="1"/>
  <c r="CE214" i="4"/>
  <c r="AX214" i="4"/>
  <c r="AY214" i="4" s="1"/>
  <c r="CE213" i="4"/>
  <c r="AX213" i="4"/>
  <c r="AY213" i="4" s="1"/>
  <c r="CE212" i="4"/>
  <c r="AX212" i="4"/>
  <c r="AY212" i="4" s="1"/>
  <c r="CE211" i="4"/>
  <c r="AX211" i="4"/>
  <c r="AY211" i="4" s="1"/>
  <c r="CE210" i="4"/>
  <c r="AX210" i="4"/>
  <c r="AY210" i="4" s="1"/>
  <c r="CE209" i="4"/>
  <c r="AX209" i="4"/>
  <c r="AY209" i="4" s="1"/>
  <c r="CE208" i="4"/>
  <c r="AX208" i="4"/>
  <c r="AY208" i="4" s="1"/>
  <c r="CE207" i="4"/>
  <c r="AX207" i="4"/>
  <c r="AY207" i="4" s="1"/>
  <c r="CE206" i="4"/>
  <c r="AX206" i="4"/>
  <c r="AY206" i="4" s="1"/>
  <c r="CE205" i="4"/>
  <c r="AX205" i="4"/>
  <c r="AY205" i="4" s="1"/>
  <c r="CE204" i="4"/>
  <c r="AX204" i="4"/>
  <c r="AY204" i="4" s="1"/>
  <c r="CE203" i="4"/>
  <c r="AX203" i="4"/>
  <c r="AY203" i="4" s="1"/>
  <c r="CE202" i="4"/>
  <c r="AX202" i="4"/>
  <c r="AY202" i="4" s="1"/>
  <c r="CE201" i="4"/>
  <c r="AX201" i="4"/>
  <c r="AY201" i="4" s="1"/>
  <c r="CE200" i="4"/>
  <c r="AX200" i="4"/>
  <c r="AY200" i="4" s="1"/>
  <c r="CE199" i="4"/>
  <c r="AX199" i="4"/>
  <c r="AY199" i="4" s="1"/>
  <c r="CE198" i="4"/>
  <c r="AX198" i="4"/>
  <c r="AY198" i="4" s="1"/>
  <c r="CE197" i="4"/>
  <c r="AX197" i="4"/>
  <c r="AY197" i="4" s="1"/>
  <c r="CE196" i="4"/>
  <c r="AX196" i="4"/>
  <c r="AY196" i="4" s="1"/>
  <c r="CE195" i="4"/>
  <c r="AX195" i="4"/>
  <c r="AY195" i="4" s="1"/>
  <c r="CE194" i="4"/>
  <c r="AX194" i="4"/>
  <c r="AY194" i="4" s="1"/>
  <c r="CE193" i="4"/>
  <c r="AX193" i="4"/>
  <c r="AY193" i="4" s="1"/>
  <c r="CE192" i="4"/>
  <c r="AX192" i="4"/>
  <c r="AY192" i="4" s="1"/>
  <c r="CE191" i="4"/>
  <c r="AX191" i="4"/>
  <c r="AY191" i="4" s="1"/>
  <c r="CE190" i="4"/>
  <c r="AX190" i="4"/>
  <c r="AY190" i="4" s="1"/>
  <c r="CE189" i="4"/>
  <c r="AX189" i="4"/>
  <c r="AY189" i="4" s="1"/>
  <c r="CE188" i="4"/>
  <c r="AX188" i="4"/>
  <c r="AY188" i="4" s="1"/>
  <c r="CE187" i="4"/>
  <c r="AX187" i="4"/>
  <c r="AY187" i="4" s="1"/>
  <c r="CE186" i="4"/>
  <c r="AX186" i="4"/>
  <c r="AY186" i="4" s="1"/>
  <c r="CE185" i="4"/>
  <c r="AX185" i="4"/>
  <c r="AY185" i="4" s="1"/>
  <c r="CE184" i="4"/>
  <c r="AX184" i="4"/>
  <c r="AY184" i="4" s="1"/>
  <c r="CE183" i="4"/>
  <c r="AX183" i="4"/>
  <c r="AY183" i="4" s="1"/>
  <c r="CE182" i="4"/>
  <c r="AX182" i="4"/>
  <c r="AY182" i="4" s="1"/>
  <c r="CE181" i="4"/>
  <c r="AX181" i="4"/>
  <c r="AY181" i="4" s="1"/>
  <c r="CE180" i="4"/>
  <c r="AX180" i="4"/>
  <c r="AY180" i="4" s="1"/>
  <c r="CE179" i="4"/>
  <c r="AX179" i="4"/>
  <c r="AY179" i="4" s="1"/>
  <c r="CE178" i="4"/>
  <c r="AX178" i="4"/>
  <c r="AY178" i="4" s="1"/>
  <c r="CE177" i="4"/>
  <c r="AX177" i="4"/>
  <c r="AY177" i="4" s="1"/>
  <c r="CE176" i="4"/>
  <c r="AX176" i="4"/>
  <c r="AY176" i="4" s="1"/>
  <c r="CE175" i="4"/>
  <c r="AX175" i="4"/>
  <c r="AY175" i="4" s="1"/>
  <c r="CE174" i="4"/>
  <c r="AX174" i="4"/>
  <c r="AY174" i="4" s="1"/>
  <c r="CE173" i="4"/>
  <c r="AX173" i="4"/>
  <c r="AY173" i="4" s="1"/>
  <c r="CE172" i="4"/>
  <c r="AX172" i="4"/>
  <c r="AY172" i="4" s="1"/>
  <c r="CE171" i="4"/>
  <c r="AX171" i="4"/>
  <c r="AY171" i="4" s="1"/>
  <c r="CE170" i="4"/>
  <c r="AX170" i="4"/>
  <c r="AY170" i="4" s="1"/>
  <c r="CE169" i="4"/>
  <c r="AX169" i="4"/>
  <c r="AY169" i="4" s="1"/>
  <c r="CE168" i="4"/>
  <c r="AX168" i="4"/>
  <c r="AY168" i="4" s="1"/>
  <c r="CE167" i="4"/>
  <c r="AX167" i="4"/>
  <c r="AY167" i="4" s="1"/>
  <c r="CE166" i="4"/>
  <c r="AX166" i="4"/>
  <c r="AY166" i="4" s="1"/>
  <c r="CE165" i="4"/>
  <c r="AX165" i="4"/>
  <c r="AY165" i="4" s="1"/>
  <c r="CE164" i="4"/>
  <c r="AX164" i="4"/>
  <c r="AY164" i="4" s="1"/>
  <c r="CE163" i="4"/>
  <c r="AX163" i="4"/>
  <c r="AY163" i="4" s="1"/>
  <c r="CE162" i="4"/>
  <c r="AX162" i="4"/>
  <c r="AY162" i="4" s="1"/>
  <c r="CE161" i="4"/>
  <c r="AX161" i="4"/>
  <c r="AY161" i="4" s="1"/>
  <c r="CE160" i="4"/>
  <c r="AX160" i="4"/>
  <c r="AY160" i="4" s="1"/>
  <c r="CE159" i="4"/>
  <c r="AX159" i="4"/>
  <c r="AY159" i="4" s="1"/>
  <c r="CE158" i="4"/>
  <c r="AX158" i="4"/>
  <c r="AY158" i="4" s="1"/>
  <c r="CE157" i="4"/>
  <c r="AX157" i="4"/>
  <c r="AY157" i="4" s="1"/>
  <c r="CE156" i="4"/>
  <c r="AX156" i="4"/>
  <c r="AY156" i="4" s="1"/>
  <c r="CE155" i="4"/>
  <c r="AX155" i="4"/>
  <c r="AY155" i="4" s="1"/>
  <c r="CE154" i="4"/>
  <c r="AX154" i="4"/>
  <c r="AY154" i="4" s="1"/>
  <c r="CE153" i="4"/>
  <c r="AX153" i="4"/>
  <c r="AY153" i="4" s="1"/>
  <c r="CE152" i="4"/>
  <c r="AX152" i="4"/>
  <c r="AY152" i="4" s="1"/>
  <c r="CE151" i="4"/>
  <c r="AX151" i="4"/>
  <c r="AY151" i="4" s="1"/>
  <c r="CE150" i="4"/>
  <c r="AX150" i="4"/>
  <c r="AY150" i="4" s="1"/>
  <c r="CE149" i="4"/>
  <c r="AX149" i="4"/>
  <c r="AY149" i="4" s="1"/>
  <c r="CE148" i="4"/>
  <c r="AX148" i="4"/>
  <c r="AY148" i="4" s="1"/>
  <c r="CE147" i="4"/>
  <c r="AX147" i="4"/>
  <c r="AY147" i="4" s="1"/>
  <c r="CE146" i="4"/>
  <c r="AX146" i="4"/>
  <c r="AY146" i="4" s="1"/>
  <c r="CE145" i="4"/>
  <c r="AX145" i="4"/>
  <c r="AY145" i="4" s="1"/>
  <c r="CE144" i="4"/>
  <c r="AX144" i="4"/>
  <c r="AY144" i="4" s="1"/>
  <c r="CE143" i="4"/>
  <c r="AX143" i="4"/>
  <c r="AY143" i="4" s="1"/>
  <c r="CE142" i="4"/>
  <c r="AX142" i="4"/>
  <c r="AY142" i="4" s="1"/>
  <c r="CE141" i="4"/>
  <c r="AX141" i="4"/>
  <c r="AY141" i="4" s="1"/>
  <c r="CE140" i="4"/>
  <c r="AX140" i="4"/>
  <c r="AY140" i="4" s="1"/>
  <c r="CE139" i="4"/>
  <c r="AX139" i="4"/>
  <c r="AY139" i="4" s="1"/>
  <c r="CE138" i="4"/>
  <c r="AX138" i="4"/>
  <c r="AY138" i="4" s="1"/>
  <c r="CE137" i="4"/>
  <c r="AX137" i="4"/>
  <c r="AY137" i="4" s="1"/>
  <c r="CE136" i="4"/>
  <c r="AX136" i="4"/>
  <c r="AY136" i="4" s="1"/>
  <c r="CE135" i="4"/>
  <c r="AX135" i="4"/>
  <c r="AY135" i="4" s="1"/>
  <c r="CE134" i="4"/>
  <c r="AX134" i="4"/>
  <c r="AY134" i="4" s="1"/>
  <c r="CE133" i="4"/>
  <c r="AX133" i="4"/>
  <c r="AY133" i="4" s="1"/>
  <c r="CE132" i="4"/>
  <c r="AX132" i="4"/>
  <c r="AY132" i="4" s="1"/>
  <c r="CE131" i="4"/>
  <c r="AX131" i="4"/>
  <c r="AY131" i="4" s="1"/>
  <c r="CE130" i="4"/>
  <c r="AX130" i="4"/>
  <c r="AY130" i="4" s="1"/>
  <c r="CE129" i="4"/>
  <c r="AX129" i="4"/>
  <c r="AY129" i="4" s="1"/>
  <c r="CE128" i="4"/>
  <c r="AX128" i="4"/>
  <c r="AY128" i="4" s="1"/>
  <c r="CE127" i="4"/>
  <c r="AX127" i="4"/>
  <c r="AY127" i="4" s="1"/>
  <c r="CE126" i="4"/>
  <c r="AX126" i="4"/>
  <c r="AY126" i="4" s="1"/>
  <c r="CE125" i="4"/>
  <c r="AX125" i="4"/>
  <c r="AY125" i="4" s="1"/>
  <c r="CE124" i="4"/>
  <c r="AX124" i="4"/>
  <c r="AY124" i="4" s="1"/>
  <c r="CE123" i="4"/>
  <c r="AX123" i="4"/>
  <c r="AY123" i="4" s="1"/>
  <c r="CE122" i="4"/>
  <c r="AX122" i="4"/>
  <c r="AY122" i="4" s="1"/>
  <c r="CE121" i="4"/>
  <c r="AX121" i="4"/>
  <c r="AY121" i="4" s="1"/>
  <c r="CE120" i="4"/>
  <c r="AX120" i="4"/>
  <c r="AY120" i="4" s="1"/>
  <c r="CE119" i="4"/>
  <c r="AX119" i="4"/>
  <c r="AY119" i="4" s="1"/>
  <c r="CE118" i="4"/>
  <c r="AX118" i="4"/>
  <c r="AY118" i="4" s="1"/>
  <c r="CE117" i="4"/>
  <c r="AX117" i="4"/>
  <c r="AY117" i="4" s="1"/>
  <c r="CE116" i="4"/>
  <c r="AX116" i="4"/>
  <c r="AY116" i="4" s="1"/>
  <c r="CE115" i="4"/>
  <c r="AX115" i="4"/>
  <c r="AY115" i="4" s="1"/>
  <c r="CE114" i="4"/>
  <c r="AX114" i="4"/>
  <c r="AY114" i="4" s="1"/>
  <c r="CE113" i="4"/>
  <c r="AX113" i="4"/>
  <c r="AY113" i="4" s="1"/>
  <c r="CE112" i="4"/>
  <c r="AX112" i="4"/>
  <c r="AY112" i="4" s="1"/>
  <c r="CE111" i="4"/>
  <c r="AX111" i="4"/>
  <c r="AY111" i="4" s="1"/>
  <c r="CE110" i="4"/>
  <c r="AX110" i="4"/>
  <c r="AY110" i="4" s="1"/>
  <c r="CE109" i="4"/>
  <c r="AX109" i="4"/>
  <c r="AY109" i="4" s="1"/>
  <c r="CE108" i="4"/>
  <c r="AX108" i="4"/>
  <c r="AY108" i="4" s="1"/>
  <c r="CE107" i="4"/>
  <c r="AX107" i="4"/>
  <c r="AY107" i="4" s="1"/>
  <c r="CE106" i="4"/>
  <c r="AX106" i="4"/>
  <c r="AY106" i="4" s="1"/>
  <c r="CE105" i="4"/>
  <c r="AX105" i="4"/>
  <c r="AY105" i="4" s="1"/>
  <c r="CE104" i="4"/>
  <c r="AX104" i="4"/>
  <c r="AY104" i="4" s="1"/>
  <c r="CE103" i="4"/>
  <c r="AX103" i="4"/>
  <c r="AY103" i="4" s="1"/>
  <c r="CE102" i="4"/>
  <c r="AX102" i="4"/>
  <c r="AY102" i="4" s="1"/>
  <c r="CE101" i="4"/>
  <c r="AX101" i="4"/>
  <c r="AY101" i="4" s="1"/>
  <c r="CE100" i="4"/>
  <c r="AX100" i="4"/>
  <c r="AY100" i="4" s="1"/>
  <c r="CE99" i="4"/>
  <c r="AX99" i="4"/>
  <c r="AY99" i="4" s="1"/>
  <c r="CE98" i="4"/>
  <c r="AX98" i="4"/>
  <c r="AY98" i="4" s="1"/>
  <c r="CE97" i="4"/>
  <c r="AX97" i="4"/>
  <c r="AY97" i="4" s="1"/>
  <c r="CE96" i="4"/>
  <c r="AX96" i="4"/>
  <c r="AY96" i="4" s="1"/>
  <c r="CE95" i="4"/>
  <c r="AX95" i="4"/>
  <c r="AY95" i="4" s="1"/>
  <c r="CE94" i="4"/>
  <c r="AX94" i="4"/>
  <c r="AY94" i="4" s="1"/>
  <c r="CE93" i="4"/>
  <c r="AX93" i="4"/>
  <c r="AY93" i="4" s="1"/>
  <c r="CE92" i="4"/>
  <c r="AX92" i="4"/>
  <c r="AY92" i="4" s="1"/>
  <c r="CE91" i="4"/>
  <c r="AX91" i="4"/>
  <c r="AY91" i="4" s="1"/>
  <c r="CE90" i="4"/>
  <c r="AX90" i="4"/>
  <c r="AY90" i="4" s="1"/>
  <c r="CE89" i="4"/>
  <c r="AX89" i="4"/>
  <c r="AY89" i="4" s="1"/>
  <c r="CE88" i="4"/>
  <c r="AX88" i="4"/>
  <c r="AY88" i="4" s="1"/>
  <c r="CE87" i="4"/>
  <c r="AX87" i="4"/>
  <c r="AY87" i="4" s="1"/>
  <c r="CE86" i="4"/>
  <c r="AX86" i="4"/>
  <c r="AY86" i="4" s="1"/>
  <c r="CE85" i="4"/>
  <c r="AX85" i="4"/>
  <c r="AY85" i="4" s="1"/>
  <c r="CE84" i="4"/>
  <c r="AX84" i="4"/>
  <c r="AY84" i="4" s="1"/>
  <c r="CE83" i="4"/>
  <c r="AX83" i="4"/>
  <c r="AY83" i="4" s="1"/>
  <c r="CE82" i="4"/>
  <c r="AX82" i="4"/>
  <c r="AY82" i="4" s="1"/>
  <c r="CE81" i="4"/>
  <c r="AX81" i="4"/>
  <c r="AY81" i="4" s="1"/>
  <c r="CE80" i="4"/>
  <c r="AX80" i="4"/>
  <c r="AY80" i="4" s="1"/>
  <c r="CE79" i="4"/>
  <c r="AX79" i="4"/>
  <c r="AY79" i="4" s="1"/>
  <c r="CE78" i="4"/>
  <c r="AX78" i="4"/>
  <c r="AY78" i="4" s="1"/>
  <c r="CE77" i="4"/>
  <c r="AX77" i="4"/>
  <c r="AY77" i="4" s="1"/>
  <c r="CE76" i="4"/>
  <c r="AX76" i="4"/>
  <c r="AY76" i="4" s="1"/>
  <c r="CE75" i="4"/>
  <c r="AX75" i="4"/>
  <c r="AY75" i="4" s="1"/>
  <c r="CE74" i="4"/>
  <c r="AX74" i="4"/>
  <c r="AY74" i="4" s="1"/>
  <c r="CE73" i="4"/>
  <c r="AX73" i="4"/>
  <c r="AY73" i="4" s="1"/>
  <c r="CE72" i="4"/>
  <c r="AX72" i="4"/>
  <c r="AY72" i="4" s="1"/>
  <c r="CE71" i="4"/>
  <c r="AX71" i="4"/>
  <c r="AY71" i="4" s="1"/>
  <c r="CE70" i="4"/>
  <c r="AX70" i="4"/>
  <c r="AY70" i="4" s="1"/>
  <c r="CE69" i="4"/>
  <c r="AX69" i="4"/>
  <c r="AY69" i="4" s="1"/>
  <c r="CE68" i="4"/>
  <c r="AX68" i="4"/>
  <c r="AY68" i="4" s="1"/>
  <c r="CE67" i="4"/>
  <c r="AX67" i="4"/>
  <c r="AY67" i="4" s="1"/>
  <c r="CE66" i="4"/>
  <c r="AX66" i="4"/>
  <c r="AY66" i="4" s="1"/>
  <c r="CE65" i="4"/>
  <c r="AX65" i="4"/>
  <c r="AY65" i="4" s="1"/>
  <c r="CE64" i="4"/>
  <c r="AX64" i="4"/>
  <c r="AY64" i="4" s="1"/>
  <c r="CE63" i="4"/>
  <c r="AX63" i="4"/>
  <c r="AY63" i="4" s="1"/>
  <c r="CE62" i="4"/>
  <c r="AX62" i="4"/>
  <c r="AY62" i="4" s="1"/>
  <c r="CE61" i="4"/>
  <c r="AX61" i="4"/>
  <c r="AY61" i="4" s="1"/>
  <c r="CE60" i="4"/>
  <c r="AX60" i="4"/>
  <c r="AY60" i="4" s="1"/>
  <c r="CE59" i="4"/>
  <c r="AX59" i="4"/>
  <c r="AY59" i="4" s="1"/>
  <c r="CE58" i="4"/>
  <c r="AX58" i="4"/>
  <c r="AY58" i="4" s="1"/>
  <c r="CE57" i="4"/>
  <c r="AX57" i="4"/>
  <c r="AY57" i="4" s="1"/>
  <c r="CE56" i="4"/>
  <c r="AX56" i="4"/>
  <c r="AY56" i="4" s="1"/>
  <c r="CE55" i="4"/>
  <c r="AX55" i="4"/>
  <c r="AY55" i="4" s="1"/>
  <c r="CE54" i="4"/>
  <c r="AX54" i="4"/>
  <c r="AY54" i="4" s="1"/>
  <c r="CE53" i="4"/>
  <c r="AX53" i="4"/>
  <c r="AY53" i="4" s="1"/>
  <c r="CE52" i="4"/>
  <c r="AX52" i="4"/>
  <c r="AY52" i="4" s="1"/>
  <c r="CE51" i="4"/>
  <c r="AX51" i="4"/>
  <c r="AY51" i="4" s="1"/>
  <c r="CE50" i="4"/>
  <c r="AX50" i="4"/>
  <c r="AY50" i="4" s="1"/>
  <c r="CE49" i="4"/>
  <c r="AX49" i="4"/>
  <c r="AY49" i="4" s="1"/>
  <c r="CE48" i="4"/>
  <c r="AX48" i="4"/>
  <c r="AY48" i="4" s="1"/>
  <c r="CE47" i="4"/>
  <c r="AX47" i="4"/>
  <c r="AY47" i="4" s="1"/>
  <c r="CE46" i="4"/>
  <c r="AX46" i="4"/>
  <c r="AY46" i="4" s="1"/>
  <c r="CE45" i="4"/>
  <c r="AX45" i="4"/>
  <c r="AY45" i="4" s="1"/>
  <c r="CE44" i="4"/>
  <c r="AX44" i="4"/>
  <c r="AY44" i="4" s="1"/>
  <c r="CE43" i="4"/>
  <c r="AX43" i="4"/>
  <c r="AY43" i="4" s="1"/>
  <c r="CE42" i="4"/>
  <c r="AX42" i="4"/>
  <c r="AY42" i="4" s="1"/>
  <c r="CE41" i="4"/>
  <c r="AX41" i="4"/>
  <c r="AY41" i="4" s="1"/>
  <c r="CE40" i="4"/>
  <c r="AX40" i="4"/>
  <c r="AY40" i="4" s="1"/>
  <c r="CE39" i="4"/>
  <c r="AX39" i="4"/>
  <c r="AY39" i="4" s="1"/>
  <c r="CE38" i="4"/>
  <c r="AX38" i="4"/>
  <c r="AY38" i="4" s="1"/>
  <c r="CE37" i="4"/>
  <c r="AX37" i="4"/>
  <c r="AY37" i="4" s="1"/>
  <c r="CE36" i="4"/>
  <c r="AX36" i="4"/>
  <c r="AY36" i="4" s="1"/>
  <c r="CE35" i="4"/>
  <c r="AX35" i="4"/>
  <c r="AY35" i="4" s="1"/>
  <c r="CE34" i="4"/>
  <c r="AX34" i="4"/>
  <c r="AY34" i="4" s="1"/>
  <c r="CE33" i="4"/>
  <c r="AX33" i="4"/>
  <c r="AY33" i="4" s="1"/>
  <c r="CE32" i="4"/>
  <c r="AX32" i="4"/>
  <c r="AY32" i="4" s="1"/>
  <c r="CE31" i="4"/>
  <c r="AX31" i="4"/>
  <c r="AY31" i="4" s="1"/>
  <c r="CE30" i="4"/>
  <c r="AX30" i="4"/>
  <c r="AY30" i="4" s="1"/>
  <c r="CE29" i="4"/>
  <c r="AX29" i="4"/>
  <c r="AY29" i="4" s="1"/>
  <c r="CE28" i="4"/>
  <c r="AX28" i="4"/>
  <c r="AY28" i="4" s="1"/>
  <c r="CE27" i="4"/>
  <c r="AX27" i="4"/>
  <c r="AY27" i="4" s="1"/>
  <c r="CE26" i="4"/>
  <c r="AX26" i="4"/>
  <c r="AY26" i="4" s="1"/>
  <c r="CE25" i="4"/>
  <c r="AX25" i="4"/>
  <c r="AY25" i="4" s="1"/>
  <c r="CE24" i="4"/>
  <c r="AX24" i="4"/>
  <c r="AY24" i="4" s="1"/>
  <c r="CE23" i="4"/>
  <c r="AX23" i="4"/>
  <c r="AY23" i="4" s="1"/>
  <c r="CE22" i="4"/>
  <c r="AX22" i="4"/>
  <c r="AY22" i="4" s="1"/>
  <c r="CE21" i="4"/>
  <c r="AX21" i="4"/>
  <c r="AY21" i="4" s="1"/>
  <c r="CE20" i="4"/>
  <c r="AX20" i="4"/>
  <c r="AY20" i="4" s="1"/>
  <c r="CE19" i="4"/>
  <c r="AX19" i="4"/>
  <c r="AY19" i="4" s="1"/>
  <c r="CE18" i="4"/>
  <c r="AX18" i="4"/>
  <c r="AY18" i="4" s="1"/>
  <c r="CE17" i="4"/>
  <c r="AX17" i="4"/>
  <c r="AY17" i="4" s="1"/>
  <c r="CE16" i="4"/>
  <c r="AX16" i="4"/>
  <c r="AY16" i="4" s="1"/>
  <c r="CE15" i="4"/>
  <c r="AX15" i="4"/>
  <c r="AY15" i="4" s="1"/>
  <c r="CE14" i="4"/>
  <c r="AX14" i="4"/>
  <c r="AY14" i="4" s="1"/>
  <c r="CE13" i="4"/>
  <c r="AX13" i="4"/>
  <c r="AY13" i="4" s="1"/>
  <c r="CE12" i="4"/>
  <c r="AX12" i="4"/>
  <c r="AY12" i="4" s="1"/>
  <c r="CE11" i="4"/>
  <c r="AX11" i="4"/>
  <c r="AY11" i="4" s="1"/>
  <c r="CE10" i="4"/>
  <c r="AX10" i="4"/>
  <c r="AY10" i="4" s="1"/>
  <c r="CE9" i="4"/>
  <c r="AX9" i="4"/>
  <c r="AY9" i="4" s="1"/>
  <c r="CE8" i="4"/>
  <c r="AX8" i="4"/>
  <c r="AY8" i="4" s="1"/>
  <c r="CE7" i="4"/>
  <c r="AX7" i="4"/>
  <c r="AY7" i="4" s="1"/>
  <c r="CE5" i="4"/>
  <c r="AX5" i="4"/>
  <c r="AY5" i="4" s="1"/>
  <c r="AX416" i="4"/>
  <c r="AY416" i="4" s="1"/>
  <c r="AX415" i="4"/>
  <c r="AY415" i="4" s="1"/>
  <c r="AX413" i="4"/>
  <c r="AY413" i="4" s="1"/>
  <c r="AX412" i="4"/>
  <c r="AY412" i="4" s="1"/>
  <c r="AX410" i="4"/>
  <c r="AY410" i="4" s="1"/>
  <c r="AX385" i="4"/>
  <c r="AY385" i="4" s="1"/>
  <c r="CE233" i="4"/>
  <c r="AX233" i="4"/>
  <c r="AY233" i="4" s="1"/>
  <c r="E3" i="4"/>
  <c r="C13" i="2"/>
  <c r="C12" i="2"/>
  <c r="C11" i="2"/>
  <c r="H210" i="1"/>
  <c r="G210" i="1"/>
  <c r="F210" i="1"/>
  <c r="E210" i="1"/>
  <c r="D210" i="1"/>
  <c r="C210" i="1"/>
  <c r="H209" i="1"/>
  <c r="G209" i="1"/>
  <c r="F209" i="1"/>
  <c r="E209" i="1"/>
  <c r="D209" i="1"/>
  <c r="C209" i="1"/>
  <c r="H208" i="1"/>
  <c r="G208" i="1"/>
  <c r="F208" i="1"/>
  <c r="E208" i="1"/>
  <c r="D208" i="1"/>
  <c r="C208" i="1"/>
  <c r="H207" i="1"/>
  <c r="G207" i="1"/>
  <c r="F207" i="1"/>
  <c r="E207" i="1"/>
  <c r="D207" i="1"/>
  <c r="C207" i="1"/>
  <c r="H206" i="1"/>
  <c r="G206" i="1"/>
  <c r="F206" i="1"/>
  <c r="E206" i="1"/>
  <c r="D206" i="1"/>
  <c r="C206" i="1"/>
  <c r="H205" i="1"/>
  <c r="G205" i="1"/>
  <c r="F205" i="1"/>
  <c r="E205" i="1"/>
  <c r="D205" i="1"/>
  <c r="C205" i="1"/>
  <c r="H204" i="1"/>
  <c r="G204" i="1"/>
  <c r="F204" i="1"/>
  <c r="E204" i="1"/>
  <c r="D204" i="1"/>
  <c r="C204" i="1"/>
  <c r="H203" i="1"/>
  <c r="G203" i="1"/>
  <c r="F203" i="1"/>
  <c r="E203" i="1"/>
  <c r="D203" i="1"/>
  <c r="C203" i="1"/>
  <c r="H202" i="1"/>
  <c r="G202" i="1"/>
  <c r="F202" i="1"/>
  <c r="E202" i="1"/>
  <c r="D202" i="1"/>
  <c r="C202" i="1"/>
  <c r="H201" i="1"/>
  <c r="G201" i="1"/>
  <c r="F201" i="1"/>
  <c r="E201" i="1"/>
  <c r="D201" i="1"/>
  <c r="C201" i="1"/>
  <c r="H200" i="1"/>
  <c r="G200" i="1"/>
  <c r="F200" i="1"/>
  <c r="E200" i="1"/>
  <c r="D200" i="1"/>
  <c r="C200" i="1"/>
  <c r="H199" i="1"/>
  <c r="G199" i="1"/>
  <c r="F199" i="1"/>
  <c r="E199" i="1"/>
  <c r="D199" i="1"/>
  <c r="C199" i="1"/>
  <c r="H198" i="1"/>
  <c r="G198" i="1"/>
  <c r="F198" i="1"/>
  <c r="E198" i="1"/>
  <c r="D198" i="1"/>
  <c r="C198" i="1"/>
  <c r="H197" i="1"/>
  <c r="G197" i="1"/>
  <c r="F197" i="1"/>
  <c r="E197" i="1"/>
  <c r="D197" i="1"/>
  <c r="C197" i="1"/>
  <c r="H196" i="1"/>
  <c r="G196" i="1"/>
  <c r="F196" i="1"/>
  <c r="E196" i="1"/>
  <c r="D196" i="1"/>
  <c r="C196" i="1"/>
  <c r="H195" i="1"/>
  <c r="G195" i="1"/>
  <c r="F195" i="1"/>
  <c r="E195" i="1"/>
  <c r="D195" i="1"/>
  <c r="C195" i="1"/>
  <c r="H194" i="1"/>
  <c r="G194" i="1"/>
  <c r="F194" i="1"/>
  <c r="E194" i="1"/>
  <c r="D194" i="1"/>
  <c r="C194" i="1"/>
  <c r="H193" i="1"/>
  <c r="G193" i="1"/>
  <c r="F193" i="1"/>
  <c r="E193" i="1"/>
  <c r="D193" i="1"/>
  <c r="C193" i="1"/>
  <c r="H192" i="1"/>
  <c r="G192" i="1"/>
  <c r="F192" i="1"/>
  <c r="E192" i="1"/>
  <c r="D192" i="1"/>
  <c r="C192" i="1"/>
  <c r="H191" i="1"/>
  <c r="G191" i="1"/>
  <c r="F191" i="1"/>
  <c r="E191" i="1"/>
  <c r="D191" i="1"/>
  <c r="C191" i="1"/>
  <c r="H190" i="1"/>
  <c r="G190" i="1"/>
  <c r="F190" i="1"/>
  <c r="E190" i="1"/>
  <c r="D190" i="1"/>
  <c r="C190" i="1"/>
  <c r="H189" i="1"/>
  <c r="G189" i="1"/>
  <c r="F189" i="1"/>
  <c r="E189" i="1"/>
  <c r="D189" i="1"/>
  <c r="C189" i="1"/>
  <c r="H188" i="1"/>
  <c r="G188" i="1"/>
  <c r="F188" i="1"/>
  <c r="E188" i="1"/>
  <c r="D188" i="1"/>
  <c r="C188" i="1"/>
  <c r="H187" i="1"/>
  <c r="G187" i="1"/>
  <c r="F187" i="1"/>
  <c r="E187" i="1"/>
  <c r="D187" i="1"/>
  <c r="C187" i="1"/>
  <c r="H186" i="1"/>
  <c r="G186" i="1"/>
  <c r="F186" i="1"/>
  <c r="E186" i="1"/>
  <c r="D186" i="1"/>
  <c r="C186" i="1"/>
  <c r="H185" i="1"/>
  <c r="G185" i="1"/>
  <c r="F185" i="1"/>
  <c r="E185" i="1"/>
  <c r="D185" i="1"/>
  <c r="C185" i="1"/>
  <c r="H184" i="1"/>
  <c r="G184" i="1"/>
  <c r="F184" i="1"/>
  <c r="E184" i="1"/>
  <c r="D184" i="1"/>
  <c r="C184" i="1"/>
  <c r="H183" i="1"/>
  <c r="G183" i="1"/>
  <c r="F183" i="1"/>
  <c r="E183" i="1"/>
  <c r="D183" i="1"/>
  <c r="C183" i="1"/>
  <c r="H182" i="1"/>
  <c r="G182" i="1"/>
  <c r="F182" i="1"/>
  <c r="E182" i="1"/>
  <c r="D182" i="1"/>
  <c r="C182" i="1"/>
  <c r="H181" i="1"/>
  <c r="G181" i="1"/>
  <c r="F181" i="1"/>
  <c r="E181" i="1"/>
  <c r="D181" i="1"/>
  <c r="C181" i="1"/>
  <c r="H180" i="1"/>
  <c r="G180" i="1"/>
  <c r="F180" i="1"/>
  <c r="E180" i="1"/>
  <c r="D180" i="1"/>
  <c r="C180" i="1"/>
  <c r="H179" i="1"/>
  <c r="G179" i="1"/>
  <c r="F179" i="1"/>
  <c r="E179" i="1"/>
  <c r="D179" i="1"/>
  <c r="C179" i="1"/>
  <c r="H178" i="1"/>
  <c r="G178" i="1"/>
  <c r="F178" i="1"/>
  <c r="E178" i="1"/>
  <c r="D178" i="1"/>
  <c r="C178" i="1"/>
  <c r="H177" i="1"/>
  <c r="G177" i="1"/>
  <c r="F177" i="1"/>
  <c r="E177" i="1"/>
  <c r="D177" i="1"/>
  <c r="C177" i="1"/>
  <c r="H176" i="1"/>
  <c r="G176" i="1"/>
  <c r="F176" i="1"/>
  <c r="E176" i="1"/>
  <c r="D176" i="1"/>
  <c r="C176" i="1"/>
  <c r="H175" i="1"/>
  <c r="G175" i="1"/>
  <c r="F175" i="1"/>
  <c r="E175" i="1"/>
  <c r="D175" i="1"/>
  <c r="C175" i="1"/>
  <c r="H174" i="1"/>
  <c r="G174" i="1"/>
  <c r="F174" i="1"/>
  <c r="E174" i="1"/>
  <c r="D174" i="1"/>
  <c r="C174" i="1"/>
  <c r="H173" i="1"/>
  <c r="G173" i="1"/>
  <c r="F173" i="1"/>
  <c r="E173" i="1"/>
  <c r="D173" i="1"/>
  <c r="C173" i="1"/>
  <c r="H172" i="1"/>
  <c r="G172" i="1"/>
  <c r="F172" i="1"/>
  <c r="E172" i="1"/>
  <c r="D172" i="1"/>
  <c r="C172" i="1"/>
  <c r="H171" i="1"/>
  <c r="G171" i="1"/>
  <c r="F171" i="1"/>
  <c r="E171" i="1"/>
  <c r="D171" i="1"/>
  <c r="C171" i="1"/>
  <c r="H170" i="1"/>
  <c r="G170" i="1"/>
  <c r="F170" i="1"/>
  <c r="E170" i="1"/>
  <c r="D170" i="1"/>
  <c r="C170" i="1"/>
  <c r="H169" i="1"/>
  <c r="G169" i="1"/>
  <c r="F169" i="1"/>
  <c r="E169" i="1"/>
  <c r="D169" i="1"/>
  <c r="C169" i="1"/>
  <c r="D164" i="1"/>
  <c r="C164" i="1"/>
  <c r="D163" i="1"/>
  <c r="C163" i="1"/>
  <c r="D162" i="1"/>
  <c r="C162" i="1"/>
  <c r="D161" i="1"/>
  <c r="C161" i="1"/>
  <c r="D160" i="1"/>
  <c r="C160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J103" i="1"/>
  <c r="D103" i="1"/>
  <c r="C103" i="1"/>
  <c r="C5" i="1"/>
  <c r="C4" i="1"/>
  <c r="F76" i="2"/>
  <c r="D223" i="6"/>
  <c r="D833" i="6"/>
  <c r="D1116" i="6"/>
  <c r="D810" i="6"/>
  <c r="D244" i="6"/>
  <c r="E143" i="2" l="1"/>
  <c r="F92" i="2"/>
  <c r="E187" i="2"/>
  <c r="E138" i="2"/>
  <c r="F61" i="2"/>
  <c r="E115" i="2"/>
  <c r="C6" i="2"/>
  <c r="D4" i="2" s="1"/>
  <c r="E142" i="2"/>
  <c r="E105" i="1"/>
  <c r="F65" i="2"/>
  <c r="F83" i="2"/>
  <c r="F88" i="2"/>
  <c r="E104" i="2"/>
  <c r="E120" i="2"/>
  <c r="E128" i="2"/>
  <c r="E112" i="2"/>
  <c r="E166" i="2"/>
  <c r="E164" i="1"/>
  <c r="F79" i="2"/>
  <c r="A60" i="9"/>
  <c r="B60" i="9"/>
  <c r="C60" i="9"/>
  <c r="E60" i="9"/>
  <c r="B59" i="9"/>
  <c r="C59" i="9"/>
  <c r="D59" i="9"/>
  <c r="E59" i="9"/>
  <c r="F71" i="2"/>
  <c r="E102" i="2"/>
  <c r="E114" i="2"/>
  <c r="E140" i="2"/>
  <c r="D7" i="13"/>
  <c r="F158" i="2"/>
  <c r="F52" i="2"/>
  <c r="F68" i="2"/>
  <c r="E188" i="2"/>
  <c r="F95" i="2"/>
  <c r="E122" i="2"/>
  <c r="E164" i="2"/>
  <c r="E176" i="2"/>
  <c r="A59" i="9"/>
  <c r="F48" i="2"/>
  <c r="F64" i="2"/>
  <c r="E111" i="2"/>
  <c r="E137" i="2"/>
  <c r="E190" i="2"/>
  <c r="F75" i="2"/>
  <c r="C6" i="1"/>
  <c r="F44" i="2"/>
  <c r="E101" i="2"/>
  <c r="F157" i="2"/>
  <c r="E14" i="2"/>
  <c r="F42" i="2"/>
  <c r="E47" i="1"/>
  <c r="E181" i="2"/>
  <c r="E121" i="1"/>
  <c r="F54" i="2"/>
  <c r="D182" i="2"/>
  <c r="F63" i="2"/>
  <c r="E160" i="2"/>
  <c r="E109" i="1"/>
  <c r="E119" i="1"/>
  <c r="E138" i="1"/>
  <c r="E168" i="2"/>
  <c r="E178" i="2"/>
  <c r="E189" i="2"/>
  <c r="E139" i="1"/>
  <c r="E149" i="1"/>
  <c r="F53" i="2"/>
  <c r="E115" i="1"/>
  <c r="E140" i="1"/>
  <c r="E150" i="1"/>
  <c r="E122" i="1"/>
  <c r="E141" i="1"/>
  <c r="E151" i="1"/>
  <c r="F45" i="2"/>
  <c r="F49" i="2"/>
  <c r="F57" i="2"/>
  <c r="E125" i="2"/>
  <c r="F69" i="2"/>
  <c r="F80" i="2"/>
  <c r="F84" i="2"/>
  <c r="E126" i="2"/>
  <c r="F46" i="2"/>
  <c r="F50" i="2"/>
  <c r="E144" i="2"/>
  <c r="E108" i="1"/>
  <c r="E118" i="1"/>
  <c r="E137" i="1"/>
  <c r="E143" i="1"/>
  <c r="F73" i="2"/>
  <c r="D105" i="2"/>
  <c r="E145" i="2"/>
  <c r="D19" i="1"/>
  <c r="F59" i="2"/>
  <c r="F82" i="2"/>
  <c r="F86" i="2"/>
  <c r="F90" i="2"/>
  <c r="F94" i="2"/>
  <c r="A37" i="9" a="1"/>
  <c r="D40" i="9" s="1"/>
  <c r="C160" i="2"/>
  <c r="E104" i="1"/>
  <c r="F67" i="2"/>
  <c r="E103" i="2"/>
  <c r="E113" i="2"/>
  <c r="E123" i="2"/>
  <c r="E129" i="2"/>
  <c r="E175" i="2"/>
  <c r="E139" i="2"/>
  <c r="D155" i="1"/>
  <c r="F60" i="2"/>
  <c r="E165" i="2"/>
  <c r="F159" i="2"/>
  <c r="D160" i="2"/>
  <c r="F156" i="2"/>
  <c r="E121" i="2"/>
  <c r="F78" i="2"/>
  <c r="F72" i="2"/>
  <c r="D5" i="2"/>
  <c r="C29" i="1"/>
  <c r="C124" i="1"/>
  <c r="E120" i="1"/>
  <c r="E148" i="1"/>
  <c r="E154" i="1"/>
  <c r="F96" i="2"/>
  <c r="E109" i="2"/>
  <c r="C28" i="1"/>
  <c r="F70" i="2"/>
  <c r="E64" i="1"/>
  <c r="E127" i="2"/>
  <c r="F55" i="2"/>
  <c r="D30" i="1"/>
  <c r="C41" i="1"/>
  <c r="E23" i="1"/>
  <c r="F66" i="2"/>
  <c r="C171" i="2"/>
  <c r="F58" i="2"/>
  <c r="F62" i="2"/>
  <c r="F81" i="2"/>
  <c r="F89" i="2"/>
  <c r="F93" i="2"/>
  <c r="E110" i="2"/>
  <c r="E114" i="1"/>
  <c r="C192" i="2"/>
  <c r="E131" i="1"/>
  <c r="F30" i="1"/>
  <c r="E106" i="1"/>
  <c r="F91" i="2"/>
  <c r="F87" i="2"/>
  <c r="D116" i="2"/>
  <c r="D21" i="1"/>
  <c r="D65" i="1"/>
  <c r="E83" i="1"/>
  <c r="C83" i="1"/>
  <c r="D79" i="1"/>
  <c r="D63" i="1"/>
  <c r="C55" i="1"/>
  <c r="C64" i="1"/>
  <c r="C82" i="1"/>
  <c r="C71" i="1"/>
  <c r="E48" i="1"/>
  <c r="D50" i="1"/>
  <c r="E103" i="1"/>
  <c r="D124" i="1"/>
  <c r="E123" i="1"/>
  <c r="E161" i="1"/>
  <c r="C13" i="1"/>
  <c r="C144" i="1"/>
  <c r="E37" i="1"/>
  <c r="F19" i="1"/>
  <c r="D17" i="1"/>
  <c r="F25" i="1"/>
  <c r="E62" i="1"/>
  <c r="D80" i="1"/>
  <c r="E63" i="1"/>
  <c r="E43" i="1"/>
  <c r="D44" i="1"/>
  <c r="E57" i="1"/>
  <c r="C12" i="1"/>
  <c r="D84" i="1"/>
  <c r="D82" i="1"/>
  <c r="D130" i="2"/>
  <c r="E39" i="1"/>
  <c r="C110" i="1"/>
  <c r="E74" i="1"/>
  <c r="F26" i="1"/>
  <c r="C105" i="2"/>
  <c r="D78" i="1"/>
  <c r="E61" i="1"/>
  <c r="D26" i="1"/>
  <c r="D58" i="1"/>
  <c r="E42" i="1"/>
  <c r="E53" i="1"/>
  <c r="D59" i="1"/>
  <c r="E22" i="1"/>
  <c r="E19" i="1"/>
  <c r="E152" i="1"/>
  <c r="F77" i="2"/>
  <c r="E177" i="2"/>
  <c r="D95" i="1"/>
  <c r="C27" i="1"/>
  <c r="E129" i="1"/>
  <c r="C47" i="1"/>
  <c r="E153" i="1"/>
  <c r="C37" i="1"/>
  <c r="E78" i="1"/>
  <c r="C26" i="1"/>
  <c r="D28" i="1"/>
  <c r="D86" i="1"/>
  <c r="E28" i="1"/>
  <c r="E52" i="1"/>
  <c r="F56" i="2"/>
  <c r="E45" i="1"/>
  <c r="C68" i="1"/>
  <c r="D87" i="1"/>
  <c r="E87" i="1"/>
  <c r="E81" i="1"/>
  <c r="C69" i="1"/>
  <c r="D61" i="1"/>
  <c r="F43" i="2"/>
  <c r="F51" i="2"/>
  <c r="C40" i="1"/>
  <c r="C50" i="1"/>
  <c r="E56" i="1"/>
  <c r="F20" i="1"/>
  <c r="D110" i="1"/>
  <c r="E142" i="1"/>
  <c r="E163" i="1"/>
  <c r="F47" i="2"/>
  <c r="F74" i="2"/>
  <c r="D192" i="2"/>
  <c r="E191" i="2"/>
  <c r="E162" i="1"/>
  <c r="E124" i="2"/>
  <c r="C130" i="2"/>
  <c r="C146" i="2"/>
  <c r="E136" i="2"/>
  <c r="E76" i="1"/>
  <c r="D83" i="1"/>
  <c r="D98" i="1"/>
  <c r="D57" i="1"/>
  <c r="C23" i="1"/>
  <c r="C73" i="1"/>
  <c r="D24" i="1"/>
  <c r="D52" i="1"/>
  <c r="D74" i="1"/>
  <c r="F13" i="1"/>
  <c r="C87" i="1"/>
  <c r="C54" i="1"/>
  <c r="C79" i="1"/>
  <c r="E170" i="2"/>
  <c r="D171" i="2"/>
  <c r="C67" i="1"/>
  <c r="D85" i="1"/>
  <c r="C19" i="1"/>
  <c r="D64" i="1"/>
  <c r="E17" i="1"/>
  <c r="D60" i="1"/>
  <c r="D70" i="1"/>
  <c r="D68" i="1"/>
  <c r="C155" i="1"/>
  <c r="C116" i="2"/>
  <c r="E82" i="1"/>
  <c r="C48" i="1"/>
  <c r="C17" i="1"/>
  <c r="E60" i="1"/>
  <c r="F14" i="1"/>
  <c r="F28" i="1"/>
  <c r="E55" i="1"/>
  <c r="C61" i="1"/>
  <c r="C62" i="1"/>
  <c r="E40" i="1"/>
  <c r="D88" i="1"/>
  <c r="D22" i="1"/>
  <c r="D14" i="1"/>
  <c r="E84" i="1"/>
  <c r="F29" i="1"/>
  <c r="D67" i="1"/>
  <c r="E14" i="1"/>
  <c r="C45" i="1"/>
  <c r="E75" i="1"/>
  <c r="D20" i="1"/>
  <c r="E44" i="1"/>
  <c r="E67" i="1"/>
  <c r="C95" i="1"/>
  <c r="C20" i="1"/>
  <c r="C36" i="1"/>
  <c r="D53" i="1"/>
  <c r="E70" i="1"/>
  <c r="C88" i="1"/>
  <c r="D130" i="1"/>
  <c r="E79" i="1"/>
  <c r="C60" i="1"/>
  <c r="E49" i="1"/>
  <c r="E38" i="1"/>
  <c r="D66" i="1"/>
  <c r="D90" i="1"/>
  <c r="E26" i="1"/>
  <c r="E20" i="1"/>
  <c r="E77" i="1"/>
  <c r="F16" i="1"/>
  <c r="F24" i="1"/>
  <c r="D129" i="1"/>
  <c r="E41" i="1"/>
  <c r="D18" i="1"/>
  <c r="D71" i="1"/>
  <c r="C22" i="1"/>
  <c r="D73" i="1"/>
  <c r="C96" i="1"/>
  <c r="D23" i="1"/>
  <c r="E18" i="1"/>
  <c r="D72" i="1"/>
  <c r="E80" i="1"/>
  <c r="F22" i="1"/>
  <c r="D48" i="1"/>
  <c r="C129" i="1"/>
  <c r="C56" i="1"/>
  <c r="E90" i="1"/>
  <c r="D96" i="1"/>
  <c r="C86" i="1"/>
  <c r="D15" i="1"/>
  <c r="D36" i="1"/>
  <c r="E27" i="1"/>
  <c r="C42" i="1"/>
  <c r="E15" i="1"/>
  <c r="C46" i="1"/>
  <c r="C77" i="1"/>
  <c r="F21" i="1"/>
  <c r="D54" i="1"/>
  <c r="C85" i="1"/>
  <c r="E25" i="1"/>
  <c r="E51" i="1"/>
  <c r="C75" i="1"/>
  <c r="C14" i="1"/>
  <c r="C24" i="1"/>
  <c r="D41" i="1"/>
  <c r="E58" i="1"/>
  <c r="D77" i="1"/>
  <c r="D131" i="1"/>
  <c r="C74" i="1"/>
  <c r="E29" i="1"/>
  <c r="E72" i="1"/>
  <c r="F15" i="1"/>
  <c r="D29" i="1"/>
  <c r="C81" i="1"/>
  <c r="D76" i="1"/>
  <c r="E65" i="1"/>
  <c r="E24" i="1"/>
  <c r="C58" i="1"/>
  <c r="E88" i="1"/>
  <c r="E30" i="1"/>
  <c r="E68" i="1"/>
  <c r="D16" i="1"/>
  <c r="D39" i="1"/>
  <c r="D62" i="1"/>
  <c r="E85" i="1"/>
  <c r="C18" i="1"/>
  <c r="D49" i="1"/>
  <c r="E66" i="1"/>
  <c r="C84" i="1"/>
  <c r="D38" i="1"/>
  <c r="E36" i="1"/>
  <c r="C25" i="1"/>
  <c r="E13" i="1"/>
  <c r="D81" i="1"/>
  <c r="E46" i="1"/>
  <c r="C16" i="1"/>
  <c r="C59" i="1"/>
  <c r="D12" i="1"/>
  <c r="D27" i="1"/>
  <c r="C53" i="1"/>
  <c r="D56" i="1"/>
  <c r="C49" i="1"/>
  <c r="E116" i="1"/>
  <c r="E141" i="2"/>
  <c r="D146" i="2"/>
  <c r="D55" i="1"/>
  <c r="D144" i="1"/>
  <c r="E50" i="1"/>
  <c r="D40" i="1"/>
  <c r="C65" i="1"/>
  <c r="C131" i="1"/>
  <c r="C80" i="1"/>
  <c r="D45" i="1"/>
  <c r="C15" i="1"/>
  <c r="C57" i="1"/>
  <c r="C90" i="1"/>
  <c r="D25" i="1"/>
  <c r="C51" i="1"/>
  <c r="D51" i="1"/>
  <c r="D43" i="1"/>
  <c r="E107" i="1"/>
  <c r="E180" i="2"/>
  <c r="C182" i="2"/>
  <c r="E117" i="1"/>
  <c r="E160" i="1"/>
  <c r="D165" i="1"/>
  <c r="C14" i="2"/>
  <c r="F85" i="2"/>
  <c r="C76" i="1"/>
  <c r="C38" i="1"/>
  <c r="F23" i="1"/>
  <c r="C130" i="1"/>
  <c r="D89" i="1"/>
  <c r="C72" i="1"/>
  <c r="E54" i="1"/>
  <c r="D37" i="1"/>
  <c r="C21" i="1"/>
  <c r="E69" i="1"/>
  <c r="D46" i="1"/>
  <c r="E21" i="1"/>
  <c r="C78" i="1"/>
  <c r="D47" i="1"/>
  <c r="E16" i="1"/>
  <c r="C70" i="1"/>
  <c r="C39" i="1"/>
  <c r="C97" i="1"/>
  <c r="F17" i="1"/>
  <c r="D13" i="1"/>
  <c r="E12" i="1"/>
  <c r="E59" i="1"/>
  <c r="C165" i="1"/>
  <c r="C44" i="1"/>
  <c r="D97" i="1"/>
  <c r="E130" i="1"/>
  <c r="E86" i="1"/>
  <c r="D69" i="1"/>
  <c r="C52" i="1"/>
  <c r="C30" i="1"/>
  <c r="C89" i="1"/>
  <c r="C66" i="1"/>
  <c r="C43" i="1"/>
  <c r="F18" i="1"/>
  <c r="E73" i="1"/>
  <c r="D42" i="1"/>
  <c r="F12" i="1"/>
  <c r="C63" i="1"/>
  <c r="F27" i="1"/>
  <c r="D75" i="1"/>
  <c r="E89" i="1"/>
  <c r="C98" i="1"/>
  <c r="E71" i="1"/>
  <c r="D238" i="2"/>
  <c r="I237" i="2"/>
  <c r="G23" i="2"/>
  <c r="I228" i="2"/>
  <c r="G28" i="2"/>
  <c r="I209" i="2"/>
  <c r="G26" i="2"/>
  <c r="G32" i="2"/>
  <c r="G35" i="2"/>
  <c r="I232" i="2"/>
  <c r="I236" i="2"/>
  <c r="I220" i="2"/>
  <c r="I211" i="2"/>
  <c r="I235" i="2"/>
  <c r="I197" i="2"/>
  <c r="C426" i="4"/>
  <c r="K143" i="5"/>
  <c r="AE107" i="4"/>
  <c r="AE400" i="4"/>
  <c r="C321" i="4"/>
  <c r="AE89" i="4"/>
  <c r="C297" i="4"/>
  <c r="AE101" i="4"/>
  <c r="C405" i="4"/>
  <c r="AE62" i="4"/>
  <c r="C313" i="4"/>
  <c r="C162" i="4"/>
  <c r="C263" i="4"/>
  <c r="C96" i="4"/>
  <c r="C393" i="4"/>
  <c r="AE116" i="4"/>
  <c r="AB121" i="5"/>
  <c r="AE283" i="4"/>
  <c r="AE39" i="4"/>
  <c r="AE350" i="4"/>
  <c r="AE187" i="4"/>
  <c r="C383" i="4"/>
  <c r="AE51" i="4"/>
  <c r="AE395" i="4"/>
  <c r="C341" i="4"/>
  <c r="AE390" i="4"/>
  <c r="C395" i="4"/>
  <c r="C177" i="4"/>
  <c r="C119" i="4"/>
  <c r="C45" i="4"/>
  <c r="AE227" i="4"/>
  <c r="AE231" i="4"/>
  <c r="AE73" i="4"/>
  <c r="AE220" i="4"/>
  <c r="C331" i="4"/>
  <c r="K144" i="5"/>
  <c r="C125" i="4"/>
  <c r="AE286" i="4"/>
  <c r="AE47" i="4"/>
  <c r="C314" i="4"/>
  <c r="C33" i="4"/>
  <c r="AE355" i="4"/>
  <c r="C69" i="4"/>
  <c r="C419" i="4"/>
  <c r="AE144" i="4"/>
  <c r="C191" i="4"/>
  <c r="AE119" i="4"/>
  <c r="AE111" i="4"/>
  <c r="AE80" i="4"/>
  <c r="C288" i="4"/>
  <c r="AE322" i="4"/>
  <c r="AE183" i="4"/>
  <c r="AE234" i="4"/>
  <c r="AE289" i="4"/>
  <c r="AE23" i="4"/>
  <c r="AE369" i="4"/>
  <c r="AE225" i="4"/>
  <c r="K142" i="5"/>
  <c r="AE141" i="4"/>
  <c r="AE397" i="4"/>
  <c r="C250" i="4"/>
  <c r="AE267" i="4"/>
  <c r="K147" i="5"/>
  <c r="C369" i="4"/>
  <c r="AE325" i="4"/>
  <c r="C153" i="4"/>
  <c r="C286" i="4"/>
  <c r="C414" i="4"/>
  <c r="K145" i="5"/>
  <c r="C378" i="4"/>
  <c r="AE430" i="4"/>
  <c r="AE271" i="4"/>
  <c r="C62" i="4"/>
  <c r="AE117" i="4"/>
  <c r="AE358" i="4"/>
  <c r="C371" i="4"/>
  <c r="AE22" i="4"/>
  <c r="AE222" i="4"/>
  <c r="AE50" i="4"/>
  <c r="AE438" i="4"/>
  <c r="C344" i="4"/>
  <c r="I233" i="2"/>
  <c r="AE191" i="4"/>
  <c r="AE302" i="4"/>
  <c r="C329" i="4"/>
  <c r="C207" i="4"/>
  <c r="I199" i="2"/>
  <c r="I203" i="2"/>
  <c r="I207" i="2"/>
  <c r="I192" i="1"/>
  <c r="I221" i="2"/>
  <c r="I215" i="2"/>
  <c r="C99" i="4"/>
  <c r="C210" i="4"/>
  <c r="C438" i="4"/>
  <c r="C359" i="4"/>
  <c r="AE110" i="4"/>
  <c r="K136" i="5"/>
  <c r="C311" i="4"/>
  <c r="C424" i="4"/>
  <c r="C275" i="4"/>
  <c r="AE416" i="4"/>
  <c r="C246" i="4"/>
  <c r="AE21" i="4"/>
  <c r="C91" i="4"/>
  <c r="AE63" i="4"/>
  <c r="AE139" i="4"/>
  <c r="AE245" i="4"/>
  <c r="AE309" i="4"/>
  <c r="C72" i="4"/>
  <c r="AE393" i="4"/>
  <c r="C381" i="4"/>
  <c r="AE321" i="4"/>
  <c r="AE130" i="4"/>
  <c r="AE387" i="4"/>
  <c r="C259" i="4"/>
  <c r="C209" i="4"/>
  <c r="AE391" i="4"/>
  <c r="C379" i="4"/>
  <c r="AE87" i="4"/>
  <c r="AE153" i="4"/>
  <c r="AE274" i="4"/>
  <c r="AE84" i="4"/>
  <c r="AE272" i="4"/>
  <c r="AE146" i="4"/>
  <c r="AE82" i="4"/>
  <c r="AE91" i="4"/>
  <c r="AE14" i="4"/>
  <c r="AE364" i="4"/>
  <c r="C367" i="4"/>
  <c r="C87" i="4"/>
  <c r="AE323" i="4"/>
  <c r="C375" i="4"/>
  <c r="C353" i="4"/>
  <c r="C358" i="4"/>
  <c r="AE324" i="4"/>
  <c r="C73" i="4"/>
  <c r="AE259" i="4"/>
  <c r="C38" i="4"/>
  <c r="AE159" i="4"/>
  <c r="AE264" i="4"/>
  <c r="C92" i="4"/>
  <c r="C306" i="4"/>
  <c r="AB114" i="5"/>
  <c r="AE145" i="4"/>
  <c r="C188" i="4"/>
  <c r="C356" i="4"/>
  <c r="AE113" i="4"/>
  <c r="C408" i="4"/>
  <c r="C97" i="4"/>
  <c r="C123" i="4"/>
  <c r="J140" i="5"/>
  <c r="AE363" i="4"/>
  <c r="AE203" i="4"/>
  <c r="AE199" i="4"/>
  <c r="C284" i="4"/>
  <c r="C122" i="4"/>
  <c r="AE201" i="4"/>
  <c r="AE112" i="4"/>
  <c r="C232" i="4"/>
  <c r="AE65" i="4"/>
  <c r="AE32" i="4"/>
  <c r="C84" i="4"/>
  <c r="AE293" i="4"/>
  <c r="C336" i="4"/>
  <c r="AE95" i="4"/>
  <c r="J137" i="5"/>
  <c r="C338" i="4"/>
  <c r="C425" i="4"/>
  <c r="C400" i="4"/>
  <c r="K148" i="5"/>
  <c r="C155" i="4"/>
  <c r="K139" i="5"/>
  <c r="AE36" i="4"/>
  <c r="AE124" i="4"/>
  <c r="AE221" i="4"/>
  <c r="C364" i="4"/>
  <c r="AB111" i="5"/>
  <c r="AE43" i="4"/>
  <c r="C214" i="4"/>
  <c r="AE106" i="4"/>
  <c r="AE118" i="4"/>
  <c r="AE129" i="4"/>
  <c r="AE370" i="4"/>
  <c r="J147" i="5"/>
  <c r="I210" i="1"/>
  <c r="G22" i="2"/>
  <c r="I213" i="2"/>
  <c r="I184" i="1"/>
  <c r="G31" i="2"/>
  <c r="I175" i="1"/>
  <c r="I177" i="1"/>
  <c r="I216" i="2"/>
  <c r="I218" i="2"/>
  <c r="I226" i="2"/>
  <c r="I202" i="2"/>
  <c r="I204" i="2"/>
  <c r="I212" i="2"/>
  <c r="I230" i="2"/>
  <c r="G29" i="2"/>
  <c r="I182" i="1"/>
  <c r="I190" i="1"/>
  <c r="G24" i="2"/>
  <c r="G36" i="2"/>
  <c r="H238" i="2"/>
  <c r="C388" i="4"/>
  <c r="J139" i="5"/>
  <c r="AE419" i="4"/>
  <c r="AB88" i="5"/>
  <c r="C27" i="4"/>
  <c r="C160" i="4"/>
  <c r="C271" i="4"/>
  <c r="C9" i="4"/>
  <c r="AE7" i="4"/>
  <c r="C254" i="4"/>
  <c r="AE297" i="4"/>
  <c r="AE214" i="4"/>
  <c r="AE299" i="4"/>
  <c r="AB123" i="5"/>
  <c r="AE192" i="4"/>
  <c r="AE328" i="4"/>
  <c r="AE176" i="4"/>
  <c r="C185" i="4"/>
  <c r="AE410" i="4"/>
  <c r="C342" i="4"/>
  <c r="C172" i="4"/>
  <c r="AB124" i="5"/>
  <c r="AE61" i="4"/>
  <c r="AE148" i="4"/>
  <c r="AE208" i="4"/>
  <c r="AE427" i="4"/>
  <c r="AE232" i="4"/>
  <c r="C116" i="4"/>
  <c r="AB11" i="5"/>
  <c r="AE424" i="4"/>
  <c r="AE437" i="4"/>
  <c r="C385" i="4"/>
  <c r="C241" i="4"/>
  <c r="C107" i="4"/>
  <c r="AE320" i="4"/>
  <c r="C404" i="4"/>
  <c r="AE190" i="4"/>
  <c r="C346" i="4"/>
  <c r="AE236" i="4"/>
  <c r="C318" i="4"/>
  <c r="AE380" i="4"/>
  <c r="AE196" i="4"/>
  <c r="AE108" i="4"/>
  <c r="C25" i="4"/>
  <c r="AB118" i="5"/>
  <c r="AE242" i="4"/>
  <c r="AE394" i="4"/>
  <c r="C55" i="4"/>
  <c r="AE97" i="4"/>
  <c r="AE202" i="4"/>
  <c r="C178" i="4"/>
  <c r="AE88" i="4"/>
  <c r="AE205" i="4"/>
  <c r="C406" i="4"/>
  <c r="AE277" i="4"/>
  <c r="C88" i="4"/>
  <c r="AE19" i="4"/>
  <c r="AE15" i="4"/>
  <c r="C421" i="4"/>
  <c r="C326" i="4"/>
  <c r="AE376" i="4"/>
  <c r="C86" i="4"/>
  <c r="AE173" i="4"/>
  <c r="C228" i="4"/>
  <c r="C285" i="4"/>
  <c r="C229" i="4"/>
  <c r="C390" i="4"/>
  <c r="AE331" i="4"/>
  <c r="K146" i="5"/>
  <c r="C354" i="4"/>
  <c r="C327" i="4"/>
  <c r="AE360" i="4"/>
  <c r="C174" i="4"/>
  <c r="C302" i="4"/>
  <c r="C349" i="4"/>
  <c r="C235" i="4"/>
  <c r="C376" i="4"/>
  <c r="AE278" i="4"/>
  <c r="AE150" i="4"/>
  <c r="C180" i="4"/>
  <c r="C77" i="4"/>
  <c r="AE238" i="4"/>
  <c r="AE161" i="4"/>
  <c r="C427" i="4"/>
  <c r="C382" i="4"/>
  <c r="AE266" i="4"/>
  <c r="AE385" i="4"/>
  <c r="AB115" i="5"/>
  <c r="C255" i="4"/>
  <c r="J136" i="5"/>
  <c r="C348" i="4"/>
  <c r="AE74" i="4"/>
  <c r="AE254" i="4"/>
  <c r="AE44" i="4"/>
  <c r="AE215" i="4"/>
  <c r="C40" i="4"/>
  <c r="AE336" i="4"/>
  <c r="C104" i="4"/>
  <c r="AE133" i="4"/>
  <c r="AE354" i="4"/>
  <c r="AE75" i="4"/>
  <c r="C136" i="4"/>
  <c r="AE252" i="4"/>
  <c r="AE287" i="4"/>
  <c r="C217" i="4"/>
  <c r="AE367" i="4"/>
  <c r="C204" i="4"/>
  <c r="C221" i="4"/>
  <c r="C403" i="4"/>
  <c r="AE352" i="4"/>
  <c r="C304" i="4"/>
  <c r="AE13" i="4"/>
  <c r="AE421" i="4"/>
  <c r="AE294" i="4"/>
  <c r="C126" i="4"/>
  <c r="C63" i="4"/>
  <c r="C222" i="4"/>
  <c r="C16" i="4"/>
  <c r="AE396" i="4"/>
  <c r="AE193" i="4"/>
  <c r="AE434" i="4"/>
  <c r="AE342" i="4"/>
  <c r="C270" i="4"/>
  <c r="AE140" i="4"/>
  <c r="AE17" i="4"/>
  <c r="J134" i="5"/>
  <c r="AE185" i="4"/>
  <c r="AE300" i="4"/>
  <c r="AE56" i="4"/>
  <c r="C138" i="4"/>
  <c r="AE418" i="4"/>
  <c r="AE351" i="4"/>
  <c r="C258" i="4"/>
  <c r="AE147" i="4"/>
  <c r="C54" i="4"/>
  <c r="C230" i="4"/>
  <c r="C413" i="4"/>
  <c r="AE246" i="4"/>
  <c r="C391" i="4"/>
  <c r="C158" i="4"/>
  <c r="C100" i="4"/>
  <c r="AE241" i="4"/>
  <c r="C112" i="4"/>
  <c r="AB134" i="5"/>
  <c r="AE250" i="4"/>
  <c r="C154" i="4"/>
  <c r="AE10" i="4"/>
  <c r="AE230" i="4"/>
  <c r="AE72" i="4"/>
  <c r="C398" i="4"/>
  <c r="AE317" i="4"/>
  <c r="AE92" i="4"/>
  <c r="C294" i="4"/>
  <c r="AE341" i="4"/>
  <c r="AB116" i="5"/>
  <c r="AE243" i="4"/>
  <c r="AE315" i="4"/>
  <c r="AE433" i="4"/>
  <c r="AE345" i="4"/>
  <c r="C323" i="4"/>
  <c r="AE296" i="4"/>
  <c r="AE178" i="4"/>
  <c r="AE349" i="4"/>
  <c r="AE284" i="4"/>
  <c r="C141" i="4"/>
  <c r="C161" i="4"/>
  <c r="C296" i="4"/>
  <c r="C320" i="4"/>
  <c r="C148" i="4"/>
  <c r="AE123" i="4"/>
  <c r="AE125" i="4"/>
  <c r="AB117" i="5"/>
  <c r="AE207" i="4"/>
  <c r="AE25" i="4"/>
  <c r="C266" i="4"/>
  <c r="AE224" i="4"/>
  <c r="C242" i="4"/>
  <c r="AE312" i="4"/>
  <c r="AE8" i="4"/>
  <c r="C410" i="4"/>
  <c r="AE59" i="4"/>
  <c r="AB139" i="5"/>
  <c r="C337" i="4"/>
  <c r="AE12" i="4"/>
  <c r="AE169" i="4"/>
  <c r="AE377" i="4"/>
  <c r="AE198" i="4"/>
  <c r="C212" i="4"/>
  <c r="C167" i="4"/>
  <c r="C152" i="4"/>
  <c r="AE103" i="4"/>
  <c r="AE303" i="4"/>
  <c r="C347" i="4"/>
  <c r="AE374" i="4"/>
  <c r="C352" i="4"/>
  <c r="AE422" i="4"/>
  <c r="AE6" i="4"/>
  <c r="AE45" i="4"/>
  <c r="AE52" i="4"/>
  <c r="AE244" i="4"/>
  <c r="AE382" i="4"/>
  <c r="C417" i="4"/>
  <c r="C83" i="4"/>
  <c r="AE314" i="4"/>
  <c r="C281" i="4"/>
  <c r="C168" i="4"/>
  <c r="AB120" i="5"/>
  <c r="AE251" i="4"/>
  <c r="C237" i="4"/>
  <c r="C310" i="4"/>
  <c r="C334" i="4"/>
  <c r="C277" i="4"/>
  <c r="AE307" i="4"/>
  <c r="AE157" i="4"/>
  <c r="C428" i="4"/>
  <c r="AE412" i="4"/>
  <c r="C108" i="4"/>
  <c r="AE167" i="4"/>
  <c r="AE79" i="4"/>
  <c r="C401" i="4"/>
  <c r="AE206" i="4"/>
  <c r="AE182" i="4"/>
  <c r="C29" i="4"/>
  <c r="AB135" i="5"/>
  <c r="C216" i="4"/>
  <c r="K134" i="5"/>
  <c r="AE378" i="4"/>
  <c r="AE204" i="4"/>
  <c r="AE126" i="4"/>
  <c r="C399" i="4"/>
  <c r="C303" i="4"/>
  <c r="C85" i="4"/>
  <c r="AE131" i="4"/>
  <c r="AE415" i="4"/>
  <c r="AE316" i="4"/>
  <c r="C295" i="4"/>
  <c r="C290" i="4"/>
  <c r="AE373" i="4"/>
  <c r="C37" i="4"/>
  <c r="AE435" i="4"/>
  <c r="C430" i="4"/>
  <c r="C264" i="4"/>
  <c r="C298" i="4"/>
  <c r="AE279" i="4"/>
  <c r="C317" i="4"/>
  <c r="C26" i="4"/>
  <c r="AE94" i="4"/>
  <c r="AE362" i="4"/>
  <c r="AE281" i="4"/>
  <c r="AE155" i="4"/>
  <c r="C312" i="4"/>
  <c r="AE53" i="4"/>
  <c r="AE276" i="4"/>
  <c r="AE332" i="4"/>
  <c r="C89" i="4"/>
  <c r="C43" i="4"/>
  <c r="C6" i="4"/>
  <c r="AE420" i="4"/>
  <c r="AE237" i="4"/>
  <c r="AE216" i="4"/>
  <c r="AE93" i="4"/>
  <c r="C434" i="4"/>
  <c r="C282" i="4"/>
  <c r="AE102" i="4"/>
  <c r="C76" i="4"/>
  <c r="AE253" i="4"/>
  <c r="AE275" i="4"/>
  <c r="AE149" i="4"/>
  <c r="AB140" i="5"/>
  <c r="C287" i="4"/>
  <c r="AE142" i="4"/>
  <c r="C256" i="4"/>
  <c r="AE344" i="4"/>
  <c r="AE223" i="4"/>
  <c r="C252" i="4"/>
  <c r="C150" i="4"/>
  <c r="AE335" i="4"/>
  <c r="AE371" i="4"/>
  <c r="C416" i="4"/>
  <c r="C332" i="4"/>
  <c r="AE18" i="4"/>
  <c r="AE292" i="4"/>
  <c r="C193" i="4"/>
  <c r="AE265" i="4"/>
  <c r="C171" i="4"/>
  <c r="AE229" i="4"/>
  <c r="AE333" i="4"/>
  <c r="C111" i="4"/>
  <c r="AE375" i="4"/>
  <c r="AE38" i="4"/>
  <c r="AE41" i="4"/>
  <c r="AE407" i="4"/>
  <c r="AE406" i="4"/>
  <c r="C293" i="4"/>
  <c r="AE64" i="4"/>
  <c r="AE357" i="4"/>
  <c r="C213" i="4"/>
  <c r="C300" i="4"/>
  <c r="C392" i="4"/>
  <c r="AE189" i="4"/>
  <c r="C437" i="4"/>
  <c r="AE90" i="4"/>
  <c r="C234" i="4"/>
  <c r="AE181" i="4"/>
  <c r="AE160" i="4"/>
  <c r="C220" i="4"/>
  <c r="AE431" i="4"/>
  <c r="J145" i="5"/>
  <c r="C370" i="4"/>
  <c r="AE338" i="4"/>
  <c r="C350" i="4"/>
  <c r="C265" i="4"/>
  <c r="AE197" i="4"/>
  <c r="K141" i="5"/>
  <c r="C52" i="4"/>
  <c r="C335" i="4"/>
  <c r="AE269" i="4"/>
  <c r="AE143" i="4"/>
  <c r="AE402" i="4"/>
  <c r="AE280" i="4"/>
  <c r="AB141" i="5"/>
  <c r="AE249" i="4"/>
  <c r="C244" i="4"/>
  <c r="AE58" i="4"/>
  <c r="C402" i="4"/>
  <c r="C248" i="4"/>
  <c r="AE71" i="4"/>
  <c r="C415" i="4"/>
  <c r="AE11" i="4"/>
  <c r="C247" i="4"/>
  <c r="C299" i="4"/>
  <c r="C159" i="4"/>
  <c r="AE368" i="4"/>
  <c r="C147" i="4"/>
  <c r="C165" i="4"/>
  <c r="AE136" i="4"/>
  <c r="C279" i="4"/>
  <c r="C70" i="4"/>
  <c r="AE114" i="4"/>
  <c r="AE156" i="4"/>
  <c r="E22" i="9" s="1"/>
  <c r="AE66" i="4"/>
  <c r="AE408" i="4"/>
  <c r="C192" i="4"/>
  <c r="C65" i="4"/>
  <c r="AE9" i="4"/>
  <c r="C182" i="4"/>
  <c r="AE417" i="4"/>
  <c r="AE154" i="4"/>
  <c r="AE55" i="4"/>
  <c r="AE383" i="4"/>
  <c r="AE175" i="4"/>
  <c r="AE348" i="4"/>
  <c r="AE326" i="4"/>
  <c r="AE26" i="4"/>
  <c r="C368" i="4"/>
  <c r="C98" i="4"/>
  <c r="C236" i="4"/>
  <c r="AE425" i="4"/>
  <c r="AE77" i="4"/>
  <c r="C432" i="4"/>
  <c r="C407" i="4"/>
  <c r="AE257" i="4"/>
  <c r="C366" i="4"/>
  <c r="C274" i="4"/>
  <c r="C322" i="4"/>
  <c r="AB137" i="5"/>
  <c r="C243" i="4"/>
  <c r="AE163" i="4"/>
  <c r="AE235" i="4"/>
  <c r="AE218" i="4"/>
  <c r="C46" i="4"/>
  <c r="C384" i="4"/>
  <c r="C239" i="4"/>
  <c r="C227" i="4"/>
  <c r="AE226" i="4"/>
  <c r="C176" i="4"/>
  <c r="AE16" i="4"/>
  <c r="C238" i="4"/>
  <c r="AE121" i="4"/>
  <c r="C137" i="4"/>
  <c r="AE132" i="4"/>
  <c r="AE48" i="4"/>
  <c r="AE413" i="4"/>
  <c r="AB138" i="5"/>
  <c r="AE262" i="4"/>
  <c r="C51" i="4"/>
  <c r="C249" i="4"/>
  <c r="AE33" i="4"/>
  <c r="AE347" i="4"/>
  <c r="AE228" i="4"/>
  <c r="AE184" i="4"/>
  <c r="C223" i="4"/>
  <c r="C397" i="4"/>
  <c r="AE151" i="4"/>
  <c r="C396" i="4"/>
  <c r="C151" i="4"/>
  <c r="AE28" i="4"/>
  <c r="AE212" i="4"/>
  <c r="K140" i="5"/>
  <c r="AB122" i="5"/>
  <c r="AE389" i="4"/>
  <c r="C61" i="4"/>
  <c r="AE179" i="4"/>
  <c r="AE306" i="4"/>
  <c r="C115" i="4"/>
  <c r="AE337" i="4"/>
  <c r="AE135" i="4"/>
  <c r="AE366" i="4"/>
  <c r="C179" i="4"/>
  <c r="AE301" i="4"/>
  <c r="C175" i="4"/>
  <c r="C308" i="4"/>
  <c r="C245" i="4"/>
  <c r="C105" i="4"/>
  <c r="AE404" i="4"/>
  <c r="AE270" i="4"/>
  <c r="AE174" i="4"/>
  <c r="AE392" i="4"/>
  <c r="C333" i="4"/>
  <c r="AE69" i="4"/>
  <c r="AE423" i="4"/>
  <c r="AE426" i="4"/>
  <c r="C272" i="4"/>
  <c r="AE29" i="4"/>
  <c r="AE177" i="4"/>
  <c r="AE122" i="4"/>
  <c r="C273" i="4"/>
  <c r="AE99" i="4"/>
  <c r="C345" i="4"/>
  <c r="AE414" i="4"/>
  <c r="AE261" i="4"/>
  <c r="AE346" i="4"/>
  <c r="K138" i="5"/>
  <c r="C145" i="4"/>
  <c r="C75" i="4"/>
  <c r="AE398" i="4"/>
  <c r="C439" i="4"/>
  <c r="AE30" i="4"/>
  <c r="C316" i="4"/>
  <c r="AB119" i="5"/>
  <c r="AE134" i="4"/>
  <c r="AE258" i="4"/>
  <c r="C186" i="4"/>
  <c r="AE96" i="4"/>
  <c r="C170" i="4"/>
  <c r="AE260" i="4"/>
  <c r="AE340" i="4"/>
  <c r="AE384" i="4"/>
  <c r="C361" i="4"/>
  <c r="C101" i="4"/>
  <c r="AE439" i="4"/>
  <c r="AE282" i="4"/>
  <c r="C394" i="4"/>
  <c r="J138" i="5"/>
  <c r="AE162" i="4"/>
  <c r="C253" i="4"/>
  <c r="C106" i="4"/>
  <c r="AE35" i="4"/>
  <c r="C49" i="4"/>
  <c r="AE290" i="4"/>
  <c r="C117" i="4"/>
  <c r="AE5" i="4"/>
  <c r="C44" i="4"/>
  <c r="C431" i="4"/>
  <c r="C169" i="4"/>
  <c r="C387" i="4"/>
  <c r="C340" i="4"/>
  <c r="AE411" i="4"/>
  <c r="C113" i="4"/>
  <c r="C184" i="4"/>
  <c r="C189" i="4"/>
  <c r="AE313" i="4"/>
  <c r="AE76" i="4"/>
  <c r="AE327" i="4"/>
  <c r="AE49" i="4"/>
  <c r="AE248" i="4"/>
  <c r="AE356" i="4"/>
  <c r="AE170" i="4"/>
  <c r="C339" i="4"/>
  <c r="C173" i="4"/>
  <c r="AE405" i="4"/>
  <c r="C208" i="4"/>
  <c r="C268" i="4"/>
  <c r="AE138" i="4"/>
  <c r="AE334" i="4"/>
  <c r="AE137" i="4"/>
  <c r="C305" i="4"/>
  <c r="C267" i="4"/>
  <c r="J144" i="5"/>
  <c r="AE291" i="4"/>
  <c r="AE399" i="4"/>
  <c r="C377" i="4"/>
  <c r="K137" i="5"/>
  <c r="AE164" i="4"/>
  <c r="C283" i="4"/>
  <c r="C118" i="4"/>
  <c r="AB58" i="5"/>
  <c r="C64" i="4"/>
  <c r="C144" i="4"/>
  <c r="C219" i="4"/>
  <c r="C47" i="4"/>
  <c r="AE359" i="4"/>
  <c r="C215" i="4"/>
  <c r="AE409" i="4"/>
  <c r="C225" i="4"/>
  <c r="C124" i="4"/>
  <c r="C187" i="4"/>
  <c r="AE432" i="4"/>
  <c r="AE104" i="4"/>
  <c r="AE361" i="4"/>
  <c r="AE166" i="4"/>
  <c r="AE386" i="4"/>
  <c r="J142" i="5"/>
  <c r="C143" i="4"/>
  <c r="AE37" i="4"/>
  <c r="AE86" i="4"/>
  <c r="C411" i="4"/>
  <c r="AE115" i="4"/>
  <c r="AE200" i="4"/>
  <c r="AE46" i="4"/>
  <c r="AB113" i="5"/>
  <c r="C292" i="4"/>
  <c r="AE168" i="4"/>
  <c r="J148" i="5"/>
  <c r="C328" i="4"/>
  <c r="AE308" i="4"/>
  <c r="C181" i="4"/>
  <c r="AE428" i="4"/>
  <c r="C289" i="4"/>
  <c r="AE188" i="4"/>
  <c r="AE381" i="4"/>
  <c r="C120" i="4"/>
  <c r="AE365" i="4"/>
  <c r="AE20" i="4"/>
  <c r="AE217" i="4"/>
  <c r="C121" i="4"/>
  <c r="C262" i="4"/>
  <c r="C8" i="4"/>
  <c r="AE152" i="4"/>
  <c r="AE403" i="4"/>
  <c r="AE219" i="4"/>
  <c r="C276" i="4"/>
  <c r="C42" i="4"/>
  <c r="AE295" i="4"/>
  <c r="C278" i="4"/>
  <c r="C206" i="4"/>
  <c r="AE180" i="4"/>
  <c r="AE353" i="4"/>
  <c r="AE339" i="4"/>
  <c r="AE57" i="4"/>
  <c r="C325" i="4"/>
  <c r="AE120" i="4"/>
  <c r="AE273" i="4"/>
  <c r="C435" i="4"/>
  <c r="AE329" i="4"/>
  <c r="C315" i="4"/>
  <c r="AE240" i="4"/>
  <c r="AE27" i="4"/>
  <c r="C166" i="4"/>
  <c r="AB5" i="5"/>
  <c r="I194" i="1"/>
  <c r="I208" i="2"/>
  <c r="I173" i="1"/>
  <c r="E12" i="9"/>
  <c r="I172" i="1"/>
  <c r="I206" i="2"/>
  <c r="I229" i="2"/>
  <c r="G30" i="2"/>
  <c r="I200" i="2"/>
  <c r="I223" i="2"/>
  <c r="I225" i="2"/>
  <c r="AB73" i="5"/>
  <c r="F238" i="2"/>
  <c r="I210" i="2"/>
  <c r="I231" i="2"/>
  <c r="AB38" i="5"/>
  <c r="I198" i="2"/>
  <c r="AB83" i="5"/>
  <c r="AB79" i="5"/>
  <c r="G238" i="2"/>
  <c r="I214" i="2"/>
  <c r="G25" i="2"/>
  <c r="I201" i="1"/>
  <c r="D37" i="2"/>
  <c r="C37" i="2"/>
  <c r="G34" i="2"/>
  <c r="I224" i="2"/>
  <c r="I195" i="1"/>
  <c r="AE158" i="4"/>
  <c r="C164" i="4"/>
  <c r="AE100" i="4"/>
  <c r="C53" i="4"/>
  <c r="AE429" i="4"/>
  <c r="AB136" i="5"/>
  <c r="AE128" i="4"/>
  <c r="AE388" i="4"/>
  <c r="AE256" i="4"/>
  <c r="C261" i="4"/>
  <c r="C389" i="4"/>
  <c r="C190" i="4"/>
  <c r="AE78" i="4"/>
  <c r="AE40" i="4"/>
  <c r="C324" i="4"/>
  <c r="C269" i="4"/>
  <c r="AE83" i="4"/>
  <c r="C28" i="4"/>
  <c r="C260" i="4"/>
  <c r="AE171" i="4"/>
  <c r="C110" i="4"/>
  <c r="AE67" i="4"/>
  <c r="AE210" i="4"/>
  <c r="AE109" i="4"/>
  <c r="AE255" i="4"/>
  <c r="AE68" i="4"/>
  <c r="C78" i="4"/>
  <c r="C351" i="4"/>
  <c r="AE285" i="4"/>
  <c r="AE298" i="4"/>
  <c r="C436" i="4"/>
  <c r="AE60" i="4"/>
  <c r="C139" i="4"/>
  <c r="C343" i="4"/>
  <c r="AE194" i="4"/>
  <c r="AE85" i="4"/>
  <c r="C218" i="4"/>
  <c r="J141" i="5"/>
  <c r="E37" i="2"/>
  <c r="I205" i="2"/>
  <c r="I227" i="2"/>
  <c r="F37" i="2"/>
  <c r="I217" i="2"/>
  <c r="I181" i="1"/>
  <c r="G33" i="2"/>
  <c r="AB59" i="5"/>
  <c r="I222" i="2"/>
  <c r="AB26" i="5"/>
  <c r="AB81" i="5"/>
  <c r="I186" i="1"/>
  <c r="I188" i="1"/>
  <c r="G21" i="2"/>
  <c r="I201" i="2"/>
  <c r="I219" i="2"/>
  <c r="G27" i="2"/>
  <c r="E238" i="2"/>
  <c r="I234" i="2"/>
  <c r="G19" i="2"/>
  <c r="I196" i="2"/>
  <c r="C211" i="1"/>
  <c r="I191" i="1"/>
  <c r="I193" i="1"/>
  <c r="I197" i="1"/>
  <c r="I199" i="1"/>
  <c r="I203" i="1"/>
  <c r="I205" i="1"/>
  <c r="I174" i="1"/>
  <c r="I178" i="1"/>
  <c r="I183" i="1"/>
  <c r="I185" i="1"/>
  <c r="I209" i="1"/>
  <c r="I180" i="1"/>
  <c r="I176" i="1"/>
  <c r="D211" i="1"/>
  <c r="I198" i="1"/>
  <c r="I207" i="1"/>
  <c r="F211" i="1"/>
  <c r="E211" i="1"/>
  <c r="I196" i="1"/>
  <c r="I202" i="1"/>
  <c r="I204" i="1"/>
  <c r="I206" i="1"/>
  <c r="I208" i="1"/>
  <c r="G211" i="1"/>
  <c r="I179" i="1"/>
  <c r="I200" i="1"/>
  <c r="I170" i="1"/>
  <c r="I187" i="1"/>
  <c r="I189" i="1"/>
  <c r="AB51" i="5"/>
  <c r="AB23" i="5"/>
  <c r="AB67" i="5"/>
  <c r="AB82" i="5"/>
  <c r="AB13" i="5"/>
  <c r="AB106" i="5"/>
  <c r="AB91" i="5"/>
  <c r="AB90" i="5"/>
  <c r="AB49" i="5"/>
  <c r="AB55" i="5"/>
  <c r="AB8" i="5"/>
  <c r="AB48" i="5"/>
  <c r="AB98" i="5"/>
  <c r="AB33" i="5"/>
  <c r="AB70" i="5"/>
  <c r="AB29" i="5"/>
  <c r="AB85" i="5"/>
  <c r="AB93" i="5"/>
  <c r="AB77" i="5"/>
  <c r="AB87" i="5"/>
  <c r="AB17" i="5"/>
  <c r="AB89" i="5"/>
  <c r="AB72" i="5"/>
  <c r="AB102" i="5"/>
  <c r="AB64" i="5"/>
  <c r="AB40" i="5"/>
  <c r="AB110" i="5"/>
  <c r="AB36" i="5"/>
  <c r="AB69" i="5"/>
  <c r="AB63" i="5"/>
  <c r="AB28" i="5"/>
  <c r="AB108" i="5"/>
  <c r="AB99" i="5"/>
  <c r="AB25" i="5"/>
  <c r="AB18" i="5"/>
  <c r="AB47" i="5"/>
  <c r="AB76" i="5"/>
  <c r="AB56" i="5"/>
  <c r="AB104" i="5"/>
  <c r="AB78" i="5"/>
  <c r="AB16" i="5"/>
  <c r="AB7" i="5"/>
  <c r="AB94" i="5"/>
  <c r="AB105" i="5"/>
  <c r="AB71" i="5"/>
  <c r="AB107" i="5"/>
  <c r="AB52" i="5"/>
  <c r="AB100" i="5"/>
  <c r="AB19" i="5"/>
  <c r="AB31" i="5"/>
  <c r="AB75" i="5"/>
  <c r="AB65" i="5"/>
  <c r="AB54" i="5"/>
  <c r="AB39" i="5"/>
  <c r="AB95" i="5"/>
  <c r="AB30" i="5"/>
  <c r="AB57" i="5"/>
  <c r="AB68" i="5"/>
  <c r="AB37" i="5"/>
  <c r="AB14" i="5"/>
  <c r="AB24" i="5"/>
  <c r="AB66" i="5"/>
  <c r="AB61" i="5"/>
  <c r="AB45" i="5"/>
  <c r="AB84" i="5"/>
  <c r="AB53" i="5"/>
  <c r="AB97" i="5"/>
  <c r="AB15" i="5"/>
  <c r="AB32" i="5"/>
  <c r="AB62" i="5"/>
  <c r="AB9" i="5"/>
  <c r="AB10" i="5"/>
  <c r="AB22" i="5"/>
  <c r="AB6" i="5"/>
  <c r="AB96" i="5"/>
  <c r="AB12" i="5"/>
  <c r="AB42" i="5"/>
  <c r="AB86" i="5"/>
  <c r="AB103" i="5"/>
  <c r="AB60" i="5"/>
  <c r="AB46" i="5"/>
  <c r="AB34" i="5"/>
  <c r="AB20" i="5"/>
  <c r="AB4" i="5"/>
  <c r="AB27" i="5"/>
  <c r="AB21" i="5"/>
  <c r="AB50" i="5"/>
  <c r="AB80" i="5"/>
  <c r="AB74" i="5"/>
  <c r="AB35" i="5"/>
  <c r="AB101" i="5"/>
  <c r="AB43" i="5"/>
  <c r="AB92" i="5"/>
  <c r="AB41" i="5"/>
  <c r="AE34" i="4"/>
  <c r="AE305" i="4"/>
  <c r="C420" i="4"/>
  <c r="AE233" i="4"/>
  <c r="AE372" i="4"/>
  <c r="C429" i="4"/>
  <c r="AE127" i="4"/>
  <c r="C301" i="4"/>
  <c r="AE288" i="4"/>
  <c r="C355" i="4"/>
  <c r="C251" i="4"/>
  <c r="AE379" i="4"/>
  <c r="C74" i="4"/>
  <c r="C50" i="4"/>
  <c r="C418" i="4"/>
  <c r="AE165" i="4"/>
  <c r="AE319" i="4"/>
  <c r="C280" i="4"/>
  <c r="C362" i="4"/>
  <c r="AE172" i="4"/>
  <c r="C149" i="4"/>
  <c r="AE310" i="4"/>
  <c r="AE304" i="4"/>
  <c r="AE343" i="4"/>
  <c r="J146" i="5"/>
  <c r="AE24" i="4"/>
  <c r="C114" i="4"/>
  <c r="C240" i="4"/>
  <c r="C319" i="4"/>
  <c r="AE31" i="4"/>
  <c r="C146" i="4"/>
  <c r="C363" i="4"/>
  <c r="AE42" i="4"/>
  <c r="AE54" i="4"/>
  <c r="AE311" i="4"/>
  <c r="AE247" i="4"/>
  <c r="C330" i="4"/>
  <c r="AE436" i="4"/>
  <c r="C163" i="4"/>
  <c r="AE211" i="4"/>
  <c r="C211" i="4"/>
  <c r="C203" i="4"/>
  <c r="C409" i="4"/>
  <c r="AE268" i="4"/>
  <c r="AE330" i="4"/>
  <c r="C433" i="4"/>
  <c r="AE98" i="4"/>
  <c r="C94" i="4"/>
  <c r="C90" i="4"/>
  <c r="AE70" i="4"/>
  <c r="AE186" i="4"/>
  <c r="C386" i="4"/>
  <c r="C226" i="4"/>
  <c r="C142" i="4"/>
  <c r="C309" i="4"/>
  <c r="AE401" i="4"/>
  <c r="AE318" i="4"/>
  <c r="C360" i="4"/>
  <c r="C365" i="4"/>
  <c r="J143" i="5"/>
  <c r="AB112" i="5"/>
  <c r="AE263" i="4"/>
  <c r="AE239" i="4"/>
  <c r="C380" i="4"/>
  <c r="AE195" i="4"/>
  <c r="AE81" i="4"/>
  <c r="C412" i="4"/>
  <c r="C224" i="4"/>
  <c r="AE213" i="4"/>
  <c r="AE105" i="4"/>
  <c r="C357" i="4"/>
  <c r="AE209" i="4"/>
  <c r="H211" i="1"/>
  <c r="C238" i="2"/>
  <c r="G20" i="2"/>
  <c r="I169" i="1"/>
  <c r="I171" i="1"/>
  <c r="E105" i="2" l="1"/>
  <c r="F102" i="2" s="1"/>
  <c r="F160" i="2"/>
  <c r="F81" i="1"/>
  <c r="F37" i="1"/>
  <c r="F47" i="1"/>
  <c r="F72" i="1"/>
  <c r="F90" i="1"/>
  <c r="F57" i="1"/>
  <c r="F58" i="1"/>
  <c r="A39" i="9"/>
  <c r="E171" i="2"/>
  <c r="E40" i="9"/>
  <c r="F71" i="1"/>
  <c r="F60" i="1"/>
  <c r="D38" i="9"/>
  <c r="E192" i="2"/>
  <c r="D41" i="9"/>
  <c r="E124" i="1"/>
  <c r="E165" i="1"/>
  <c r="F49" i="1"/>
  <c r="E41" i="9"/>
  <c r="A44" i="9"/>
  <c r="B45" i="9"/>
  <c r="G39" i="9"/>
  <c r="B42" i="9"/>
  <c r="E98" i="1"/>
  <c r="E97" i="1"/>
  <c r="E182" i="2"/>
  <c r="F65" i="1"/>
  <c r="F42" i="1"/>
  <c r="E116" i="2"/>
  <c r="F39" i="9"/>
  <c r="F76" i="1"/>
  <c r="F104" i="2"/>
  <c r="F42" i="9"/>
  <c r="F56" i="1"/>
  <c r="E130" i="2"/>
  <c r="F143" i="2" s="1"/>
  <c r="F74" i="1"/>
  <c r="F45" i="1"/>
  <c r="G28" i="1"/>
  <c r="D99" i="1"/>
  <c r="D37" i="9"/>
  <c r="E42" i="9"/>
  <c r="C41" i="9"/>
  <c r="D39" i="9"/>
  <c r="C40" i="9"/>
  <c r="E45" i="9"/>
  <c r="F52" i="1"/>
  <c r="E43" i="9"/>
  <c r="E39" i="9"/>
  <c r="F37" i="9"/>
  <c r="D45" i="9"/>
  <c r="F40" i="9"/>
  <c r="F36" i="1"/>
  <c r="G41" i="9"/>
  <c r="A45" i="9"/>
  <c r="G44" i="9"/>
  <c r="G37" i="9"/>
  <c r="E38" i="9"/>
  <c r="G45" i="9"/>
  <c r="B40" i="9"/>
  <c r="F87" i="1"/>
  <c r="F86" i="1"/>
  <c r="E155" i="1"/>
  <c r="C43" i="9"/>
  <c r="B43" i="9"/>
  <c r="F43" i="9"/>
  <c r="A42" i="9"/>
  <c r="D44" i="9"/>
  <c r="B38" i="9"/>
  <c r="A38" i="9"/>
  <c r="F45" i="9"/>
  <c r="B37" i="9"/>
  <c r="E144" i="1"/>
  <c r="A37" i="9"/>
  <c r="C37" i="9"/>
  <c r="C42" i="9"/>
  <c r="F63" i="1"/>
  <c r="F38" i="1"/>
  <c r="D43" i="9"/>
  <c r="A41" i="9"/>
  <c r="D42" i="9"/>
  <c r="C45" i="9"/>
  <c r="F41" i="9"/>
  <c r="C39" i="9"/>
  <c r="C44" i="9"/>
  <c r="E44" i="9"/>
  <c r="F38" i="9"/>
  <c r="A40" i="9"/>
  <c r="E37" i="9"/>
  <c r="G40" i="9"/>
  <c r="F84" i="1"/>
  <c r="F44" i="9"/>
  <c r="G42" i="9"/>
  <c r="G38" i="9"/>
  <c r="G43" i="9"/>
  <c r="F54" i="1"/>
  <c r="F55" i="1"/>
  <c r="C38" i="9"/>
  <c r="F61" i="1"/>
  <c r="B39" i="9"/>
  <c r="A43" i="9"/>
  <c r="B41" i="9"/>
  <c r="B44" i="9"/>
  <c r="G19" i="1"/>
  <c r="F46" i="1"/>
  <c r="F88" i="1"/>
  <c r="F89" i="1"/>
  <c r="F131" i="1"/>
  <c r="F53" i="1"/>
  <c r="F40" i="1"/>
  <c r="F64" i="1"/>
  <c r="G30" i="1"/>
  <c r="F75" i="1"/>
  <c r="F69" i="1"/>
  <c r="F43" i="1"/>
  <c r="G26" i="1"/>
  <c r="E110" i="1"/>
  <c r="F129" i="1"/>
  <c r="F78" i="1"/>
  <c r="F59" i="1"/>
  <c r="F62" i="1"/>
  <c r="F44" i="1"/>
  <c r="F82" i="1"/>
  <c r="F83" i="1"/>
  <c r="F85" i="1"/>
  <c r="G29" i="1"/>
  <c r="F51" i="1"/>
  <c r="F66" i="1"/>
  <c r="F68" i="1"/>
  <c r="F79" i="1"/>
  <c r="G22" i="1"/>
  <c r="F70" i="1"/>
  <c r="G13" i="1"/>
  <c r="F39" i="1"/>
  <c r="F50" i="1"/>
  <c r="F67" i="1"/>
  <c r="F73" i="1"/>
  <c r="F41" i="1"/>
  <c r="F77" i="1"/>
  <c r="F48" i="1"/>
  <c r="F97" i="2"/>
  <c r="G16" i="1"/>
  <c r="E31" i="1"/>
  <c r="G21" i="1"/>
  <c r="G15" i="1"/>
  <c r="G24" i="1"/>
  <c r="G23" i="1"/>
  <c r="D12" i="2"/>
  <c r="D11" i="2"/>
  <c r="D31" i="1"/>
  <c r="G14" i="1"/>
  <c r="G20" i="1"/>
  <c r="G18" i="1"/>
  <c r="E96" i="1"/>
  <c r="C99" i="1"/>
  <c r="E99" i="1" s="1"/>
  <c r="E95" i="1"/>
  <c r="F130" i="1"/>
  <c r="G12" i="1"/>
  <c r="C31" i="1"/>
  <c r="E146" i="2"/>
  <c r="F31" i="1"/>
  <c r="G25" i="1"/>
  <c r="D13" i="2"/>
  <c r="G27" i="1"/>
  <c r="F80" i="1"/>
  <c r="G17" i="1"/>
  <c r="G37" i="2"/>
  <c r="I238" i="2"/>
  <c r="D132" i="1"/>
  <c r="D133" i="1" s="1"/>
  <c r="I211" i="1"/>
  <c r="E132" i="1"/>
  <c r="E133" i="1" s="1"/>
  <c r="C132" i="1"/>
  <c r="C133" i="1" s="1"/>
  <c r="F103" i="2" l="1"/>
  <c r="F101" i="2"/>
  <c r="F145" i="2"/>
  <c r="F137" i="2"/>
  <c r="F124" i="2"/>
  <c r="F123" i="2"/>
  <c r="F126" i="2"/>
  <c r="F125" i="2"/>
  <c r="F129" i="2"/>
  <c r="F128" i="2"/>
  <c r="F127" i="2"/>
  <c r="F142" i="2"/>
  <c r="F141" i="2"/>
  <c r="F121" i="2"/>
  <c r="F140" i="2"/>
  <c r="F120" i="2"/>
  <c r="F138" i="2"/>
  <c r="F139" i="2"/>
  <c r="F122" i="2"/>
  <c r="F144" i="2"/>
  <c r="F136" i="2"/>
  <c r="F91" i="1"/>
  <c r="G31" i="1"/>
  <c r="F132" i="1"/>
  <c r="F133" i="1" s="1"/>
  <c r="AT61" i="5"/>
  <c r="AU61" i="5"/>
  <c r="AT60" i="5"/>
  <c r="AU60" i="5"/>
  <c r="AU63" i="5"/>
  <c r="AT63" i="5"/>
  <c r="AU59" i="5"/>
  <c r="AT59" i="5"/>
  <c r="AT64" i="5"/>
  <c r="AU6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Z49" authorId="0" shapeId="0" xr:uid="{0CEEE8F2-9007-43AF-986C-297859E38176}">
      <text>
        <r>
          <rPr>
            <sz val="11"/>
            <color indexed="8"/>
            <rFont val="Calibri"/>
            <family val="2"/>
          </rPr>
          <t>======
ID#AAABKOdA0V4
    (2024-03-26 07:19:14)
Responder updated this value.</t>
        </r>
      </text>
    </comment>
    <comment ref="BA49" authorId="0" shapeId="0" xr:uid="{5D4FBD1D-8766-4355-9AD9-4E9324D6A2EA}">
      <text>
        <r>
          <rPr>
            <sz val="11"/>
            <color indexed="8"/>
            <rFont val="Calibri"/>
            <family val="2"/>
          </rPr>
          <t>======
ID#AAABKOdA0V8
    (2024-03-26 07:19:14)
Responder updated this value.</t>
        </r>
      </text>
    </comment>
    <comment ref="AZ50" authorId="0" shapeId="0" xr:uid="{B9D24E3A-764E-402B-940D-E0691B6FCE19}">
      <text>
        <r>
          <rPr>
            <sz val="11"/>
            <color indexed="8"/>
            <rFont val="Calibri"/>
            <family val="2"/>
          </rPr>
          <t>======
ID#AAABKOdA0Vw
    (2024-03-26 07:19:14)
Responder updated this value.</t>
        </r>
      </text>
    </comment>
    <comment ref="AZ116" authorId="0" shapeId="0" xr:uid="{D226D8DE-48AC-48FF-8788-CBBA5B19847B}">
      <text>
        <r>
          <rPr>
            <sz val="11"/>
            <color indexed="8"/>
            <rFont val="Calibri"/>
            <family val="2"/>
          </rPr>
          <t>======
ID#AAABKOdA0WA
    (2024-03-26 07:19:14)
Responder updated this value.</t>
        </r>
      </text>
    </comment>
    <comment ref="AZ151" authorId="0" shapeId="0" xr:uid="{CE410935-E9F2-43AF-8B06-91C555F77452}">
      <text>
        <r>
          <rPr>
            <sz val="11"/>
            <color indexed="8"/>
            <rFont val="Calibri"/>
            <family val="2"/>
          </rPr>
          <t>======
ID#AAABKOdA0V0
    (2024-03-26 07:19:14)
Responder updated this value.</t>
        </r>
      </text>
    </comment>
    <comment ref="AZ221" authorId="0" shapeId="0" xr:uid="{4CDBD5C4-13F2-4E18-BFAB-054AFDAE5A23}">
      <text>
        <r>
          <rPr>
            <sz val="11"/>
            <color indexed="8"/>
            <rFont val="Calibri"/>
            <family val="2"/>
          </rPr>
          <t>======
ID#AAABKOdA0WE
    (2024-03-26 07:19:14)
Responder updated this value.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3" authorId="0" shapeId="0" xr:uid="{400A3894-7981-44D4-9AB0-EE3744A6CFC9}">
      <text>
        <r>
          <rPr>
            <sz val="11"/>
            <color indexed="8"/>
            <rFont val="Calibri"/>
            <family val="2"/>
          </rPr>
          <t>======
ID#AAAA7aavyYw
Dimas    (2023-06-15 01:53:22)
NIP KETUKER
74-73</t>
        </r>
      </text>
    </comment>
  </commentList>
</comments>
</file>

<file path=xl/sharedStrings.xml><?xml version="1.0" encoding="utf-8"?>
<sst xmlns="http://schemas.openxmlformats.org/spreadsheetml/2006/main" count="40849" uniqueCount="7151">
  <si>
    <t xml:space="preserve">JENIS KELAMIN </t>
  </si>
  <si>
    <t>NO</t>
  </si>
  <si>
    <t>JUMLAH</t>
  </si>
  <si>
    <t xml:space="preserve">LAKI LAKI </t>
  </si>
  <si>
    <t>PEREMPUAN</t>
  </si>
  <si>
    <t>TOTAL</t>
  </si>
  <si>
    <t>Berdasarkan Jumlah Karyawan</t>
  </si>
  <si>
    <t>No</t>
  </si>
  <si>
    <t>Penempatan</t>
  </si>
  <si>
    <t>Golongan</t>
  </si>
  <si>
    <t>Jumlah</t>
  </si>
  <si>
    <t>Direksi</t>
  </si>
  <si>
    <t>Organik INKA</t>
  </si>
  <si>
    <t>IMSS Tetap</t>
  </si>
  <si>
    <t>PKWT</t>
  </si>
  <si>
    <t>Kantor Salak</t>
  </si>
  <si>
    <t>GUDANG</t>
  </si>
  <si>
    <t xml:space="preserve">INKA </t>
  </si>
  <si>
    <t>MRO</t>
  </si>
  <si>
    <t>PMU</t>
  </si>
  <si>
    <t>Bandung</t>
  </si>
  <si>
    <t>Aceh</t>
  </si>
  <si>
    <t>Makassar</t>
  </si>
  <si>
    <t>Klaten</t>
  </si>
  <si>
    <t>Jakarta</t>
  </si>
  <si>
    <t>Palembang</t>
  </si>
  <si>
    <t>Padang</t>
  </si>
  <si>
    <t>Solo</t>
  </si>
  <si>
    <t>Purwodadi</t>
  </si>
  <si>
    <t>Lampung</t>
  </si>
  <si>
    <t>Medan</t>
  </si>
  <si>
    <t>Surabaya</t>
  </si>
  <si>
    <t>Banyuwangi</t>
  </si>
  <si>
    <t>Yogyakarta</t>
  </si>
  <si>
    <t xml:space="preserve">Proyek </t>
  </si>
  <si>
    <t>5R</t>
  </si>
  <si>
    <t>AC</t>
  </si>
  <si>
    <t>Aftersales 612 Jogja</t>
  </si>
  <si>
    <t>Aftersales 612 Malang</t>
  </si>
  <si>
    <t>Aftersales 612 Solo</t>
  </si>
  <si>
    <t>Aftersales 612 Surabaya</t>
  </si>
  <si>
    <t>Aftersales GGW TEL</t>
  </si>
  <si>
    <t>Aftersales KRDE Makassar-Parepare</t>
  </si>
  <si>
    <t>Akuntansi</t>
  </si>
  <si>
    <t>Bogie</t>
  </si>
  <si>
    <t>Bus Bandung</t>
  </si>
  <si>
    <t>Bus Surabaya</t>
  </si>
  <si>
    <t>Cut Meutia</t>
  </si>
  <si>
    <t>DIREKSI</t>
  </si>
  <si>
    <t>Gudang</t>
  </si>
  <si>
    <t>Keuangan</t>
  </si>
  <si>
    <t>KRL KfW</t>
  </si>
  <si>
    <t>KRL Soetta</t>
  </si>
  <si>
    <t>Listrik</t>
  </si>
  <si>
    <t>Logistik</t>
  </si>
  <si>
    <t>LRT Jabo Aftersales</t>
  </si>
  <si>
    <t>LRT Jabo Helper</t>
  </si>
  <si>
    <t>LRT Palembang</t>
  </si>
  <si>
    <t>Op Forklift</t>
  </si>
  <si>
    <t>Pemasaran</t>
  </si>
  <si>
    <t>Nama</t>
  </si>
  <si>
    <t>NIP Aktif</t>
  </si>
  <si>
    <t>Pend Diakui</t>
  </si>
  <si>
    <t>Jurusan</t>
  </si>
  <si>
    <t>Almamater</t>
  </si>
  <si>
    <t>Pengelolaan Proyek Wilayah I</t>
  </si>
  <si>
    <t>TAHUN</t>
  </si>
  <si>
    <t>Jumlah Pegawai</t>
  </si>
  <si>
    <t>wanita</t>
  </si>
  <si>
    <t>BANGKIT SANJAYA</t>
  </si>
  <si>
    <t>D3</t>
  </si>
  <si>
    <t>Teknik Pemeliharaan Fasilitas Listrik</t>
  </si>
  <si>
    <t>Politeknik Negeri Madiun</t>
  </si>
  <si>
    <t>Pengelolaan Proyek Wilayah II</t>
  </si>
  <si>
    <t>NOVIKASARI</t>
  </si>
  <si>
    <t>S1</t>
  </si>
  <si>
    <t>Pendidikan Biologi</t>
  </si>
  <si>
    <t>Universitas PGRI Madiun</t>
  </si>
  <si>
    <t>Perawatan KRDE Makassar- Parepare</t>
  </si>
  <si>
    <t>SATRIA GUSTIANA RAHARDI</t>
  </si>
  <si>
    <t>Hukum</t>
  </si>
  <si>
    <t>Universitas Brawijaya</t>
  </si>
  <si>
    <t>AHMAD YUDHA FITRIANTO</t>
  </si>
  <si>
    <t>Manajemen</t>
  </si>
  <si>
    <t>Universitas Diponegoro</t>
  </si>
  <si>
    <t>QC</t>
  </si>
  <si>
    <t>R SONNY YANUPRAJA</t>
  </si>
  <si>
    <t>Teknik Elektro</t>
  </si>
  <si>
    <t>QC INKA</t>
  </si>
  <si>
    <t>kecelakaan kerja</t>
  </si>
  <si>
    <t>HARTONO</t>
  </si>
  <si>
    <t>Teknik Mesin</t>
  </si>
  <si>
    <t>Universitas Merdeka Madiun</t>
  </si>
  <si>
    <t>RB Bathara Kresna</t>
  </si>
  <si>
    <t>?</t>
  </si>
  <si>
    <t>DELA OKTAVIANA</t>
  </si>
  <si>
    <t>Administrasi Bisnis</t>
  </si>
  <si>
    <t>RB Lembah Anai</t>
  </si>
  <si>
    <t>ANGGITANA SUSIACCA PRIMA PUTRA</t>
  </si>
  <si>
    <t>Teknologi Mekanika Perkeretaapian</t>
  </si>
  <si>
    <t>Politeknik Perkeretaapian Indonesia Madiun</t>
  </si>
  <si>
    <t>RENDAL PPA</t>
  </si>
  <si>
    <t>REZA DENNYZA SATRIAWAN</t>
  </si>
  <si>
    <t>Univ. Ma Chung Malang</t>
  </si>
  <si>
    <t>SDM dan Umum</t>
  </si>
  <si>
    <t>FITTA FRIDDITTA ARIEF</t>
  </si>
  <si>
    <t>Teknik Industri</t>
  </si>
  <si>
    <t>Sekper, Legal dan Tata Kelola</t>
  </si>
  <si>
    <t>BAGUS ADIIB AL-HAQ</t>
  </si>
  <si>
    <t>S2</t>
  </si>
  <si>
    <t>Teknik dan Manajemen Industri</t>
  </si>
  <si>
    <t>Institut Teknologi Bandung (ITB)</t>
  </si>
  <si>
    <t>Sipil</t>
  </si>
  <si>
    <t>BIMA AJI KURNIAWAN</t>
  </si>
  <si>
    <t>Universitas Sebelas Maret Surakarta</t>
  </si>
  <si>
    <t>SMK3</t>
  </si>
  <si>
    <t>SPI</t>
  </si>
  <si>
    <t>TA BIAS</t>
  </si>
  <si>
    <t>Teklog</t>
  </si>
  <si>
    <t>Teknik</t>
  </si>
  <si>
    <t>Teknik dan Logistik</t>
  </si>
  <si>
    <t>Wilayah I</t>
  </si>
  <si>
    <t>Wilayah II</t>
  </si>
  <si>
    <t>Aftersales 612 Jakarta</t>
  </si>
  <si>
    <t>LRT Jabo VM Helper Testing</t>
  </si>
  <si>
    <t>SMN loko Administrasi</t>
  </si>
  <si>
    <t>SMN Loko Jakarta</t>
  </si>
  <si>
    <t>SMN Loko Lampung</t>
  </si>
  <si>
    <t>SMN Loko Medan</t>
  </si>
  <si>
    <t>SMN Loko Purwodadi</t>
  </si>
  <si>
    <t>STRUKTURAL &amp; FUNGSIONAL</t>
  </si>
  <si>
    <t>Berdasarkan Jenis Kelamin</t>
  </si>
  <si>
    <t>Laki-Laki</t>
  </si>
  <si>
    <t>Perempuan</t>
  </si>
  <si>
    <t>Total</t>
  </si>
  <si>
    <t>IMSS PKWT</t>
  </si>
  <si>
    <t>Karyawan IMSS Berdasarkan Jabatan Jenis Kelamin</t>
  </si>
  <si>
    <t>Kepala Departemen</t>
  </si>
  <si>
    <t>Kepala Bagian</t>
  </si>
  <si>
    <t>Staff</t>
  </si>
  <si>
    <t>Leader</t>
  </si>
  <si>
    <t>Pelaksana</t>
  </si>
  <si>
    <t>Kepala Divisi</t>
  </si>
  <si>
    <t xml:space="preserve"> Karyawan IMSS Berdasarkan Divisi Jenis Kelamin</t>
  </si>
  <si>
    <t>Maintenance Repair Overhaul</t>
  </si>
  <si>
    <t>Berdasarkan Usia</t>
  </si>
  <si>
    <t xml:space="preserve">Golongan </t>
  </si>
  <si>
    <t>&lt; 25 tahun</t>
  </si>
  <si>
    <t>25 s.d 40 tahun</t>
  </si>
  <si>
    <t>&gt; 40 tahun</t>
  </si>
  <si>
    <t>Berdasarkan Pendidikan</t>
  </si>
  <si>
    <t>Administrasi/ Non Teknis</t>
  </si>
  <si>
    <t>Teknisi/ teknis</t>
  </si>
  <si>
    <t>SMP</t>
  </si>
  <si>
    <t>SMA / SMK</t>
  </si>
  <si>
    <t>D2</t>
  </si>
  <si>
    <t>D4</t>
  </si>
  <si>
    <t>Berdasarkan Pendidikan SMP</t>
  </si>
  <si>
    <t>Berdasarkan agama</t>
  </si>
  <si>
    <t>Office</t>
  </si>
  <si>
    <t>Lapangan</t>
  </si>
  <si>
    <t>Islam</t>
  </si>
  <si>
    <t>Kristen</t>
  </si>
  <si>
    <t>Katolik</t>
  </si>
  <si>
    <t>Hindu</t>
  </si>
  <si>
    <t>Budha</t>
  </si>
  <si>
    <t>Karyawan Berdasarkan Sebaran Proyek Dan Divisi</t>
  </si>
  <si>
    <t>PT INKA
PERAWATAN KA</t>
  </si>
  <si>
    <t>PT INKA 
MRO/PPA</t>
  </si>
  <si>
    <t>Site</t>
  </si>
  <si>
    <t>Aftersales Stainless New Gen</t>
  </si>
  <si>
    <t>Bus Listrik</t>
  </si>
  <si>
    <t>Fasilitas Pemeliharaan dan Sipil</t>
  </si>
  <si>
    <t>Forklift</t>
  </si>
  <si>
    <t>KRDE Makassar- Parepare</t>
  </si>
  <si>
    <t>LRT Jabodebek</t>
  </si>
  <si>
    <t>MRO Banyuwangi</t>
  </si>
  <si>
    <t>Pemeliharaan Aset</t>
  </si>
  <si>
    <t xml:space="preserve">QC Final </t>
  </si>
  <si>
    <t>SMN loko Admin</t>
  </si>
  <si>
    <t>total</t>
  </si>
  <si>
    <t>Karyawan Kopinka</t>
  </si>
  <si>
    <t>Status Pegawai</t>
  </si>
  <si>
    <t>Divisi</t>
  </si>
  <si>
    <t>Heri</t>
  </si>
  <si>
    <t>KOPINKA</t>
  </si>
  <si>
    <t>DRIVER</t>
  </si>
  <si>
    <t>IMSS</t>
  </si>
  <si>
    <t>AGUS SUSILO</t>
  </si>
  <si>
    <t>keamanan</t>
  </si>
  <si>
    <t>Arya Apri</t>
  </si>
  <si>
    <t>HERMANTO</t>
  </si>
  <si>
    <t>SAMINI</t>
  </si>
  <si>
    <t>CS</t>
  </si>
  <si>
    <t>SIRAN</t>
  </si>
  <si>
    <t>Viki Didik Prasetyo</t>
  </si>
  <si>
    <t>KAPANG</t>
  </si>
  <si>
    <t>Sigit Wijaya</t>
  </si>
  <si>
    <t>PERNIKAHAN</t>
  </si>
  <si>
    <t>BELUM KAWIN</t>
  </si>
  <si>
    <t>(</t>
  </si>
  <si>
    <t>)</t>
  </si>
  <si>
    <t>KAWIN</t>
  </si>
  <si>
    <t>CERAI</t>
  </si>
  <si>
    <t>INKA</t>
  </si>
  <si>
    <t>Staf / Staf / Leader</t>
  </si>
  <si>
    <t>Staf / Pelaksana / Teknisi</t>
  </si>
  <si>
    <t>Fasilitas Pemeliharaan dan Pemeliharaan Fasilitas Sipil</t>
  </si>
  <si>
    <t>Pengelolaan dan Pengendalian Aset INKA</t>
  </si>
  <si>
    <t>Staf Ahli Direktur Utama</t>
  </si>
  <si>
    <t xml:space="preserve"> Karyawan IMSS + INKA Berdasarkan Divisi Jenis Kelamin</t>
  </si>
  <si>
    <t>Distribusi Pada Status Pegawai</t>
  </si>
  <si>
    <t>Jenis Kelamin</t>
  </si>
  <si>
    <t>Kariawan IMSS dan Perbantuan</t>
  </si>
  <si>
    <t>Status Pernikahan</t>
  </si>
  <si>
    <t>DISTRIBUSI PEGAWAI PT IMSS PADA TIAP UNIT KERJA</t>
  </si>
  <si>
    <t>Status Pendidikan</t>
  </si>
  <si>
    <t>Madiun</t>
  </si>
  <si>
    <t>Periode Kontrak I</t>
  </si>
  <si>
    <t>Periode Kontrak II</t>
  </si>
  <si>
    <t>Periode Kontrak III</t>
  </si>
  <si>
    <t>KH hari</t>
  </si>
  <si>
    <t>Rekening Mandiri</t>
  </si>
  <si>
    <t>Rekening BSI</t>
  </si>
  <si>
    <t>Rekrutmen</t>
  </si>
  <si>
    <t>Domisili</t>
  </si>
  <si>
    <t>Tgl Masuk/ Mutasi</t>
  </si>
  <si>
    <t>Masa Kerja (Tahun)</t>
  </si>
  <si>
    <t>Masa Kerja (Bulan)</t>
  </si>
  <si>
    <t>Karyawan</t>
  </si>
  <si>
    <t>SK Pengangkatan/ Mutasi/ No Kontrak</t>
  </si>
  <si>
    <t>Tgl. Pengangkatan/ Akhir Kontrak</t>
  </si>
  <si>
    <t>Jabatan INKA</t>
  </si>
  <si>
    <t>Jabatan IMSS</t>
  </si>
  <si>
    <t>Administrasi/ Teknisi</t>
  </si>
  <si>
    <t>Kota/Lokasi Kerja</t>
  </si>
  <si>
    <t>Bagian / Proyek</t>
  </si>
  <si>
    <t>Departemen / Sub Proyek</t>
  </si>
  <si>
    <t>Direktorat</t>
  </si>
  <si>
    <t>Sertifikat</t>
  </si>
  <si>
    <t>Surat Peringatan Terakhir</t>
  </si>
  <si>
    <t>Tempat Lahir</t>
  </si>
  <si>
    <t>Tgl Lahir</t>
  </si>
  <si>
    <t>Usia</t>
  </si>
  <si>
    <t>No. KTP</t>
  </si>
  <si>
    <t>Alamat</t>
  </si>
  <si>
    <t>No. HP</t>
  </si>
  <si>
    <t>No Whatsapp</t>
  </si>
  <si>
    <t>No Linkaja</t>
  </si>
  <si>
    <t xml:space="preserve">Email </t>
  </si>
  <si>
    <t>BPJS Kes</t>
  </si>
  <si>
    <t>BPJS TK</t>
  </si>
  <si>
    <t>Suami/Istri</t>
  </si>
  <si>
    <t>Anak 1</t>
  </si>
  <si>
    <t>Anak 2</t>
  </si>
  <si>
    <t>Anak 3</t>
  </si>
  <si>
    <t>Tambahan</t>
  </si>
  <si>
    <t>Ayah Kandung</t>
  </si>
  <si>
    <t>Ibu Kandung</t>
  </si>
  <si>
    <t>Ayah Mertua</t>
  </si>
  <si>
    <t>Ibu Mertua</t>
  </si>
  <si>
    <t>Jumlah Tanggungan</t>
  </si>
  <si>
    <t>Status Pajak</t>
  </si>
  <si>
    <t>Column1</t>
  </si>
  <si>
    <t>NPWP</t>
  </si>
  <si>
    <t>Agama</t>
  </si>
  <si>
    <t>Tahun Lulus</t>
  </si>
  <si>
    <t>Pend. Terakhir</t>
  </si>
  <si>
    <t>Jurusan Terakhir</t>
  </si>
  <si>
    <t>Almamater Terakhir</t>
  </si>
  <si>
    <t>Tahun Lulus2</t>
  </si>
  <si>
    <t>MPP</t>
  </si>
  <si>
    <t>Pensiun</t>
  </si>
  <si>
    <t>Ukuran Baju (Huruf)</t>
  </si>
  <si>
    <t>Ukuran Celana (Huruf)</t>
  </si>
  <si>
    <t>Ukuran Sepatu (Angka)</t>
  </si>
  <si>
    <t>Vaksin I</t>
  </si>
  <si>
    <t>Vaksin II</t>
  </si>
  <si>
    <t>Vaksin III</t>
  </si>
  <si>
    <t>No Kontrak</t>
  </si>
  <si>
    <t>Awal</t>
  </si>
  <si>
    <t>Akhir</t>
  </si>
  <si>
    <t>PB I</t>
  </si>
  <si>
    <t>No Kontrak2</t>
  </si>
  <si>
    <t>Awal2</t>
  </si>
  <si>
    <t>Akhir2</t>
  </si>
  <si>
    <t>PB II</t>
  </si>
  <si>
    <t>No Kontrak3</t>
  </si>
  <si>
    <t>Awal3</t>
  </si>
  <si>
    <t>Akhir3</t>
  </si>
  <si>
    <t>PB III</t>
  </si>
  <si>
    <t>Column3</t>
  </si>
  <si>
    <t>TETAP</t>
  </si>
  <si>
    <t>INDAH PURWANTI</t>
  </si>
  <si>
    <t>SK-04/INKA/2022</t>
  </si>
  <si>
    <t>Manager</t>
  </si>
  <si>
    <t>Administrasi</t>
  </si>
  <si>
    <t>PT Periska Multi Usaha</t>
  </si>
  <si>
    <t>Utama</t>
  </si>
  <si>
    <t>357703410370000 2</t>
  </si>
  <si>
    <t>Jl P.Pesona Anggrek Jingga No.B-5 RT.007 RW.001, Sidorejo, Wungu, Madiun</t>
  </si>
  <si>
    <t>+62 852-3573-3300</t>
  </si>
  <si>
    <t>0001127773708</t>
  </si>
  <si>
    <t>RUSMANTO</t>
  </si>
  <si>
    <t>QORY OLYVIA INDAH R</t>
  </si>
  <si>
    <t>GHAZI AL HAKIM</t>
  </si>
  <si>
    <t xml:space="preserve"> </t>
  </si>
  <si>
    <t>SMA</t>
  </si>
  <si>
    <t>IPS</t>
  </si>
  <si>
    <t>AGUNG SETIAWAN</t>
  </si>
  <si>
    <t>1710016111463</t>
  </si>
  <si>
    <t>Magetan</t>
  </si>
  <si>
    <t>Teknisi</t>
  </si>
  <si>
    <t>Operasi</t>
  </si>
  <si>
    <t>Laki-laki</t>
  </si>
  <si>
    <t>Ponorogo</t>
  </si>
  <si>
    <t>3520052408940001</t>
  </si>
  <si>
    <t>Ds. Kawedanan RT/RW 17/04 Kec. Kawedanan Magetan</t>
  </si>
  <si>
    <t>085 784 904 340</t>
  </si>
  <si>
    <t>085784904340</t>
  </si>
  <si>
    <t>Agungsetiawan2507@gmail.com</t>
  </si>
  <si>
    <t>0001703337401</t>
  </si>
  <si>
    <t xml:space="preserve">	24154903686</t>
  </si>
  <si>
    <t>SUGITO</t>
  </si>
  <si>
    <t>TUMIRAH</t>
  </si>
  <si>
    <t>Smk</t>
  </si>
  <si>
    <t>Teknik Pengelasan</t>
  </si>
  <si>
    <t>SMK N 1 Bendo</t>
  </si>
  <si>
    <t>L5</t>
  </si>
  <si>
    <t>X L4</t>
  </si>
  <si>
    <t>MUHAMMAD TSAMARAH NATIZATUS SULUK</t>
  </si>
  <si>
    <t>1710016324892</t>
  </si>
  <si>
    <t>3577031704010002</t>
  </si>
  <si>
    <t>PERUM PANORAMA WILIS B/2 KEL.PANDEAN KEC.TAMAN KOTA MADIUN</t>
  </si>
  <si>
    <t>0895341197500</t>
  </si>
  <si>
    <t>muhammadiza33@gmail.com</t>
  </si>
  <si>
    <t>0002416864836</t>
  </si>
  <si>
    <t>-</t>
  </si>
  <si>
    <t>islam</t>
  </si>
  <si>
    <t>XL</t>
  </si>
  <si>
    <t>OKY NUR FAHREZI</t>
  </si>
  <si>
    <t>1710016324934</t>
  </si>
  <si>
    <t>Garut</t>
  </si>
  <si>
    <t>3519071309980003</t>
  </si>
  <si>
    <t>Jalan Teratai RT 08/02 Kecamatan Wungu Kabupaten Madiun,63181</t>
  </si>
  <si>
    <t>083821219792</t>
  </si>
  <si>
    <t>081333667498</t>
  </si>
  <si>
    <t>okynurfahrezi123@gmail.com</t>
  </si>
  <si>
    <t>0001045283703</t>
  </si>
  <si>
    <t>SMK</t>
  </si>
  <si>
    <t>SMK Gamaliel 1 Madiun</t>
  </si>
  <si>
    <t>L</t>
  </si>
  <si>
    <t>RISMA ALFIYANI</t>
  </si>
  <si>
    <t>1710016324900</t>
  </si>
  <si>
    <t>3519035308010001</t>
  </si>
  <si>
    <t>Ds. Jatisari RT.08 RW.02, Geger, Madiun</t>
  </si>
  <si>
    <t>082335222595</t>
  </si>
  <si>
    <t>rismaalfiyani36@gmail.com</t>
  </si>
  <si>
    <t>0003432923302</t>
  </si>
  <si>
    <t xml:space="preserve">Islam </t>
  </si>
  <si>
    <t>M</t>
  </si>
  <si>
    <t>WARDHANI PUNTO PRABOWO</t>
  </si>
  <si>
    <t>1710016324843</t>
  </si>
  <si>
    <t>3577012804020002</t>
  </si>
  <si>
    <t>Jl. Pilang Madya No.29 001/001 Kelurahan Pilangbango Kecamatan Kartoharjo</t>
  </si>
  <si>
    <t>087761402458</t>
  </si>
  <si>
    <t>wardhanipunto28@gmail.com</t>
  </si>
  <si>
    <t>0001704811937</t>
  </si>
  <si>
    <t xml:space="preserve">Politeknik Negeri Madiun </t>
  </si>
  <si>
    <t>XXL</t>
  </si>
  <si>
    <t>YUSUF ABDULLAH</t>
  </si>
  <si>
    <t>1710016324959</t>
  </si>
  <si>
    <t xml:space="preserve">Madiun </t>
  </si>
  <si>
    <t>3519041404990001</t>
  </si>
  <si>
    <t>Desa Banjarsari Wetan Rt.06 Rw.02 Kec. Dagangan Kab. Madiun madiun</t>
  </si>
  <si>
    <t>085854130555</t>
  </si>
  <si>
    <t>+62 858-5413-0555</t>
  </si>
  <si>
    <t xml:space="preserve">yusufonline14@gmail.com </t>
  </si>
  <si>
    <t>0000102370735</t>
  </si>
  <si>
    <t xml:space="preserve">Politeknik Perkeretaapian Indonesia </t>
  </si>
  <si>
    <t>DWI ANNA ANDIK PRASETYO</t>
  </si>
  <si>
    <t>SK-06/D1/IMSS/2016</t>
  </si>
  <si>
    <t>Ahli Perawatan Gedung</t>
  </si>
  <si>
    <t>352005270674000 1</t>
  </si>
  <si>
    <t>Jl. Lempuyang No 11 RT 004 RW 001 Kel. Ngegong Kec. Manguharjo Kota Madiun</t>
  </si>
  <si>
    <t>+62 813-3490-0827</t>
  </si>
  <si>
    <t>dwiae18@gmail.com</t>
  </si>
  <si>
    <t>0001204471528</t>
  </si>
  <si>
    <t>AMALIA ANDINI</t>
  </si>
  <si>
    <t>ABIYAZ AHMAD ABIMATA</t>
  </si>
  <si>
    <t>Universitas Wisnuwardhana Malang</t>
  </si>
  <si>
    <t>RIKA KUSUMANING INDRATMOKO</t>
  </si>
  <si>
    <t>SK-07/D1/IMSS/2016</t>
  </si>
  <si>
    <t>357703460788000 2</t>
  </si>
  <si>
    <t>Jl. Cendana Manis III No. 2 RT 049 RW 002 Kel. Manisrejo Kec. Taman Kota Madiun</t>
  </si>
  <si>
    <t>+62 813-5716-5553</t>
  </si>
  <si>
    <t>kusuma.rika88@gmail.com</t>
  </si>
  <si>
    <t>0001703366493</t>
  </si>
  <si>
    <t>FAHLIAN JOHANSYAH</t>
  </si>
  <si>
    <t>ULFA AZZAHRA JOHANSYAH</t>
  </si>
  <si>
    <t>NAYLA RASHIDA JOHANSYAH</t>
  </si>
  <si>
    <t>702241340621000</t>
  </si>
  <si>
    <t>Universitas Gadjah Mada</t>
  </si>
  <si>
    <t>IRWAN AHMADI</t>
  </si>
  <si>
    <t>Perawatan AC</t>
  </si>
  <si>
    <t>351914080890000 1</t>
  </si>
  <si>
    <t>Kajang 011/002 Kel. Kajang, Kec.Sawahan, Kab. Madiun</t>
  </si>
  <si>
    <t>0857 0882 7309</t>
  </si>
  <si>
    <t>ahmadiirwan770@gmail.com</t>
  </si>
  <si>
    <t>0001865422686</t>
  </si>
  <si>
    <t>KEVIN ALDAN ALWAFI</t>
  </si>
  <si>
    <t>MARDI</t>
  </si>
  <si>
    <t>SUPARTUN</t>
  </si>
  <si>
    <t>SUPARLAN</t>
  </si>
  <si>
    <t>JUMIATUN</t>
  </si>
  <si>
    <t>05.517.620.0-621.000</t>
  </si>
  <si>
    <t>MTS N Kota Madiun</t>
  </si>
  <si>
    <t>PB-56/XII/IMSS/2019</t>
  </si>
  <si>
    <t>PKWT-971900032/D1/2020</t>
  </si>
  <si>
    <t>AGUS SANTOSO</t>
  </si>
  <si>
    <t>Fungsional</t>
  </si>
  <si>
    <t>357702160873000 1</t>
  </si>
  <si>
    <t>Jl. Singosari III/12 B RT/RW 013/003 Patihan Manguharjo Madiun</t>
  </si>
  <si>
    <t>0819 3172 9473</t>
  </si>
  <si>
    <t>0812 9277 8518</t>
  </si>
  <si>
    <t>Dekecenk@gmail.com</t>
  </si>
  <si>
    <t>0001865423924</t>
  </si>
  <si>
    <t>DIAN ARINDA EKANINGTYAS</t>
  </si>
  <si>
    <t>QUINSHA AGUSTINA PUTRI</t>
  </si>
  <si>
    <t>PB-55/XII/IMSS/2019</t>
  </si>
  <si>
    <t>PKWT-641807168/D1/2020</t>
  </si>
  <si>
    <t>ALFIRINA ARDYASTUTIK</t>
  </si>
  <si>
    <t>Ngawi</t>
  </si>
  <si>
    <t>SK-11/D1/IMSS/2016</t>
  </si>
  <si>
    <t>Pendidikan Khusus Profesi Advokat</t>
  </si>
  <si>
    <t>352109550192000 2</t>
  </si>
  <si>
    <t xml:space="preserve">Griya Lawu Indah VI/27 RT 004 RW 016 Kel. Jururejo Kec. Ngawi </t>
  </si>
  <si>
    <t>+62 821-4319-6215</t>
  </si>
  <si>
    <t>alfirina92@gmail.com</t>
  </si>
  <si>
    <t>0000105789003</t>
  </si>
  <si>
    <t>IMAM AGUS ASFARORI</t>
  </si>
  <si>
    <t>Lamongan</t>
  </si>
  <si>
    <t>SK-10/D1/IMSS/2018</t>
  </si>
  <si>
    <t>MSA</t>
  </si>
  <si>
    <t>KRL Bandara Soekarno Hatta</t>
  </si>
  <si>
    <t>K3 Umum</t>
  </si>
  <si>
    <t>517104080893000 2</t>
  </si>
  <si>
    <t>Bantengputih RT 002 RW 002 Kel Bantengputih Kec Karanggeneng Lamongan</t>
  </si>
  <si>
    <t>+62 856-0738-0746</t>
  </si>
  <si>
    <t>agusasfaro88@gmail.com</t>
  </si>
  <si>
    <t>0001865428637</t>
  </si>
  <si>
    <t>DIAN PRATIWI</t>
  </si>
  <si>
    <t>NUR SABILLI ROZAK</t>
  </si>
  <si>
    <t>MAHMUDAH</t>
  </si>
  <si>
    <t>ISKANDAR TRI ADMOJO</t>
  </si>
  <si>
    <t>HESTI JUMIYATI</t>
  </si>
  <si>
    <t>91.381.866.2-645.000</t>
  </si>
  <si>
    <t>Universitas Soerjo Ngawi</t>
  </si>
  <si>
    <t>PUPUT WAHYUDHIANTO</t>
  </si>
  <si>
    <t>SK-001/D1/IMSS/2019</t>
  </si>
  <si>
    <t>Staf / Leader</t>
  </si>
  <si>
    <t>SMN</t>
  </si>
  <si>
    <t>Perawat Sarana</t>
  </si>
  <si>
    <t>352011280987000 2</t>
  </si>
  <si>
    <t xml:space="preserve">Jl. Duren No 187 RT/RW 07/01 Suratmajan Maospati Magetan </t>
  </si>
  <si>
    <t>0852 1387 6687</t>
  </si>
  <si>
    <t xml:space="preserve">Puputwahyudhianto@gmail.com </t>
  </si>
  <si>
    <t>0001306579454</t>
  </si>
  <si>
    <t>SULIS SETIAWATI</t>
  </si>
  <si>
    <t>ACHMAD REYNAND FANDYANTO</t>
  </si>
  <si>
    <t>SUGIYANTO</t>
  </si>
  <si>
    <t>SRI WAHYUNI</t>
  </si>
  <si>
    <t>SUPARMAN</t>
  </si>
  <si>
    <t>SULASMI</t>
  </si>
  <si>
    <t>85.113.700.0-646.000</t>
  </si>
  <si>
    <t xml:space="preserve">SMK </t>
  </si>
  <si>
    <t>SADIKUN</t>
  </si>
  <si>
    <t>SK-002/D1/IMSS/2017</t>
  </si>
  <si>
    <t>352015240875000 1</t>
  </si>
  <si>
    <t>Karasan, 017/005 Kartoharjo, Kec Kartoharjo, Kab. Magetan</t>
  </si>
  <si>
    <t>0813 8096 7174</t>
  </si>
  <si>
    <t>Dkwonthox499@gmail.com</t>
  </si>
  <si>
    <t>0001306630721</t>
  </si>
  <si>
    <t>SARIYEM</t>
  </si>
  <si>
    <t>ARVEL ADISBASTIAN</t>
  </si>
  <si>
    <t>NIA MIAQUROTA</t>
  </si>
  <si>
    <t>DIANDRA MIAQURANI</t>
  </si>
  <si>
    <t>SMK Swasta PGRI Maospati</t>
  </si>
  <si>
    <t>TRI ANANG SUSANTO</t>
  </si>
  <si>
    <t>SK-001/D1/IMSS/2017</t>
  </si>
  <si>
    <t>351903060676000 3</t>
  </si>
  <si>
    <t>Jl Kartini, 005/002 Uteran, Geger, Kab. Madiun</t>
  </si>
  <si>
    <t>0813 5921 7004</t>
  </si>
  <si>
    <t>tri220anang@gmail.com</t>
  </si>
  <si>
    <t>0001865422585</t>
  </si>
  <si>
    <t>APRIYANTI</t>
  </si>
  <si>
    <t>MUHAMMAD ABYAN AL IRSYAD</t>
  </si>
  <si>
    <t>REGITA DWI CAHYANI</t>
  </si>
  <si>
    <t>EKY NUR TRIANTI</t>
  </si>
  <si>
    <t xml:space="preserve">SMK Swasta 17 Mangunharjo </t>
  </si>
  <si>
    <t>JOKO SUTRISNO</t>
  </si>
  <si>
    <t>SK-005/D1/IMSS/2017</t>
  </si>
  <si>
    <t>351902150779000 1</t>
  </si>
  <si>
    <t>Jl.Toto Tentrem No 23 RT/RW 013/003 Dolopo, Madiun</t>
  </si>
  <si>
    <t>0853 8259 5912</t>
  </si>
  <si>
    <t>jokosutrisnoloco@gmail.com</t>
  </si>
  <si>
    <t>0001306565908</t>
  </si>
  <si>
    <t xml:space="preserve">NURHAYATI </t>
  </si>
  <si>
    <t>RISNA FRIDARIANTI SUEB</t>
  </si>
  <si>
    <t>DIAJENG ARUM RAMDANI</t>
  </si>
  <si>
    <t>BINTORO</t>
  </si>
  <si>
    <t>SUWARNI</t>
  </si>
  <si>
    <t>LANANG KARTONO</t>
  </si>
  <si>
    <t>KASIRAH</t>
  </si>
  <si>
    <t>90.376.836.4-621.000</t>
  </si>
  <si>
    <t>Teknik Otomotif</t>
  </si>
  <si>
    <t>SMK N 1 Madiun</t>
  </si>
  <si>
    <t>ANIK HARI SAKSONO</t>
  </si>
  <si>
    <t>Pemeliharaan Fasilitas Sipil</t>
  </si>
  <si>
    <t>351907290675000 1</t>
  </si>
  <si>
    <t>Jalan Pojok 2 Anggrek 15 RT/RW 011 / 003 Munggut Wungu Madiun</t>
  </si>
  <si>
    <t>0895 3956 16343</t>
  </si>
  <si>
    <t>angeljhon541@gmail.com</t>
  </si>
  <si>
    <t>0001306561195</t>
  </si>
  <si>
    <t>WIJONO</t>
  </si>
  <si>
    <t>SUMARMINI</t>
  </si>
  <si>
    <t>05.561.608.0-015.000</t>
  </si>
  <si>
    <t>Teknik Bangunan</t>
  </si>
  <si>
    <t>PB-59/XII/IMSS/2019</t>
  </si>
  <si>
    <t>PKWT-642201165/D1/2020</t>
  </si>
  <si>
    <t>AGUNG DWI PRABOWO</t>
  </si>
  <si>
    <t>SK-18/D1/IMSS/2019</t>
  </si>
  <si>
    <t>357702110489000 2</t>
  </si>
  <si>
    <t>Jl. Ngebel No 204 Semanding, Jenangan, Ponorogo</t>
  </si>
  <si>
    <t>0812 9095 5982</t>
  </si>
  <si>
    <t>Agungocha552@gmail.com</t>
  </si>
  <si>
    <t>0001306559619</t>
  </si>
  <si>
    <t>FITRIN</t>
  </si>
  <si>
    <t>OCHA AIRIN NUR NIZZA</t>
  </si>
  <si>
    <t>SUGITRI SURYO WIBOWO</t>
  </si>
  <si>
    <t>TETI DIANI</t>
  </si>
  <si>
    <t>ASRANI ANWAR</t>
  </si>
  <si>
    <t>SUPINI</t>
  </si>
  <si>
    <t>42.843.994.7-647.000</t>
  </si>
  <si>
    <t>IPA</t>
  </si>
  <si>
    <t>Paket C</t>
  </si>
  <si>
    <t>NUR CAHYONO</t>
  </si>
  <si>
    <t>Perintis</t>
  </si>
  <si>
    <t>352004261287000 1</t>
  </si>
  <si>
    <t>Dsn. Gendut RT 11/RW 03, Desa Metesih, Kec. Jiwan, Kab Madiun</t>
  </si>
  <si>
    <t>0813 7398 3949</t>
  </si>
  <si>
    <t>gaguk.gn@gmail.com</t>
  </si>
  <si>
    <t>0001322273057</t>
  </si>
  <si>
    <t>RESTA KUMALA DEWI</t>
  </si>
  <si>
    <t>ARUMI KANAHAYA QONITA</t>
  </si>
  <si>
    <t>TEKAT</t>
  </si>
  <si>
    <t>YAHMI</t>
  </si>
  <si>
    <t>WIYONO</t>
  </si>
  <si>
    <t>ISMINI</t>
  </si>
  <si>
    <t>96.215.600.6-429.000</t>
  </si>
  <si>
    <t>SMK Taman Siswa 2 Madiun</t>
  </si>
  <si>
    <t>DEDY CANDRA KRISTIANTO</t>
  </si>
  <si>
    <t>SK-10B/D1/IMSS/2018</t>
  </si>
  <si>
    <t>Pembelian</t>
  </si>
  <si>
    <t>Tuban</t>
  </si>
  <si>
    <t xml:space="preserve">352302271084000 3 </t>
  </si>
  <si>
    <t>Jl. Solo 179/B RT 015 RW 004 Jiwan, Kab Madiun</t>
  </si>
  <si>
    <t>+62 812-3151-6349</t>
  </si>
  <si>
    <t>cdedy01@gmai.com</t>
  </si>
  <si>
    <t>0001865429662</t>
  </si>
  <si>
    <t>SANTI DIYAN PRATIWI</t>
  </si>
  <si>
    <t>ALESHA CANDRA RAMADHANI</t>
  </si>
  <si>
    <t>DHAFITHA CANDRA FARZANA</t>
  </si>
  <si>
    <t>Teknik Informatika</t>
  </si>
  <si>
    <t>Universitas Muhammadiyah Sidoarjo</t>
  </si>
  <si>
    <t>A'AN TAUFIQ</t>
  </si>
  <si>
    <t>SK-04/D1/IMSS/2019</t>
  </si>
  <si>
    <t>Surakarta</t>
  </si>
  <si>
    <t>337204230190000 2</t>
  </si>
  <si>
    <t>Mojosongo RT/RW 02/32 Jebres, Surakarta</t>
  </si>
  <si>
    <t>0812 3919 4717</t>
  </si>
  <si>
    <t>Enk.kalen@gmail.com</t>
  </si>
  <si>
    <t>0001865421933</t>
  </si>
  <si>
    <t>JOKO PURNOMO</t>
  </si>
  <si>
    <t>SK-006/D1/IMSS/2017</t>
  </si>
  <si>
    <t>351909010774000 4</t>
  </si>
  <si>
    <t>Ds Wayut Dusun3 RT26, RW 07 Kec Jiwan, Kab Madiun</t>
  </si>
  <si>
    <t>0852 3537 8914</t>
  </si>
  <si>
    <t>jokopurnomo0102@gmail.com</t>
  </si>
  <si>
    <t>0001789474882</t>
  </si>
  <si>
    <t>SRI WINARTI</t>
  </si>
  <si>
    <t>SEPTIANA PURWANDARI</t>
  </si>
  <si>
    <t>UNGGUL WIDIYANTO</t>
  </si>
  <si>
    <t>SK-004/D1/IMSS/2017</t>
  </si>
  <si>
    <t>331002210988000 1</t>
  </si>
  <si>
    <t>Jogoprayan 001/001, Jogoprayan, Gantiwarno, Klaten, Jawa Tengah</t>
  </si>
  <si>
    <t>0821 3443 9988</t>
  </si>
  <si>
    <t>unggulwidiyanto88@gmail.com</t>
  </si>
  <si>
    <t>0000088141555</t>
  </si>
  <si>
    <t>ROHANI SETYO MANURUN</t>
  </si>
  <si>
    <t>VINO ABINAYA ALEXI WIDIYANTO</t>
  </si>
  <si>
    <t>SUTRISNO</t>
  </si>
  <si>
    <t>Mojokerto</t>
  </si>
  <si>
    <t>Trenggalek</t>
  </si>
  <si>
    <t>350303041193000 2</t>
  </si>
  <si>
    <t>Modongan RT/RW 001/004 Kel Modongan, Kec Sooko, Kab Mojokerto</t>
  </si>
  <si>
    <t>0813 3933 3269</t>
  </si>
  <si>
    <t>Sutrisnob93@gmail.com</t>
  </si>
  <si>
    <t>0001865428964</t>
  </si>
  <si>
    <t xml:space="preserve">SUTRISNO </t>
  </si>
  <si>
    <t>ARSYILA AYRA ANNURADHA</t>
  </si>
  <si>
    <t>LAMIJAN</t>
  </si>
  <si>
    <t>WONI</t>
  </si>
  <si>
    <t>MUCHLASIN</t>
  </si>
  <si>
    <t>SENIPAH</t>
  </si>
  <si>
    <t>46.594.546.7-621.000</t>
  </si>
  <si>
    <t>SMK Cokroaminoto 2 Madiun</t>
  </si>
  <si>
    <t>S</t>
  </si>
  <si>
    <t>LINGGA BEKTI KURNIANTO</t>
  </si>
  <si>
    <t>357702280691000 1</t>
  </si>
  <si>
    <t>Jl. Hayamuruk No 15 Gg Wahyu , Kec Manguharjo, Kel. Manguharjo, Kota Madiun</t>
  </si>
  <si>
    <t>0819 1948 3847</t>
  </si>
  <si>
    <t>kurniantolingga@gmail.com</t>
  </si>
  <si>
    <t>0001789470538</t>
  </si>
  <si>
    <t>KARTIKA INDRARATNA</t>
  </si>
  <si>
    <t>SMA N 1 Madiun</t>
  </si>
  <si>
    <t>PB-2/XII/IMSS/2019</t>
  </si>
  <si>
    <t>PKWT-642201158/D1/2020</t>
  </si>
  <si>
    <t>ICHSANNUDIN</t>
  </si>
  <si>
    <t>LRT Jabodebek (Helper Testing)</t>
  </si>
  <si>
    <t>352116141094000 1</t>
  </si>
  <si>
    <t>Dsn. Porong, Ds. Kalang RT/Rww 01/01, Kec. Pitu, Kab Ngawi</t>
  </si>
  <si>
    <t>0897 7914 034</t>
  </si>
  <si>
    <t>ichsannudin30@gmail.com</t>
  </si>
  <si>
    <t>0001865427276</t>
  </si>
  <si>
    <t>DIAJENG ISWARI PRAMUDHITA NURUDDIN</t>
  </si>
  <si>
    <t>PB-5/XII/IMSS/2019</t>
  </si>
  <si>
    <t>PKWT-641907275/D1/2020</t>
  </si>
  <si>
    <t>DIDIK HENDRI SETYONO</t>
  </si>
  <si>
    <t>Perawatan Bus Listrik Surabaya</t>
  </si>
  <si>
    <t>351903300181000 1</t>
  </si>
  <si>
    <t>Ds. Wayut RT 009/RW 003, Kec. Jiwan, Kab. Madiun</t>
  </si>
  <si>
    <t>0812 3096 4544</t>
  </si>
  <si>
    <t>Didikhendri1981@gmail.com</t>
  </si>
  <si>
    <t>0001410818231</t>
  </si>
  <si>
    <t>SRI MULYANI</t>
  </si>
  <si>
    <t>FARID ESTU HENDRIAWAN</t>
  </si>
  <si>
    <t>SLAMET RIFAI (ALMARHUM)</t>
  </si>
  <si>
    <t>TUMI (ALMARHUM)</t>
  </si>
  <si>
    <t>MUDJIONO</t>
  </si>
  <si>
    <t>SULASTRI (ALMARHUM)</t>
  </si>
  <si>
    <t>50.758.421.7-621-000</t>
  </si>
  <si>
    <t>PB-74/XII/IMSS/2019</t>
  </si>
  <si>
    <t>PKWT-971900047/D1/2020</t>
  </si>
  <si>
    <t>MOHAMMAD RIDWAN ISMAIL</t>
  </si>
  <si>
    <t>Pemeliharaan Temporary Bogie</t>
  </si>
  <si>
    <t>357701100293000 1</t>
  </si>
  <si>
    <t>Jl. Sri Sedono RT/RW 06/02 Kanigoro, Kota Madiun</t>
  </si>
  <si>
    <t>0813 7234 2625</t>
  </si>
  <si>
    <t>Iwanaq160@gmail.com</t>
  </si>
  <si>
    <t>0001865424982</t>
  </si>
  <si>
    <t>KHOZINATUL PADILAH</t>
  </si>
  <si>
    <t>NASYAMA KHANIFA ZAHRA</t>
  </si>
  <si>
    <t>SMK YP 17-1</t>
  </si>
  <si>
    <t>PB-57/XII/IMSS/2019</t>
  </si>
  <si>
    <t>PKWT-642001029/D1/2020</t>
  </si>
  <si>
    <t>SIGIT EKO SUSANTO</t>
  </si>
  <si>
    <t>Bogor</t>
  </si>
  <si>
    <t>Pengendalian Kualitas</t>
  </si>
  <si>
    <t>320104180776000 3</t>
  </si>
  <si>
    <t>Jembatan Pari RT 004/RW 003 Cijunjung, Sukaraja, Bogor</t>
  </si>
  <si>
    <t>0858 5454 6285</t>
  </si>
  <si>
    <t>sigiteko058@gmail.com</t>
  </si>
  <si>
    <t>0001272155062</t>
  </si>
  <si>
    <t>SUWARTI</t>
  </si>
  <si>
    <t>NABILA EKA NURAINI</t>
  </si>
  <si>
    <t>KHAIRUNNISA DENY AGUSTIN</t>
  </si>
  <si>
    <t>SMK PGRI Caruban</t>
  </si>
  <si>
    <t>PB-62/XII/IMSS/2019</t>
  </si>
  <si>
    <t>PKWT-642201175/D1/2020</t>
  </si>
  <si>
    <t>DIONISIUS WIRATAMA</t>
  </si>
  <si>
    <t>357703301092000 3</t>
  </si>
  <si>
    <t>Jl. Nitinegoro 44B Demangan, Kota Madiun</t>
  </si>
  <si>
    <t>0813 9890 0613</t>
  </si>
  <si>
    <t>Dionisiuswiratama9@gmail.com</t>
  </si>
  <si>
    <t>0000104840594</t>
  </si>
  <si>
    <t>DURIN SALINDA</t>
  </si>
  <si>
    <t>SUNYOTO</t>
  </si>
  <si>
    <t>WIWIK WIDAYATI</t>
  </si>
  <si>
    <t>YANTO</t>
  </si>
  <si>
    <t>NUNUK DIBJANDARI</t>
  </si>
  <si>
    <t>03.954.391.3-621.000</t>
  </si>
  <si>
    <t>PB-61/XII/IMSS/2019</t>
  </si>
  <si>
    <t>PKWT-641805144/D1/2020</t>
  </si>
  <si>
    <t>AGUS HARIONO</t>
  </si>
  <si>
    <t>Jombang</t>
  </si>
  <si>
    <t>Perawatan KRDI Cut Meutia</t>
  </si>
  <si>
    <t>351717010185000 2</t>
  </si>
  <si>
    <t>Ds. Made RT/RW 002/001 Kudu, Jombang</t>
  </si>
  <si>
    <t>0852 4421 7639</t>
  </si>
  <si>
    <t>aruna1735wk@gmail.com</t>
  </si>
  <si>
    <t>0000732247839</t>
  </si>
  <si>
    <t>CHELSEA MIZZELA AILINX WIJAYA</t>
  </si>
  <si>
    <t>NASTUSHA ARUNA MUTIARA WIDJAYA</t>
  </si>
  <si>
    <t>SMA N 1 Mojokerto</t>
  </si>
  <si>
    <t>SUWARDOYOK</t>
  </si>
  <si>
    <t>LRT Jabodebek (Aftersales)</t>
  </si>
  <si>
    <t>351907010183001 3</t>
  </si>
  <si>
    <t>Jl. Dahlia Ds. Mojopurno  RT/RW 07/01 Wungu, Kab. Madiun</t>
  </si>
  <si>
    <t>0857 3230 9446</t>
  </si>
  <si>
    <t>Suwardoyokdiondafan@gmail.com</t>
  </si>
  <si>
    <t>0001883566304</t>
  </si>
  <si>
    <t xml:space="preserve">INDRIANA PRASETYA NINGRUM </t>
  </si>
  <si>
    <t xml:space="preserve">DION RUBEN ROSICKY </t>
  </si>
  <si>
    <t>DINDA PUTRI INDRIA</t>
  </si>
  <si>
    <t>DAFAN RAGIL ABQARY</t>
  </si>
  <si>
    <t>MUSTAR</t>
  </si>
  <si>
    <t>SURIYEM</t>
  </si>
  <si>
    <t>SUHENDRO</t>
  </si>
  <si>
    <t xml:space="preserve">SRI WALUYO NINGSIH </t>
  </si>
  <si>
    <t>03.789.020.9-407.000</t>
  </si>
  <si>
    <t>PB-63/XII/IMSS/2019</t>
  </si>
  <si>
    <t>PKWT-641907254/D1/2020</t>
  </si>
  <si>
    <t>ANDI SUSILO</t>
  </si>
  <si>
    <t>351909150986000 1</t>
  </si>
  <si>
    <t>Ds. Kanung RT/RW 004/002 Sawahan, Kab. Madiun</t>
  </si>
  <si>
    <t>0813 3581 6186</t>
  </si>
  <si>
    <t>susiloandi127@gmail.com</t>
  </si>
  <si>
    <t>0001703389037</t>
  </si>
  <si>
    <t>MEGA ASTARINA</t>
  </si>
  <si>
    <t>NEISHA ACELIENA PUTRI</t>
  </si>
  <si>
    <t>SILMI NAFISA PUTRI</t>
  </si>
  <si>
    <t>AGIL ARDIANSAH</t>
  </si>
  <si>
    <t>357701060396000 3</t>
  </si>
  <si>
    <t>Jl. Pilang Luhur No 12 RT/RW 09/02 Pilang Bango, Kartoharjo, Kota Madiun</t>
  </si>
  <si>
    <t>0821 3939 1772</t>
  </si>
  <si>
    <t>ardiplong@gmail.com</t>
  </si>
  <si>
    <t>0001204114375</t>
  </si>
  <si>
    <t>MASITHA NUR LATIFA</t>
  </si>
  <si>
    <t>BILAL ABIYAN NUR ARDIANSAH</t>
  </si>
  <si>
    <t>BAMBANG SANTOSO</t>
  </si>
  <si>
    <t>EMI SUPRIHASTUTI</t>
  </si>
  <si>
    <t xml:space="preserve">ALM.EDDY SUSANTO </t>
  </si>
  <si>
    <t>ALM.DWI SUMARNI</t>
  </si>
  <si>
    <t>40.912.242.1-621.000</t>
  </si>
  <si>
    <t>PB-64/XII/IMSS/2019</t>
  </si>
  <si>
    <t>PKWT-641801141/D1/2020</t>
  </si>
  <si>
    <t>EKO PRASTYO</t>
  </si>
  <si>
    <t>LRT Sumatera Selatan</t>
  </si>
  <si>
    <t>351907261192000 2</t>
  </si>
  <si>
    <t>Jl. Raya Dungus No 21 RT/RW 08/01 Mojopurno, Wungu, Kab. Madiun</t>
  </si>
  <si>
    <t>0817 7075 3900</t>
  </si>
  <si>
    <t>ep1441186@gmail.com</t>
  </si>
  <si>
    <t>0001836689354</t>
  </si>
  <si>
    <t>DINAR AYU LUTVITA</t>
  </si>
  <si>
    <t>TABINA SAHID AUFA</t>
  </si>
  <si>
    <t>FILLIO SAHID ATHAYA</t>
  </si>
  <si>
    <t>SUNARYO</t>
  </si>
  <si>
    <t>TRI WAHYUNI</t>
  </si>
  <si>
    <t>SUHARTONO</t>
  </si>
  <si>
    <t>LULUK ERTA BIATI</t>
  </si>
  <si>
    <t>50.164.244.1-621.000</t>
  </si>
  <si>
    <t>ADANG YONATA</t>
  </si>
  <si>
    <t>352105251292000 3</t>
  </si>
  <si>
    <t>Dsn Sambirejo II RT/RW01/02 Tepas, Geneng, Ngawi</t>
  </si>
  <si>
    <t>0822 3187 0337</t>
  </si>
  <si>
    <t>0857 9522 7534</t>
  </si>
  <si>
    <t>Adangyonata6@gmail.com</t>
  </si>
  <si>
    <t>0000741450486</t>
  </si>
  <si>
    <t>DIANA WIDYA ANDRIYATI</t>
  </si>
  <si>
    <t>SUDARYANTO</t>
  </si>
  <si>
    <t>TAMIASTUTIK</t>
  </si>
  <si>
    <t>WIYONO TAHURIP</t>
  </si>
  <si>
    <t>YANTI HERLINA</t>
  </si>
  <si>
    <t>96.558.190.3-646.000</t>
  </si>
  <si>
    <t>SMK N 2 Jiwan</t>
  </si>
  <si>
    <t>HERBIT DWI SAPUTRO</t>
  </si>
  <si>
    <t>SK-3/D1/IMSS/2020</t>
  </si>
  <si>
    <t>351908300689000 3</t>
  </si>
  <si>
    <t>Dsn. Dimong RT/RW 12/02 Dimong, Madiun</t>
  </si>
  <si>
    <t>0821 3536 3212</t>
  </si>
  <si>
    <t>Herbid.89@gmail.com</t>
  </si>
  <si>
    <t>0002037571626</t>
  </si>
  <si>
    <t>ANNA NURITA FEBRIANTI</t>
  </si>
  <si>
    <t>QUEENSHA ZEA ARSYILA BIAN</t>
  </si>
  <si>
    <t>SUKIMIN</t>
  </si>
  <si>
    <t>SUPATMI</t>
  </si>
  <si>
    <t>SUTIKNO</t>
  </si>
  <si>
    <t>SUPRIJATI</t>
  </si>
  <si>
    <t>50.194.291.6.621.000</t>
  </si>
  <si>
    <t>SMK PGRI 1 Mejayan</t>
  </si>
  <si>
    <t>PB-67/XII/IMSS/2019</t>
  </si>
  <si>
    <t>PKWT-642001015/D1/2020</t>
  </si>
  <si>
    <t>NOVIANA HARIYANTO</t>
  </si>
  <si>
    <t>351907230481000 5</t>
  </si>
  <si>
    <t>Pojok 2 Anggrek 25 011/003, Kel.Munggut, Kec.Wungu, Kab. Madiun</t>
  </si>
  <si>
    <t>0899 9883 706</t>
  </si>
  <si>
    <t>novianahariyanto41@gmail.com</t>
  </si>
  <si>
    <t>0001865427399</t>
  </si>
  <si>
    <t>EKANI WINDARTI</t>
  </si>
  <si>
    <t>JOVAN KURNIA PUTRA</t>
  </si>
  <si>
    <t>DEVAN RAFFANDA PUTRA DEWANTO</t>
  </si>
  <si>
    <t>ALBHY CAESARIO ATHARRAZKA PUTRA</t>
  </si>
  <si>
    <t>PB-65/XII/IMSS/2019</t>
  </si>
  <si>
    <t>PKWT-641807164/D1/2020</t>
  </si>
  <si>
    <t>AMRIN KURNIADI</t>
  </si>
  <si>
    <t>357701050685000 2</t>
  </si>
  <si>
    <t>JL. Sri Unggul No10, 002/001, Kel. Kanigoro, Kec.Kartoharjo, Kota Madiun</t>
  </si>
  <si>
    <t>0831 8123 4573</t>
  </si>
  <si>
    <t>marchellmichell@gmail.com</t>
  </si>
  <si>
    <t>0002037595274</t>
  </si>
  <si>
    <t>PANCA APRIWATI</t>
  </si>
  <si>
    <t>MARCELL ALVANELSON KURNIADI</t>
  </si>
  <si>
    <t>MICHELL ALVANELSON KURNIADI</t>
  </si>
  <si>
    <t>SUPRIANTO</t>
  </si>
  <si>
    <t>SUKARSI</t>
  </si>
  <si>
    <t>NOTO MIRUN</t>
  </si>
  <si>
    <t>KUNING</t>
  </si>
  <si>
    <t>03.801.414.8-071.000</t>
  </si>
  <si>
    <t>PB-3/XII/IMSS/2019</t>
  </si>
  <si>
    <t>PKWT-642201132/D1/2020</t>
  </si>
  <si>
    <t>SURYAT DWI PRAMONO</t>
  </si>
  <si>
    <t>352010130888000 1</t>
  </si>
  <si>
    <t>Ds. Bulak RT/RW 11/05 Bendo, Kab. Magetan</t>
  </si>
  <si>
    <t>0822 5728 5882</t>
  </si>
  <si>
    <t>suryatdwip@gmail.com</t>
  </si>
  <si>
    <t>0001703366458</t>
  </si>
  <si>
    <t>MEI TRI MELASARI</t>
  </si>
  <si>
    <t>NOVAL ARVIAN PRATAMA</t>
  </si>
  <si>
    <t>PB-66/XII/IMSS/2019</t>
  </si>
  <si>
    <t>PKWT-641907255/D1/2020</t>
  </si>
  <si>
    <t>KHOIRI BAYU SETIAWAN</t>
  </si>
  <si>
    <t>Operator Forklift</t>
  </si>
  <si>
    <t>352011100795000 2</t>
  </si>
  <si>
    <t>Jl. Duren Ds. Suratmajan RT/RW 07/01 Kec. Maospati, Kab. Magetan</t>
  </si>
  <si>
    <t>0823 3748 7313</t>
  </si>
  <si>
    <t>khoiribayu4@gmail.com</t>
  </si>
  <si>
    <t>0002037843999</t>
  </si>
  <si>
    <t>Teknologi Pesawat Terbang</t>
  </si>
  <si>
    <t>SMK Penerbangan Angkasa Maospati</t>
  </si>
  <si>
    <t>PB-58/XII/IMSS/2019</t>
  </si>
  <si>
    <t>PKWT-971700008/D1/2020</t>
  </si>
  <si>
    <t>RATIH WIDIASTUTI</t>
  </si>
  <si>
    <t>352015640990000 2</t>
  </si>
  <si>
    <t>Ds. Ngelang RT 16 RW 04 Kec. Kartoharjo Kab. Magetan</t>
  </si>
  <si>
    <t>+62 822-3157-4740</t>
  </si>
  <si>
    <t>ratihwidi12@gmail.com</t>
  </si>
  <si>
    <t>0002301317921</t>
  </si>
  <si>
    <t>EKO YULIANTO</t>
  </si>
  <si>
    <t>ATHALA MANNAF CALIEF YULIANTO</t>
  </si>
  <si>
    <t>850585076646000</t>
  </si>
  <si>
    <t>Administrasi Perkantoran</t>
  </si>
  <si>
    <t>SMK N 2 Madiun</t>
  </si>
  <si>
    <t>RIKO SANJAYA</t>
  </si>
  <si>
    <t>Crane</t>
  </si>
  <si>
    <t>357703120687000 5</t>
  </si>
  <si>
    <t>Jl. Gulun No 4 B, Kota Madiun</t>
  </si>
  <si>
    <t>0877 6493 3421</t>
  </si>
  <si>
    <t>0857 3620 0016</t>
  </si>
  <si>
    <t>rikosanjaya029@gmail.com</t>
  </si>
  <si>
    <t>0001538492646</t>
  </si>
  <si>
    <t>TIYAS PERMANASARI</t>
  </si>
  <si>
    <t>M. RAFAEL EKA SANJAYA</t>
  </si>
  <si>
    <t>SMA Taman Bakti Madiun</t>
  </si>
  <si>
    <t>PB-7/XII/IMSS/2019</t>
  </si>
  <si>
    <t>PKWT-642001056/D1/2020</t>
  </si>
  <si>
    <t>DIDI SETIAWAN</t>
  </si>
  <si>
    <t>Banyumas</t>
  </si>
  <si>
    <t>330217060897000 3</t>
  </si>
  <si>
    <t>Jl. Permadi No 01 Karang Tengah, Cilongok, Kab. Banyumas</t>
  </si>
  <si>
    <t>0813 9166 6089</t>
  </si>
  <si>
    <t>didisetiawan135@gmail.com</t>
  </si>
  <si>
    <t>0001703389094</t>
  </si>
  <si>
    <t>RASWAN RASMUDI</t>
  </si>
  <si>
    <t>KAISEM</t>
  </si>
  <si>
    <t>04.609.652.5-002.000</t>
  </si>
  <si>
    <t>SMK N 2 Purwokerto</t>
  </si>
  <si>
    <t>PB-6/XII/IMSS/2019</t>
  </si>
  <si>
    <t>PKWT-642001059/D1/2020</t>
  </si>
  <si>
    <t>REVAN PRADIPTA</t>
  </si>
  <si>
    <t>351908031292000 1</t>
  </si>
  <si>
    <t>Ds. Tiron RT/RW 18/06, Kab. Madiun</t>
  </si>
  <si>
    <t>0853 3674 8013</t>
  </si>
  <si>
    <t>pradiptarevan24@gmail.com</t>
  </si>
  <si>
    <t>0001383339036</t>
  </si>
  <si>
    <t>07.786.599.6-621.000</t>
  </si>
  <si>
    <t>PB-8/XII/IMSS/2019</t>
  </si>
  <si>
    <t>PKWT-971900028/D1/2020</t>
  </si>
  <si>
    <t>PUTRA SATRIA BINTANG PAMUNGKAS</t>
  </si>
  <si>
    <t>351907030796000 1</t>
  </si>
  <si>
    <t>Jl. Mawar RT/RW 03/01 Ds.Munggut</t>
  </si>
  <si>
    <t>0822 4544 8957</t>
  </si>
  <si>
    <t>bintangsamudraraya@gmail.com</t>
  </si>
  <si>
    <t>0001703366447</t>
  </si>
  <si>
    <t>FEBY ANDIKA ENDAH SAPUTRI</t>
  </si>
  <si>
    <t>ZENIA GENDHIS MAHESWARI</t>
  </si>
  <si>
    <t>HARIYOTO</t>
  </si>
  <si>
    <t>YAYUK WINARSIH</t>
  </si>
  <si>
    <t>PUJIANTO</t>
  </si>
  <si>
    <t>RUSMINI</t>
  </si>
  <si>
    <t>03.996.110.7-621.000</t>
  </si>
  <si>
    <t>039961107621000</t>
  </si>
  <si>
    <t>PB-10/XII/IMSS/2019</t>
  </si>
  <si>
    <t>PKWT-641702080/D1/2020</t>
  </si>
  <si>
    <t>LAURENTIUS YHOAN KRISMANTARA</t>
  </si>
  <si>
    <t>357702090297000 2</t>
  </si>
  <si>
    <t>Jl. Kalasan V/9A RT 19/RW 05, Patihan, Madiun</t>
  </si>
  <si>
    <t>0896 8212 7366</t>
  </si>
  <si>
    <t>laurentius12325@gmail.com</t>
  </si>
  <si>
    <t>0001824708609</t>
  </si>
  <si>
    <t>SULIS</t>
  </si>
  <si>
    <t>07.674.978.7-621.000</t>
  </si>
  <si>
    <t>PB-12/XII/IMSS/2019</t>
  </si>
  <si>
    <t>NURSAMSI</t>
  </si>
  <si>
    <t>357703041071000 1</t>
  </si>
  <si>
    <t>Jl. Taman Asri II / 150, Kota Madiun</t>
  </si>
  <si>
    <t>0857 0654 8801</t>
  </si>
  <si>
    <t>nursamsi156@gmail.com</t>
  </si>
  <si>
    <t>0001703389083</t>
  </si>
  <si>
    <t>MITA AGUSTINA</t>
  </si>
  <si>
    <t>ARIZZAL ZIDAN NUR PUTRA</t>
  </si>
  <si>
    <t>MARIMAN</t>
  </si>
  <si>
    <t>ASMUNINGSIH</t>
  </si>
  <si>
    <t>DARSONO</t>
  </si>
  <si>
    <t>ATIK MARSIANI</t>
  </si>
  <si>
    <t>03.780.098.4.621.009</t>
  </si>
  <si>
    <t>037800984621009</t>
  </si>
  <si>
    <t>PB-13/XII/IMSS/2019</t>
  </si>
  <si>
    <t>352110161291000 1</t>
  </si>
  <si>
    <t>Ds. Cerme RT 06/04, Gentong, Kec. Paron, Ngawi</t>
  </si>
  <si>
    <t>0813 1662 9900</t>
  </si>
  <si>
    <t>bangkits26@gmail.com</t>
  </si>
  <si>
    <t>0001703389061</t>
  </si>
  <si>
    <t>GUNAWAN</t>
  </si>
  <si>
    <t>357702110567000 2</t>
  </si>
  <si>
    <t>Jl. Laos No 9 RT/RW 003/001, Ngegong, Mangunharjo, Kota Madiun</t>
  </si>
  <si>
    <t>0812 2576 1903</t>
  </si>
  <si>
    <t>yankegunawan@gmail.com</t>
  </si>
  <si>
    <t>0001703389072</t>
  </si>
  <si>
    <t>ELIS SRIHARTATI</t>
  </si>
  <si>
    <t>YUDHA HERLAMBANG</t>
  </si>
  <si>
    <t>KRESNA HERLAMBANG</t>
  </si>
  <si>
    <t>SIRANTO (ALM)</t>
  </si>
  <si>
    <t>WARSILAH (ALM)</t>
  </si>
  <si>
    <t>SINGGIH HARTONO</t>
  </si>
  <si>
    <t>SUDARTI (ALM)</t>
  </si>
  <si>
    <t>07.798.593.5.621.000</t>
  </si>
  <si>
    <t>SMA N 2 Mangunharjo</t>
  </si>
  <si>
    <t>PB-14/XII/IMSS/2019</t>
  </si>
  <si>
    <t>PKWT-642201146/D1/2020</t>
  </si>
  <si>
    <t>AGUS PRASETIYO</t>
  </si>
  <si>
    <t>352005120388000 1</t>
  </si>
  <si>
    <t>Giripurno RT/RW 006/003 Kec. Kawedanan Kab. Magetan</t>
  </si>
  <si>
    <t>0856 4786 1903</t>
  </si>
  <si>
    <t>prasetyoagus304@gmail.com</t>
  </si>
  <si>
    <t>0000739492997</t>
  </si>
  <si>
    <t>ISMUN</t>
  </si>
  <si>
    <t>SIRAM</t>
  </si>
  <si>
    <t>07.204.063.7-646.000</t>
  </si>
  <si>
    <t>SMK Sabilil Mutaqien Magetan</t>
  </si>
  <si>
    <t>PB-17/XII/IMSS/2019</t>
  </si>
  <si>
    <t>PKWT-641907250/D1/2020</t>
  </si>
  <si>
    <t>FEBRI PRASTYO</t>
  </si>
  <si>
    <t>351903040294000 1</t>
  </si>
  <si>
    <t>Desa Kertobanyon RT/RW 04/01 Kec. Geger, Kab. Madiun</t>
  </si>
  <si>
    <t>0898 6278 687</t>
  </si>
  <si>
    <t>Febripras0@gmail.com</t>
  </si>
  <si>
    <t>0001703389004</t>
  </si>
  <si>
    <t>NAPRILIA DWI KURNIA MAHARANI</t>
  </si>
  <si>
    <t>KHALISA MAFAZA MAHARANI</t>
  </si>
  <si>
    <t>JAPAR</t>
  </si>
  <si>
    <t>JOHANA SUGIARTI</t>
  </si>
  <si>
    <t>HERIANTO</t>
  </si>
  <si>
    <t>SUNARMI</t>
  </si>
  <si>
    <t>03.770.694.2.621.000</t>
  </si>
  <si>
    <t>037706942621000</t>
  </si>
  <si>
    <t>SMK PGRI 1 Madiun</t>
  </si>
  <si>
    <t>PB-21/XII/IMSS/2019</t>
  </si>
  <si>
    <t>PKWT-642001067/D1/2020</t>
  </si>
  <si>
    <t>ARIF SUGIANTO</t>
  </si>
  <si>
    <t>352005170689000 1</t>
  </si>
  <si>
    <t>Giripurno RT/RW 009/004 Kec. Kawedanan Kab. Magetan</t>
  </si>
  <si>
    <t>0898 3320 798</t>
  </si>
  <si>
    <t>arifsugianto806@gmail.com</t>
  </si>
  <si>
    <t>0001703389048</t>
  </si>
  <si>
    <t xml:space="preserve">ARIF SUGIANTO/ANING SUSILOWATI </t>
  </si>
  <si>
    <t>ADITYA NAUFAL MAHARDIKA</t>
  </si>
  <si>
    <t>ARSAKHA FARREL MAHARDIKA</t>
  </si>
  <si>
    <t>SUWARI</t>
  </si>
  <si>
    <t>SAINEM</t>
  </si>
  <si>
    <t>SUWARNO</t>
  </si>
  <si>
    <t>SUKARTI</t>
  </si>
  <si>
    <t>03.840.188.5.646.000</t>
  </si>
  <si>
    <t>038401885646000</t>
  </si>
  <si>
    <t>SMK N 1 Kawedanan</t>
  </si>
  <si>
    <t>PB-16/XII/IMSS/2019</t>
  </si>
  <si>
    <t>ROFINGI</t>
  </si>
  <si>
    <t>351914190680000 1</t>
  </si>
  <si>
    <t>Ds. Bakur Sawahan, Kab. Madiun</t>
  </si>
  <si>
    <t>0812 3414  9121</t>
  </si>
  <si>
    <t>cokrosamudro19@gmail.com</t>
  </si>
  <si>
    <t>0001703389015</t>
  </si>
  <si>
    <t>AZHIIM PRADA SAPUTRA</t>
  </si>
  <si>
    <t>ISMANI</t>
  </si>
  <si>
    <t>JANEM</t>
  </si>
  <si>
    <t>12.929.8.19.6-621.000</t>
  </si>
  <si>
    <t>PB-18/XII/IMSS/2019</t>
  </si>
  <si>
    <t>PKWT-642001068/D1/2020</t>
  </si>
  <si>
    <t>HERY NURWANTO</t>
  </si>
  <si>
    <t>352005181183000 1</t>
  </si>
  <si>
    <t>0856 4244 1903</t>
  </si>
  <si>
    <t>Herybancak45@gmail.com</t>
  </si>
  <si>
    <t>0000739492593</t>
  </si>
  <si>
    <t>SITI ROMLAH</t>
  </si>
  <si>
    <t>ALMEERA DYAH RETNO PRAWIRA NURDJATI</t>
  </si>
  <si>
    <t>SUPRIADI</t>
  </si>
  <si>
    <t>SAADA</t>
  </si>
  <si>
    <t>44.408.564.2.441.903</t>
  </si>
  <si>
    <t>SMP N 3 Kawedanan</t>
  </si>
  <si>
    <t>PB-19/XII/IMSS/2019</t>
  </si>
  <si>
    <t>PKWT-642001008/D1/2020</t>
  </si>
  <si>
    <t>PURWANTO</t>
  </si>
  <si>
    <t>352005140887000 1</t>
  </si>
  <si>
    <t>Giripurno RT/RW 015/005 Kec. Kawedanan Kab. Magetan</t>
  </si>
  <si>
    <t>0812 5524 5151</t>
  </si>
  <si>
    <t>bagadur14@gmail.com</t>
  </si>
  <si>
    <t>0001703389059</t>
  </si>
  <si>
    <t>WAHYU MEGAWATI</t>
  </si>
  <si>
    <t>MUHAMMAD ZIDAN AIMAN NAZA</t>
  </si>
  <si>
    <t>MUHAMMAD ARSHAKA NUR MAULIDAN</t>
  </si>
  <si>
    <t>BIBIT SURIYAH</t>
  </si>
  <si>
    <t>DASAR</t>
  </si>
  <si>
    <t>DARMI</t>
  </si>
  <si>
    <t>00.008.125.5-245.151</t>
  </si>
  <si>
    <t>000081255245151</t>
  </si>
  <si>
    <t>PB-15/XII/IMSS/2019</t>
  </si>
  <si>
    <t>PKWT-641907249/D1/2020</t>
  </si>
  <si>
    <t>JULIUS DEBBY KRISTIYANTO</t>
  </si>
  <si>
    <t>SK-004B/D1/IMSS/2018</t>
  </si>
  <si>
    <t>Insinyur</t>
  </si>
  <si>
    <t>331011280792000 1</t>
  </si>
  <si>
    <t>Dk. Klegen RT 014 RW 007 Kel. Srebegan Kec. Ceper, Klaten</t>
  </si>
  <si>
    <t>+62 857-6666-1784</t>
  </si>
  <si>
    <t>juliuz92@gmail.com</t>
  </si>
  <si>
    <t>0001707216671</t>
  </si>
  <si>
    <t>KHO YUNITA AGUSTINA SETYAWAN</t>
  </si>
  <si>
    <t>GRASIELLA JESSLYN KRISTIYANTO</t>
  </si>
  <si>
    <t>GABRIEL GARREN KRISTIYANTO</t>
  </si>
  <si>
    <t>SRI SUWARSIH</t>
  </si>
  <si>
    <t>WAWAN SETYAWAN</t>
  </si>
  <si>
    <t>SRININGSIH</t>
  </si>
  <si>
    <t>73.359.312.3-525.000</t>
  </si>
  <si>
    <t>Universitas Sanata Darma</t>
  </si>
  <si>
    <t>DODIK PANCA PRASETYAWAN</t>
  </si>
  <si>
    <t>Pemeliharaan Fasilitas Listrik</t>
  </si>
  <si>
    <t>357702280285000 1</t>
  </si>
  <si>
    <t>Jl. Ciliwung No 22B RT 47/RW 15, Taman, Kota Madiun</t>
  </si>
  <si>
    <t>0858 1211 2001</t>
  </si>
  <si>
    <t>nadin110113@gmail.com</t>
  </si>
  <si>
    <t>0001294891479</t>
  </si>
  <si>
    <t>SMK PGRI 1 Manguharjo</t>
  </si>
  <si>
    <t>PB-22/XII/IMSS/2019</t>
  </si>
  <si>
    <t>PKWT-971900046/D1/2020</t>
  </si>
  <si>
    <t>NUR OKTARIA</t>
  </si>
  <si>
    <t>Keuangan SDM dan Manajemen Risiko</t>
  </si>
  <si>
    <t>357701651090000 1</t>
  </si>
  <si>
    <t>Jl. Diponegoro No 39D, Kota Madiun</t>
  </si>
  <si>
    <t>+62 812-3233-2231</t>
  </si>
  <si>
    <t>noktaria25@gmail.com</t>
  </si>
  <si>
    <t>0001109683001</t>
  </si>
  <si>
    <t>AHMAD RIDWAN</t>
  </si>
  <si>
    <t>Universitas Widya Mandala</t>
  </si>
  <si>
    <t>Promil</t>
  </si>
  <si>
    <t>IMRON ABIDIN</t>
  </si>
  <si>
    <t>Umum</t>
  </si>
  <si>
    <t>351904210890000 1</t>
  </si>
  <si>
    <t>Dsn Tumpukan RT 008 RW 004 Kel Banjarsari Kulon, Kec Dagangan, Kab. Madiun</t>
  </si>
  <si>
    <t>+62 856-4580-0951</t>
  </si>
  <si>
    <t>iPengelolaan dan Pengendalian Aset INKAnabidin10@gmail.com</t>
  </si>
  <si>
    <t>0001707216682</t>
  </si>
  <si>
    <t>DWI SUSANTI</t>
  </si>
  <si>
    <t>SUNARKO</t>
  </si>
  <si>
    <t>MUZAINAH</t>
  </si>
  <si>
    <t>SAMIRAN</t>
  </si>
  <si>
    <t>TITIK SUKARTINI</t>
  </si>
  <si>
    <t>85.676.290.1.621.000</t>
  </si>
  <si>
    <t>RUDY SUSANTO</t>
  </si>
  <si>
    <t>Malang</t>
  </si>
  <si>
    <t xml:space="preserve">357703291276000 4 </t>
  </si>
  <si>
    <t>Jl. Pesanggrahan I No. 1 B Kel. Taman, Kec. Taman, Kota Madiun.</t>
  </si>
  <si>
    <t>+62 857-8068-3423</t>
  </si>
  <si>
    <t>idurs@yahoo.com</t>
  </si>
  <si>
    <t>0001642444874</t>
  </si>
  <si>
    <t>RADITA PRAMUDIASARI</t>
  </si>
  <si>
    <t>VALENTIA YASMINANTISARI</t>
  </si>
  <si>
    <t>YUSTINUS DWI ADYRA</t>
  </si>
  <si>
    <t>086935509621000</t>
  </si>
  <si>
    <t>Universitas Negeri Jakarta</t>
  </si>
  <si>
    <t>M FAHMI</t>
  </si>
  <si>
    <t>Bungkaih</t>
  </si>
  <si>
    <t>110806071093000 2</t>
  </si>
  <si>
    <t>Gampong Keude Bungkaih Kec. Muara Batu Kab. Aceh Utara</t>
  </si>
  <si>
    <t>0852 7013 6858</t>
  </si>
  <si>
    <t>wfahmi076@gmail.com</t>
  </si>
  <si>
    <t>0000981085814</t>
  </si>
  <si>
    <t>SMA N 1 Muara Batu</t>
  </si>
  <si>
    <t>KOMARUZZAMAN</t>
  </si>
  <si>
    <t>357702070896000 5</t>
  </si>
  <si>
    <t>Jl. Mayjend Sungkono No Gg. Sosropuran, Kota Madiun</t>
  </si>
  <si>
    <t>0812 6273 9140</t>
  </si>
  <si>
    <t>komaruzzamanoppo123@gmail.com</t>
  </si>
  <si>
    <t>0001706037715</t>
  </si>
  <si>
    <t>PB-26/XII/IMSS/2019</t>
  </si>
  <si>
    <t>PKWT-642001048/D1/2020</t>
  </si>
  <si>
    <t>AZIZ MAHMUDI</t>
  </si>
  <si>
    <t>Engineering</t>
  </si>
  <si>
    <t>352110300594000 1</t>
  </si>
  <si>
    <t>Dsn. Bulunh Ds. Kartoharjo, Kec. Ngawi, Kab. Ngawi</t>
  </si>
  <si>
    <t>0812 7070 5756</t>
  </si>
  <si>
    <t>azismahmudi80@gmail.com</t>
  </si>
  <si>
    <t>0001706039537</t>
  </si>
  <si>
    <t>RETNO AYU ANDRIANI</t>
  </si>
  <si>
    <t>ABRIZAM ZEYN EL FARIZ</t>
  </si>
  <si>
    <t>PB-28/XII/IMSS/2019</t>
  </si>
  <si>
    <t>PKWT-641907251/D1/2020</t>
  </si>
  <si>
    <t>ARIFIN PURNAWIRAWAN</t>
  </si>
  <si>
    <t>357701060789000 2</t>
  </si>
  <si>
    <t>Jl. Wiyatasari No 10 Ds. Rejomulyo, Kartoharjo, Madiun</t>
  </si>
  <si>
    <t>0812 3083 5385</t>
  </si>
  <si>
    <t>hurinaghnia07@gmail.com</t>
  </si>
  <si>
    <t>0000786427615</t>
  </si>
  <si>
    <t>PB-25/XII/IMSS/2019</t>
  </si>
  <si>
    <t>PKWT-971900049/D1/2020</t>
  </si>
  <si>
    <t>352010101289000 1</t>
  </si>
  <si>
    <t>Dsn. Bulu Tuwo Ds. Dukuh RT/RW 19/03 Bendo, Kab. Magetan</t>
  </si>
  <si>
    <t>0852 5963 9116</t>
  </si>
  <si>
    <t>Embunaswinda01@gmail.com</t>
  </si>
  <si>
    <t>0001706039526</t>
  </si>
  <si>
    <t>FEBRIANA SUSANTI</t>
  </si>
  <si>
    <t>EMBUN ASWINDA IZZATUNNISA</t>
  </si>
  <si>
    <t>SARIMAN</t>
  </si>
  <si>
    <t>LASMI</t>
  </si>
  <si>
    <t>LAMIDI</t>
  </si>
  <si>
    <t>SUMINEM</t>
  </si>
  <si>
    <t>79.739.162.0-646.000</t>
  </si>
  <si>
    <t>797391620-646000</t>
  </si>
  <si>
    <t>SMK PGRI 1 Magetan</t>
  </si>
  <si>
    <t>PB-23/XII/IMSS/2019</t>
  </si>
  <si>
    <t>PKWT-641907252/D1/2020</t>
  </si>
  <si>
    <t>DIMAS SUHARDIYONO</t>
  </si>
  <si>
    <t>SDM</t>
  </si>
  <si>
    <t>357703260791000 1</t>
  </si>
  <si>
    <t>Perum Taman Salak B 203 RT 051 RW 017, Kel Pandean, Kec Taman, Kota Madiun</t>
  </si>
  <si>
    <t>0823 3903 0003</t>
  </si>
  <si>
    <t>dimassuhardiyono@gmail.com</t>
  </si>
  <si>
    <t>0001176355923</t>
  </si>
  <si>
    <t>CHELSEA ADILA PUTRI</t>
  </si>
  <si>
    <t>Ilmu Komunikasi</t>
  </si>
  <si>
    <t>UPN Veteran Yogyakarta</t>
  </si>
  <si>
    <t>R PRAJA KUSUMA NUGRAHA</t>
  </si>
  <si>
    <t>Bojonegoro</t>
  </si>
  <si>
    <t>Perencanaan dan Pengendalian Logistik</t>
  </si>
  <si>
    <t>Ahli Elektrikal</t>
  </si>
  <si>
    <t>352215181089000 3</t>
  </si>
  <si>
    <t>Jl. Lisman RT 015 RW 004 Kel. Campurejo Kec. Bojonegoro</t>
  </si>
  <si>
    <t>+62 813-3407-0077</t>
  </si>
  <si>
    <t>prajakusumanugraha@gmail.com</t>
  </si>
  <si>
    <t>0001706037704</t>
  </si>
  <si>
    <t>GALUH DWIANTARI</t>
  </si>
  <si>
    <t>AALIYAH TUNGGADEWI</t>
  </si>
  <si>
    <t>BUDIONO</t>
  </si>
  <si>
    <t>SK-002/D1/IMSS/2019</t>
  </si>
  <si>
    <t>352107300191000 1</t>
  </si>
  <si>
    <t>Ds. Legundi RT/RW 02/04 Kec. Karangjati Kab. Ngawi</t>
  </si>
  <si>
    <t>0815 5118 489</t>
  </si>
  <si>
    <t>dion3lili@gmail.com</t>
  </si>
  <si>
    <t>0002311581069</t>
  </si>
  <si>
    <t>TITIS MALAYSIATI FIRNELA MUJIASIH</t>
  </si>
  <si>
    <t>AHMAD ILHAM RAFIF SADHAWIRA BUDIONO</t>
  </si>
  <si>
    <t>MUHAMMAD BADRU KAMAL BUDIONI</t>
  </si>
  <si>
    <t>SAMIDI</t>
  </si>
  <si>
    <t>TINEM</t>
  </si>
  <si>
    <t>MUJIONO</t>
  </si>
  <si>
    <t>KASMIASIH</t>
  </si>
  <si>
    <t>80.406.104.2-646.000</t>
  </si>
  <si>
    <t>BUDI HARIANTO</t>
  </si>
  <si>
    <t>351907140490000 3</t>
  </si>
  <si>
    <t>Dsn Warutunggal RT/RW 023/003 Ds. Tegal Arum, Kec. Bendo, Kab Magetan</t>
  </si>
  <si>
    <t>0899 0878 215</t>
  </si>
  <si>
    <t>budibismafitri@gmail.com</t>
  </si>
  <si>
    <t>0002453059124</t>
  </si>
  <si>
    <t>FITRIANA</t>
  </si>
  <si>
    <t xml:space="preserve">BISMA LAWU PAMBUDI </t>
  </si>
  <si>
    <t xml:space="preserve">NYOTO </t>
  </si>
  <si>
    <t>SITI NGAISAH</t>
  </si>
  <si>
    <t>WAGIRAN</t>
  </si>
  <si>
    <t>JAITUN</t>
  </si>
  <si>
    <t>12.556.232.2-646.000</t>
  </si>
  <si>
    <t>PB-30/XII/IMSS/2019</t>
  </si>
  <si>
    <t>PKWT-641907245/D1/2020</t>
  </si>
  <si>
    <t>ANDREA CAHYA PUTRA</t>
  </si>
  <si>
    <t>352005190698000 4</t>
  </si>
  <si>
    <t>Lingkungan Gandek RT/RW 014/003 Kawedanan, Kab Magetan</t>
  </si>
  <si>
    <t>0895 1604 4401</t>
  </si>
  <si>
    <t xml:space="preserve">andreacahya07@gmail.com </t>
  </si>
  <si>
    <t>0000739591119</t>
  </si>
  <si>
    <t>NOVA LESTANTI</t>
  </si>
  <si>
    <t>AIZA NADIRA ELSHAFA HAFIZAH</t>
  </si>
  <si>
    <t>AGUNG CAHYONO</t>
  </si>
  <si>
    <t xml:space="preserve">SUTINAH </t>
  </si>
  <si>
    <t>NYAMIN</t>
  </si>
  <si>
    <t>PURWATI</t>
  </si>
  <si>
    <t>63.495.865.6-646.000</t>
  </si>
  <si>
    <t>Teknik Komputer Jaringan</t>
  </si>
  <si>
    <t>SMK N 1 Takeran</t>
  </si>
  <si>
    <t>PB-29/XII/IMSS/2019</t>
  </si>
  <si>
    <t>PKWT-642201167/D1/2020</t>
  </si>
  <si>
    <t>GHOZIE NAFIIRI FATHUL 'ADHIIM</t>
  </si>
  <si>
    <t>Awak Sarana</t>
  </si>
  <si>
    <t>351907120797000 2</t>
  </si>
  <si>
    <t>Jl. Candisewu No 44 D, Kota Madiun</t>
  </si>
  <si>
    <t>0813 3066 5417</t>
  </si>
  <si>
    <t>gnafiiri@gmail.com</t>
  </si>
  <si>
    <t>0001448994295</t>
  </si>
  <si>
    <t>PB-34/XII/IMSS/2019</t>
  </si>
  <si>
    <t>PKWT-642201170/D1/2020</t>
  </si>
  <si>
    <t>TRI DIANTORO</t>
  </si>
  <si>
    <t>352015200494000 1</t>
  </si>
  <si>
    <t>Ds. Ngelang Kec. Kartoharjo Kab. Magetan</t>
  </si>
  <si>
    <t>0857 2501 5455</t>
  </si>
  <si>
    <t>Dyan.kancil96@gmail.com</t>
  </si>
  <si>
    <t>0001704982116</t>
  </si>
  <si>
    <t>SMK N 1 Kertosono</t>
  </si>
  <si>
    <t>SMK N 1Kertosono</t>
  </si>
  <si>
    <t>PB-36/XII/IMSS/2019</t>
  </si>
  <si>
    <t>PKWT-642001045/D1/2020</t>
  </si>
  <si>
    <t>ANDIKA SETYAWAN</t>
  </si>
  <si>
    <t>351909010398000 1</t>
  </si>
  <si>
    <t>Ds. Bibrik RT/RW 18/07 Jiwan, Kab. Madiun</t>
  </si>
  <si>
    <t>0858 1742 4247</t>
  </si>
  <si>
    <t xml:space="preserve">setyawanandika666@gmail.com </t>
  </si>
  <si>
    <t>0000738767935</t>
  </si>
  <si>
    <t>ANDIKA SETYAWAN/DEVI MIRANDASARI</t>
  </si>
  <si>
    <t>ARKA PUTRA SETYAWAN</t>
  </si>
  <si>
    <t>MUHAMMAD RIFAI</t>
  </si>
  <si>
    <t>KOMSRIATUN</t>
  </si>
  <si>
    <t>ABDUL CHOLIL</t>
  </si>
  <si>
    <t>SRI HANDAYANI</t>
  </si>
  <si>
    <t>03.741.515.5.621.000</t>
  </si>
  <si>
    <t>PB-39/XII/IMSS/2019</t>
  </si>
  <si>
    <t>PKWT-642109115/D1/2020</t>
  </si>
  <si>
    <t>DENDI HERMAWAN</t>
  </si>
  <si>
    <t>351903290896000 5</t>
  </si>
  <si>
    <t>Jl. Cemara Ds. Sangen RT/RW 05/02 Kec. Geger, Kab Madiun</t>
  </si>
  <si>
    <t>0812 4963 2815</t>
  </si>
  <si>
    <t>0896 1320 9803</t>
  </si>
  <si>
    <t>dendilabeneamata@gmail.com</t>
  </si>
  <si>
    <t>0000736977453</t>
  </si>
  <si>
    <t>DESTI NOVITA SARI</t>
  </si>
  <si>
    <t>DAFFA REYNO HERMAWAN</t>
  </si>
  <si>
    <t>PB-37/XII/IMSS/2019</t>
  </si>
  <si>
    <t>PKWT-642201162/D1/2020</t>
  </si>
  <si>
    <t>DEWANGGA SULUNG ADHI CAHYONO</t>
  </si>
  <si>
    <t>Tulung Agung</t>
  </si>
  <si>
    <t>357702260997000 4</t>
  </si>
  <si>
    <t>Jl. Keningar No 03 RT 5/RW 2 Ds. Ngegong Kec. Mangunharjo, Kota Madiun</t>
  </si>
  <si>
    <t>0882 3115 3224</t>
  </si>
  <si>
    <t>0812 3850 2309</t>
  </si>
  <si>
    <t>Cahyonodewangga@gmail.com</t>
  </si>
  <si>
    <t>0001832225793</t>
  </si>
  <si>
    <t>DWI FAJAR RAHMAWATI</t>
  </si>
  <si>
    <t>YULIN PURWITORINI</t>
  </si>
  <si>
    <t>NYAMINI</t>
  </si>
  <si>
    <t>43.934.818.6-621.000</t>
  </si>
  <si>
    <t>SMK N 1 Jiwan</t>
  </si>
  <si>
    <t>PB-31/XII/IMSS/2019</t>
  </si>
  <si>
    <t>PKWT-641907257/D1/2020</t>
  </si>
  <si>
    <t>EKO NUR CAHYO PUTRO</t>
  </si>
  <si>
    <t>Perawatan Bus Listrik Bandung</t>
  </si>
  <si>
    <t>352114101197000 1</t>
  </si>
  <si>
    <t>Dsn. Loran Ds. Babadan Kec. Pangkur Kab. Ngawi</t>
  </si>
  <si>
    <t>0813 3351 3880</t>
  </si>
  <si>
    <t>0857 0409 4871</t>
  </si>
  <si>
    <t>Ekonur749@gmail.com</t>
  </si>
  <si>
    <t>0000743032787</t>
  </si>
  <si>
    <t>SITI NUR KHOLIFAH</t>
  </si>
  <si>
    <t>ALSAVA MANAH HUMEERA</t>
  </si>
  <si>
    <t>BASUKI</t>
  </si>
  <si>
    <t>SITI MUNTAMAH</t>
  </si>
  <si>
    <t>SUWITO</t>
  </si>
  <si>
    <t>PARYANI</t>
  </si>
  <si>
    <t>13.966.504.6.646.000</t>
  </si>
  <si>
    <t>SMK N 1 Wonoasri</t>
  </si>
  <si>
    <t>PB-32/XII/IMSS/2019</t>
  </si>
  <si>
    <t>PKWT-642201153/D1/2020</t>
  </si>
  <si>
    <t>ENDRAWAN</t>
  </si>
  <si>
    <t>351914071094000 1</t>
  </si>
  <si>
    <t>Ds. Kanung RT/RW 06/02 Kec. Sawahan, Kab. Madiun</t>
  </si>
  <si>
    <t>0812 3080 1300</t>
  </si>
  <si>
    <t>wankanung7@gmail.com</t>
  </si>
  <si>
    <t>0000737675932</t>
  </si>
  <si>
    <t>PB-38/XII/IMSS/2019</t>
  </si>
  <si>
    <t>PKWT-642001058/D1/2020</t>
  </si>
  <si>
    <t>MUHTAROM</t>
  </si>
  <si>
    <t>350218280482000 4</t>
  </si>
  <si>
    <t>Jl. Gajah Mada, Njogobayan, Kab. Madiun</t>
  </si>
  <si>
    <t>0831 6038 9171</t>
  </si>
  <si>
    <t>0858 0445 5575</t>
  </si>
  <si>
    <t>satyapradifta@gmail.com</t>
  </si>
  <si>
    <t>0002422814556</t>
  </si>
  <si>
    <t>TITIK KARTIKA WATI</t>
  </si>
  <si>
    <t>RAFA</t>
  </si>
  <si>
    <t>SELYN</t>
  </si>
  <si>
    <t xml:space="preserve">SYAMSUDIN </t>
  </si>
  <si>
    <t>AMANAH</t>
  </si>
  <si>
    <t>SLAMET B</t>
  </si>
  <si>
    <t>LANDEP</t>
  </si>
  <si>
    <t>03.782.322.6.621.000</t>
  </si>
  <si>
    <t>037823226621000</t>
  </si>
  <si>
    <t>SMK Bakti Ponorogo</t>
  </si>
  <si>
    <t>PB-35/XII/IMSS/2019</t>
  </si>
  <si>
    <t>PKWT-642001035/D1/2020</t>
  </si>
  <si>
    <t>KORONA ALFINDI FEBRYANTIKA</t>
  </si>
  <si>
    <t>357701600293000 2</t>
  </si>
  <si>
    <t>JL. Sribowo No. 54C, Kota Madiun</t>
  </si>
  <si>
    <t>0812 4976 6659</t>
  </si>
  <si>
    <t>korona.feby93@gmail.com</t>
  </si>
  <si>
    <t>0000106315659</t>
  </si>
  <si>
    <t>YOSEPH RUDY PRATAMA PUTRA</t>
  </si>
  <si>
    <t>ANDREAN TEGAR ADIWIJAYA</t>
  </si>
  <si>
    <t>Pendidikan Bahasa Inggris</t>
  </si>
  <si>
    <t>FAILLA DZUL LUTHFI</t>
  </si>
  <si>
    <t>357703420693000 3</t>
  </si>
  <si>
    <t>Jl. Janur Sari 3 No 05 Manisrejo, Kota Madiun</t>
  </si>
  <si>
    <t>+62 813-3640-5437</t>
  </si>
  <si>
    <t>failla02luthfi@gmail.com</t>
  </si>
  <si>
    <t>0000105108759</t>
  </si>
  <si>
    <t>Universitas Islam Indonesia</t>
  </si>
  <si>
    <t xml:space="preserve">357701591188000 1 </t>
  </si>
  <si>
    <t>Jl. Bali Gg XI/10, Kota Madiun</t>
  </si>
  <si>
    <t>+62 857-3607-6066</t>
  </si>
  <si>
    <t>avi.chacyl@gmail.com</t>
  </si>
  <si>
    <t>0001380143823</t>
  </si>
  <si>
    <t>ABDULLOH AFIF</t>
  </si>
  <si>
    <t>DZAKI PUTRA AFIF</t>
  </si>
  <si>
    <t>DAFFA PUTRA AFIF</t>
  </si>
  <si>
    <t>SUPARNO</t>
  </si>
  <si>
    <t>SRI SETYO RAHAYU</t>
  </si>
  <si>
    <t>H.MASLICHAN</t>
  </si>
  <si>
    <t>NISWAH</t>
  </si>
  <si>
    <t>96.198.408.5-621.000</t>
  </si>
  <si>
    <t>DERIZA DEBY DWIANTO</t>
  </si>
  <si>
    <t>351915171293000 1</t>
  </si>
  <si>
    <t>Jl. Sidomulyo Kel Sidomulyo Kec Sawahan Kab Madiun</t>
  </si>
  <si>
    <t>+62 857-3552-5801</t>
  </si>
  <si>
    <t>deby631@gmail.com</t>
  </si>
  <si>
    <t>0000104834755</t>
  </si>
  <si>
    <t>DEASY NUR WULAN DARI</t>
  </si>
  <si>
    <t>DANADYAKSA PRAJABTA KIN DERIZA</t>
  </si>
  <si>
    <t>DARWANTO</t>
  </si>
  <si>
    <t>351909160989000 1</t>
  </si>
  <si>
    <t>Desa Teguhan RT19RW5 Kec. Jiwan, Kab. Madiun</t>
  </si>
  <si>
    <t>0823 3602 0437</t>
  </si>
  <si>
    <t>0882 1725 4897</t>
  </si>
  <si>
    <t>daRWanto.rofi@gmail.com</t>
  </si>
  <si>
    <t>0000738322481</t>
  </si>
  <si>
    <t>ROFIQOH</t>
  </si>
  <si>
    <t>KHADIJAH AVICENNA</t>
  </si>
  <si>
    <t>SMA N 1 Jiwan</t>
  </si>
  <si>
    <t>PB-46/XII/IMSS/2019</t>
  </si>
  <si>
    <t>PKWT-642201177/D1/2020</t>
  </si>
  <si>
    <t>BERRY HARTANTO</t>
  </si>
  <si>
    <t>357703211098000 1</t>
  </si>
  <si>
    <t>Jl Tumpak Manis 1b N08 RW11RT40 Kel. Manisrejo, Kec. Taman, Kota Madiun</t>
  </si>
  <si>
    <t>0813 2147 8165</t>
  </si>
  <si>
    <t>berryHartan98@gmail.com</t>
  </si>
  <si>
    <t>0002416483462</t>
  </si>
  <si>
    <t>SARIN FIRDAYATI</t>
  </si>
  <si>
    <t>SUMIATI</t>
  </si>
  <si>
    <t>FIRDAUS</t>
  </si>
  <si>
    <t>ISWANDIYATI</t>
  </si>
  <si>
    <t>03.959.346.2-407.000</t>
  </si>
  <si>
    <t>Teknik Audio Visual</t>
  </si>
  <si>
    <t>PB-44/XII/IMSS/2019</t>
  </si>
  <si>
    <t>PKWT-641806155/D1/2020</t>
  </si>
  <si>
    <t>RUDIK HARYANTO</t>
  </si>
  <si>
    <t>357702071087000 2</t>
  </si>
  <si>
    <t>Jl Gambir Sawir Utara No13, RT16RW06, Kel. Sogaten, Kec. Manguharjo, Kota Madiun</t>
  </si>
  <si>
    <t>0822 3580 6797</t>
  </si>
  <si>
    <t>Rudikhariyanto311@gmail.com</t>
  </si>
  <si>
    <t>0002069376153</t>
  </si>
  <si>
    <t>EARLINA FITRA MULIAWATI</t>
  </si>
  <si>
    <t>ALULA AZZAHRA MULIAHATI</t>
  </si>
  <si>
    <t>SUMIRAH</t>
  </si>
  <si>
    <t>NGUPADIONO</t>
  </si>
  <si>
    <t>ARIANTI</t>
  </si>
  <si>
    <t>03.956.581.7-407.000</t>
  </si>
  <si>
    <t>SMK PGRI 1 Mangunharjo</t>
  </si>
  <si>
    <t>PB-41/XII/IMSS/2019</t>
  </si>
  <si>
    <t>TOMI SUHARTO</t>
  </si>
  <si>
    <t>357703261189000 4</t>
  </si>
  <si>
    <t>Jl Sudirman Gang Jambe 21 Kota Madiun</t>
  </si>
  <si>
    <t>0895 3976 61722</t>
  </si>
  <si>
    <t>Tomi030817@gmail.com</t>
  </si>
  <si>
    <t>0002431875521</t>
  </si>
  <si>
    <t>SUPARDI</t>
  </si>
  <si>
    <t>KARTINI</t>
  </si>
  <si>
    <t>03.773.498.5-621.000</t>
  </si>
  <si>
    <t>037734985621000</t>
  </si>
  <si>
    <t>PB-45/XII/IMSS/2019</t>
  </si>
  <si>
    <t>PKWT-642001053/D1/2020</t>
  </si>
  <si>
    <t>ADE SETYA PURNAMA</t>
  </si>
  <si>
    <t>Denpasar</t>
  </si>
  <si>
    <t>517104070598000 1</t>
  </si>
  <si>
    <t>Jl. Candi Sari No 21 RT 022/006, Patihan, Kec. Manguharjo, Kota Madiun</t>
  </si>
  <si>
    <t>0878  3654 3219</t>
  </si>
  <si>
    <t>0858 9646 6007</t>
  </si>
  <si>
    <t>adesetya191@gmail.com</t>
  </si>
  <si>
    <t>0001885927127</t>
  </si>
  <si>
    <t>MUHAMMAD CHOIRUL SUMARTONO</t>
  </si>
  <si>
    <t>MIMIK HARMINI</t>
  </si>
  <si>
    <t>03.784.200.2-621.000</t>
  </si>
  <si>
    <t>03.784.200.2621000</t>
  </si>
  <si>
    <t>PB-53/XII/IMSS/2019</t>
  </si>
  <si>
    <t>PKWT-642109117/D1/2020</t>
  </si>
  <si>
    <t>NANANG ADI SAPUTRA</t>
  </si>
  <si>
    <t>Pengendalian Kualitas INKA</t>
  </si>
  <si>
    <t>357701151293000 2</t>
  </si>
  <si>
    <t>Desa Sambirejo, Kec. Jiwan Kab. Madiun</t>
  </si>
  <si>
    <t>0896 1517 8173</t>
  </si>
  <si>
    <t>Nanangaadi@yahoo.co.id</t>
  </si>
  <si>
    <t>0002010804838</t>
  </si>
  <si>
    <t>LIA CHANDRA KRESNA SARI</t>
  </si>
  <si>
    <t>SALSABILA NUR</t>
  </si>
  <si>
    <t>PB-42/XII/IMSS/2019</t>
  </si>
  <si>
    <t>PKWT-642201164/D1/2020</t>
  </si>
  <si>
    <t>MUHAMMAD VINANDO WISNUSETIAWAN</t>
  </si>
  <si>
    <t>357703151198000 4</t>
  </si>
  <si>
    <t>Jl. Tilam Upih RT25/ RW08 Josenan Taman, Madiun</t>
  </si>
  <si>
    <t>0878 5075 6240</t>
  </si>
  <si>
    <t>0896 1519 3706</t>
  </si>
  <si>
    <t>mvinando@gmail.com</t>
  </si>
  <si>
    <t>0002442060606</t>
  </si>
  <si>
    <t>SUKIMAN</t>
  </si>
  <si>
    <t>SARMI</t>
  </si>
  <si>
    <t>05.457.220.1-621.000</t>
  </si>
  <si>
    <t>PB-49/XII/IMSS/2019</t>
  </si>
  <si>
    <t>PKWT-642201161/D1/2020</t>
  </si>
  <si>
    <t>DIKI ROBINSON</t>
  </si>
  <si>
    <t>350218140895000 4</t>
  </si>
  <si>
    <t>Jl Kertoyudho RT03/RW1 Desa Panjeng Kec. Jenangan, Ponorogo</t>
  </si>
  <si>
    <t>0898 1945 553</t>
  </si>
  <si>
    <t>d.robinson1408.dr@gmail.com</t>
  </si>
  <si>
    <t>0001702385886</t>
  </si>
  <si>
    <t>SMK PGRI 2 Ponorogo</t>
  </si>
  <si>
    <t>PB-47/XII/IMSS/2019</t>
  </si>
  <si>
    <t>PKWT-642201163/D1/2020</t>
  </si>
  <si>
    <t>ONGKY YUSFIANTARA PRADANA</t>
  </si>
  <si>
    <t>351914220896000 1</t>
  </si>
  <si>
    <t>Desa Sawahan RT08/RW04 Kec Sawahan Kab. Madiun</t>
  </si>
  <si>
    <t>0821 7914 8161</t>
  </si>
  <si>
    <t>0858 6676 6294</t>
  </si>
  <si>
    <t>Cimeng.crew@gmail.com</t>
  </si>
  <si>
    <t>0000738588936</t>
  </si>
  <si>
    <t>PB-51/XII/IMSS/2019</t>
  </si>
  <si>
    <t>PKWT-642001026/D1/2020</t>
  </si>
  <si>
    <t>YUDI HANTORO</t>
  </si>
  <si>
    <t>351905180896000 1</t>
  </si>
  <si>
    <t>Desa Randualas RT/RW (06/02) Kec.Kare, Kab. Madiun</t>
  </si>
  <si>
    <t>0821 4011 5970</t>
  </si>
  <si>
    <t>yudihantoroh@gmailcom</t>
  </si>
  <si>
    <t>0000737099752</t>
  </si>
  <si>
    <t>SMK N Kare Madiun</t>
  </si>
  <si>
    <t>PB-43/XII/IMSS/2019</t>
  </si>
  <si>
    <t>PKWT-642102107/D1/2020</t>
  </si>
  <si>
    <t>BRIANTO CAHYO NUGROHO</t>
  </si>
  <si>
    <t>357701250191000 1</t>
  </si>
  <si>
    <t>Jl Trimulyo 22 Madiun RT 19 RW 05 Kel, Klegen Kec Kartoharjo, Kota Madiun</t>
  </si>
  <si>
    <t>+62 822-3122-2775</t>
  </si>
  <si>
    <t>briantocahyo25@gmail.com</t>
  </si>
  <si>
    <t>0002431878862</t>
  </si>
  <si>
    <t>ROSALINDA PUTRI PRATIWI</t>
  </si>
  <si>
    <t>MUHAMMAD ALFARIZQI NUGROHO</t>
  </si>
  <si>
    <t>BAMBANG MULYONO</t>
  </si>
  <si>
    <t>TRIYULI SETIANI</t>
  </si>
  <si>
    <t>DASIM</t>
  </si>
  <si>
    <t>LINA MARIYANI</t>
  </si>
  <si>
    <t>94.066.481.6.621.000</t>
  </si>
  <si>
    <t>YOGA BIMANTARA ADITYA WICAKSONO</t>
  </si>
  <si>
    <t>PKWT-642001034 /D1/2020</t>
  </si>
  <si>
    <t>Salatiga</t>
  </si>
  <si>
    <t>352006280994000 2</t>
  </si>
  <si>
    <t>Kpr Pondok Magetan Indah Blok Q No8, Magetan</t>
  </si>
  <si>
    <t>0812 3169 2593</t>
  </si>
  <si>
    <t>yogabimantaraadityawicaksono@gmail.com</t>
  </si>
  <si>
    <t>0001106495785</t>
  </si>
  <si>
    <t>AFIN NURUL ANDINI</t>
  </si>
  <si>
    <t>KAHONO</t>
  </si>
  <si>
    <t>TIPUK NUR HAYATI</t>
  </si>
  <si>
    <t>DARMADI</t>
  </si>
  <si>
    <t>JUNANENI</t>
  </si>
  <si>
    <t>60.933.776.1-646.000</t>
  </si>
  <si>
    <t>FAVA WIRA PRATAMA</t>
  </si>
  <si>
    <t>357701080994000 1</t>
  </si>
  <si>
    <t>Jl Widosari No 17 Kota Madiun</t>
  </si>
  <si>
    <t>0857 3056 3436</t>
  </si>
  <si>
    <t>favawira@yahoo.co.id</t>
  </si>
  <si>
    <t>0000104823281</t>
  </si>
  <si>
    <t>BINARI MUHARNINGRUM</t>
  </si>
  <si>
    <t>GLENDYS CANDRAMAYA EKAVIRA</t>
  </si>
  <si>
    <t>AHMAT ZAJULI</t>
  </si>
  <si>
    <t>Nganjuk</t>
  </si>
  <si>
    <t>Vehicle Maintenance LRT Jabodebek (Helper Testing)</t>
  </si>
  <si>
    <t>351819140798000 2</t>
  </si>
  <si>
    <t>Dsn. Punggur Ds. Jatipungggur Kec. Lengkong Kab. Nganjuk</t>
  </si>
  <si>
    <t>0812 1927 0223</t>
  </si>
  <si>
    <t>Ahmatzajuli@gmail.com</t>
  </si>
  <si>
    <t>0002161632284</t>
  </si>
  <si>
    <t>SUROTO</t>
  </si>
  <si>
    <t>03.805.135.5-407.000</t>
  </si>
  <si>
    <t>SMK N 1 Lengkong</t>
  </si>
  <si>
    <t>PB-54/XII/IMSS/2019</t>
  </si>
  <si>
    <t>PKWT-642101102/D1/2020</t>
  </si>
  <si>
    <t>MOHAMAD SUKRON</t>
  </si>
  <si>
    <t>Kuningan</t>
  </si>
  <si>
    <t>320808100297000 2</t>
  </si>
  <si>
    <t>Blok Manis RT001/RW002, Kel. Sukaimut, Kec. Garawangi, Kab. Kuningan</t>
  </si>
  <si>
    <t>0812 1887 7786</t>
  </si>
  <si>
    <t>msukron34@gmail.com</t>
  </si>
  <si>
    <t>0002246935588</t>
  </si>
  <si>
    <t>81.849.071.6-438.000</t>
  </si>
  <si>
    <t>SMK Pertiwi Kuningan</t>
  </si>
  <si>
    <t>MUHAMAD NURUL IRFAN</t>
  </si>
  <si>
    <t>Tangerang</t>
  </si>
  <si>
    <t>367109190993000 4</t>
  </si>
  <si>
    <t>KP Uwung Hilir 003/010, Uwung Jaya, Cibodas</t>
  </si>
  <si>
    <t>0812 8721 8272</t>
  </si>
  <si>
    <t>Muhammadirfan184@gmail.com</t>
  </si>
  <si>
    <t>0001724165548</t>
  </si>
  <si>
    <t>ALIFFIA NEISHA AZZAHRA</t>
  </si>
  <si>
    <t>MAMAN SUHERMAN</t>
  </si>
  <si>
    <t>SITI YUSROH</t>
  </si>
  <si>
    <t>MAMAT RAHMAT</t>
  </si>
  <si>
    <t>YAYAT INDRIANI</t>
  </si>
  <si>
    <t>85.744.436.8-402.000</t>
  </si>
  <si>
    <t>Sekolah Tinggi Teknik PLN</t>
  </si>
  <si>
    <t>OSKAR ANGGARA</t>
  </si>
  <si>
    <t>360312190590000 1</t>
  </si>
  <si>
    <t>Jl Piranha I No 10 Pondok Permai RT/RW 004/004, Kuta Baru, Pasar Kemis</t>
  </si>
  <si>
    <t>0812 9942 8188</t>
  </si>
  <si>
    <t>oskaranggara070517@gmail.com</t>
  </si>
  <si>
    <t>0002161634084</t>
  </si>
  <si>
    <t>NIKEN KHOIRINITA</t>
  </si>
  <si>
    <t>Universitas Muhammadiyah Tangerang</t>
  </si>
  <si>
    <t>HATMOKO HADI SAPUTRO</t>
  </si>
  <si>
    <t>Wonogiri</t>
  </si>
  <si>
    <t>327511061078000 3</t>
  </si>
  <si>
    <t>Mutiara Gading Timur 2 Blok N 25/30 RT/RW 009/029, Mustika Jaya, Mustika Jaya, Bekasi</t>
  </si>
  <si>
    <t>0812 8896 8689</t>
  </si>
  <si>
    <t>Albrilianrasya11@gmail.com</t>
  </si>
  <si>
    <t>0001736658764</t>
  </si>
  <si>
    <t>ENTIN WARTINI</t>
  </si>
  <si>
    <t>ALBRILIAN RASYA SAPUTRA</t>
  </si>
  <si>
    <t>ADIVA ARSYILA SHANUM</t>
  </si>
  <si>
    <t>HADI SUDARNO</t>
  </si>
  <si>
    <t>SITI RUKMINI</t>
  </si>
  <si>
    <t>ODO SUHADA</t>
  </si>
  <si>
    <t>JUMINAH</t>
  </si>
  <si>
    <t>59.956.782.3-435.000</t>
  </si>
  <si>
    <t>SMK Swasta Pancasila 1 Wonogiri</t>
  </si>
  <si>
    <t>ABDUL MUJIB</t>
  </si>
  <si>
    <t>Pati</t>
  </si>
  <si>
    <t>367108060593000 1</t>
  </si>
  <si>
    <t xml:space="preserve">Griya Merpati Mas Blok C 36 No 13 RT/RW 007/005 Gembor Priuk </t>
  </si>
  <si>
    <t>0838 1298 2541</t>
  </si>
  <si>
    <t>Abdulmujib3575@gmail.com</t>
  </si>
  <si>
    <t>0001297383873</t>
  </si>
  <si>
    <t>PUPUT PURWANTI</t>
  </si>
  <si>
    <t>SHAPANA ALMAHYRA ABDULLAH</t>
  </si>
  <si>
    <t>SMK Pelita Persada</t>
  </si>
  <si>
    <t>BEKTI TRI WIBOWO</t>
  </si>
  <si>
    <t>360312250893000 8</t>
  </si>
  <si>
    <t>Jl. Imam Bonjol RT 05/RW 01, Ds. Gebyog, Kec. Karangrejo, Kab. Magetan</t>
  </si>
  <si>
    <t>0856 4656 2995</t>
  </si>
  <si>
    <t>Bektitriwibowo@gmail.com</t>
  </si>
  <si>
    <t>0002161134404</t>
  </si>
  <si>
    <t>ENDANG YULIANTI</t>
  </si>
  <si>
    <t>HANINDYA AIRIN WIBOWO</t>
  </si>
  <si>
    <t>HASYA AMIRA WIBOWO</t>
  </si>
  <si>
    <t>RAWI</t>
  </si>
  <si>
    <t>SANTOSO</t>
  </si>
  <si>
    <t>SRI LESTARI</t>
  </si>
  <si>
    <t>02.477.104.0.646.000</t>
  </si>
  <si>
    <t>024771040646000</t>
  </si>
  <si>
    <t>KHOHAR LEO KURNIAWAN</t>
  </si>
  <si>
    <t>351903060895000 2</t>
  </si>
  <si>
    <t>Klanding RT 03/RW 02 Ds. Dungmiri, Karangjati, Ngawi</t>
  </si>
  <si>
    <t>0819 1452 8424</t>
  </si>
  <si>
    <t>Kurniawan.leo03@gmail.com</t>
  </si>
  <si>
    <t>0001839100735</t>
  </si>
  <si>
    <t>ARMIN YUNITA INDRAWANTI</t>
  </si>
  <si>
    <t>NADINE TAVISHA KURNIAWAN</t>
  </si>
  <si>
    <t>SUDJADI</t>
  </si>
  <si>
    <t>KATIRAH</t>
  </si>
  <si>
    <t>MARNO</t>
  </si>
  <si>
    <t>74.751.386.9-621.000</t>
  </si>
  <si>
    <t>MEGA KARTIKA PUTRA HADI</t>
  </si>
  <si>
    <t>351909270396000 1</t>
  </si>
  <si>
    <t>JL.Eka Bakti RT.027 RW.007 Jiwan, Madiun, Jawa Timur</t>
  </si>
  <si>
    <t>0895 3990 94660</t>
  </si>
  <si>
    <t>MegaPutra2703@gmail.com</t>
  </si>
  <si>
    <t>0001701604585</t>
  </si>
  <si>
    <t>ELSA DUWI RUSMAYANI</t>
  </si>
  <si>
    <t>MUHAMMAD ZAFRAN SATRIA AJI</t>
  </si>
  <si>
    <t>ITO HADI SUCIPTO</t>
  </si>
  <si>
    <t>TRI MURJIATI</t>
  </si>
  <si>
    <t>SLAMET</t>
  </si>
  <si>
    <t>PUJIANI</t>
  </si>
  <si>
    <t>03.971.567.7-621.000</t>
  </si>
  <si>
    <t>ALFI DIMAS SUGIANTO</t>
  </si>
  <si>
    <t>351904240995000 1</t>
  </si>
  <si>
    <t>Ds. Dagangan RT04/RW02 Kec. Dagangan, Kab.Madiun</t>
  </si>
  <si>
    <t>0857 3541 3922</t>
  </si>
  <si>
    <t>alfidimassugianto@gmail.com</t>
  </si>
  <si>
    <t>0002161134393</t>
  </si>
  <si>
    <t>RENI SETIANA</t>
  </si>
  <si>
    <t>SUKARDI</t>
  </si>
  <si>
    <t>MISINEM</t>
  </si>
  <si>
    <t>SAIRIN</t>
  </si>
  <si>
    <t>MARMI</t>
  </si>
  <si>
    <t>03.706.782.4-621.000</t>
  </si>
  <si>
    <t>SMK N 1 Kebonsari</t>
  </si>
  <si>
    <t>DIMAS ENGGAR PAMBUDI</t>
  </si>
  <si>
    <t>357702120998000 1</t>
  </si>
  <si>
    <t>Jl. Campursari Gg Ii No 14 Sogaten Madiun</t>
  </si>
  <si>
    <t>0895 0617 8285</t>
  </si>
  <si>
    <t>dimasenggarp1209@gmail.com</t>
  </si>
  <si>
    <t>0002467082799</t>
  </si>
  <si>
    <t>ISTRI : ELOK NOVIA CANDRA SAPUTRI</t>
  </si>
  <si>
    <t>NIMAS ALFARIZQIA MAHARANI</t>
  </si>
  <si>
    <t>SUPRIYONO</t>
  </si>
  <si>
    <t>SRI JUWARTI</t>
  </si>
  <si>
    <t>SUGIONO</t>
  </si>
  <si>
    <t>SRI MUJIATI</t>
  </si>
  <si>
    <t>07.623.849.2-621.000</t>
  </si>
  <si>
    <t>DIMAS MUCHSIN ARDIYANSAH</t>
  </si>
  <si>
    <t>352011250597000 1</t>
  </si>
  <si>
    <t>Ds Sugihwaras RT 17 RW 04 Kec Maospati Kab Magetan</t>
  </si>
  <si>
    <t>0812 9216 9053</t>
  </si>
  <si>
    <t>dimasdonita@gmail.com</t>
  </si>
  <si>
    <t>0001703631993</t>
  </si>
  <si>
    <t>YULIANTORO</t>
  </si>
  <si>
    <t>350219240798000 1</t>
  </si>
  <si>
    <t>Ds Ngrogung RT 02 RW 02 Kec Ngebel Kab Ponorogo</t>
  </si>
  <si>
    <t>0821 3918 4771</t>
  </si>
  <si>
    <t>kanciluye24@gmail.com</t>
  </si>
  <si>
    <t>0000664083088</t>
  </si>
  <si>
    <t>SUKATI</t>
  </si>
  <si>
    <t>03.738.707.3-647.000</t>
  </si>
  <si>
    <t>037387073647000</t>
  </si>
  <si>
    <t>SMK N 1 Ngebel</t>
  </si>
  <si>
    <t>MUHAMMAD HIDAYAT</t>
  </si>
  <si>
    <t>352114060299000 2</t>
  </si>
  <si>
    <t>Ngagel Tirto 4/11 RT/RW 006/003 Ngagelrejo, Wonokromo, Surabaya</t>
  </si>
  <si>
    <t>081 234 772 870</t>
  </si>
  <si>
    <t>hidayat53211@gmail.com</t>
  </si>
  <si>
    <t>0000742607976</t>
  </si>
  <si>
    <t>ADELIA</t>
  </si>
  <si>
    <t>FELICIA AEERA KHALISA</t>
  </si>
  <si>
    <t>TUKIYAT</t>
  </si>
  <si>
    <t>LISTIANA</t>
  </si>
  <si>
    <t>SUMINTO</t>
  </si>
  <si>
    <t>KARMILA</t>
  </si>
  <si>
    <t>03.676.329.0-313.000</t>
  </si>
  <si>
    <t>Teknik Perkapalan</t>
  </si>
  <si>
    <t>SMK Perkapalan Sidoarjo</t>
  </si>
  <si>
    <t>BAYU DIMAS NURARIFIN</t>
  </si>
  <si>
    <t>351909211196000 2</t>
  </si>
  <si>
    <t>Jl. Karyawan, 004/002 Desa Jiwan, Kec. Jiwan. Kab Madiun</t>
  </si>
  <si>
    <t>0895 3967 7740</t>
  </si>
  <si>
    <t>0899 1465 750</t>
  </si>
  <si>
    <t>bayudimasnurarifin17@gmail.com</t>
  </si>
  <si>
    <t>0001665574672</t>
  </si>
  <si>
    <t>JELITA CEMPAKA DINI BERLIANA</t>
  </si>
  <si>
    <t>SUMIRAN</t>
  </si>
  <si>
    <t>UNTARI</t>
  </si>
  <si>
    <t>TUGAS BUDIANTORO</t>
  </si>
  <si>
    <t>HARI AGUSTINI</t>
  </si>
  <si>
    <t>74.487.579.0.621.000</t>
  </si>
  <si>
    <t>DONI NUR ANGGI PRASETYO</t>
  </si>
  <si>
    <t>Rembang</t>
  </si>
  <si>
    <t>331710200392000 4</t>
  </si>
  <si>
    <t>Bayem Wetan RT 03/RW 01, Kec. Kartoharjo, Kab Magetan</t>
  </si>
  <si>
    <t>0856 4887 2805</t>
  </si>
  <si>
    <t>0858 6985 6185</t>
  </si>
  <si>
    <t xml:space="preserve">Doninuranggip@gmail.com </t>
  </si>
  <si>
    <t>0002035658553</t>
  </si>
  <si>
    <t>PRIMA AYU SUSANTI</t>
  </si>
  <si>
    <t>BIMA AL-GAHAZALI PADMASANA MANIK KIAN PRASETYO</t>
  </si>
  <si>
    <t>XXXL</t>
  </si>
  <si>
    <t>FIRDAUS KURNIA FIRMANSYAH</t>
  </si>
  <si>
    <t>351909090398000 1</t>
  </si>
  <si>
    <t>Wayut, 002/001, Des Wayut, Kec Jiwan. Kab. Madiun</t>
  </si>
  <si>
    <t>0812 3355 7331</t>
  </si>
  <si>
    <t>Kurniafirdaus652@gmail.com</t>
  </si>
  <si>
    <t>0002159693807</t>
  </si>
  <si>
    <t>GILANG AKBAR WICAKSONO</t>
  </si>
  <si>
    <t>351907010598000 2</t>
  </si>
  <si>
    <t>Jl. Mawar, 003/001, Munggut Kec. Wingu</t>
  </si>
  <si>
    <t>0831 4566 6651</t>
  </si>
  <si>
    <t>0878 7343 3616</t>
  </si>
  <si>
    <t>gilanggundul1999@gmail.com</t>
  </si>
  <si>
    <t>0002160342314</t>
  </si>
  <si>
    <t>TALYA AYU MEGANANDA</t>
  </si>
  <si>
    <t>RUDI IMAM WAHYUDI</t>
  </si>
  <si>
    <t>SRI SUHARTIWI</t>
  </si>
  <si>
    <t xml:space="preserve">UGENG ANDARU BEKTI </t>
  </si>
  <si>
    <t>HASLINA</t>
  </si>
  <si>
    <t>351.907.010.5.980.002</t>
  </si>
  <si>
    <t>HEPI PUTRA RAHARJA</t>
  </si>
  <si>
    <t>Kulon Progo</t>
  </si>
  <si>
    <t>340102101193000 1</t>
  </si>
  <si>
    <t>Durungan 048/022 Kel Wates, Kec Wates, Kab. Kulon Progo, D.I. Yogyakarta</t>
  </si>
  <si>
    <t>0857 2901 3687</t>
  </si>
  <si>
    <t>hepi.putraraharja@gmail.com</t>
  </si>
  <si>
    <t>0001623901713</t>
  </si>
  <si>
    <t>RIZKY CANDRADEWI</t>
  </si>
  <si>
    <t>SAMIDI PRANOTO UTOMO</t>
  </si>
  <si>
    <t>TUKIJEM</t>
  </si>
  <si>
    <t>SUJIYA</t>
  </si>
  <si>
    <t>TARI KUSUMOWATI</t>
  </si>
  <si>
    <t>45.866.449.7-544.000</t>
  </si>
  <si>
    <t>SMK N 1 Wates</t>
  </si>
  <si>
    <t>ANDY DWY BASTIAN</t>
  </si>
  <si>
    <t>352005010999000 1</t>
  </si>
  <si>
    <t>Giripurno, RT/RW 011\004, Kel, Giripurno, Kec Kawedanan, Kab. Magetan</t>
  </si>
  <si>
    <t>0812 3927 7846</t>
  </si>
  <si>
    <t>andydwi0599@gmail.com</t>
  </si>
  <si>
    <t>0002161134336</t>
  </si>
  <si>
    <t>SUYITNO</t>
  </si>
  <si>
    <t>ALM.SUNDARTI</t>
  </si>
  <si>
    <t>05.619.176.0-646.000</t>
  </si>
  <si>
    <t>Teknik Elektronika</t>
  </si>
  <si>
    <t>RENDHY EKO NUR CAHYO</t>
  </si>
  <si>
    <t>Kuang anyar</t>
  </si>
  <si>
    <t>357701050799000 1</t>
  </si>
  <si>
    <t>Jl. Tawangsari RT 14/RW 04, Kel Tawangrejo, Kec. Kartoharjo, Kota Madiun</t>
  </si>
  <si>
    <t>0858 7578 9687</t>
  </si>
  <si>
    <t>rendhyenc5799@gmail.com</t>
  </si>
  <si>
    <t>0000787285135</t>
  </si>
  <si>
    <t>SUPRAPTO</t>
  </si>
  <si>
    <t>SUNDARI</t>
  </si>
  <si>
    <t>03.706.768.3-621.000</t>
  </si>
  <si>
    <t>SUDARMAWAN</t>
  </si>
  <si>
    <t>352004080893000 2</t>
  </si>
  <si>
    <t>Sawo, RT/RW 005/001 Kel. Sawojajar, Kec Takeran, Kab. Magetan</t>
  </si>
  <si>
    <t>0822 3350 0479</t>
  </si>
  <si>
    <t>Dhearmawan@gmail.com</t>
  </si>
  <si>
    <t>0001151996872</t>
  </si>
  <si>
    <t>RAMELAN</t>
  </si>
  <si>
    <t>SUTI</t>
  </si>
  <si>
    <t>95.972.306.5-646.000</t>
  </si>
  <si>
    <t>SMK PSM 2 Takeran Magetan</t>
  </si>
  <si>
    <t>ADHIP WIDODO</t>
  </si>
  <si>
    <t>350218290493000 1</t>
  </si>
  <si>
    <t>Dukuh Krajan RT/RW 004/002, Semanding, Kab. Ponorogo</t>
  </si>
  <si>
    <t>0838 5074 7996</t>
  </si>
  <si>
    <t>0895 6000 80701</t>
  </si>
  <si>
    <t>Adhipwidodo05@gmail.com</t>
  </si>
  <si>
    <t>0001475194015</t>
  </si>
  <si>
    <t>PALUPI KHARIMAH</t>
  </si>
  <si>
    <t>FADIL ALKHALIFI</t>
  </si>
  <si>
    <t>TUKIMON</t>
  </si>
  <si>
    <t>ALM SITI MARYAM</t>
  </si>
  <si>
    <t>HERU SUFINGI</t>
  </si>
  <si>
    <t>RENI RAHMAWATI</t>
  </si>
  <si>
    <t>71.118.188.3-647.000</t>
  </si>
  <si>
    <t>AVIN ROMADHONA</t>
  </si>
  <si>
    <t>Jambi</t>
  </si>
  <si>
    <t>Kediri</t>
  </si>
  <si>
    <t>350619010198000 1</t>
  </si>
  <si>
    <t>Jl H.Syamsudin Uban, RT/002, Kel Tambak Sari, Kec. Jambi Selatan. Jambi</t>
  </si>
  <si>
    <t>0858 5141 7535</t>
  </si>
  <si>
    <t>Avinrmd27@gmail.com</t>
  </si>
  <si>
    <t>0002161134358</t>
  </si>
  <si>
    <t>EFI ROSITA WATI</t>
  </si>
  <si>
    <t>QEENAN ZOE ABIAN</t>
  </si>
  <si>
    <t>SUYADI</t>
  </si>
  <si>
    <t>JUMIATIN</t>
  </si>
  <si>
    <t>NUR KHOLIQ</t>
  </si>
  <si>
    <t>MARKAMAH</t>
  </si>
  <si>
    <t>03.795.674.5.649.000</t>
  </si>
  <si>
    <t>037956745649000</t>
  </si>
  <si>
    <t>SMK N 1 Kediri</t>
  </si>
  <si>
    <t>CATUR BUMI LAKSANA</t>
  </si>
  <si>
    <t>Ujung Pandang</t>
  </si>
  <si>
    <t>351513050498000 3</t>
  </si>
  <si>
    <t>Taman Pondok Jati Blok W-15, RT/RW 022\004, Geluran Taman</t>
  </si>
  <si>
    <t>0823 4166 8890</t>
  </si>
  <si>
    <t>caturbumi98@gmail.com</t>
  </si>
  <si>
    <t>0002161134347</t>
  </si>
  <si>
    <t>MUKTI WIDODO</t>
  </si>
  <si>
    <t>SOELISIANI</t>
  </si>
  <si>
    <t>39.979.523.6-002.000</t>
  </si>
  <si>
    <t>SMK N 3 Surabaya</t>
  </si>
  <si>
    <t>DEDE SUHENDRA</t>
  </si>
  <si>
    <t>161001121290000 2</t>
  </si>
  <si>
    <t>Kuang Anyar, RT 001, Kel Kuang Anyar, Muara Kuang, Kab. Ogan  Ilir</t>
  </si>
  <si>
    <t>0853 7902 3538</t>
  </si>
  <si>
    <t>Suhendrad470@gmail.com</t>
  </si>
  <si>
    <t>0002161659284</t>
  </si>
  <si>
    <t>SMK PGRI Tanjung Raja</t>
  </si>
  <si>
    <t>DONY PRAMONO</t>
  </si>
  <si>
    <t>357703160595000 1</t>
  </si>
  <si>
    <t>Jl Margabawera VII A/1A RT/RW 014/003 Kel. Mojorejo, Kec. Taman, Kota Madiun</t>
  </si>
  <si>
    <t>0857 9042 7881</t>
  </si>
  <si>
    <t>donypramono016@gmail.com</t>
  </si>
  <si>
    <t>0001386661342</t>
  </si>
  <si>
    <t>SONI</t>
  </si>
  <si>
    <t>70.839.932.4-621.000</t>
  </si>
  <si>
    <t>DWI ARIANTO</t>
  </si>
  <si>
    <t>351915110594000 2</t>
  </si>
  <si>
    <t>Sidomulyo 007/002 Kec. Wonoasri Kab. Madiun</t>
  </si>
  <si>
    <t>0857 0427 8921</t>
  </si>
  <si>
    <t>ariantodwi60@gmail.com</t>
  </si>
  <si>
    <t>0001666817346</t>
  </si>
  <si>
    <t>LANI DWI LESTIANA</t>
  </si>
  <si>
    <t>NAFEEZA ARIE AYUNINDYA</t>
  </si>
  <si>
    <t>MURYONO</t>
  </si>
  <si>
    <t>54.878.880.1-435.000</t>
  </si>
  <si>
    <t>SHOFWAN MAHSYURDIN</t>
  </si>
  <si>
    <t>167112100194000 4</t>
  </si>
  <si>
    <t xml:space="preserve"> Jl.Syakyakirti No. 1686 RT 40 RW 10 Kel.Karang Anyar Kec.Gandus Palembang</t>
  </si>
  <si>
    <t>0853 8073 9763</t>
  </si>
  <si>
    <t>shofwanmahsyurdin@gmail.com</t>
  </si>
  <si>
    <t>0000025842429</t>
  </si>
  <si>
    <t>SUCI INDAH PRATIWI</t>
  </si>
  <si>
    <t>H M SYUKUR, S.E</t>
  </si>
  <si>
    <t>HJ. FATIMAH S.SOS</t>
  </si>
  <si>
    <t>SUPARTO</t>
  </si>
  <si>
    <t>NURHAYATI</t>
  </si>
  <si>
    <t>65.208.005.2-307.000</t>
  </si>
  <si>
    <t>Universitas Sriwijaya</t>
  </si>
  <si>
    <t>FEBRI HERDIAN</t>
  </si>
  <si>
    <t>167108020281000 6</t>
  </si>
  <si>
    <t>Jl. Sako Raya Lr. Aman RT 001/RW 005, Kel. Sako Baru, Kec. Sako, Palembang</t>
  </si>
  <si>
    <t>0882 6955 9127</t>
  </si>
  <si>
    <t>Febriherdian68@gmail.com</t>
  </si>
  <si>
    <t>0001889354439</t>
  </si>
  <si>
    <t>RAKHMA MULYANTI</t>
  </si>
  <si>
    <t>RAFI ANUGRAH</t>
  </si>
  <si>
    <t>TALITHA SALSABILAH</t>
  </si>
  <si>
    <t>KHALIQA NABIILAH ZHAAFIRA</t>
  </si>
  <si>
    <t>DIAN FIRMANSYAH PUTRA</t>
  </si>
  <si>
    <t>Teknik Elektronika Komunikasi</t>
  </si>
  <si>
    <t>SMK N 4 Palembang</t>
  </si>
  <si>
    <t>IMAM JUANSYAH</t>
  </si>
  <si>
    <t>167108070797000 9</t>
  </si>
  <si>
    <t>Jl.Gotong Royong 1 No.37.Sako Baru.Kecamatan Sako</t>
  </si>
  <si>
    <t>0822 8264 0292</t>
  </si>
  <si>
    <t>imamjuansyah07@gmail.com</t>
  </si>
  <si>
    <t>0002442675159</t>
  </si>
  <si>
    <t>SMK N 2 Palembang</t>
  </si>
  <si>
    <t>M. RIZKI FIRDAUS</t>
  </si>
  <si>
    <t>palembang</t>
  </si>
  <si>
    <t>167102131197000 4</t>
  </si>
  <si>
    <t xml:space="preserve"> Jln Dekranasda Blok M No 15 RT 59 RW 19 Kelurahan 15 Ulu Kecamatan Seberang Ulu 1 Palembang</t>
  </si>
  <si>
    <t>0821 8152 8071</t>
  </si>
  <si>
    <t>rizkifirdaus1397@gmail.com</t>
  </si>
  <si>
    <t>0002236534558</t>
  </si>
  <si>
    <t>AYU LESTARI NINGSIH</t>
  </si>
  <si>
    <t>SUDARWIN</t>
  </si>
  <si>
    <t>ZULFA</t>
  </si>
  <si>
    <t>SALIM</t>
  </si>
  <si>
    <t>EMI MUJIA NINGSIH</t>
  </si>
  <si>
    <t>53.070.728.0-306.000</t>
  </si>
  <si>
    <t>RIFQI TEGAR LAKSONO</t>
  </si>
  <si>
    <t>347103301194000 1</t>
  </si>
  <si>
    <t>Griya Ketawang Permai, Mejing Lor RT 003 / RW 038, Kel. Ambarketawang, Kec. Gamping Kabupaten Sleman.</t>
  </si>
  <si>
    <t>087838525882</t>
  </si>
  <si>
    <t>rifqitegarlaksono@gmail.com</t>
  </si>
  <si>
    <t>0001372465462</t>
  </si>
  <si>
    <t>GHINA PUTRI RAMADHANTY</t>
  </si>
  <si>
    <t>SUHARTO</t>
  </si>
  <si>
    <t>MARWATI WISUDIYANTI</t>
  </si>
  <si>
    <t>843956350542000</t>
  </si>
  <si>
    <t>Semarang</t>
  </si>
  <si>
    <t>SK-09/D1/IMSS/2019</t>
  </si>
  <si>
    <t>337411250393000 5</t>
  </si>
  <si>
    <t xml:space="preserve">Jl. Satria Raya 89 Payung Pesona Asri RT 007/RW 010, Kel. Pudakpayung, Kec. Banyumanik, Kota Semarang. </t>
  </si>
  <si>
    <t>+62 822-2500-5136</t>
  </si>
  <si>
    <t>ahmadyudhafitrianto@gmail.com</t>
  </si>
  <si>
    <t>0001694443689</t>
  </si>
  <si>
    <t>FITRI KUSVILIA AZIS</t>
  </si>
  <si>
    <t>ARBI MUHAMMAD ALVARENDRA</t>
  </si>
  <si>
    <t>HARLISTA DWI OKTYASWORO</t>
  </si>
  <si>
    <t>Pekalongan</t>
  </si>
  <si>
    <t>332615591095000 1</t>
  </si>
  <si>
    <t>Gta Jl. Mawar IV/30, RT Oo7/RW 004, Desa Tanjung, Ke. Tirto, Kab. Pekalongan</t>
  </si>
  <si>
    <t>+62 856-4294-4620</t>
  </si>
  <si>
    <t>harlistadwi@gmail.com</t>
  </si>
  <si>
    <t>0002916146687</t>
  </si>
  <si>
    <t>Institut Teknologi Sepuluh Nopember</t>
  </si>
  <si>
    <t>CHRISTOPER BAGAS WIRAWAN</t>
  </si>
  <si>
    <t>Cilacap</t>
  </si>
  <si>
    <t>330106200795000 2</t>
  </si>
  <si>
    <t xml:space="preserve">Jl. Galunggung RT 026/RW 002, Desa Kroya, Kec. Kroya, Kab. Cilacap </t>
  </si>
  <si>
    <t>+62 813-4035-9950</t>
  </si>
  <si>
    <t>bagaswirawan5@gmail.com</t>
  </si>
  <si>
    <t>0000080731541</t>
  </si>
  <si>
    <t>SAWITEM</t>
  </si>
  <si>
    <t>ANTONIUS CATUR WAHYONO</t>
  </si>
  <si>
    <t>MARYANI</t>
  </si>
  <si>
    <t>96.914.135.7-621.00</t>
  </si>
  <si>
    <t>RAHARDIAN INDRA MAYURIIDZ</t>
  </si>
  <si>
    <t>Sidoarjo</t>
  </si>
  <si>
    <t>357703120493000 2</t>
  </si>
  <si>
    <t>Jl. Salak Barat V/A-6, RT 039/RW 012, Kel. Taman, Kec. Taman, Kota Madiun</t>
  </si>
  <si>
    <t>+62 813-3519-0933</t>
  </si>
  <si>
    <t>indrarahardian93@gmail.com</t>
  </si>
  <si>
    <t>0001633556867</t>
  </si>
  <si>
    <t>CINDY ZAFIRA H</t>
  </si>
  <si>
    <t>WINARNO HENRY W</t>
  </si>
  <si>
    <t>INNA RIYANIE</t>
  </si>
  <si>
    <t>906179981621000</t>
  </si>
  <si>
    <t>Ekonomi</t>
  </si>
  <si>
    <t>357703150891000 2</t>
  </si>
  <si>
    <t>Jl Mancung Sari No. 10 RT 02/RW 01, Kel. Manisrejo, Kec. Taman, Kota Madiun</t>
  </si>
  <si>
    <t>+62 822-3446-0697</t>
  </si>
  <si>
    <t>satriagustiana@gmail.com</t>
  </si>
  <si>
    <t>0000205616373</t>
  </si>
  <si>
    <t>933744708621000</t>
  </si>
  <si>
    <t>OKTA SETYANIDA</t>
  </si>
  <si>
    <t>Brevet Perpajakan A dan B</t>
  </si>
  <si>
    <t>351902611095000 1</t>
  </si>
  <si>
    <t>Dusun Sidorejo, RT 033/RW 011, Desa Dolopo, Kec. Dolopo, Kab. Madiun</t>
  </si>
  <si>
    <t>+62 857-9020-0404</t>
  </si>
  <si>
    <t>oktasetyanida@gmail.com</t>
  </si>
  <si>
    <t>0002162292028</t>
  </si>
  <si>
    <t>SULASTRI</t>
  </si>
  <si>
    <t>Perpajakan</t>
  </si>
  <si>
    <t>BAGUS DWI CAHYONO</t>
  </si>
  <si>
    <t xml:space="preserve">351908190685000 3 </t>
  </si>
  <si>
    <t>Maesodanu 20 RT 001 RW 001 Kel Tiron Kec Madiun</t>
  </si>
  <si>
    <t>+62 857-0711-3321</t>
  </si>
  <si>
    <t>sugabb19@yahoo.co.id</t>
  </si>
  <si>
    <t>0001315554197</t>
  </si>
  <si>
    <t>DIAN NURKHAYATI</t>
  </si>
  <si>
    <t>RAFFASYA RIVAN ALFARISQI</t>
  </si>
  <si>
    <t>MUHAMMAD YUNIAR FIJRIANTORO</t>
  </si>
  <si>
    <t>347113110687000 1</t>
  </si>
  <si>
    <t>Jl Kusumasari No 7 RT/RW 013/004, Rejomulyo, Kartoharjo, Madiun</t>
  </si>
  <si>
    <t>+62 822-4284-6740</t>
  </si>
  <si>
    <t>myfijriantoro@gmail.com</t>
  </si>
  <si>
    <t>0001796850404</t>
  </si>
  <si>
    <t>ATIEKA FEBRININGTYAS</t>
  </si>
  <si>
    <t>ZHAFRAN MUHAMMAD KHAIR</t>
  </si>
  <si>
    <t>KAFIYA AFIANTIKA</t>
  </si>
  <si>
    <t>Universitas Negeri Yogyakarta</t>
  </si>
  <si>
    <t>MUHAMAD PRABOWO</t>
  </si>
  <si>
    <t>321602150700001 3</t>
  </si>
  <si>
    <t>Pondok Ungu Permai, Sektor V, Blok H4 No. 32, Kel. Bahagia, Kec. Babelan, Bekasi Utara</t>
  </si>
  <si>
    <t>0812 1292 3913</t>
  </si>
  <si>
    <t>mhmmdprbwo@gmail.com</t>
  </si>
  <si>
    <t>0001667117147</t>
  </si>
  <si>
    <t>HANINDA DYAH HAMIDAH</t>
  </si>
  <si>
    <t>LINGGAR PRADARA MURAKAPI</t>
  </si>
  <si>
    <t>SMK Vinama 2 Bekasi</t>
  </si>
  <si>
    <t>KMS MUHAMMAD JIMMI</t>
  </si>
  <si>
    <t>167108010397000 9</t>
  </si>
  <si>
    <t>Jl Lebak Murni Lrg Karya Murni 021/009 Kel. Sako, Kec. Sako, Kota Palembang</t>
  </si>
  <si>
    <t>0852 7460 3794</t>
  </si>
  <si>
    <t>Kmsjimmi0103@gmail.com</t>
  </si>
  <si>
    <t>0000325347366</t>
  </si>
  <si>
    <t>OKTAVIA S</t>
  </si>
  <si>
    <t>KMS M HERYANTO</t>
  </si>
  <si>
    <t>YENNI</t>
  </si>
  <si>
    <t>SUYANTO</t>
  </si>
  <si>
    <t>ASWIYAH</t>
  </si>
  <si>
    <t>96.062.651.3.301.000</t>
  </si>
  <si>
    <t>SMK Telenika Palembang</t>
  </si>
  <si>
    <t>MGS DIMAS SAHREZA</t>
  </si>
  <si>
    <t>167112250995000 2</t>
  </si>
  <si>
    <t>Jl Ps Ing Kenayan 009/003, Kel.Karang Anyar, Kec.Gandus, Palembang</t>
  </si>
  <si>
    <t>0821 8670 3004</t>
  </si>
  <si>
    <t>Dimassareza@gmail.com</t>
  </si>
  <si>
    <t>0000322850237</t>
  </si>
  <si>
    <t>RICA DESTIANI</t>
  </si>
  <si>
    <t>MGS HIRO ELHASIQ</t>
  </si>
  <si>
    <t>MGS A RONI</t>
  </si>
  <si>
    <t>ISNAINI</t>
  </si>
  <si>
    <t>SUROSO</t>
  </si>
  <si>
    <t>SURTINI</t>
  </si>
  <si>
    <t>93.824.654.3-307.000</t>
  </si>
  <si>
    <t>Universitas Muhammadiyah Palembang</t>
  </si>
  <si>
    <t>RANDI ARDIMAN</t>
  </si>
  <si>
    <t>137106090591000 7</t>
  </si>
  <si>
    <t>Batung Taba, Kel. Batuang Taba Nan XX, Kec. Lubuk Begalung, Kota Paadang</t>
  </si>
  <si>
    <t>0823 8177 9323</t>
  </si>
  <si>
    <t xml:space="preserve">Padangardiman@gmail.com </t>
  </si>
  <si>
    <t>0001789296963</t>
  </si>
  <si>
    <t>VENI YULIASRI</t>
  </si>
  <si>
    <t>ARSYILA FARZANA</t>
  </si>
  <si>
    <t>ARSYAD KHAIR RANDHANI</t>
  </si>
  <si>
    <t>NURMAN</t>
  </si>
  <si>
    <t>ARMITA</t>
  </si>
  <si>
    <t>SYAHRIAL</t>
  </si>
  <si>
    <t>YUSNIMAR</t>
  </si>
  <si>
    <t>66.752.263.5-403.000</t>
  </si>
  <si>
    <t>Universitas Andalas</t>
  </si>
  <si>
    <t>AHMAD SYAIFUL ANWAR</t>
  </si>
  <si>
    <t>317508040892000 5</t>
  </si>
  <si>
    <t>Kampung Baru I RT/RW 10/05 Halim Perdana Kusuma Makasar</t>
  </si>
  <si>
    <t>0813 1138 9631</t>
  </si>
  <si>
    <t>Ahmad1syaiful2anwar3@gmail.com</t>
  </si>
  <si>
    <t>0001140473024</t>
  </si>
  <si>
    <t>SRI REZEKY</t>
  </si>
  <si>
    <t>KHALISHAH NUR SHOBAH</t>
  </si>
  <si>
    <t>MUHAMMAD KHALID ANWAR</t>
  </si>
  <si>
    <t>ABDUL AZIZ</t>
  </si>
  <si>
    <t>SARMINI</t>
  </si>
  <si>
    <t>WALUYO SUGITO</t>
  </si>
  <si>
    <t>OMAH</t>
  </si>
  <si>
    <t>03.787.374.2-005.000</t>
  </si>
  <si>
    <t>SMK Angkasa I</t>
  </si>
  <si>
    <t>ANDI APRIADI</t>
  </si>
  <si>
    <t>167114090486000 2</t>
  </si>
  <si>
    <t>Jl Kapten Robani Kadir Lr Buntu No 79 026/007 Kel Talang Putri Kec. Plaju</t>
  </si>
  <si>
    <t>0856 0929 4529</t>
  </si>
  <si>
    <t>0852 7342 2763</t>
  </si>
  <si>
    <t>Andiapriadi294@gmail.com</t>
  </si>
  <si>
    <t>0001870156776</t>
  </si>
  <si>
    <t>PARAMITA PUSPASARI</t>
  </si>
  <si>
    <t>MUHAMMAD REZKY ANANDITA</t>
  </si>
  <si>
    <t>ZAHIRA ALEESHA ANANDITA</t>
  </si>
  <si>
    <t>SUKIRNO</t>
  </si>
  <si>
    <t>HOLIFAH</t>
  </si>
  <si>
    <t>MISNO SUBROTO</t>
  </si>
  <si>
    <t>FARIDA ZULFIQAR</t>
  </si>
  <si>
    <t>03.997.185.8-306.000</t>
  </si>
  <si>
    <t>SMK Gajah Mada Palembang</t>
  </si>
  <si>
    <t>ARI WICAKSONO</t>
  </si>
  <si>
    <t>167106060798000 6</t>
  </si>
  <si>
    <t>Jl Peltu Tulus Yahya LR Kenanga, 016/006, Kel. 2 Ilir, Kec.Ilir Timur II, Palembang</t>
  </si>
  <si>
    <t>0895 0291 6651</t>
  </si>
  <si>
    <t>wicaksonoari68@gmail.com</t>
  </si>
  <si>
    <t>0000325488069</t>
  </si>
  <si>
    <t>ROBERT PERDAMAIAN</t>
  </si>
  <si>
    <t>KARYATI</t>
  </si>
  <si>
    <t>43.716.327.2-301.000</t>
  </si>
  <si>
    <t>SMK Negeri Sumatera Selatan</t>
  </si>
  <si>
    <t>BIMASAKTI WAHYU WIBAWA</t>
  </si>
  <si>
    <t>167110010300000 2</t>
  </si>
  <si>
    <t>Jl Residen Abd Razak Lr Madiun No 005, 012/003 Kel.Kalidoni. Palembang</t>
  </si>
  <si>
    <t>0895 3272 80618</t>
  </si>
  <si>
    <t xml:space="preserve">bimadanrika4@gmail.com </t>
  </si>
  <si>
    <t>0002416609192</t>
  </si>
  <si>
    <t>DARMAWAN</t>
  </si>
  <si>
    <t>NURLAILA</t>
  </si>
  <si>
    <t>12.610.067.6-301.000</t>
  </si>
  <si>
    <t>FEBRIANSYAH</t>
  </si>
  <si>
    <t>317501040292000 4</t>
  </si>
  <si>
    <t>Jl. Rahong Desa Taban Kel. Taban, Kec. Jambe, Tangerang</t>
  </si>
  <si>
    <t>0858 9392 9719</t>
  </si>
  <si>
    <t>Febri01ansyah01@gmail.com</t>
  </si>
  <si>
    <t>0001217212143</t>
  </si>
  <si>
    <t>SUHERNIH</t>
  </si>
  <si>
    <t>ERSA RAMADHANTI</t>
  </si>
  <si>
    <t>ERVINA PUTRIA FABRIANSYAH</t>
  </si>
  <si>
    <t>ANWAR</t>
  </si>
  <si>
    <t>SITI AISYAH</t>
  </si>
  <si>
    <t>SUPANDI</t>
  </si>
  <si>
    <t>SADAH</t>
  </si>
  <si>
    <t>64.085.657.1-001.000</t>
  </si>
  <si>
    <t>SMK Karya Pembangunan Jambe</t>
  </si>
  <si>
    <t>MUHAMMAD IRSAN PRATAMA</t>
  </si>
  <si>
    <t>167103050596000 8</t>
  </si>
  <si>
    <t>Lorong Sikam No 30-2324, Kel.16  ULU, Kec.Seberang Ulu II, Palembang</t>
  </si>
  <si>
    <t>0895 3557 41374</t>
  </si>
  <si>
    <t>irsanpratama@gmail.com</t>
  </si>
  <si>
    <t>0000324510118</t>
  </si>
  <si>
    <t>DEZY NESYA RUSLI</t>
  </si>
  <si>
    <t>MUHAMMAD SABIRU GHAZANFAR IRZY</t>
  </si>
  <si>
    <t xml:space="preserve">HAMDANI </t>
  </si>
  <si>
    <t>TRI AGUSTINA</t>
  </si>
  <si>
    <t>RUSLI SOLIHIN</t>
  </si>
  <si>
    <t>ELY MARLINDA</t>
  </si>
  <si>
    <t>75.801.916.0.306.000</t>
  </si>
  <si>
    <t>SMK Pembangunan YPT Palembang</t>
  </si>
  <si>
    <t>MUHAMMAD KASI GHUSOORY</t>
  </si>
  <si>
    <t>167110230900000 1</t>
  </si>
  <si>
    <t xml:space="preserve">Jl Sapta Marga Citra Damai II Blok H No 6 042/009, Bukit Sangkal, Kec Kalidoni ,Palembang </t>
  </si>
  <si>
    <t>0821 8314 3161</t>
  </si>
  <si>
    <t xml:space="preserve">kamalsayuti123@gmail.com </t>
  </si>
  <si>
    <t>0002416609203</t>
  </si>
  <si>
    <t>ARDANIL</t>
  </si>
  <si>
    <t>167107160390000 7</t>
  </si>
  <si>
    <t>Jl Tanjung Siapi-Api No 64 016/004 , Kel. Talang Jambe, Kec.Sukarami. Palembang</t>
  </si>
  <si>
    <t>0853 77543377</t>
  </si>
  <si>
    <t>ardannil9@gmail.com</t>
  </si>
  <si>
    <t>0001505215675</t>
  </si>
  <si>
    <t>ARIFAI</t>
  </si>
  <si>
    <t>MAINUN</t>
  </si>
  <si>
    <t>BUDI ISHAK</t>
  </si>
  <si>
    <t>HENTI</t>
  </si>
  <si>
    <t>97.155.544.6-307.000</t>
  </si>
  <si>
    <t>SMK N 7 Palembang</t>
  </si>
  <si>
    <t>DIAN WIRAWAN</t>
  </si>
  <si>
    <t>367108060293000 1</t>
  </si>
  <si>
    <t>Griya Merpati Mas Blok C36 No.11 007/005 Gembor, Periuk. Tangerang</t>
  </si>
  <si>
    <t>0896 7727 1336</t>
  </si>
  <si>
    <t>Cebewira@gmail.com</t>
  </si>
  <si>
    <t>0001373161612</t>
  </si>
  <si>
    <t>NUR HASANAH</t>
  </si>
  <si>
    <t>ALFA RASHDAN WIRAWAN</t>
  </si>
  <si>
    <t>WARSONO</t>
  </si>
  <si>
    <t>DICKY ALDI PRATAMA</t>
  </si>
  <si>
    <t>Kayutanam</t>
  </si>
  <si>
    <t>130504060498000 1</t>
  </si>
  <si>
    <t>Pasar Tembok Korong Kandang Ampek, Kec.Kayu Tanam, Padang Paryaman</t>
  </si>
  <si>
    <t>0838 0115 1366</t>
  </si>
  <si>
    <t>aldipratamadiki@gmail.com</t>
  </si>
  <si>
    <t>0000275390155</t>
  </si>
  <si>
    <t>SMK Karya Padang Panjang</t>
  </si>
  <si>
    <t>JIMI ANGEL</t>
  </si>
  <si>
    <t>Payakumbuh</t>
  </si>
  <si>
    <t>360312240390000 5</t>
  </si>
  <si>
    <t>Perum Bumi Indah Blok Ft/3.A 005/010 Sukamantri, Pasar Kemis, Tangerang</t>
  </si>
  <si>
    <t>0813 8196 5153</t>
  </si>
  <si>
    <t>Jimiangel46@gmail.com</t>
  </si>
  <si>
    <t>0000205152298</t>
  </si>
  <si>
    <t>LIA FITRIYANI</t>
  </si>
  <si>
    <t>JHON RINALDI</t>
  </si>
  <si>
    <t>MASNELLI</t>
  </si>
  <si>
    <t>SUHANDA</t>
  </si>
  <si>
    <t>MULYATI</t>
  </si>
  <si>
    <t>03.947.411.9-448.000</t>
  </si>
  <si>
    <t>RIZKI NOVRIANSYAH</t>
  </si>
  <si>
    <t>327511111190000 3</t>
  </si>
  <si>
    <t>Graha Harapan Blok A.3/11 002/014 Mustika Jaya, Bekasi</t>
  </si>
  <si>
    <t>0896 2381 4146</t>
  </si>
  <si>
    <t>iky.novemver90@gmail.com</t>
  </si>
  <si>
    <t>0002093474136</t>
  </si>
  <si>
    <t>RIZKA MAULIDAFAZRIYANI</t>
  </si>
  <si>
    <t>AIESHA PUTRI FAZRIANSYAH</t>
  </si>
  <si>
    <t>SUMARYONO</t>
  </si>
  <si>
    <t>MURDAYATI</t>
  </si>
  <si>
    <t>SUBANDRIO</t>
  </si>
  <si>
    <t>MUFLIHA</t>
  </si>
  <si>
    <t>81.563.638.6-432.000</t>
  </si>
  <si>
    <t>ADE FEBRI ANDIKA PUTRA</t>
  </si>
  <si>
    <t>Bandar lampung</t>
  </si>
  <si>
    <t>167110130298000 7</t>
  </si>
  <si>
    <t>Jl Purwosari 052/010 Bukit Sangkal, Kec. Kalidoni, Palembang</t>
  </si>
  <si>
    <t>0897 2278 081</t>
  </si>
  <si>
    <t>Adefebriandikaputra13@gmail.com</t>
  </si>
  <si>
    <t>0001325197405</t>
  </si>
  <si>
    <t xml:space="preserve">SUPARMAN </t>
  </si>
  <si>
    <t>SURYATI</t>
  </si>
  <si>
    <t>03.760.971.6-301.000</t>
  </si>
  <si>
    <t>KURNIAWAN BUDIMULYA</t>
  </si>
  <si>
    <t>317401100800000 8</t>
  </si>
  <si>
    <t>Lio 004/007 Bojong Pondok Terong, Cipayung, Depok</t>
  </si>
  <si>
    <t>0858 8631 5146</t>
  </si>
  <si>
    <t>0896 5239 8911</t>
  </si>
  <si>
    <t>Kurniawanbudim@gmail.com</t>
  </si>
  <si>
    <t>0001524083984</t>
  </si>
  <si>
    <t>DINIYARTI SAFIRA</t>
  </si>
  <si>
    <t xml:space="preserve">SAVRINADEYA GARVITA MULYA </t>
  </si>
  <si>
    <t xml:space="preserve">SUDARJO </t>
  </si>
  <si>
    <t xml:space="preserve">IDA YULIANTI </t>
  </si>
  <si>
    <t xml:space="preserve">RIDWAN BASYARI </t>
  </si>
  <si>
    <t>WIWIN</t>
  </si>
  <si>
    <t>62.005.981.4.412.000</t>
  </si>
  <si>
    <t>SMK Mandiri Depok</t>
  </si>
  <si>
    <t>MUHAMMAD IQBAL</t>
  </si>
  <si>
    <t>317205051095000 4</t>
  </si>
  <si>
    <t>Jl. Kp Bandan Gang Soho RT. 007 RW. 002. No. 2 Kel. Ancol Jakarta Utara</t>
  </si>
  <si>
    <t>0857 8295 1634</t>
  </si>
  <si>
    <t>Ytchanel200@gmail.com</t>
  </si>
  <si>
    <t>0000376566603</t>
  </si>
  <si>
    <t>SUAMI</t>
  </si>
  <si>
    <t>M JAELANI</t>
  </si>
  <si>
    <t>RENI VERA</t>
  </si>
  <si>
    <t>MUANTO</t>
  </si>
  <si>
    <t>ENDANG MASTOTUTININGSIH</t>
  </si>
  <si>
    <t>70.617.418.2.044.000</t>
  </si>
  <si>
    <t>SMK Wiyatamandala Jakarta</t>
  </si>
  <si>
    <t>SIGIT USMANTO</t>
  </si>
  <si>
    <t>Wonosobo</t>
  </si>
  <si>
    <t>330706111095000 2</t>
  </si>
  <si>
    <t>Madulia 001/003 Ngadimulyo, Selomerto, Wonosobo</t>
  </si>
  <si>
    <t>0812 9644 7464</t>
  </si>
  <si>
    <t>sigit.usmanto@gmail.com</t>
  </si>
  <si>
    <t>0002219816891</t>
  </si>
  <si>
    <t>SMK N 2 Wonosobo</t>
  </si>
  <si>
    <t>AZWAR</t>
  </si>
  <si>
    <t>Kuanganyar</t>
  </si>
  <si>
    <t>161001260688000 1</t>
  </si>
  <si>
    <t>Dusun IX, RT/RW 000/000, Kel Kedaton, Keckec. Kedaton Peninjauan Raya,  Kab Ogan Komering Ulu</t>
  </si>
  <si>
    <t>0821 7641 0512</t>
  </si>
  <si>
    <t xml:space="preserve">Iwankazwar@gmail.com </t>
  </si>
  <si>
    <t>0002640953531</t>
  </si>
  <si>
    <t>SARI ASMILI</t>
  </si>
  <si>
    <t>MAULANA ADAM FAHRI</t>
  </si>
  <si>
    <t>RAHMA DZAKIYAH</t>
  </si>
  <si>
    <t>M.SURUL</t>
  </si>
  <si>
    <t>SITI AISAH</t>
  </si>
  <si>
    <t>SAKRONI</t>
  </si>
  <si>
    <t>ZAHRO</t>
  </si>
  <si>
    <t>61.616.589.0-306.000</t>
  </si>
  <si>
    <t>SMK N 1 Gelumbang</t>
  </si>
  <si>
    <t>YANTI SAFITRI</t>
  </si>
  <si>
    <t>351907460996000 1</t>
  </si>
  <si>
    <t>Ds. Kresek RT37/RW04 Kec Wungu, Kab. Madiun</t>
  </si>
  <si>
    <t>0813 5744 1966</t>
  </si>
  <si>
    <t>safitri.yanti44@gmail.com</t>
  </si>
  <si>
    <t>0001806408459</t>
  </si>
  <si>
    <t>Pendidikan Fisika</t>
  </si>
  <si>
    <t>FUAD AZIZ</t>
  </si>
  <si>
    <t>350724120677000 7</t>
  </si>
  <si>
    <t>Perum Tirtasani Estate G-24 RT 003 RW 011 Desa Tunjungtirto Kec. Singosari Kab. Malang</t>
  </si>
  <si>
    <t>0813 3419 0877</t>
  </si>
  <si>
    <t>fuadistofa@gmail.com</t>
  </si>
  <si>
    <t>0001450357053</t>
  </si>
  <si>
    <t>YENI MULYANI</t>
  </si>
  <si>
    <t>ADE SAPUTRA</t>
  </si>
  <si>
    <t>167107070998000 6</t>
  </si>
  <si>
    <t>Jl SMU 13 No. 2794 RT 028 RW 006 Kel. Sukodadi Kec. Sukarami Kota Palembang</t>
  </si>
  <si>
    <t>0821 8265 0202</t>
  </si>
  <si>
    <t>0856 6987 0152</t>
  </si>
  <si>
    <t>saputra.ade07@gmail.com</t>
  </si>
  <si>
    <t>0000992705635</t>
  </si>
  <si>
    <t>NASRUL TANJUNG</t>
  </si>
  <si>
    <t>ERNIYANTI</t>
  </si>
  <si>
    <t>84.480.261.1-307.000</t>
  </si>
  <si>
    <t>Mekatronika</t>
  </si>
  <si>
    <t>Politeknik Negeri Sriwijaya</t>
  </si>
  <si>
    <t>AGUS MAKMUN</t>
  </si>
  <si>
    <t>Grobogan</t>
  </si>
  <si>
    <t>367103260486000 2</t>
  </si>
  <si>
    <t>Batuceper Selatan RT 004 RW 002 Kel. Batuceper Kec. Batuceper Kota Tangerang</t>
  </si>
  <si>
    <t>0821 1311 9668</t>
  </si>
  <si>
    <t>0859 1027 29213</t>
  </si>
  <si>
    <t>agusmakmun12345@gmail.com</t>
  </si>
  <si>
    <t>0002292522625</t>
  </si>
  <si>
    <t>ZIFARAH NISA SAFIRA</t>
  </si>
  <si>
    <t>MUHAMMAD BYAN ALKHALIFI</t>
  </si>
  <si>
    <t>MUHAMMAD BAYU AGUSTA</t>
  </si>
  <si>
    <t>SUKAMTI</t>
  </si>
  <si>
    <t>BARKAH</t>
  </si>
  <si>
    <t>NONI SURYANTI</t>
  </si>
  <si>
    <t>66.524.460.4.416.000</t>
  </si>
  <si>
    <t>SMK PGRI 2 Tangerang</t>
  </si>
  <si>
    <t>SUTRISNO SITORUS</t>
  </si>
  <si>
    <t>Sidikalang</t>
  </si>
  <si>
    <t>127405030893000 2</t>
  </si>
  <si>
    <t>Jln. Singosari Pancakarsa LK I RT 000 RW 000 Kel. Pahang Kec. Datuk Bandar Kota Tanjungbalai</t>
  </si>
  <si>
    <t>0853 4973 5797</t>
  </si>
  <si>
    <t>risnostr01@gmail.com</t>
  </si>
  <si>
    <t>0002444147818</t>
  </si>
  <si>
    <t>JONTI SITORUS</t>
  </si>
  <si>
    <t>GABRIEL SITORUS</t>
  </si>
  <si>
    <t>SALMA BR LUBIS</t>
  </si>
  <si>
    <t>SMK Negeri 2 Tanjung Balai</t>
  </si>
  <si>
    <t>Universitas Darma Agung</t>
  </si>
  <si>
    <t>IKHSAN ANUGRAH</t>
  </si>
  <si>
    <t>167103061299000 6</t>
  </si>
  <si>
    <t>Jl. Jend A Yani LR Amilin No. 895  RT 016 RW 002 Kel. Tangga Takat Kec. Seberang Ulu II Kota Palembang</t>
  </si>
  <si>
    <t>0896 2986 7023</t>
  </si>
  <si>
    <t>soujiseta9@gmail.com</t>
  </si>
  <si>
    <t>0000992414755</t>
  </si>
  <si>
    <t>YUSTINUS</t>
  </si>
  <si>
    <t>NURMALINA</t>
  </si>
  <si>
    <t>91.689.836.4-306.000</t>
  </si>
  <si>
    <t>FIRZKI PRASETYA</t>
  </si>
  <si>
    <t>Lahat</t>
  </si>
  <si>
    <t>160410010700014 3</t>
  </si>
  <si>
    <t>Muara Siban RT 000 RW 000 Desa Muara Siban Kec. Pulau Pinang Kabupaten Lahat</t>
  </si>
  <si>
    <t>0895 4121 74763</t>
  </si>
  <si>
    <t>Firzkip12@gmail.com</t>
  </si>
  <si>
    <t>0001523951234</t>
  </si>
  <si>
    <t>ND. BINTANG JUWITA</t>
  </si>
  <si>
    <t>03.773.740.0-307.000</t>
  </si>
  <si>
    <t>SMK N 1 Lahat</t>
  </si>
  <si>
    <t>QHOIRUL WAFIUDDIN</t>
  </si>
  <si>
    <t>352010210599000 1</t>
  </si>
  <si>
    <t>Desa Lemahbang RT02 RW 01 Kec Bendo Kab Magetan</t>
  </si>
  <si>
    <t>0858 4882 8801</t>
  </si>
  <si>
    <t>Sukarnisaminem@gmail.com</t>
  </si>
  <si>
    <t>0001607615515</t>
  </si>
  <si>
    <t>INTAN TABITA</t>
  </si>
  <si>
    <t>SUKARNI</t>
  </si>
  <si>
    <t>SAMINEM</t>
  </si>
  <si>
    <t>ADE IKAY</t>
  </si>
  <si>
    <t>YAYAH RUHYATI</t>
  </si>
  <si>
    <t>83.046.330.3-646.000</t>
  </si>
  <si>
    <t>ACHMAD IRFAN</t>
  </si>
  <si>
    <t>Jatibarang</t>
  </si>
  <si>
    <t>Sleman</t>
  </si>
  <si>
    <t>347101210198000 1</t>
  </si>
  <si>
    <t>Blunyahrejo TR II/904 RT 018 RW 005 Kel. Karangwaru Kec. Tegalrejo Kota Yogyakarta</t>
  </si>
  <si>
    <t>achmadirfan2101@gmail.com</t>
  </si>
  <si>
    <t>0001036216451</t>
  </si>
  <si>
    <t>SMK N 3 Yogyakarta</t>
  </si>
  <si>
    <t>ADRIAN JUNIOR SETYAWAN</t>
  </si>
  <si>
    <t>331025150699000 2</t>
  </si>
  <si>
    <t>Jl Cemara No. 9 RT 001 RW 004 Desa Klaten Kec. Klaten Tengah Kab. Klaten</t>
  </si>
  <si>
    <t>0895 3874 77417</t>
  </si>
  <si>
    <t>adrianjunior620@gmail.com</t>
  </si>
  <si>
    <t>0002203307739</t>
  </si>
  <si>
    <t>SRI NINGSIH</t>
  </si>
  <si>
    <t>82.227.890.9.525.000</t>
  </si>
  <si>
    <t>SMK Leonardo Klaten</t>
  </si>
  <si>
    <t>ARI SIHWANTO</t>
  </si>
  <si>
    <t>331006170788000 1</t>
  </si>
  <si>
    <t>Bulak Timur RT 002 RW 009 Kel. Cipayung Kec. Cipayung Kota Depok</t>
  </si>
  <si>
    <t>0857 7318 2223</t>
  </si>
  <si>
    <t>Arisihwanto_17@yahoo.com</t>
  </si>
  <si>
    <t>0001156118332</t>
  </si>
  <si>
    <t>MINARTI</t>
  </si>
  <si>
    <t>ARKANANTA AL FARIZQY SIHWANTO</t>
  </si>
  <si>
    <t>TUKIMIN</t>
  </si>
  <si>
    <t>PARNI</t>
  </si>
  <si>
    <t>NAIMIN</t>
  </si>
  <si>
    <t>SAPINAH</t>
  </si>
  <si>
    <t>16.979.566.3-525.000</t>
  </si>
  <si>
    <t>SMK Nasional Klaten</t>
  </si>
  <si>
    <t>ARI T</t>
  </si>
  <si>
    <t>Prabumulih</t>
  </si>
  <si>
    <t>167401160792000 3</t>
  </si>
  <si>
    <t>Jl Madang RT 014 RW 003 Kel. Muntang Tapus Kec. Prabumulih</t>
  </si>
  <si>
    <t>0822 8970 1314</t>
  </si>
  <si>
    <t>Tukimanari17@gmail.com</t>
  </si>
  <si>
    <t>0001636129181</t>
  </si>
  <si>
    <t>SAKINAH LAINUN NISAH</t>
  </si>
  <si>
    <t>LUCANIO ENZO</t>
  </si>
  <si>
    <t>TUKIMAN</t>
  </si>
  <si>
    <t>HUSNAINI</t>
  </si>
  <si>
    <t>SUKARMAN</t>
  </si>
  <si>
    <t>71.436.843.8-313.000</t>
  </si>
  <si>
    <t>SMK YPS Prabumulih</t>
  </si>
  <si>
    <t>EDI PRASETIYAWAN</t>
  </si>
  <si>
    <t>352005060693000 4</t>
  </si>
  <si>
    <t>Lingk. Gandek RT 014 RW 003 Desa Kawedanan Kec. Kawedanan Kab. Magetan</t>
  </si>
  <si>
    <t>0819 9947 0670</t>
  </si>
  <si>
    <t>renandafury158@gmail.com</t>
  </si>
  <si>
    <t>0001871855087</t>
  </si>
  <si>
    <t>RAHMAN DAMANIK</t>
  </si>
  <si>
    <t>Perlanaan</t>
  </si>
  <si>
    <t>120823020589000 4</t>
  </si>
  <si>
    <t>Huta V Karang Asam RT 000 RW 000 Desa Perlanaan Kec. Bandar  Kab.Simalungun</t>
  </si>
  <si>
    <t>0813 7648 0020</t>
  </si>
  <si>
    <t>rahmandamanik89@gmail.com</t>
  </si>
  <si>
    <t>0002250045393</t>
  </si>
  <si>
    <t>AYU SORAYA</t>
  </si>
  <si>
    <t>KENZO DANIAL DAMANIK</t>
  </si>
  <si>
    <t>SYAMSUL BAHRI DAMANIK</t>
  </si>
  <si>
    <t>MARINA</t>
  </si>
  <si>
    <t>SYIPUDIN</t>
  </si>
  <si>
    <t>MISIEM</t>
  </si>
  <si>
    <t>76.515.438.0-113.000</t>
  </si>
  <si>
    <t>SMK Swasta 2 Taman Ilmu Perlanaan</t>
  </si>
  <si>
    <t>RIAN WIJAYA PRATAMA</t>
  </si>
  <si>
    <t>130504200197000 1</t>
  </si>
  <si>
    <t>Korong Kandhang Ampek, Kel. Guguak, Kab. Padang Pariaman</t>
  </si>
  <si>
    <t>0812 6815 6568</t>
  </si>
  <si>
    <t>Rianw851@gmail.com</t>
  </si>
  <si>
    <t>0002648180103</t>
  </si>
  <si>
    <t>NOVITA FITRI YENI</t>
  </si>
  <si>
    <t>MUHAMMAD FATHAN WIJAYA</t>
  </si>
  <si>
    <t>ARIFEL</t>
  </si>
  <si>
    <t>EVARIANTI</t>
  </si>
  <si>
    <t>ZAMZAMI</t>
  </si>
  <si>
    <t>ROHANA</t>
  </si>
  <si>
    <t>03.788.952.4-201.000</t>
  </si>
  <si>
    <t>SAHBAN ARIF</t>
  </si>
  <si>
    <t>Bekasi</t>
  </si>
  <si>
    <t>327506050390000 3</t>
  </si>
  <si>
    <t>KP Rawa Bambu Jl Mawar IV RT 001 RW 008 Kel. Kali Baru Kec. Medan Satria Kota Bekasi</t>
  </si>
  <si>
    <t>0812 9718 5838</t>
  </si>
  <si>
    <t>Ariev.syaban05@gmail.com</t>
  </si>
  <si>
    <t>0002039258013</t>
  </si>
  <si>
    <t>RAINA JULPAH</t>
  </si>
  <si>
    <t>RAISYA HASNA MAUDYA</t>
  </si>
  <si>
    <t>NADIRA PUTRI HUMAIRAH</t>
  </si>
  <si>
    <t>ALM. H. NARIM</t>
  </si>
  <si>
    <t>ALM. WIWI</t>
  </si>
  <si>
    <t>PIAN SUHENDAR</t>
  </si>
  <si>
    <t>64.157.443.9-407.000</t>
  </si>
  <si>
    <t>SMK Guna Bhakti 1 Bekasi</t>
  </si>
  <si>
    <t>ADHE NUGRAHA</t>
  </si>
  <si>
    <t>Barru</t>
  </si>
  <si>
    <t>731102190600000 1</t>
  </si>
  <si>
    <t>Jln ABD Kadir Jaelani RT 003 RW 003 Desa Lalolang Kec. Tanete Rilau Kab. Barru</t>
  </si>
  <si>
    <t>0852 4221 6492</t>
  </si>
  <si>
    <t>nugrahaadhe1@gmail.com</t>
  </si>
  <si>
    <t>0002773969007</t>
  </si>
  <si>
    <t>SMK N 2 Barru</t>
  </si>
  <si>
    <t>AFFAN MISBAHUL MUKHLISON</t>
  </si>
  <si>
    <t>350218150100000 1</t>
  </si>
  <si>
    <t>Dukuh Krajan RT 001 RW 002 Desa Mrican Kec. Jenangan Kab. Ponorogo</t>
  </si>
  <si>
    <t>0822 2868 6465</t>
  </si>
  <si>
    <t>Muxchliz.22@gmail.com</t>
  </si>
  <si>
    <t>0001291489751</t>
  </si>
  <si>
    <t>PRAYITNO</t>
  </si>
  <si>
    <t>SITI ROIFAH</t>
  </si>
  <si>
    <t>03.760.984.9.647.000</t>
  </si>
  <si>
    <t>037609849647000</t>
  </si>
  <si>
    <t>AHMAD RIZAL</t>
  </si>
  <si>
    <t>340107210395000 3</t>
  </si>
  <si>
    <t>Kp Cikato RT 003/RW 005 Gunung Tanjung, Tasikmalaya, Jawa Barat</t>
  </si>
  <si>
    <t>0838 6761 8098</t>
  </si>
  <si>
    <t>0838 6761 8089</t>
  </si>
  <si>
    <t>ahmad.rizal285@yahoo.co.id</t>
  </si>
  <si>
    <t>0001623903344</t>
  </si>
  <si>
    <t>MALA AMALIA</t>
  </si>
  <si>
    <t>RAKA ABYAN ALGHANI</t>
  </si>
  <si>
    <t>NGADIMAN</t>
  </si>
  <si>
    <t>ROCHIMI</t>
  </si>
  <si>
    <t>MAKSUM</t>
  </si>
  <si>
    <t>SITI</t>
  </si>
  <si>
    <t>66.150.021.5.544.000</t>
  </si>
  <si>
    <t xml:space="preserve">SMK Maarif 1 Wates </t>
  </si>
  <si>
    <t>ANAS ALBADRY</t>
  </si>
  <si>
    <t>352015151294000 1</t>
  </si>
  <si>
    <t>Dsn Jubleg RT 006/RW 003 Kel. Gerih, Kec. Gerih, Kab. Ngawi</t>
  </si>
  <si>
    <t>0857 7742 0183</t>
  </si>
  <si>
    <t>anasalbadry7@gmail.com</t>
  </si>
  <si>
    <t>0002773983813</t>
  </si>
  <si>
    <t>DIAN DESLY CANDRA</t>
  </si>
  <si>
    <t>FALLONA ALULA ZEA ALBADRY</t>
  </si>
  <si>
    <t>SMK N 1 Kartoharjo Magetan</t>
  </si>
  <si>
    <t>ARHANUL FARIZ</t>
  </si>
  <si>
    <t>Brebes</t>
  </si>
  <si>
    <t>332906150694000 3</t>
  </si>
  <si>
    <t>Pepedan RT 003 RW 002 Desa Pepedan Kec. Tonjong Kab. Brebes</t>
  </si>
  <si>
    <t>0838 7079 2361</t>
  </si>
  <si>
    <t>alfariz791@gmail.com</t>
  </si>
  <si>
    <t>0001737322806</t>
  </si>
  <si>
    <t>AL MAESAROH</t>
  </si>
  <si>
    <t>HANUM SOFIA HALWATUZAHRA</t>
  </si>
  <si>
    <t>MA'MURI</t>
  </si>
  <si>
    <t>TO'ANAH</t>
  </si>
  <si>
    <t>KHOFAS KHOTOBI</t>
  </si>
  <si>
    <t>MARYAM</t>
  </si>
  <si>
    <t>55.565.498.7-501.000</t>
  </si>
  <si>
    <t>SMK N 1 Tonjong, Brebes</t>
  </si>
  <si>
    <t>ASWANDI</t>
  </si>
  <si>
    <t>Bottoe</t>
  </si>
  <si>
    <t>731102141100000 2</t>
  </si>
  <si>
    <t>Padaelo RT 000 RW 000 Desa Lalolang Kec. Tanete Rilau Kab. Barru</t>
  </si>
  <si>
    <t>0888 0455 9717</t>
  </si>
  <si>
    <t>0877 8117 9132</t>
  </si>
  <si>
    <t>Aswandyy321@gmail.com</t>
  </si>
  <si>
    <t>0002773961728</t>
  </si>
  <si>
    <t>BAGUS ISTIANDARU</t>
  </si>
  <si>
    <t>Bulurejo</t>
  </si>
  <si>
    <t>327601260694000 6</t>
  </si>
  <si>
    <t>KP Pitara RT 002 RW 014 Kel. Pancoran Mas Kec. Pancoran Mas Kota Depok</t>
  </si>
  <si>
    <t>0896 5680 5577</t>
  </si>
  <si>
    <t>bagusdaru36@gmail.com</t>
  </si>
  <si>
    <t>0002773997109</t>
  </si>
  <si>
    <t>ERLINDA NUR HANDAYANI</t>
  </si>
  <si>
    <t>ARSENIO XAVIER HANDARU</t>
  </si>
  <si>
    <t>ISMAIL</t>
  </si>
  <si>
    <t>SITI ROASIH</t>
  </si>
  <si>
    <t>SARDI</t>
  </si>
  <si>
    <t>TRI YULIANTI</t>
  </si>
  <si>
    <t>66.659.410.6.412.000</t>
  </si>
  <si>
    <t>SMK Izzata Kota Depok</t>
  </si>
  <si>
    <t>Politeknik LP31 Jakarta</t>
  </si>
  <si>
    <t>ILHAMSYAH</t>
  </si>
  <si>
    <t>127112240796000 5</t>
  </si>
  <si>
    <t>Lingkungan - 15 RT 000 RW 000 Kel. Rengas Pulau Kec. Medan Marelan Kota Medan</t>
  </si>
  <si>
    <t>0852 6045 9996</t>
  </si>
  <si>
    <t>csmilhamsyah@yahoo.com</t>
  </si>
  <si>
    <t>0001898641552</t>
  </si>
  <si>
    <t>NUR DESIANA</t>
  </si>
  <si>
    <t>SMK Swasta Sinar Husni 2 Deli Serdang</t>
  </si>
  <si>
    <t>320810231093000 5</t>
  </si>
  <si>
    <t>Dusun Puhun RT 001 RW 003 Desa Ciputat Kec. Ciawigebang Kab. Kuningan</t>
  </si>
  <si>
    <t>0812 2190 6600</t>
  </si>
  <si>
    <t>0814 6114 9108</t>
  </si>
  <si>
    <t>ismailibnubairan@gmail.com</t>
  </si>
  <si>
    <t>0002136654393</t>
  </si>
  <si>
    <t>KASTUTI</t>
  </si>
  <si>
    <t xml:space="preserve">MUHAMMAD FAKHRI BAIRAN </t>
  </si>
  <si>
    <t>ABU BAIRAN</t>
  </si>
  <si>
    <t>AMINAH</t>
  </si>
  <si>
    <t>54.196.848.3.438.000</t>
  </si>
  <si>
    <t>NORFI JANOKO SAKTI</t>
  </si>
  <si>
    <t>Tegal</t>
  </si>
  <si>
    <t>332803201196001 9</t>
  </si>
  <si>
    <t>Tuwel RT 003 RW 003 Desa Tuwel Kec. Bojong Kab. Tegal</t>
  </si>
  <si>
    <t>0858 8858 3162</t>
  </si>
  <si>
    <t>norfipriti@gmail.com</t>
  </si>
  <si>
    <t>0000624256863</t>
  </si>
  <si>
    <t>JOKO SETIABUDI</t>
  </si>
  <si>
    <t>SITI SUIMAH</t>
  </si>
  <si>
    <t>43.122.139.9-501.000</t>
  </si>
  <si>
    <t>SMK N 1 Bumijawa</t>
  </si>
  <si>
    <t>YUSUP ZAKARIA</t>
  </si>
  <si>
    <t>Kroya</t>
  </si>
  <si>
    <t>330220100595000 1</t>
  </si>
  <si>
    <t>Sambeng Wetan RT 006 RW 002 Desa Sambeng Wetan Kec. Kembaran Kab. Banyumas</t>
  </si>
  <si>
    <t>0857 0123 2995</t>
  </si>
  <si>
    <t>yusupzakaria8@gmail.com</t>
  </si>
  <si>
    <t>0001016799884</t>
  </si>
  <si>
    <t>OKTA FAJAR SILVIANA</t>
  </si>
  <si>
    <t>JENNAHARA SYAUQINA ZAKARIA</t>
  </si>
  <si>
    <t>SMK YPT 2 Purbalingga</t>
  </si>
  <si>
    <t>ZULKARNAINI</t>
  </si>
  <si>
    <t>Alue Kuta</t>
  </si>
  <si>
    <t>110806110298000 1</t>
  </si>
  <si>
    <t>Dusun Teungoh RT 000 RW 000 Desa Keude Bungkaih Kec. Muara Batu Kab. Aceh Utara</t>
  </si>
  <si>
    <t>0853 5862 4293</t>
  </si>
  <si>
    <t>Karnenzul961@gmail.com</t>
  </si>
  <si>
    <t>0000224762128</t>
  </si>
  <si>
    <t>FARIDAH</t>
  </si>
  <si>
    <t>MUHAMMAD KENZIE HAMIZAN</t>
  </si>
  <si>
    <t>SMK N 1 Muara Batu</t>
  </si>
  <si>
    <t>YOVI MAHA PUTRA</t>
  </si>
  <si>
    <t>SK-13/D1/IMSS/2020</t>
  </si>
  <si>
    <t>352215130897000 1</t>
  </si>
  <si>
    <t>Jl WR Supratman GG Useng 34 RT 003 RW 001 Desa Kadipaten Kec. Bojonegoro Kab. Bojonegoro</t>
  </si>
  <si>
    <t>082141736687</t>
  </si>
  <si>
    <t>yovi.mahaputra10@gmail.com</t>
  </si>
  <si>
    <t>0002162287822</t>
  </si>
  <si>
    <t>Politeknik Negeri Malang</t>
  </si>
  <si>
    <t>RIAN PRATAMA</t>
  </si>
  <si>
    <t>PKWT-641907279 /D1/2019</t>
  </si>
  <si>
    <t xml:space="preserve">320129110488000 3 </t>
  </si>
  <si>
    <t>Jl Urip Sumoharjo Komplek Griya Sekojo No.2991 Blok C4, RT 29 RW 10 Kec. Ilir Timur II Palembang</t>
  </si>
  <si>
    <t>0812 8175 8210</t>
  </si>
  <si>
    <t>rian.nafisha@gmail.com</t>
  </si>
  <si>
    <t>0001505835707</t>
  </si>
  <si>
    <t>MUTASA TIARA</t>
  </si>
  <si>
    <t>KHAIRA NAFISHA</t>
  </si>
  <si>
    <t>KHANSA NAIFAH</t>
  </si>
  <si>
    <t>HELMI SAPUTRA</t>
  </si>
  <si>
    <t>Serbajadi</t>
  </si>
  <si>
    <t>180104281291000 1</t>
  </si>
  <si>
    <t>Serbajadi Pemanggilan RT/RW 003/002 Pemanggilan,  Kec. Natar, Lampung Selatan</t>
  </si>
  <si>
    <t>0898 2555 588</t>
  </si>
  <si>
    <t>Helmisaputra41@gmail.com</t>
  </si>
  <si>
    <t>0000994448373</t>
  </si>
  <si>
    <t>SULASTRI ANINGSIH</t>
  </si>
  <si>
    <t>ARSYILA ROMEESA INARA</t>
  </si>
  <si>
    <t>SMK Budi Karya, Natar, Lampung Selatan</t>
  </si>
  <si>
    <t>OKTARI AYU WANDIRA</t>
  </si>
  <si>
    <t>1604105810940006</t>
  </si>
  <si>
    <t>Jl. Madang Dalam II Lr. Makmur II No 46 Palembang</t>
  </si>
  <si>
    <t>0878 9963 8051</t>
  </si>
  <si>
    <t>oktariayuwandira@gmail.com</t>
  </si>
  <si>
    <t>0001842119122</t>
  </si>
  <si>
    <t>ELY MARYANI</t>
  </si>
  <si>
    <t>160.410.581.0.940.006</t>
  </si>
  <si>
    <t>UIN Raden Fatah Palembang</t>
  </si>
  <si>
    <t>DEOPNEUSTA YOBELABAT SANTOSO</t>
  </si>
  <si>
    <t>Cirebon</t>
  </si>
  <si>
    <t>321017200699006 1</t>
  </si>
  <si>
    <t>Blok Cimerta RT/RW 002/006, Ds Kedung Bunder, Kec. Gempol, Kab. Cirebon</t>
  </si>
  <si>
    <t>0855 2353 1687</t>
  </si>
  <si>
    <t>Deopys1@gmail.com</t>
  </si>
  <si>
    <t>0002925418577</t>
  </si>
  <si>
    <t>AGUS SNTOSO</t>
  </si>
  <si>
    <t>RR.YULIANI</t>
  </si>
  <si>
    <t>04.602.366.9-002.000</t>
  </si>
  <si>
    <t>SMK N 2 Palimanan</t>
  </si>
  <si>
    <t>RIYAN ANDIKA</t>
  </si>
  <si>
    <t>Indramayu</t>
  </si>
  <si>
    <t>321213141091000 1</t>
  </si>
  <si>
    <t>Blok Gudang Timur RT/RW 005/001, Jatibarang Baru, Jatibarang, Kab Indramayu</t>
  </si>
  <si>
    <t>0812 1372 6347</t>
  </si>
  <si>
    <t>andikariyan133@gmail.com</t>
  </si>
  <si>
    <t>0002925418511</t>
  </si>
  <si>
    <t>INA ERMAWATI</t>
  </si>
  <si>
    <t>TARKO</t>
  </si>
  <si>
    <t>ANTINI</t>
  </si>
  <si>
    <t>KUSNADI</t>
  </si>
  <si>
    <t>RATMI</t>
  </si>
  <si>
    <t>SMK PUI Jatibarang</t>
  </si>
  <si>
    <t>JEFRI RAMADAN</t>
  </si>
  <si>
    <t>Bukit Tinggi</t>
  </si>
  <si>
    <t>130504060100000 1</t>
  </si>
  <si>
    <t>Kampung Apar, Kandang Ampek, Ds. Guguak, Kayutanam, Padang Pariaman</t>
  </si>
  <si>
    <t>0882 7933 2585</t>
  </si>
  <si>
    <t>0831 9305 4068</t>
  </si>
  <si>
    <t xml:space="preserve">jefriramadan494@gmail.com </t>
  </si>
  <si>
    <t>0000275209154</t>
  </si>
  <si>
    <t>ZAINAL ABIDIN</t>
  </si>
  <si>
    <t>NURMAWATI</t>
  </si>
  <si>
    <t>111.223.0.000.309</t>
  </si>
  <si>
    <t>DONISAH SIREGAR</t>
  </si>
  <si>
    <t>Langkat</t>
  </si>
  <si>
    <t>120512130801000 2</t>
  </si>
  <si>
    <t>Ps. Langkat AFD. 03, Ds. Banjar Jaya, Kec. Padang Tualang, Langkat</t>
  </si>
  <si>
    <t>0822 7619 7015</t>
  </si>
  <si>
    <t>siregardonisah77@gmail.com</t>
  </si>
  <si>
    <t>0002448347512</t>
  </si>
  <si>
    <t>SMK Swasta Putra Jaya Stabat</t>
  </si>
  <si>
    <t>VERRY CHRISDIANTORO RUBBIS</t>
  </si>
  <si>
    <t>351903040794000 2</t>
  </si>
  <si>
    <t>Jl. Lawu Ds. Jatisari RT/RW 21/05 Geger Madiun</t>
  </si>
  <si>
    <t>0899 1050 550</t>
  </si>
  <si>
    <t>V3rrychris@gmail.com</t>
  </si>
  <si>
    <t>0001706037726</t>
  </si>
  <si>
    <t>MUJI LESTARI</t>
  </si>
  <si>
    <t>JENNAIRA AZKIA RUBBIS</t>
  </si>
  <si>
    <t>ISBANGUN</t>
  </si>
  <si>
    <t>MARLIK</t>
  </si>
  <si>
    <t>MISDI</t>
  </si>
  <si>
    <t>RIYEM</t>
  </si>
  <si>
    <t>05.455.922.4-621.000</t>
  </si>
  <si>
    <t>ICHWAN FIRDAUS ALAMSYAH</t>
  </si>
  <si>
    <t xml:space="preserve">Jakarta </t>
  </si>
  <si>
    <t>317204011100000 3</t>
  </si>
  <si>
    <t>Jl. Raya Cilincing, RT 01/RW O4 Kel. Cilincing, Jakarta</t>
  </si>
  <si>
    <t>0895 3303 2920</t>
  </si>
  <si>
    <t>ichwanfirdaus212@gmail.com</t>
  </si>
  <si>
    <t>0001382774253</t>
  </si>
  <si>
    <t>HERI SUHENDRA</t>
  </si>
  <si>
    <t>ERNI LESTARI</t>
  </si>
  <si>
    <t>31.720.4011.1.000.003</t>
  </si>
  <si>
    <t>SMK Al Akhyar 2 Jakarta Timur</t>
  </si>
  <si>
    <t>RIZKY MAULANA INDROSAPUTRO</t>
  </si>
  <si>
    <t>357703071089000 1</t>
  </si>
  <si>
    <t>Perum Bumi Mas Blok E No 20 RT/RW 054/012, Mojorejo, Taman, Madiun</t>
  </si>
  <si>
    <t>0812 3038 7261</t>
  </si>
  <si>
    <t>aquaairminum456@gmail.com</t>
  </si>
  <si>
    <t>0001204479663</t>
  </si>
  <si>
    <t>KURNIJANTO INDROTOMO</t>
  </si>
  <si>
    <t>WIWIEK WINARTI</t>
  </si>
  <si>
    <t>16.437.677.4-621.000</t>
  </si>
  <si>
    <t>Hubungan Internasional</t>
  </si>
  <si>
    <t>AGUS WURYANTO</t>
  </si>
  <si>
    <t>SK-44.2/INKA/2020</t>
  </si>
  <si>
    <t>357703210172000 3</t>
  </si>
  <si>
    <t>Jl. Jatisiwur RT. 018 RW. 007, Demangan, Taman, Kota Madiun</t>
  </si>
  <si>
    <t>0811 3484 917</t>
  </si>
  <si>
    <t>agus.wuryanto@inka.co.id</t>
  </si>
  <si>
    <t>0001127798537</t>
  </si>
  <si>
    <t>98N70001101</t>
  </si>
  <si>
    <t>NUR WIDAYATI</t>
  </si>
  <si>
    <t>FARIS FAKHRUDDIN</t>
  </si>
  <si>
    <t>NABILA KHAIRUNNISA</t>
  </si>
  <si>
    <t>HANA ZAHIRA</t>
  </si>
  <si>
    <t>382988087621000</t>
  </si>
  <si>
    <t>SK-44.3/INKA/2020</t>
  </si>
  <si>
    <t>350921191284000 3</t>
  </si>
  <si>
    <t>Perum Royal Archid Residence Jl Ascocenda No. 1 RT 008 RW 008 , Josenan, Taman, Kota Madiun</t>
  </si>
  <si>
    <t>0812 3438 514</t>
  </si>
  <si>
    <t>sonny.yanupraja@inka.co.id</t>
  </si>
  <si>
    <t>0001132772692</t>
  </si>
  <si>
    <t>SWASTI KOMALA</t>
  </si>
  <si>
    <t>ALARIC AMMAR HAQ</t>
  </si>
  <si>
    <t>ELSA AMMARA SHAMIM</t>
  </si>
  <si>
    <t>ARSENIO AMMAR HAQ</t>
  </si>
  <si>
    <t>598262418601000</t>
  </si>
  <si>
    <t>YULIA WHIRDAWATI</t>
  </si>
  <si>
    <t>357703490772000 1</t>
  </si>
  <si>
    <t>Perum. Bumi Mas Blok L No.10/11 RT.001 RW.004 Kel. Mojorejo Kec. Taman Kota Madiun</t>
  </si>
  <si>
    <t>+62 812-2750-2240</t>
  </si>
  <si>
    <t>yuliawhirda72@gmail.com</t>
  </si>
  <si>
    <t>0001106061219</t>
  </si>
  <si>
    <t>92N70022423</t>
  </si>
  <si>
    <t>AMRON BAITARRIZAQ</t>
  </si>
  <si>
    <t>352424110686000 3</t>
  </si>
  <si>
    <t>JL. Kha Dahlan NO. 72, , Lamongan, Kab. Lamongan</t>
  </si>
  <si>
    <t>0813 3319 1369</t>
  </si>
  <si>
    <t>aPengelolaan dan Pengendalian Aset INKAn.baitarrizaq@inka.co.id</t>
  </si>
  <si>
    <t>0001132854401</t>
  </si>
  <si>
    <t>896813276645000</t>
  </si>
  <si>
    <t>HARI SUBEKTI</t>
  </si>
  <si>
    <t>Pamekasan</t>
  </si>
  <si>
    <t>351907281070000 3</t>
  </si>
  <si>
    <t>0812 4985 4591</t>
  </si>
  <si>
    <t>hari.bekti@inka.co.id</t>
  </si>
  <si>
    <t>0001127965994</t>
  </si>
  <si>
    <t>95N70012518</t>
  </si>
  <si>
    <t>INDRI JUWANA</t>
  </si>
  <si>
    <t>GHINA ABYAN AZIZAH HARIS</t>
  </si>
  <si>
    <t>MUHAMMAD ADAM RAMADHAN HARIS</t>
  </si>
  <si>
    <t>FARADIBA AZZAHRA HARIS</t>
  </si>
  <si>
    <t>SK-44/INKA/2020</t>
  </si>
  <si>
    <t>Senior Manager</t>
  </si>
  <si>
    <t>Blora</t>
  </si>
  <si>
    <t>357701090471000 1</t>
  </si>
  <si>
    <t>Harta Mulya 8 RT.010 RW.002, Rejomulyo, Kartoharjo, Kota Madiun</t>
  </si>
  <si>
    <t>0811 1011 033</t>
  </si>
  <si>
    <t>hartono@inka.co.id</t>
  </si>
  <si>
    <t>0001127753706</t>
  </si>
  <si>
    <t>92N70022308</t>
  </si>
  <si>
    <t>RICE INDYAWATI</t>
  </si>
  <si>
    <t>FAISHAL ABIYYUDZAKIR</t>
  </si>
  <si>
    <t>HILMY AHMAD DZAKIY</t>
  </si>
  <si>
    <t>DZAKIRA LUTHFIA HARTATI</t>
  </si>
  <si>
    <t xml:space="preserve">RISNA RORIN PANDE </t>
  </si>
  <si>
    <t>SAKIDJAN</t>
  </si>
  <si>
    <t>SARTI</t>
  </si>
  <si>
    <t>ASPIYO</t>
  </si>
  <si>
    <t>38.298.920.0.621.000</t>
  </si>
  <si>
    <t>1-May-2027</t>
  </si>
  <si>
    <t>EKO PRASETIYO</t>
  </si>
  <si>
    <t>357701050474000 3</t>
  </si>
  <si>
    <t>Jl. Surya Indah 1 R-6 RT 12 RW 03, Kel Kelun Kec Kartoharjo Kota Madiun, Kelun, Kartoharjo, Kota Madiun</t>
  </si>
  <si>
    <t>0858 5361 1567</t>
  </si>
  <si>
    <t>eko.prasetiyo9878@inka.co.id</t>
  </si>
  <si>
    <t>0001127808494</t>
  </si>
  <si>
    <t>98N70013833</t>
  </si>
  <si>
    <t>ENDAH HARIYANI</t>
  </si>
  <si>
    <t>BOBBY PRASENDA</t>
  </si>
  <si>
    <t>BRENDA BUNGA PRASENDA</t>
  </si>
  <si>
    <t>382987436621000</t>
  </si>
  <si>
    <t>Teknik Metalurgi</t>
  </si>
  <si>
    <t>STM Negeri 1 Madiun</t>
  </si>
  <si>
    <t>1-May-2030</t>
  </si>
  <si>
    <t>SISWANTO</t>
  </si>
  <si>
    <t>357702240372000 2</t>
  </si>
  <si>
    <t>JL. Borobudur Gg V/91   RT 010 RW 002, Madiun Lor, Manguharjo, Kota Madiun</t>
  </si>
  <si>
    <t xml:space="preserve">0813 3562 5700 </t>
  </si>
  <si>
    <t>siswanto.98090@inka.co.id</t>
  </si>
  <si>
    <t>0001127966073</t>
  </si>
  <si>
    <t>98N70013957</t>
  </si>
  <si>
    <t>YULIATI</t>
  </si>
  <si>
    <t>PANGESTU PRABAWATI</t>
  </si>
  <si>
    <t>RAMA PERMADI</t>
  </si>
  <si>
    <t>EKO DONO PRASETYO</t>
  </si>
  <si>
    <t>382991578621000</t>
  </si>
  <si>
    <t>Teknik Mesin Tenaga</t>
  </si>
  <si>
    <t>STM Taman Siswa Madiun</t>
  </si>
  <si>
    <t>MUKSON RAIH MUKTI</t>
  </si>
  <si>
    <t>357702120691000 1</t>
  </si>
  <si>
    <t>Jl. Kaswari Gg.Iii No.26 B, RT/RW :040/013, Kel. Nambangan Kidul , Kec.Manguharjo, Nambangan Kidul, Manguharjo, Kota Madiun</t>
  </si>
  <si>
    <t xml:space="preserve">0812 4976 0203  </t>
  </si>
  <si>
    <t>mukson.raih.mukti@inka.co.id</t>
  </si>
  <si>
    <t>0001315848442</t>
  </si>
  <si>
    <t>RINA KRISTIANINGRUM</t>
  </si>
  <si>
    <t>ABRIZAM ALFAZA MUKTI</t>
  </si>
  <si>
    <t>456715945621000</t>
  </si>
  <si>
    <t>SISWAHYUDI</t>
  </si>
  <si>
    <t>351914080770000 1</t>
  </si>
  <si>
    <t>Jl. Rajawali RT.009 RW.002, Bakur, Sawahan, Madiun</t>
  </si>
  <si>
    <t>0856 4586 3666</t>
  </si>
  <si>
    <t>siswahyudi@inka.co.id</t>
  </si>
  <si>
    <t>0001127798774</t>
  </si>
  <si>
    <t>98N70009666</t>
  </si>
  <si>
    <t>AMIN ANDARMAWANTI</t>
  </si>
  <si>
    <t>HANIF NI'MATUS SHALIHAH</t>
  </si>
  <si>
    <t>382986388621000</t>
  </si>
  <si>
    <t>STM PGRI Madiun</t>
  </si>
  <si>
    <t>1-Aug-2026</t>
  </si>
  <si>
    <t>HARIANTO</t>
  </si>
  <si>
    <t>3519132911900005</t>
  </si>
  <si>
    <t>Sumbergandu, RT/RW: 014/002, Kel.Sumbergandu, Kec.Pilangkenceng</t>
  </si>
  <si>
    <t>0813 3400 8380</t>
  </si>
  <si>
    <t>masharianto200@gmail.com</t>
  </si>
  <si>
    <t>0001814248539</t>
  </si>
  <si>
    <t>MEILINDA PUSPITA SARI</t>
  </si>
  <si>
    <t>SAFIRA AZZAHRA ALFATHUNISA</t>
  </si>
  <si>
    <t>60.532.073.8-621.000</t>
  </si>
  <si>
    <t>PKWT-642307128/D1/2020</t>
  </si>
  <si>
    <t>ELY YUDIOKO</t>
  </si>
  <si>
    <t>3519053009900001</t>
  </si>
  <si>
    <t>Jajar RT/RW : 019/006, Kel. Bolo, Kec. Kare</t>
  </si>
  <si>
    <t>0852 3222 3498</t>
  </si>
  <si>
    <t>yudinirada@gmail.com</t>
  </si>
  <si>
    <t>0001380164591</t>
  </si>
  <si>
    <t>MUNGIN</t>
  </si>
  <si>
    <t>SAMIRAH</t>
  </si>
  <si>
    <t>07.693.860.4-621.000</t>
  </si>
  <si>
    <t>PKWT-642307127/D1/2020</t>
  </si>
  <si>
    <t>IRA DWISARI</t>
  </si>
  <si>
    <t>Admin</t>
  </si>
  <si>
    <t>351908521292000 1</t>
  </si>
  <si>
    <t>Ds. Tulungrejo RT 009/RW003 Kab Madiun</t>
  </si>
  <si>
    <t>0823 3488 7431</t>
  </si>
  <si>
    <t>iradwi.sari92@gmail.com</t>
  </si>
  <si>
    <t>0002250022015</t>
  </si>
  <si>
    <t>MUHAMMAD BANGUN SABRINNA</t>
  </si>
  <si>
    <t>357701300797000 1</t>
  </si>
  <si>
    <t>Jl. Nayaka Bhakti Blok E/96 RT/RW 26/6 Kel. Kanigoro, Kec. Kartoharjo, Kota Madiun</t>
  </si>
  <si>
    <t>0821 4364 7643</t>
  </si>
  <si>
    <t>bangunsabrinna@gmail.com</t>
  </si>
  <si>
    <t>0002250010067</t>
  </si>
  <si>
    <t>PKWT-642307131/D1/2020</t>
  </si>
  <si>
    <t>FENDIK SISWANTO</t>
  </si>
  <si>
    <t>352012290590000 1</t>
  </si>
  <si>
    <t>Desa Bogorejo RT/RW 10/02, Barat, Magetan</t>
  </si>
  <si>
    <t>0857 3646 2268</t>
  </si>
  <si>
    <t>fendiksiswanto811@gmail.com</t>
  </si>
  <si>
    <t>0001788814089</t>
  </si>
  <si>
    <t>MARGARETA YURIKA</t>
  </si>
  <si>
    <t>FEYUKI ERZHAN ATTALLAH</t>
  </si>
  <si>
    <t>PKWT-642307129/D1/2020</t>
  </si>
  <si>
    <t>PRASETYO ARI ANGGORO</t>
  </si>
  <si>
    <t>352011110698000 1</t>
  </si>
  <si>
    <t>Jl Semeru RT/RW 18/05, Maospati</t>
  </si>
  <si>
    <t>0838 5372 3429</t>
  </si>
  <si>
    <t>prasetyoari1106@gmail.com</t>
  </si>
  <si>
    <t>0000740431686</t>
  </si>
  <si>
    <t>SUJARNO</t>
  </si>
  <si>
    <t>PKWT-642307130/D1/2020</t>
  </si>
  <si>
    <t>RIAN ADJI PANGESTU</t>
  </si>
  <si>
    <t>Aftersales KRDE BIAS</t>
  </si>
  <si>
    <t>3175010508971001</t>
  </si>
  <si>
    <t>Jl Kebon Kelapa RT/RW 008/012, Utan Kayu Selatan, Matraman, Jakarta Timur</t>
  </si>
  <si>
    <t>0812 8984 1200</t>
  </si>
  <si>
    <t>rianadjipangestu@gmail.com</t>
  </si>
  <si>
    <t>0002250002867</t>
  </si>
  <si>
    <t>HERNI</t>
  </si>
  <si>
    <t>MARKUNI</t>
  </si>
  <si>
    <t>RABUN</t>
  </si>
  <si>
    <t>EEM</t>
  </si>
  <si>
    <t>02.443.853.3-001.000</t>
  </si>
  <si>
    <t>PKWT-642307132/D1/2020</t>
  </si>
  <si>
    <t>SARAH AYU JUNIA KURNIASIH</t>
  </si>
  <si>
    <t>351903660694000 1</t>
  </si>
  <si>
    <t>Ds Sobrah RT/RW 001/001 Kec. Wungu, Kab, Madiun</t>
  </si>
  <si>
    <t>0838 6709 4057</t>
  </si>
  <si>
    <t>sayujunea@gmail.com</t>
  </si>
  <si>
    <t>0001281687568</t>
  </si>
  <si>
    <t>ERVIN SUNARTO</t>
  </si>
  <si>
    <t>03.720.982.2-621.000</t>
  </si>
  <si>
    <t>SMK N 5 Madiun</t>
  </si>
  <si>
    <t>BAGAS YAZID GHOZI</t>
  </si>
  <si>
    <t>IT</t>
  </si>
  <si>
    <t>351907250896000 1</t>
  </si>
  <si>
    <t>Ds Wungu RT/RW 005/001, Kec. Wungu, Kab. Madiun</t>
  </si>
  <si>
    <t>0853 4065 3142</t>
  </si>
  <si>
    <t>bagasyazid7@gmail.com</t>
  </si>
  <si>
    <t>0002907085871</t>
  </si>
  <si>
    <t>86.994.098.2-621.000</t>
  </si>
  <si>
    <t>Teknik Komputer Kontrol</t>
  </si>
  <si>
    <t>PAMUNGKAS SASANGKA</t>
  </si>
  <si>
    <t>3577021011970003</t>
  </si>
  <si>
    <t>Jl. Biliton Gang Punden No 43 RT 023/ RW 006 Madiun</t>
  </si>
  <si>
    <t>0812 9063 1341</t>
  </si>
  <si>
    <t>Pamungkassasangka3@gmail.com</t>
  </si>
  <si>
    <t>0001704747633</t>
  </si>
  <si>
    <t>PRAWORO SUSENO</t>
  </si>
  <si>
    <t>TUMINAH</t>
  </si>
  <si>
    <t>03.706.997.8-621.000</t>
  </si>
  <si>
    <t>037069978621000</t>
  </si>
  <si>
    <t>PKWT-642307133/D1/2020</t>
  </si>
  <si>
    <t>DONI AHMAT RAIS</t>
  </si>
  <si>
    <t>351908071095000 1</t>
  </si>
  <si>
    <t>Sambean, RT 005/001 Sendangrejo, Madiun</t>
  </si>
  <si>
    <t>0857 9067 2798</t>
  </si>
  <si>
    <t>ahmatrais07@gmail.com</t>
  </si>
  <si>
    <t>0000738320567</t>
  </si>
  <si>
    <t>SUDARTO</t>
  </si>
  <si>
    <t>MINARNI</t>
  </si>
  <si>
    <t>03.730.054.8.621.000</t>
  </si>
  <si>
    <t>037300548621000</t>
  </si>
  <si>
    <t>PKWT-642301183/D1/2020</t>
  </si>
  <si>
    <t>FERRY APRIYANTO</t>
  </si>
  <si>
    <t>357703210291000 2</t>
  </si>
  <si>
    <t>Jalan Pucang Baru Timur, Manisrejo, Taman, Madiun</t>
  </si>
  <si>
    <t>0857 3577 081</t>
  </si>
  <si>
    <t>ferryaprianto25@gmail.com</t>
  </si>
  <si>
    <t>0001315853144</t>
  </si>
  <si>
    <t>SEPTIANA WULANDARAI</t>
  </si>
  <si>
    <t>RADHIKA ARSHAQ KHALIL APRIANTO</t>
  </si>
  <si>
    <t>DAFINA ZEA AZAHRA</t>
  </si>
  <si>
    <t>PKWT-642301180/D1/2020</t>
  </si>
  <si>
    <t>OKTAVIYANTO HARI CAHYONO</t>
  </si>
  <si>
    <t>351909121084000 6</t>
  </si>
  <si>
    <t>Jl Ciliwung Gang 1 No 7, Taman, Kota Madiun</t>
  </si>
  <si>
    <t>0856 3472 636</t>
  </si>
  <si>
    <t>oktaviyanto.hc@gmail.com</t>
  </si>
  <si>
    <t>0001315885847</t>
  </si>
  <si>
    <t>SHELMA OLIVIA</t>
  </si>
  <si>
    <t>AZKA ALDRIC EL ZAFRAN</t>
  </si>
  <si>
    <t>KASIRAN</t>
  </si>
  <si>
    <t>SRI HARIYATI</t>
  </si>
  <si>
    <t>03.817.001.5-621.000</t>
  </si>
  <si>
    <t>PKWT-642301184/D1/2020</t>
  </si>
  <si>
    <t>SIGIT WAHYU PRASTYO</t>
  </si>
  <si>
    <t>352012040287000 1</t>
  </si>
  <si>
    <t>Ds Sambirembe RT/RW 02/02 Karangrejo, Magetan</t>
  </si>
  <si>
    <t>0812 3519 2004</t>
  </si>
  <si>
    <t>sukses57terus@gmail.com</t>
  </si>
  <si>
    <t>0001315825997</t>
  </si>
  <si>
    <t>AFNI ARIFFAH</t>
  </si>
  <si>
    <t>CARISA CAHYA AZIZAH</t>
  </si>
  <si>
    <t>CANDRA MUHAMMAD WIJAYA</t>
  </si>
  <si>
    <t>PKWT-642307134/D1/2020</t>
  </si>
  <si>
    <t>TRI BAGUS RIDHO KURNIAWAN</t>
  </si>
  <si>
    <t>351907110989000 4</t>
  </si>
  <si>
    <t>Bantengan RT/RW 009/003, Wungu, Kab Madiun</t>
  </si>
  <si>
    <t>0881 7116 095</t>
  </si>
  <si>
    <t>tribagusridhokurniawan@gmail.com</t>
  </si>
  <si>
    <t>0001315843378</t>
  </si>
  <si>
    <t>ISTYAN RIZKA</t>
  </si>
  <si>
    <t>SUKIR</t>
  </si>
  <si>
    <t>ISTYO WINARNI</t>
  </si>
  <si>
    <t>38/40</t>
  </si>
  <si>
    <t>PKWT-642307135/D1/2020</t>
  </si>
  <si>
    <t>WAHAB</t>
  </si>
  <si>
    <t>1320011907244</t>
  </si>
  <si>
    <t>330202171088000 3</t>
  </si>
  <si>
    <t>Pejogol RT/RW 001/001, Cilongok, Banyumas</t>
  </si>
  <si>
    <t>wahab.sebakis@gmail.com</t>
  </si>
  <si>
    <t>0001632931389</t>
  </si>
  <si>
    <t>LILIS IDA PRASIWI</t>
  </si>
  <si>
    <t>KENNAN HARUN NALENDRA</t>
  </si>
  <si>
    <t>INNARA SHANUM TRIHAPSARI</t>
  </si>
  <si>
    <t>PKWT-642201156/D1/2020</t>
  </si>
  <si>
    <t>AWAL ROMADONI</t>
  </si>
  <si>
    <t>187103290390000 4</t>
  </si>
  <si>
    <t>Jl  Purnawirawan Gg Swadaya 3 LK 1 RT 010, Kel Gunung Terang, Tanjung Karang Barat, Bandar Lampung</t>
  </si>
  <si>
    <t>0899 2333 334</t>
  </si>
  <si>
    <t>0852 6872 7601</t>
  </si>
  <si>
    <t>awalromadoni@gmail.com</t>
  </si>
  <si>
    <t>0001141782862</t>
  </si>
  <si>
    <t>EVA INDRIYENI</t>
  </si>
  <si>
    <t>SISWADI</t>
  </si>
  <si>
    <t>SUJARMINI</t>
  </si>
  <si>
    <t>ASWIR</t>
  </si>
  <si>
    <t>HARTATI</t>
  </si>
  <si>
    <t>74.107.790.3-322.000</t>
  </si>
  <si>
    <t>SMK Taman Karya Bandar Lampung</t>
  </si>
  <si>
    <t>PKWT-641810190/D1/2020</t>
  </si>
  <si>
    <t>RIJA CAHYADI</t>
  </si>
  <si>
    <t>350215100197000 1</t>
  </si>
  <si>
    <t>Dk Sekayu, RT/RW 001/002, Ds Gandukepuh, Sukorejo, Ponorogo</t>
  </si>
  <si>
    <t>0821 3296 1673</t>
  </si>
  <si>
    <t>rijacahyadi437@gmail.com</t>
  </si>
  <si>
    <t>0001036684539</t>
  </si>
  <si>
    <t>SMK N 1 Jenangan</t>
  </si>
  <si>
    <t>PKWT-642001010/D1/2020</t>
  </si>
  <si>
    <t>YONNY WIDYANTORO</t>
  </si>
  <si>
    <t>350206190498000 1</t>
  </si>
  <si>
    <t>Dk Kranggan, RT/RW 001/001, Jurug, Sooko, Ponorogo</t>
  </si>
  <si>
    <t>0812 3088 6196</t>
  </si>
  <si>
    <t>yonnywidyantoro1@gmail.com</t>
  </si>
  <si>
    <t>0000661708192</t>
  </si>
  <si>
    <t>SOINI</t>
  </si>
  <si>
    <t>DWI ERNAWATI</t>
  </si>
  <si>
    <t>12.822.461.5-647.000</t>
  </si>
  <si>
    <t>3502061904980001</t>
  </si>
  <si>
    <t>PKWT-642301185/D1/2020</t>
  </si>
  <si>
    <t>DIMAS YOGA MARGIHANTO</t>
  </si>
  <si>
    <t>352013271097000 1</t>
  </si>
  <si>
    <t>Jl. Imam Bonjol RT 07/RW 03, Ds. Mantren, Kec. Karangrejo, Kab. Magetan</t>
  </si>
  <si>
    <t>0895 3983 30033</t>
  </si>
  <si>
    <t>dimazyogatok@gmail.com</t>
  </si>
  <si>
    <t>0002065315432</t>
  </si>
  <si>
    <t>PKWT-642301181/D1/2020</t>
  </si>
  <si>
    <t>NURUL ROCHMAN</t>
  </si>
  <si>
    <t>331024040498000 1</t>
  </si>
  <si>
    <t>Bebekan RT/RW 002/010, Gergunung, Klaten Utara, Klaten</t>
  </si>
  <si>
    <t>0857 1233 1956</t>
  </si>
  <si>
    <t>nurulrochman0404@gmail.com</t>
  </si>
  <si>
    <t>0002103643822</t>
  </si>
  <si>
    <t>WITO</t>
  </si>
  <si>
    <t>HARSINI</t>
  </si>
  <si>
    <t>80.807.767.1-525.000</t>
  </si>
  <si>
    <t>SMK N 2 Klaten</t>
  </si>
  <si>
    <t>PKWT-641810203/D1/2020</t>
  </si>
  <si>
    <t>BAYU PRASETYO</t>
  </si>
  <si>
    <t>331023130697000 1</t>
  </si>
  <si>
    <t>Genengan RT/RW 001/001, Tambong Wetan, Kalikotes, Klaten</t>
  </si>
  <si>
    <t>0856 0156 5567</t>
  </si>
  <si>
    <t>bayuprasetyo130697@gmail.com</t>
  </si>
  <si>
    <t>0000558634241</t>
  </si>
  <si>
    <t xml:space="preserve">ANGGIT PRATIWI </t>
  </si>
  <si>
    <t>QAIREEN MIESHA SYAWAL</t>
  </si>
  <si>
    <t>SRIYADI</t>
  </si>
  <si>
    <t>SUPARWI</t>
  </si>
  <si>
    <t>HADI WARSONO</t>
  </si>
  <si>
    <t>SINEM</t>
  </si>
  <si>
    <t>75.801.587.9-525.000</t>
  </si>
  <si>
    <t>SMK N 1 Trucuk</t>
  </si>
  <si>
    <t>PKWT-642201150/D1/2020</t>
  </si>
  <si>
    <t>DIFA WIRAKUSUMA</t>
  </si>
  <si>
    <t>167115060200000 2</t>
  </si>
  <si>
    <t xml:space="preserve">Jl Srijaya Lr Bersama 1123 RT / RW 023/007, Srijaya, Alang-Alang Lebar, Palembang </t>
  </si>
  <si>
    <t>0896 5473 1794</t>
  </si>
  <si>
    <t>difawirakusuma26@gmail.com</t>
  </si>
  <si>
    <t>0000326651782</t>
  </si>
  <si>
    <t>PKWT-641907240/D1/2020</t>
  </si>
  <si>
    <t>ANGGER BAYU AJI</t>
  </si>
  <si>
    <t>317104100392000 5</t>
  </si>
  <si>
    <t>Jl Kramat IV Ujung RT/RW 013/006, Kwitang, Kecamatan Senen, Jakarta Pusat</t>
  </si>
  <si>
    <t>0811 8509 111</t>
  </si>
  <si>
    <t>angger92@gmail.com</t>
  </si>
  <si>
    <t>0001660078855</t>
  </si>
  <si>
    <t>TRI JUNI SELASIH</t>
  </si>
  <si>
    <t>METI MARLINA</t>
  </si>
  <si>
    <t>44.564.354.7.023.000</t>
  </si>
  <si>
    <t>445 643547023000</t>
  </si>
  <si>
    <t>SMK N 1 Adiwerna</t>
  </si>
  <si>
    <t xml:space="preserve">S1 </t>
  </si>
  <si>
    <t>Sekolah Tinggi Ilmu Manajemen Budi Bakti</t>
  </si>
  <si>
    <t>PKWT-641807163/D1/2020</t>
  </si>
  <si>
    <t>357702541099000 1</t>
  </si>
  <si>
    <t>Perum Bumi Winongo Indah Blok D.05 RT/RW 029/010, Winongo, Manguharjo, Kota Madiun</t>
  </si>
  <si>
    <t>0858 5367 2033</t>
  </si>
  <si>
    <t>delaoktaviana.do@gmail.com</t>
  </si>
  <si>
    <t>0001276355733</t>
  </si>
  <si>
    <t>ERWANTO DJOKO PRIJONO</t>
  </si>
  <si>
    <t>JUNA IDAH</t>
  </si>
  <si>
    <t>03.682.871.3.621.000</t>
  </si>
  <si>
    <t>036828713621000</t>
  </si>
  <si>
    <t>DEVIANA FATKULKHOIR</t>
  </si>
  <si>
    <t>Sekretariat Perusahaan</t>
  </si>
  <si>
    <t>351903510200000 1</t>
  </si>
  <si>
    <t>Purworejo RT/RW 023/003 Ds Purworejo, Geger, Kab. Madiun</t>
  </si>
  <si>
    <t>0815 1525 7802</t>
  </si>
  <si>
    <t>devianafatkulkhoir@gmail.com</t>
  </si>
  <si>
    <t>0000736981648</t>
  </si>
  <si>
    <t>Komputer Akuntansi</t>
  </si>
  <si>
    <t>DITA KAROLIN SABELLA</t>
  </si>
  <si>
    <t>351904570599000 1</t>
  </si>
  <si>
    <t>Mranggen, RT/RW 012/003, Ds Joho, Kec. Dagangan, Kab. Madiun</t>
  </si>
  <si>
    <t>0822 2410 1125</t>
  </si>
  <si>
    <t>ditakarolin17@gmail.com</t>
  </si>
  <si>
    <t xml:space="preserve"> 0001410757817</t>
  </si>
  <si>
    <t>FRISKA NANDA SUSANTA</t>
  </si>
  <si>
    <t>357702680199000 5</t>
  </si>
  <si>
    <t>Perum Griya Salak Blok D/01 RT 49/RW6 Kel. Taman Kec. Taman Kota Madiun</t>
  </si>
  <si>
    <t>0812 4678 2660</t>
  </si>
  <si>
    <t>friska22nanda@gmail.com</t>
  </si>
  <si>
    <t>0000976562807</t>
  </si>
  <si>
    <t>Politeknik Perkeretaapian Indonesia</t>
  </si>
  <si>
    <t>ADIB ARDHIAN</t>
  </si>
  <si>
    <t>1440010312749</t>
  </si>
  <si>
    <t>352105230584000 5</t>
  </si>
  <si>
    <t>Jl Raya Dempel RT/RW 003/005, Dempel, Kec. Geneng, Kab. Ngawi</t>
  </si>
  <si>
    <t>0856 3396 960</t>
  </si>
  <si>
    <t>adib.ardhian@inka.co.id</t>
  </si>
  <si>
    <t>05JP0593636</t>
  </si>
  <si>
    <t>ATHI' PURNASARI</t>
  </si>
  <si>
    <t>572603363646000</t>
  </si>
  <si>
    <t>Elektro</t>
  </si>
  <si>
    <t>OKTAVIAN FRANS SANJAYA</t>
  </si>
  <si>
    <t>351909071097000 3</t>
  </si>
  <si>
    <t>Jl Singosari Gg 3 RT/RW 013/003, Manguharjo, Patihan, Kota Madiun</t>
  </si>
  <si>
    <t>0896 7905 2873</t>
  </si>
  <si>
    <t>ofsanjaya@gmail.com</t>
  </si>
  <si>
    <t>0002065305609</t>
  </si>
  <si>
    <t>PKWT-641810202/D1/2020</t>
  </si>
  <si>
    <t>MUHAMMAD AL'SAUFI</t>
  </si>
  <si>
    <t>Lhok Bayu</t>
  </si>
  <si>
    <t>110806280796000 1</t>
  </si>
  <si>
    <t>Dsn Pasi, Ds Keude Bungkaih, Kec Muara Batu, Kab. Aceh Utara</t>
  </si>
  <si>
    <t>0852 8476 8685</t>
  </si>
  <si>
    <t>sauficanser@gmail.com</t>
  </si>
  <si>
    <t>0000003079113</t>
  </si>
  <si>
    <t>SMA N 2 Kesuma Bangsa Muara Batu</t>
  </si>
  <si>
    <t>PKWT-642002081/D1/2020</t>
  </si>
  <si>
    <t>HARIYANDI</t>
  </si>
  <si>
    <t>327601251295000 3</t>
  </si>
  <si>
    <t>Jl Pemuda Kp Pulo RT/RW 004/008 Cipayung Jaya, Cipayung, Depok</t>
  </si>
  <si>
    <t>harrysoetedja@gmail.com</t>
  </si>
  <si>
    <t>0001646747278</t>
  </si>
  <si>
    <t>EKA SUDARYANTI</t>
  </si>
  <si>
    <t>AZRIL RAFIF MAUZA</t>
  </si>
  <si>
    <t>SMA N Terbuka Kota Depok</t>
  </si>
  <si>
    <t>PKWT-641810195/D1/2020</t>
  </si>
  <si>
    <t>MUHAMAD FACHRI RIYANSAH</t>
  </si>
  <si>
    <t>317503300594000 1</t>
  </si>
  <si>
    <t>Jl Prumpung Tengah 4 No. 26 RT/RW 005/005, Jatinegara, Jakarta Timur</t>
  </si>
  <si>
    <t>0812 9257 0172</t>
  </si>
  <si>
    <t>fachriyansah23@gmail.com</t>
  </si>
  <si>
    <t>0001769566094</t>
  </si>
  <si>
    <t xml:space="preserve">AUNILLAH </t>
  </si>
  <si>
    <t>ASHILLA NAZWA FAZILA</t>
  </si>
  <si>
    <t xml:space="preserve">ELVINO SHAQUILLE RAYYANKA </t>
  </si>
  <si>
    <t xml:space="preserve">ROHADI </t>
  </si>
  <si>
    <t xml:space="preserve">ETTY HERAWATI </t>
  </si>
  <si>
    <t>SAIM</t>
  </si>
  <si>
    <t>SUHERTI</t>
  </si>
  <si>
    <t>66.095.158.3-002.000</t>
  </si>
  <si>
    <t>SMK N 5 Jakarta</t>
  </si>
  <si>
    <t>PKWT-642002083/D1/2020</t>
  </si>
  <si>
    <t>MUCHAMMAD NUR ISMAIL</t>
  </si>
  <si>
    <t>367108020498000 1</t>
  </si>
  <si>
    <t>Griya Merpati Mas Blok C.37 No 11 RT/RW 007/005, Gembor, Periuk, Kota Tangerang</t>
  </si>
  <si>
    <t>0813 1157 5752</t>
  </si>
  <si>
    <t>m.nurismail33@gmail.com</t>
  </si>
  <si>
    <t>0001269841803</t>
  </si>
  <si>
    <t>ACHMAD ARIFIN</t>
  </si>
  <si>
    <t>UPIN SUPINAH</t>
  </si>
  <si>
    <t>81.590.169.9-402.000</t>
  </si>
  <si>
    <t>SMK N 4 Tangerang</t>
  </si>
  <si>
    <t>PKWT-641807166/D1/2020</t>
  </si>
  <si>
    <t>PRIYOGO SUSILO</t>
  </si>
  <si>
    <t>317205071194000 2</t>
  </si>
  <si>
    <t>Jl Lodan Dalam 26 RT/RW 010/008, Kel Ancol, Kec. Pademangan, Jakarta Utara</t>
  </si>
  <si>
    <t>0896 0101 6894</t>
  </si>
  <si>
    <t>priyogosusilo94@gmail.com</t>
  </si>
  <si>
    <t>0001823995045</t>
  </si>
  <si>
    <t xml:space="preserve">SAWILAN </t>
  </si>
  <si>
    <t>71.909.658.8-044.000</t>
  </si>
  <si>
    <t>SMK N 56 Jakarta</t>
  </si>
  <si>
    <t>PKWT-642109114/D1/2020</t>
  </si>
  <si>
    <t>TUBAGUS VIKRY ISKANDAR ACHMAD</t>
  </si>
  <si>
    <t>317406220296000 3</t>
  </si>
  <si>
    <t>Komp BBD Blok B.II/27 RT/RW 003/003, Ciganjur, Jagakarsa, Jakarta Selatan</t>
  </si>
  <si>
    <t>0812 7222 2484</t>
  </si>
  <si>
    <t>tubagus.vikry22@gmail.com</t>
  </si>
  <si>
    <t>0001966229706</t>
  </si>
  <si>
    <t>INAYATUL MAULA</t>
  </si>
  <si>
    <t>TUBAGUS MAGIKA KHAIRRAZKY ACHMAD</t>
  </si>
  <si>
    <t xml:space="preserve">SMK Bunda Kandung </t>
  </si>
  <si>
    <t>PKWT-642109111/D1/2020</t>
  </si>
  <si>
    <t>SANDY MAHESTA</t>
  </si>
  <si>
    <t>317204090694000 5</t>
  </si>
  <si>
    <t>JL. Kalibaru Barat IX No.11 RT.005/RW.05 Kel.Kalibaru, Kec.Cilincing Jakarta Utara</t>
  </si>
  <si>
    <t>0896 6229 5275</t>
  </si>
  <si>
    <t>sandymahesta@gmail.com</t>
  </si>
  <si>
    <t>0001636339961</t>
  </si>
  <si>
    <t>SAFFIRAH</t>
  </si>
  <si>
    <t>FARSYAN GHIFARI ALFATIH</t>
  </si>
  <si>
    <t>ROHENAH</t>
  </si>
  <si>
    <t>TARYONO</t>
  </si>
  <si>
    <t>09.664.677.3-045.000</t>
  </si>
  <si>
    <t>Teknik Komputer dan Informatika</t>
  </si>
  <si>
    <t>SMK N 36 Jakarta</t>
  </si>
  <si>
    <t>PKWT-642109118/D1/2020</t>
  </si>
  <si>
    <t>BIMA RIZKY PRATAMA</t>
  </si>
  <si>
    <t>367108290999000 5</t>
  </si>
  <si>
    <t>Kp Sangiang RT/RW 002/004, Ds Sangiang Jaya, Periuk, Kota Tangerang</t>
  </si>
  <si>
    <t>0896 2269 9228</t>
  </si>
  <si>
    <t>bimarizkyprat@gmail.com</t>
  </si>
  <si>
    <t>0001370199431</t>
  </si>
  <si>
    <t>SABIRIN</t>
  </si>
  <si>
    <t>RIYANTI</t>
  </si>
  <si>
    <t>83.291.083.0.402.000</t>
  </si>
  <si>
    <t>83.291.083.0402.000</t>
  </si>
  <si>
    <t>PKWT-641907235/D1/2020</t>
  </si>
  <si>
    <t>JERI APDI SAPUTRA</t>
  </si>
  <si>
    <t>130504030498000 3</t>
  </si>
  <si>
    <t>Kandang Ampek, Guguak, Kec 2 X 11 Kayutanam</t>
  </si>
  <si>
    <t>0852 6368 5564</t>
  </si>
  <si>
    <t>jeriapdisaputra@gmail.com</t>
  </si>
  <si>
    <t>0001424303559</t>
  </si>
  <si>
    <t>SUARDI</t>
  </si>
  <si>
    <t>SARFIYENI</t>
  </si>
  <si>
    <t>03.808.430.7.201.000</t>
  </si>
  <si>
    <t>038084307201000</t>
  </si>
  <si>
    <t>PKWT-641810181/D1/2020</t>
  </si>
  <si>
    <t>RIZKI KURNIAWAN</t>
  </si>
  <si>
    <t>352109271197000 1</t>
  </si>
  <si>
    <t>Ngawi, RT/RW 002/003, Ngawi, Kab. Ngawi</t>
  </si>
  <si>
    <t>0815 5968 8944</t>
  </si>
  <si>
    <t>riskyk390@gmail.com</t>
  </si>
  <si>
    <t>0002470982422</t>
  </si>
  <si>
    <t>AGUS TONO</t>
  </si>
  <si>
    <t>WIWIN YUNIASRI</t>
  </si>
  <si>
    <t>63.354.267.5-015.000</t>
  </si>
  <si>
    <t>SMK PGRI 1 Ngawi</t>
  </si>
  <si>
    <t>PKWT-641807170/D1/2020</t>
  </si>
  <si>
    <t>MUHAMAD IRFAN</t>
  </si>
  <si>
    <t>367107180996000 3</t>
  </si>
  <si>
    <t>Bugel Mas Indah Blok C 18 No. 1 RT/RW 004/009, Bugel, Karawaci, Tangerang</t>
  </si>
  <si>
    <t>0895 3316 4199</t>
  </si>
  <si>
    <t>muh.irfan1896@gmail.com</t>
  </si>
  <si>
    <t>0002044655987</t>
  </si>
  <si>
    <t>ADRI MUCHTAR</t>
  </si>
  <si>
    <t>DEFI YANTI</t>
  </si>
  <si>
    <t>83.550.878.9-402.000</t>
  </si>
  <si>
    <t>Teknologi Pesawat Udara</t>
  </si>
  <si>
    <t>SMK N 6 Tangerang</t>
  </si>
  <si>
    <t>PKWT-971900030/D1/2020</t>
  </si>
  <si>
    <t>MOCHAMAD SANDI NUR RAMADAN</t>
  </si>
  <si>
    <t>350724140198000 3</t>
  </si>
  <si>
    <t>Perum Istana Bedali Agung AC-07 RT/RW 006/012, Lawang, Kab. Malang</t>
  </si>
  <si>
    <t>0822 2898 7235</t>
  </si>
  <si>
    <t>sandimannur@gmail.com</t>
  </si>
  <si>
    <t>0001285176543</t>
  </si>
  <si>
    <t>ADELLIA ANGGRAINI</t>
  </si>
  <si>
    <t>RUDI SUSANTO</t>
  </si>
  <si>
    <t>SRI ARI BAWANING ASTUTI</t>
  </si>
  <si>
    <t>SURYONO</t>
  </si>
  <si>
    <t>UCHROWIYANTI ASNAH</t>
  </si>
  <si>
    <t>91.670.218.6-657.000</t>
  </si>
  <si>
    <t>SMK N 1 Singosari Malang</t>
  </si>
  <si>
    <t>PKWT-641810196/D1/2020</t>
  </si>
  <si>
    <t>YOGA ADI PRATAMA</t>
  </si>
  <si>
    <t>352005120798000 2</t>
  </si>
  <si>
    <t>Mojorejo, RT/RW 005/001, Kel Mojorejo, Kawedanan, Kab. Magetan</t>
  </si>
  <si>
    <t>0856 0761 1480</t>
  </si>
  <si>
    <t>yogaadipratama12391@gmail.com</t>
  </si>
  <si>
    <t>0001045529493</t>
  </si>
  <si>
    <t>SARIMIN</t>
  </si>
  <si>
    <t>MUJIATI</t>
  </si>
  <si>
    <t>03.705.114.1-015.000</t>
  </si>
  <si>
    <t>PKWT-642002074/D1/2020</t>
  </si>
  <si>
    <t>FUAD BAWAZIR</t>
  </si>
  <si>
    <t>351903200498000 2</t>
  </si>
  <si>
    <t>Ds Jatisari RT/RW 034/007, Kec. Geger, Kab. Madiun</t>
  </si>
  <si>
    <t>08957 0326 0309</t>
  </si>
  <si>
    <t>fuadbawazir900@gmail.com</t>
  </si>
  <si>
    <t>0001705643583</t>
  </si>
  <si>
    <t>AHMAD ZAINURI</t>
  </si>
  <si>
    <t>SITI MUSYAROFAH</t>
  </si>
  <si>
    <t>02.339.389.5-621.000</t>
  </si>
  <si>
    <t>Teknik Kimia</t>
  </si>
  <si>
    <t>SMK Kimia Mudda Madiun</t>
  </si>
  <si>
    <t>PKWT-641907239/D1/2020</t>
  </si>
  <si>
    <t>AMMAR NURI SULASTINO</t>
  </si>
  <si>
    <t>352005221197000 3</t>
  </si>
  <si>
    <t>Mojorejo, RT/RW 001/001, Kel Mojorejo, Kawedanan, Kab. Magetan</t>
  </si>
  <si>
    <t>0856 4665 4330</t>
  </si>
  <si>
    <t>ammarnuris46@gmail.com</t>
  </si>
  <si>
    <t>0002065270397</t>
  </si>
  <si>
    <t>SOVITA YULIANTI</t>
  </si>
  <si>
    <t>SADIPTA HAFIDZ ARGANTARA</t>
  </si>
  <si>
    <t>PRIJADI</t>
  </si>
  <si>
    <t>SURATI</t>
  </si>
  <si>
    <t>91.300.297.8-646.000</t>
  </si>
  <si>
    <t>AWANG TUNGGAL DIA SAPUTRA</t>
  </si>
  <si>
    <t>357701250598000 4</t>
  </si>
  <si>
    <t>Jl Jenggolo Sakti No. 7 RT/RW 021/005, Kec. Kelun, Kota Madiun</t>
  </si>
  <si>
    <t>0895 6334 76677</t>
  </si>
  <si>
    <t>maskusman9@gmail.com</t>
  </si>
  <si>
    <t>0002631594352</t>
  </si>
  <si>
    <t>BAGAS EKO PRASTYO</t>
  </si>
  <si>
    <t>351908010298000 1</t>
  </si>
  <si>
    <t>Dimong, Kopen RT/RW 014/02 Kec. Madiun, Kab. Madiun</t>
  </si>
  <si>
    <t>0897 4640 370</t>
  </si>
  <si>
    <t>bagaseko988@gmail.com</t>
  </si>
  <si>
    <t>0002065319054</t>
  </si>
  <si>
    <t>PARTONO</t>
  </si>
  <si>
    <t>PONIKEM</t>
  </si>
  <si>
    <t>93.084.556.5-621.000</t>
  </si>
  <si>
    <t>DAVID DWI PRAKOSO</t>
  </si>
  <si>
    <t>357703041297000 1</t>
  </si>
  <si>
    <t>Jl Sengkolo RT/RW 026/009, Kel. Josenan, Kec. Taman, Kota Madiun</t>
  </si>
  <si>
    <t>0859 2601 3458</t>
  </si>
  <si>
    <t>davidprakosodwi@gmail.com</t>
  </si>
  <si>
    <t>0001826069229</t>
  </si>
  <si>
    <t>WAHONO</t>
  </si>
  <si>
    <t>PONIRAH</t>
  </si>
  <si>
    <t>99.876.913.7-621.000</t>
  </si>
  <si>
    <t>FAIZ NIZAMUDIN</t>
  </si>
  <si>
    <t>351904140798000 5</t>
  </si>
  <si>
    <t>Dagangan, RT/RW 012/005, Kel. Dagangan, Kec. Dagangan, Kab. Madiun</t>
  </si>
  <si>
    <t>0813 5726 6935</t>
  </si>
  <si>
    <t>faiznizam1998@gmail.com</t>
  </si>
  <si>
    <t>0002065267631</t>
  </si>
  <si>
    <t>ULYA RANI DEWI</t>
  </si>
  <si>
    <t>MOCH.SUTARWIN</t>
  </si>
  <si>
    <t>SRI INDRAWATI</t>
  </si>
  <si>
    <t>AGUNG DWI ANTORO</t>
  </si>
  <si>
    <t>SUHARTINI</t>
  </si>
  <si>
    <t>24.733.185.5-621.000</t>
  </si>
  <si>
    <t>REZALDHY ERLANGGA</t>
  </si>
  <si>
    <t>350209181298000 1</t>
  </si>
  <si>
    <t>Jl Sunan Bonang RT/RW 003/002 Siman, Ponorogo</t>
  </si>
  <si>
    <t>0822 3521 8116</t>
  </si>
  <si>
    <t>joyaerlangga@gmail.com</t>
  </si>
  <si>
    <t>0001888303522</t>
  </si>
  <si>
    <t>ITITAH MAHARANI SAPUTRI</t>
  </si>
  <si>
    <t>BAKHRODIN</t>
  </si>
  <si>
    <t>SUPRIHATIN</t>
  </si>
  <si>
    <t>NINGSIH</t>
  </si>
  <si>
    <t>63.084.390.2-647.000</t>
  </si>
  <si>
    <t>ASEP SAEPUL MUGNI</t>
  </si>
  <si>
    <t>Karawang</t>
  </si>
  <si>
    <t>321608200290000 4</t>
  </si>
  <si>
    <t>Kp. Rawa Citra, Ds Telaga Asih RT/RW 001/003 Kec. Cikarang Barat, Kab. Bekasi</t>
  </si>
  <si>
    <t>0812 1541 1983</t>
  </si>
  <si>
    <t>asepsaepulmugni@gmail.com</t>
  </si>
  <si>
    <t>0001805221394</t>
  </si>
  <si>
    <t>PKWT-642201174/D1/2020</t>
  </si>
  <si>
    <t>PRIMA LESTIAN HERLAMBANG</t>
  </si>
  <si>
    <t>357701171098000 1</t>
  </si>
  <si>
    <t>Jl Bina Jaya No 10, Kartoharjo, Kota Madiun</t>
  </si>
  <si>
    <t>0812 3564 0588</t>
  </si>
  <si>
    <t>primalestian17@gmail.com</t>
  </si>
  <si>
    <t>0001704811059</t>
  </si>
  <si>
    <t>LESTARI</t>
  </si>
  <si>
    <t>05.453.865.7-621.000</t>
  </si>
  <si>
    <t>PKWT-641907247/D1/2020</t>
  </si>
  <si>
    <t>ALDHEO RACKA NARENDRA</t>
  </si>
  <si>
    <t>357701121197000 1</t>
  </si>
  <si>
    <t>Jl Kenongo No 2, Oro-Oro Ombo, Kota Madiun</t>
  </si>
  <si>
    <t>0821 3909 4678</t>
  </si>
  <si>
    <t>rakaaldeo@gmail.com</t>
  </si>
  <si>
    <t>0000786438191</t>
  </si>
  <si>
    <t>PKWT-641810197/D1/2020</t>
  </si>
  <si>
    <t>HUDA BARANTO</t>
  </si>
  <si>
    <t>SK-20/INKA/2022</t>
  </si>
  <si>
    <t>330123290185000 1</t>
  </si>
  <si>
    <t>Perum Graha Kirana I Blok C 12, Winongo, Madiun</t>
  </si>
  <si>
    <t>'+62 811-3304-317</t>
  </si>
  <si>
    <t>hudabaranto@gmail.com</t>
  </si>
  <si>
    <t>0001134437229</t>
  </si>
  <si>
    <t>ERVINA KUSUMAWARDANI</t>
  </si>
  <si>
    <t>ANDARA HALWATUNNISA</t>
  </si>
  <si>
    <t>ABHINAYA SYAHRIZKY RAMADHAN</t>
  </si>
  <si>
    <t>YASIR ARAFAD</t>
  </si>
  <si>
    <t>167106300497000 6</t>
  </si>
  <si>
    <t>Jl Bendungan Lr Fotografi  2070 RT/RW 23/07 Ilir Timur II, Palembang</t>
  </si>
  <si>
    <t>0821 4757 9471</t>
  </si>
  <si>
    <t>yasirwoyo0@gmail.com</t>
  </si>
  <si>
    <t>0002671763242</t>
  </si>
  <si>
    <t>ASNAWI ABBAS</t>
  </si>
  <si>
    <t>MARLENA</t>
  </si>
  <si>
    <t>90.094.778.9-301.000</t>
  </si>
  <si>
    <t>Polteknik Negeri Sriwijaya</t>
  </si>
  <si>
    <t>PKWT-642109113/D1/2020</t>
  </si>
  <si>
    <t>RANDU ARIANDI SAPUTRA</t>
  </si>
  <si>
    <t>130504090393000 1</t>
  </si>
  <si>
    <t>Ps Gelombang Kayutanam, Padang Pariaman</t>
  </si>
  <si>
    <t>0831 8094 9484</t>
  </si>
  <si>
    <t>randuariandi@gmail.com</t>
  </si>
  <si>
    <t>0000275254828</t>
  </si>
  <si>
    <t>PKWT-641808174/D1/2020</t>
  </si>
  <si>
    <t>BIMO TRI PRAKOSO</t>
  </si>
  <si>
    <t>357703150497000 2</t>
  </si>
  <si>
    <t>Jl Tapas Sari 1 Manisrejo, Madiun</t>
  </si>
  <si>
    <t>0895 3960 25925</t>
  </si>
  <si>
    <t>bimotriprakoso003@gmail.com</t>
  </si>
  <si>
    <t>0001703351981</t>
  </si>
  <si>
    <t>SUDARSIH</t>
  </si>
  <si>
    <t>03.78.137.3.062.1000</t>
  </si>
  <si>
    <t>037813730621000</t>
  </si>
  <si>
    <t>PKWT-642007090/D1/2020</t>
  </si>
  <si>
    <t>ANGGUN SETIO MITUHU</t>
  </si>
  <si>
    <t>357101290397000 1</t>
  </si>
  <si>
    <t>Jl Lintasan No 2 RT/RW 17/05, Mojoroto, Kediri</t>
  </si>
  <si>
    <t>0857 0898 3990</t>
  </si>
  <si>
    <t>setiomituhu@gmail.com</t>
  </si>
  <si>
    <t>0002094633516</t>
  </si>
  <si>
    <t>SUYADI(ALM)</t>
  </si>
  <si>
    <t>SUNARSIH</t>
  </si>
  <si>
    <t>43.048.823.9-621.000</t>
  </si>
  <si>
    <t>PKWT-642101094/D1/2020</t>
  </si>
  <si>
    <t>MAULANA ZAKARIA</t>
  </si>
  <si>
    <t>357701110102000 1</t>
  </si>
  <si>
    <t>Jl Sri Sedani No 1 RT/RW 05/02, Kelun, Kartoharjo, Madiun</t>
  </si>
  <si>
    <t>0896 7871 0820</t>
  </si>
  <si>
    <t>mrkeren398@gmail.com</t>
  </si>
  <si>
    <t>0001704781574</t>
  </si>
  <si>
    <t>AHMAD SUWARDI</t>
  </si>
  <si>
    <t xml:space="preserve">SITI NUR MAEMUNAH </t>
  </si>
  <si>
    <t>43.641.285.2-621.000</t>
  </si>
  <si>
    <t>PKWT-642007089/D1/2020</t>
  </si>
  <si>
    <t>WIDHI MUSLIQIM SETYO PANGUDI</t>
  </si>
  <si>
    <t>Gunung Kidul</t>
  </si>
  <si>
    <t>340314200401000 3</t>
  </si>
  <si>
    <t>Pondok, RT/RW 006/001, Sampang, Gunung Kidul</t>
  </si>
  <si>
    <t>0882 1654 4176</t>
  </si>
  <si>
    <t>widhimusliqim20@gmail.com</t>
  </si>
  <si>
    <t>0001035390969</t>
  </si>
  <si>
    <t>SARNI NINGSIH</t>
  </si>
  <si>
    <t>03.791.203.7-545.000</t>
  </si>
  <si>
    <t>037912037545000</t>
  </si>
  <si>
    <t>SMK N 1 Gantiwarno</t>
  </si>
  <si>
    <t>SMKN 1 Gantiwarno</t>
  </si>
  <si>
    <t>PKWT-642102106/D1/2020</t>
  </si>
  <si>
    <t>MARSELO DWI LAKSONO</t>
  </si>
  <si>
    <t>352013140997000 2</t>
  </si>
  <si>
    <t>Karangrejo RT/RW 02/02, Magetan</t>
  </si>
  <si>
    <t>0812 3517 2326</t>
  </si>
  <si>
    <t>marselodwilaksono@gmail.com</t>
  </si>
  <si>
    <t>0002065269857</t>
  </si>
  <si>
    <t>WAHYUNING SAPTAWANINGSIH</t>
  </si>
  <si>
    <t>63.739.938.7-646.000</t>
  </si>
  <si>
    <t>SMK Penerbangan Iswahjudi</t>
  </si>
  <si>
    <t>PKWT-642102105/D1/2020</t>
  </si>
  <si>
    <t>MOCH. DONY ANGGORO</t>
  </si>
  <si>
    <t>357703200894000 2</t>
  </si>
  <si>
    <t>Jl Puntuk 148 RT/RW 002/001, Kejuron, Taman, Madiun</t>
  </si>
  <si>
    <t>0857 4635 6390</t>
  </si>
  <si>
    <t>mdonyanggoro@gmail.com</t>
  </si>
  <si>
    <t>0001645609059</t>
  </si>
  <si>
    <t>PKWT-642102103/D1/2020</t>
  </si>
  <si>
    <t>DENDEN AGUNG PRASTYA</t>
  </si>
  <si>
    <t>Samarinda</t>
  </si>
  <si>
    <t>352017031198000 2</t>
  </si>
  <si>
    <t>Ds Simbatan RT/RW 004/001, Nguntoronadi, Magetan</t>
  </si>
  <si>
    <t>0821 4156 2114</t>
  </si>
  <si>
    <t>dendenagung59@gmail.com</t>
  </si>
  <si>
    <t>0002065305205</t>
  </si>
  <si>
    <t>PKWT-642102104/D1/2020</t>
  </si>
  <si>
    <t>ALVIAN KRISETIAWAN</t>
  </si>
  <si>
    <t>352011140598000 2</t>
  </si>
  <si>
    <t>Gambiran RT/RW 15/03, Maospati, Magetan</t>
  </si>
  <si>
    <t>0858 1210 8458</t>
  </si>
  <si>
    <t>krisetiawanalfian@gmail.com</t>
  </si>
  <si>
    <t>0000739675653</t>
  </si>
  <si>
    <t xml:space="preserve">DIANA AYU APRILIANI </t>
  </si>
  <si>
    <t>SURATMAN</t>
  </si>
  <si>
    <t>SRI MARTINI</t>
  </si>
  <si>
    <t>63.477.765.0-646.000</t>
  </si>
  <si>
    <t>PKWT-642002085/D1/2020</t>
  </si>
  <si>
    <t>ERWIN BAGUS SAPUTRO</t>
  </si>
  <si>
    <t>357702251001000 1</t>
  </si>
  <si>
    <t>Jl Wirobumi 44 RT/RW 006/002 Winongo, Madiun</t>
  </si>
  <si>
    <t>0822 6439 2633</t>
  </si>
  <si>
    <t>erwinbagus2608@gmail.com</t>
  </si>
  <si>
    <t>0000736551718</t>
  </si>
  <si>
    <t>63.622.311.7-621.000</t>
  </si>
  <si>
    <t>PKWT-641907259/D1/2020</t>
  </si>
  <si>
    <t>WAHYU BAGUS KUSUMA</t>
  </si>
  <si>
    <t>351903290698000 3</t>
  </si>
  <si>
    <t>Jl Kantil RT/RW 15/03, Klorogan, Gegeer, Madiun</t>
  </si>
  <si>
    <t>0858 5444 8048</t>
  </si>
  <si>
    <t>wahyubaguskusuma3@gmail.com</t>
  </si>
  <si>
    <t>0001410822088</t>
  </si>
  <si>
    <t>ISTAMAR</t>
  </si>
  <si>
    <t>JAMILAH</t>
  </si>
  <si>
    <t>03.809.106.2-015.000</t>
  </si>
  <si>
    <t>PKWT-642105110/D1/2020</t>
  </si>
  <si>
    <t>YOGA INDRA IRAWAN</t>
  </si>
  <si>
    <t>logistik</t>
  </si>
  <si>
    <t>357304170300000 2</t>
  </si>
  <si>
    <t>Nglanduk RT/RW 003/001, Wungu, Madiun</t>
  </si>
  <si>
    <t>0858 444 2478</t>
  </si>
  <si>
    <t>yoiraw@gmail.com</t>
  </si>
  <si>
    <t>0000111203065</t>
  </si>
  <si>
    <t>LILIK DARWATI</t>
  </si>
  <si>
    <t>65.269.830.9-621.000</t>
  </si>
  <si>
    <t>PKWT-642001027/D1/2020</t>
  </si>
  <si>
    <t>ALFIAN NOER CRISTANTO</t>
  </si>
  <si>
    <t>352006080199000 2</t>
  </si>
  <si>
    <t>Ds Baron RT/RW 01/04, Magetan</t>
  </si>
  <si>
    <t>0857 9082 4102</t>
  </si>
  <si>
    <t>alfiannoer2018@gmail.com</t>
  </si>
  <si>
    <t>0002920127758</t>
  </si>
  <si>
    <t>NUR ROHKAINI</t>
  </si>
  <si>
    <t>63.151.553.3-646.000</t>
  </si>
  <si>
    <t>PKWT-971900031/D1/2020</t>
  </si>
  <si>
    <t>TRUSTHA ASHAR RAMADHAN</t>
  </si>
  <si>
    <t>351907141299000 6</t>
  </si>
  <si>
    <t>Jl Pucang Anom 24 RT/RW 011/004, Manisrejo, Taman, Madiun</t>
  </si>
  <si>
    <t>0878 2786 9485</t>
  </si>
  <si>
    <t>ashartrustha@gmail.com</t>
  </si>
  <si>
    <t>0003064164478</t>
  </si>
  <si>
    <t>PKWT-642201149/D1/2020</t>
  </si>
  <si>
    <t>YUSUF BAKTIAR</t>
  </si>
  <si>
    <t>352104180203000 2</t>
  </si>
  <si>
    <t>Dsn Bugel RT/RW 002/004, Karangrejo, Kec. Kendal, Ngawi</t>
  </si>
  <si>
    <t>0857 0496 5359</t>
  </si>
  <si>
    <t>yusufbaktiar508@gmail.com</t>
  </si>
  <si>
    <t>0000740865846</t>
  </si>
  <si>
    <t xml:space="preserve">SUPRAPTO </t>
  </si>
  <si>
    <t>41.068.463.3-646.000</t>
  </si>
  <si>
    <t>SMK Yosonegoro Magetan</t>
  </si>
  <si>
    <t>PKWT-642201173/D1/2020</t>
  </si>
  <si>
    <t>INGGIT WAHYU APRIAN</t>
  </si>
  <si>
    <t>352004220499000 1</t>
  </si>
  <si>
    <t>Ds Kepuhrejo RT/RW 16/02, Takeran, Magetan</t>
  </si>
  <si>
    <t>+62 895-3935-05595</t>
  </si>
  <si>
    <t>Inggitaprian22@gmail.com</t>
  </si>
  <si>
    <t>0002161205684</t>
  </si>
  <si>
    <t>PKWT-641810205/D1/2020</t>
  </si>
  <si>
    <t>REYVALDO BRAHMANA CHRISANDY</t>
  </si>
  <si>
    <t>357702280802000 2</t>
  </si>
  <si>
    <t>Jl Singosari RT/RW 10/04, Manguharjo, Madiun</t>
  </si>
  <si>
    <t>+62 897-9766-637</t>
  </si>
  <si>
    <t>reychrist28@gmail.com</t>
  </si>
  <si>
    <t>0000102007844</t>
  </si>
  <si>
    <t>AYUB KRISTANTOBOWO</t>
  </si>
  <si>
    <t>RETNA PUSPITASARI</t>
  </si>
  <si>
    <t>03.682.929.9-621.000</t>
  </si>
  <si>
    <t>036829299621000</t>
  </si>
  <si>
    <t>PKWT-642307136/D1/2020</t>
  </si>
  <si>
    <t>THESA ARY SANDY</t>
  </si>
  <si>
    <t>351816650400000 3</t>
  </si>
  <si>
    <t>Mojorembun, RT/RW 003/001, Rejoso, Nganjuk</t>
  </si>
  <si>
    <t>0812 4961 2150</t>
  </si>
  <si>
    <t>Thesaary22@gmail.com</t>
  </si>
  <si>
    <t>0000109351225</t>
  </si>
  <si>
    <t>PURWO SUWITO</t>
  </si>
  <si>
    <t>SRI PATEMI</t>
  </si>
  <si>
    <t>65.541.767.3-655.000</t>
  </si>
  <si>
    <t>Manajemen Transportasi Perkeretaapian</t>
  </si>
  <si>
    <t>ALDIF REZA PRIATAMA</t>
  </si>
  <si>
    <t>Pacitan</t>
  </si>
  <si>
    <t>350111150201000 1</t>
  </si>
  <si>
    <t>RT 02 RW 01 Dusun Nawangan Desa Bogoharjo Kec Ngadirojo Kabupaten Pacitan</t>
  </si>
  <si>
    <t>0812 1723 8806</t>
  </si>
  <si>
    <t>aldifreza1015@gmail.com</t>
  </si>
  <si>
    <t>0000104090635</t>
  </si>
  <si>
    <t>BUDI SETIYONO</t>
  </si>
  <si>
    <t>HARTUTIK</t>
  </si>
  <si>
    <t>40.445.293.0-647.000</t>
  </si>
  <si>
    <t>ALI OKTAVIAN HANDOKO</t>
  </si>
  <si>
    <t>320113031000000 5</t>
  </si>
  <si>
    <t>Perumahan Green Hill Blok C12, RT 42 RW 06, Jiwan-Bagag , Kab Madiun, Jawa Timur</t>
  </si>
  <si>
    <t>0857 2723 8120</t>
  </si>
  <si>
    <t>alioktavian0@gmail.com</t>
  </si>
  <si>
    <t>0000038843919</t>
  </si>
  <si>
    <t>HANDOKO</t>
  </si>
  <si>
    <t>PRIHATINI TRI LESTARI</t>
  </si>
  <si>
    <t>03.667.700.3-002.000</t>
  </si>
  <si>
    <t>ARI IRAWAN</t>
  </si>
  <si>
    <t>351906270400000 1</t>
  </si>
  <si>
    <t>JL.MJ SUNGKONO GG BULU 1 No 16 RT 59 RW 14 NAMBANGAN LOR, MANGUHARJO KOTA MADIUN</t>
  </si>
  <si>
    <t>0815 5095 165</t>
  </si>
  <si>
    <t>ari416991@gmail.com</t>
  </si>
  <si>
    <t>0002891691854</t>
  </si>
  <si>
    <t>PARJIANTO</t>
  </si>
  <si>
    <t>WINARTI</t>
  </si>
  <si>
    <t>62.171.343.7-621.000</t>
  </si>
  <si>
    <t>GIGIH CAHYO PAMUNGKAS</t>
  </si>
  <si>
    <t>351005240801000 4</t>
  </si>
  <si>
    <t>Mangunrejo, RT 4 RW 4, Blambangan , Muncar, Banyuwangi</t>
  </si>
  <si>
    <t>0823 0170 1816</t>
  </si>
  <si>
    <t>cgigih7@gmail.com</t>
  </si>
  <si>
    <t>0001302796462</t>
  </si>
  <si>
    <t>YOLANDHA ERHASYA TALITAFANI</t>
  </si>
  <si>
    <t>351915710701000 1</t>
  </si>
  <si>
    <t>Jl. Alang-Alang RT/RW 020/008, Demangan, Taman, Kota Madiun</t>
  </si>
  <si>
    <t>0821 4299 0566</t>
  </si>
  <si>
    <t>yolandhaerhasyatalitafani@gmail.com</t>
  </si>
  <si>
    <t>0001170766967</t>
  </si>
  <si>
    <t>SAMADI</t>
  </si>
  <si>
    <t>NURDIYAMIATI</t>
  </si>
  <si>
    <t>92.377.601.7-621.000</t>
  </si>
  <si>
    <t>ZA'IM NAUFAL HABIB</t>
  </si>
  <si>
    <t>352110311200000 5</t>
  </si>
  <si>
    <t>Dsn.Blimbing, RT02/RW02, Ds.Dawu, Kec.Paron, Kab.Ngawi</t>
  </si>
  <si>
    <t>0895 6275 71444</t>
  </si>
  <si>
    <t>zaimh291@gmail.com</t>
  </si>
  <si>
    <t>0000210130031</t>
  </si>
  <si>
    <t>23009096688</t>
  </si>
  <si>
    <t>03.770.547.2-646.000</t>
  </si>
  <si>
    <t>Teknologi Bangunan dan Jalur Perkeretaapian</t>
  </si>
  <si>
    <t>AKBAR WILDHAN PRIBADI</t>
  </si>
  <si>
    <t>351610130300000 2</t>
  </si>
  <si>
    <t>Ds Bangsal RT 10 RW 02 Kecamatan Bangsal Kabupaten Mojokerto Jawa Timur</t>
  </si>
  <si>
    <t>0817 7985 6302</t>
  </si>
  <si>
    <t>akbaraae@gmail.com</t>
  </si>
  <si>
    <t>0000196151062</t>
  </si>
  <si>
    <t>Kota Madiun</t>
  </si>
  <si>
    <t>357702180898000 1</t>
  </si>
  <si>
    <t>Jalan Puspowarno No. 33 RT. 10 RW. 04 Kelurahan Sogaten, Kecamatan Manguharjo, Kota Madiun</t>
  </si>
  <si>
    <t>0856 4916 9466</t>
  </si>
  <si>
    <t>anggitspenza@gmail.com</t>
  </si>
  <si>
    <t>0002413096648</t>
  </si>
  <si>
    <t>PRIYANTO</t>
  </si>
  <si>
    <t>SUSIANI</t>
  </si>
  <si>
    <t>03.794.002.0-621.000</t>
  </si>
  <si>
    <t>DIAZ PRABA YUDISTIRA</t>
  </si>
  <si>
    <t>327507200201000 9</t>
  </si>
  <si>
    <t>Kp. Ciketing Barat RT/RW 001/003, Ciketing Udik, Bantargebang, Bekasi, Jawa Barat, 17153</t>
  </si>
  <si>
    <t>0821 3033 7702</t>
  </si>
  <si>
    <t>diazyudis01@gmail.com</t>
  </si>
  <si>
    <t>0001159255337</t>
  </si>
  <si>
    <t>WARSITO</t>
  </si>
  <si>
    <t>ASMA KUSNIANI</t>
  </si>
  <si>
    <t>03.808.070.1-436.000</t>
  </si>
  <si>
    <t>FIGO MUHAMMAD HERNATIAS</t>
  </si>
  <si>
    <t>350102060898000 3</t>
  </si>
  <si>
    <t>Rt 02 Rw 03 Dusun Bethulo, Desa Bagunsari, Kec.Pacitan, Kab.Pacitan, Jawa Timur</t>
  </si>
  <si>
    <t>0858 5024 4699</t>
  </si>
  <si>
    <t>Fsamkiller@gmail.con</t>
  </si>
  <si>
    <t>0003260903771</t>
  </si>
  <si>
    <t>MAULANA JIHAN ALFANA</t>
  </si>
  <si>
    <t>331615240901000 1</t>
  </si>
  <si>
    <t>Ds.Bogorejo,Kec.Bogorejo, Rt1/Rw2, Kab.Blora, Prov. Jawa Tengah Kode Pos 58262</t>
  </si>
  <si>
    <t>0858 2633 9569</t>
  </si>
  <si>
    <t>maulanaj136@gmail.com</t>
  </si>
  <si>
    <t>0000091680502</t>
  </si>
  <si>
    <t>REKA PATRIA RAFLYLIANTO</t>
  </si>
  <si>
    <t>330122140701000 3</t>
  </si>
  <si>
    <t>JL.Sengon No 41 Rt 002 Rw 004 Kel. Tritih Kulon Kec. Cilacap Utara Kab. Cilacap, Jawa Tengah</t>
  </si>
  <si>
    <t>0814 6672 8285</t>
  </si>
  <si>
    <t>rekapatriaraf@gmail.com</t>
  </si>
  <si>
    <t>0001097627332</t>
  </si>
  <si>
    <t>YOGA WICAKSANA</t>
  </si>
  <si>
    <t>352010230899000 1</t>
  </si>
  <si>
    <t>RT 06/RW 02 Desa Kledokan, Kec. Bendo, Kab. Magetan, Jawa Timur</t>
  </si>
  <si>
    <t>0895 2326 2939</t>
  </si>
  <si>
    <t>yogawicaksana34@gmail.com</t>
  </si>
  <si>
    <t>0002202501429</t>
  </si>
  <si>
    <t>AZIS FARISI PRAMUJOTO</t>
  </si>
  <si>
    <t>120702280596000 2</t>
  </si>
  <si>
    <t>Jl. Jamkasari RT/RW 002/001, Demangan, Siman, Ponorogo</t>
  </si>
  <si>
    <t>0819 3911 2171</t>
  </si>
  <si>
    <t>azisfarisi28@2gmail.com</t>
  </si>
  <si>
    <t>0003502270798</t>
  </si>
  <si>
    <t>Teknik Permesinan Kapal</t>
  </si>
  <si>
    <t>Politeknik Perkapalan Negeri Surabaya</t>
  </si>
  <si>
    <t>HENDRA HERMANTO</t>
  </si>
  <si>
    <t>321714010885000 9</t>
  </si>
  <si>
    <t>Kp. Pangkalan RT/RW 02/02, Cikadu, Sindangkertam Kab. Bandung Barat</t>
  </si>
  <si>
    <t>0881 0235 88121</t>
  </si>
  <si>
    <t>hendrahermanto240@gmail.com</t>
  </si>
  <si>
    <t>0001660080587</t>
  </si>
  <si>
    <t>RESMIATI</t>
  </si>
  <si>
    <t>ADLI WIGUNA HERMANTO</t>
  </si>
  <si>
    <t>ALFI KUSHALA HERMANTO</t>
  </si>
  <si>
    <t>SMK Mahardhika Batujajar</t>
  </si>
  <si>
    <t>MUHAMMAD BAYU DIRGANTARA</t>
  </si>
  <si>
    <t>187110041099000 6</t>
  </si>
  <si>
    <t>Jl Nunyai Blok C 31A, Rajabasa Nunyai, Rajabasa</t>
  </si>
  <si>
    <t>0896 3035 5475</t>
  </si>
  <si>
    <t>mbayudirgantara@gmail.com</t>
  </si>
  <si>
    <t>0003312855167</t>
  </si>
  <si>
    <t>Universitas Lampung</t>
  </si>
  <si>
    <t>1710001043952</t>
  </si>
  <si>
    <t>SK-53/INKA/2023</t>
  </si>
  <si>
    <t>3573050302900002</t>
  </si>
  <si>
    <t>Citra Puri Kalingga B3, Ngegong, Manguharjo</t>
  </si>
  <si>
    <t>085933038348</t>
  </si>
  <si>
    <t>reza.dennyza@inka.co.id</t>
  </si>
  <si>
    <t>0000111659848</t>
  </si>
  <si>
    <t>CITRA HAYU ADI MAKAYASA</t>
  </si>
  <si>
    <t>AISHA KESHWARI SATRIAWAN</t>
  </si>
  <si>
    <t>75.146.434.8-652.000</t>
  </si>
  <si>
    <t>ETIN KURNIATIN</t>
  </si>
  <si>
    <t>1440011407159</t>
  </si>
  <si>
    <t>SK-63/INKA/2023</t>
  </si>
  <si>
    <t>Ciamis</t>
  </si>
  <si>
    <t>3577036309830000</t>
  </si>
  <si>
    <t>JL. Argo Manis IB NO. 21, Manisrejo, Taman</t>
  </si>
  <si>
    <t>08113484466</t>
  </si>
  <si>
    <t>etin.kurniatin@inka.co.id</t>
  </si>
  <si>
    <t>0001203007318</t>
  </si>
  <si>
    <t>WISNU MELIANTO</t>
  </si>
  <si>
    <t>887290443621000</t>
  </si>
  <si>
    <t>Administrasi Negara</t>
  </si>
  <si>
    <t>ILHAM YUSUF TRIHARDIAN</t>
  </si>
  <si>
    <t>Pemeriksa Sarana</t>
  </si>
  <si>
    <t>350104231100000 5</t>
  </si>
  <si>
    <t>Jl.Kanjeng Jimat No.21 Rt.01 Rw.01 Pacitan Jawa Timur</t>
  </si>
  <si>
    <t>ilhamyusuf2727@gmail.com</t>
  </si>
  <si>
    <t>0001964403213</t>
  </si>
  <si>
    <t>MUHAMMAD IQBAL AL-BANJARI</t>
  </si>
  <si>
    <t>351606130499000 3</t>
  </si>
  <si>
    <t>Jl. Brawijaya No.34 RT001/RW001 Bedagas, Tunggalpager, Pu</t>
  </si>
  <si>
    <t>anariqbal@gmail.com</t>
  </si>
  <si>
    <t>0000098536948</t>
  </si>
  <si>
    <t>23138647310</t>
  </si>
  <si>
    <t>MUHAMMAD LINTANG A'RAFI ICHSAN</t>
  </si>
  <si>
    <t>Purworejo</t>
  </si>
  <si>
    <t>330610130200000 2</t>
  </si>
  <si>
    <t>Desa Sumbersari, Kec. Butuh, Kab. Purworejo, Jawa Tengah</t>
  </si>
  <si>
    <t>muhlintangarafi@gmail.com</t>
  </si>
  <si>
    <t>0003045326668</t>
  </si>
  <si>
    <t>YUSAK</t>
  </si>
  <si>
    <t>UMI SANGATIN</t>
  </si>
  <si>
    <t>65.209.560.5.523.000</t>
  </si>
  <si>
    <t>DAFIL FANDRESA</t>
  </si>
  <si>
    <t>Tanjung Bonai Aur</t>
  </si>
  <si>
    <t>130309220103000 1</t>
  </si>
  <si>
    <t>Jorong Bonai, Kel Tanjung Bonai Aur, Sumpur Kudus, Kab. Sijunjung</t>
  </si>
  <si>
    <t>62 822 8220 5153</t>
  </si>
  <si>
    <t>fandresadafil@gmail.com</t>
  </si>
  <si>
    <t>0003554483859</t>
  </si>
  <si>
    <t>SMA Sentosa Bakti Baturaja</t>
  </si>
  <si>
    <t>SMA Sentosa Bakti</t>
  </si>
  <si>
    <t>HAFIZ FADHILLAH</t>
  </si>
  <si>
    <t>327512200398000 5</t>
  </si>
  <si>
    <t>Jl. Wibawa Mukti II No. 88, Jati Asih, Bekasi</t>
  </si>
  <si>
    <t>62 821-2846-5330</t>
  </si>
  <si>
    <t>hafizfadhillah98@gmail.com</t>
  </si>
  <si>
    <t>0001625744586</t>
  </si>
  <si>
    <t xml:space="preserve">Manajemen </t>
  </si>
  <si>
    <t>Universitas Islam Asyafiiah</t>
  </si>
  <si>
    <t>DWI WAHYU PUJIANTO</t>
  </si>
  <si>
    <t>352110300499000 1</t>
  </si>
  <si>
    <t>RT/RW 08/01, Dsn. Ngale, Ds. Ngale, Kec. Paron, Ngawi</t>
  </si>
  <si>
    <t>62 878-3628-4099</t>
  </si>
  <si>
    <t>dwiwahyupujianto4@gmail.com</t>
  </si>
  <si>
    <t>0002376487258</t>
  </si>
  <si>
    <t>PANIMIN</t>
  </si>
  <si>
    <t>KATIYEM</t>
  </si>
  <si>
    <t>42.006.995.7-646.000</t>
  </si>
  <si>
    <t>NAZEEM AHMED ALVARIZI</t>
  </si>
  <si>
    <t>Magelang</t>
  </si>
  <si>
    <t>330806170600000 1</t>
  </si>
  <si>
    <t>Talun Kidul, RT 04 RW 10, Banyudono, Dukun, Magelang</t>
  </si>
  <si>
    <t>62 822 2515 5486</t>
  </si>
  <si>
    <t>nazeemalvarizi@gmail.com</t>
  </si>
  <si>
    <t>0001899876903</t>
  </si>
  <si>
    <t>EDI SULISTIYONO</t>
  </si>
  <si>
    <t>YULIA TRISNAWATI</t>
  </si>
  <si>
    <t>03.952.875.7-002.000</t>
  </si>
  <si>
    <t>Sistem Informasi</t>
  </si>
  <si>
    <t>STMIK Bina Patria Magelang</t>
  </si>
  <si>
    <t>OKY PRAMUDIANTATO BIMANTORO</t>
  </si>
  <si>
    <t>350616200298000 2</t>
  </si>
  <si>
    <t>Ds Mojokerep Rt/Rw 06/07 Kec. Plemahan Kab. Kediri</t>
  </si>
  <si>
    <t>62 877 1163 6301</t>
  </si>
  <si>
    <t>okypramudiantato@gmail.com</t>
  </si>
  <si>
    <t>0002300354919</t>
  </si>
  <si>
    <t>SMK N 1  Purwosari</t>
  </si>
  <si>
    <t>ARDIAN UNGGUL TRIWIBOWO</t>
  </si>
  <si>
    <t>Purwokerto</t>
  </si>
  <si>
    <t>330226210599000 1</t>
  </si>
  <si>
    <t>Jl. Kalibener RT/RW 06/03 Kranji, Purwokerto</t>
  </si>
  <si>
    <t>62 812 9248 2389</t>
  </si>
  <si>
    <t>ardiyanunggul@gmail.com</t>
  </si>
  <si>
    <t>0001530528513</t>
  </si>
  <si>
    <t>SMK 75 1 Purwokerto</t>
  </si>
  <si>
    <t>DAFFA 'ALIFFYANSYAH</t>
  </si>
  <si>
    <t>330224061001000 2</t>
  </si>
  <si>
    <t>Jalan Waru V No.58 RT 002 RW 008 Kel. Tanjung, Kec. Purwokerto Selatan, Jawa Tengah</t>
  </si>
  <si>
    <t>62 896-5384-4475</t>
  </si>
  <si>
    <t>aliffyansyah.tmp20203131@taruna.ppi.ac.id</t>
  </si>
  <si>
    <t>0001477970201</t>
  </si>
  <si>
    <t>DONI IGO MURTI WARDANA</t>
  </si>
  <si>
    <t>Lumajang</t>
  </si>
  <si>
    <t>350803100698001 1</t>
  </si>
  <si>
    <t>Jl. Lintas Selatan RT23/RW03 Krajan, Jarit, Candipuro, Lumajang</t>
  </si>
  <si>
    <t>62 851-5966-5249</t>
  </si>
  <si>
    <t>igo.murti@gmail.com</t>
  </si>
  <si>
    <t>0001106453182</t>
  </si>
  <si>
    <t>KHODIRIS SALAM</t>
  </si>
  <si>
    <t>Demak</t>
  </si>
  <si>
    <t>332101010702000 7</t>
  </si>
  <si>
    <t>Dusun Dolog, Desa Kembangarum, RT/RW 003/004, Kec. Mranggen, Kab. Demak, Jateng</t>
  </si>
  <si>
    <t>62 896-7003-0847</t>
  </si>
  <si>
    <t>khodirisslam@gmail.com</t>
  </si>
  <si>
    <t>0002920103965</t>
  </si>
  <si>
    <t>TITO PETRICK</t>
  </si>
  <si>
    <t>321622080502000 8</t>
  </si>
  <si>
    <t>Perumahan Mutiara Bekasi Jaya Blok L14 No 60 RT 006 RW 009 Desa Sindangmulya Kecamatan Cibarusah Kabupaten Bekasi Jawa Barat</t>
  </si>
  <si>
    <t>62 815-1113-1873</t>
  </si>
  <si>
    <t>totisihotang12@gmail.com</t>
  </si>
  <si>
    <t>0001657225653</t>
  </si>
  <si>
    <t>357702021000000 3</t>
  </si>
  <si>
    <t>62 896 7901 6575</t>
  </si>
  <si>
    <t>rama.9f.23@gmail.com</t>
  </si>
  <si>
    <t>0001170768892</t>
  </si>
  <si>
    <t>SMA N 4 Madiun</t>
  </si>
  <si>
    <t>MUHAMMAD RIZKY CANDRA AUDILAN</t>
  </si>
  <si>
    <t>357702060699000 4</t>
  </si>
  <si>
    <t>Ds Sambirejo RT/RW 12/05, Jiwan, Madiun</t>
  </si>
  <si>
    <t>62 822 6435 9306</t>
  </si>
  <si>
    <t>candra4379@gmail.com</t>
  </si>
  <si>
    <t>0001598815923</t>
  </si>
  <si>
    <t>IDA BAGUS PUTU EKAPUTRA DHARMA</t>
  </si>
  <si>
    <t>357703160696000 1</t>
  </si>
  <si>
    <t>Jl Sarean Gg Manggar No 35, Taman, Madiun</t>
  </si>
  <si>
    <t>62 877 5412 4922</t>
  </si>
  <si>
    <t>idabaguspteka@gmail.com</t>
  </si>
  <si>
    <t>0000786396789</t>
  </si>
  <si>
    <t>Teknik Survei dan Pemetaan</t>
  </si>
  <si>
    <t>Probolinggo</t>
  </si>
  <si>
    <t>SK-100/INKA/2023</t>
  </si>
  <si>
    <t>351312650494000 1</t>
  </si>
  <si>
    <t>Dsn. Kampung Baru RT/RW 017/008 Ds. Sukodadi Kec. Paiton Kab. Probolinggo</t>
  </si>
  <si>
    <t>62 822-2827-6963</t>
  </si>
  <si>
    <t>fitta.farief@inka.co.id</t>
  </si>
  <si>
    <t>0000112246571</t>
  </si>
  <si>
    <t>NANDIKA ADI PRATAMA</t>
  </si>
  <si>
    <t>317506291204001 4</t>
  </si>
  <si>
    <t>Ujung Menteng No.91b RT/RW 005/002, Cakung, Jakarta Timur</t>
  </si>
  <si>
    <t>+62895331370818</t>
  </si>
  <si>
    <t>nandika2431@gmail.com</t>
  </si>
  <si>
    <t>0001308552164</t>
  </si>
  <si>
    <t>Teknologi dan Rekayasa</t>
  </si>
  <si>
    <t>SMK Dinamika Pembangunan 1 Jakarta</t>
  </si>
  <si>
    <t>ALVIN DEVOTE AZARIA ARDANA</t>
  </si>
  <si>
    <t>Legal</t>
  </si>
  <si>
    <t>331026310800000 1</t>
  </si>
  <si>
    <t>Krapyak RT 001 RW 007 Merbung, Klaten Selatan, Klaten, Jawa Tengah</t>
  </si>
  <si>
    <t>+62 812-5210-3030</t>
  </si>
  <si>
    <t>devote48@gmail.com</t>
  </si>
  <si>
    <t>0001160585662</t>
  </si>
  <si>
    <t>ARISTIYANTO S.SOS</t>
  </si>
  <si>
    <t>IDA HERAWATI S.E</t>
  </si>
  <si>
    <t>50.359.124.0-525.000</t>
  </si>
  <si>
    <t>ARIEF DWI KURNIAWAN</t>
  </si>
  <si>
    <t>350217190497000 3</t>
  </si>
  <si>
    <t>JL. TRUNOJOYO 38 RT. 005 RW. 001, KEL. MANGKUJAYAN, KEC. PONOROGO, KAB. PONOROGO</t>
  </si>
  <si>
    <t>+62 857-3677-5858</t>
  </si>
  <si>
    <t>ariefkurniawan.it@gmail.com</t>
  </si>
  <si>
    <t>0001283413408</t>
  </si>
  <si>
    <t>352113220892000 3</t>
  </si>
  <si>
    <t>RT 03, RW 07, Desa Sambirejo, Kecamatan Mantingan, Kabupaten Ngawi</t>
  </si>
  <si>
    <t>62 82120167121</t>
  </si>
  <si>
    <t>alhaqbagus@gmail.com</t>
  </si>
  <si>
    <t>0000106101145</t>
  </si>
  <si>
    <t>Boyolali</t>
  </si>
  <si>
    <t>330902250201900 6</t>
  </si>
  <si>
    <t>DK. BULUSARI. RT 004 RW 008. SIDOMULYO AMPEL. BOYOLALI</t>
  </si>
  <si>
    <t>62 87836241340</t>
  </si>
  <si>
    <t>ajibiima@gmail.com</t>
  </si>
  <si>
    <t>0003174430353</t>
  </si>
  <si>
    <t>AGUS SRI RAHARJO</t>
  </si>
  <si>
    <t>WIKUNTARI</t>
  </si>
  <si>
    <t>DIMAS DWI KURNIAWAN</t>
  </si>
  <si>
    <t>351016110697000 1</t>
  </si>
  <si>
    <t>Jalan Brawijaya gg cemara
Rt 01 rt 02 Banyuwangi</t>
  </si>
  <si>
    <t>+62 813-5394-9238</t>
  </si>
  <si>
    <t>gencrit11@gmail.com</t>
  </si>
  <si>
    <t>0000115383104</t>
  </si>
  <si>
    <t>SURYADI</t>
  </si>
  <si>
    <t>ANI SUTRIANI</t>
  </si>
  <si>
    <t>27.386.544.4-627.000</t>
  </si>
  <si>
    <t>Universitas Negeri Malang</t>
  </si>
  <si>
    <t>FIRMAN MAULANA RAMADHAN</t>
  </si>
  <si>
    <t>Gersik</t>
  </si>
  <si>
    <t>Gresik</t>
  </si>
  <si>
    <t>352503220198000 1</t>
  </si>
  <si>
    <t>Prupuh RT 04 RW 01 Desa Prupuh Kecamatan Panceng Kabupaten Gresik</t>
  </si>
  <si>
    <t>62 85730122299</t>
  </si>
  <si>
    <t>firman.maulana.r22@gmail.com</t>
  </si>
  <si>
    <t>0000099271539</t>
  </si>
  <si>
    <t>HANDIKA RIZKI PRATAMA</t>
  </si>
  <si>
    <t>337402130399000 3</t>
  </si>
  <si>
    <t>Jl. Pergiwati 4 no 26 RT 02 RW 06 Kel. Bulu Lor Kec. Semarang Utara Kota Semarang</t>
  </si>
  <si>
    <t>+62 87870742125</t>
  </si>
  <si>
    <t>handikarizki14@gmail.com</t>
  </si>
  <si>
    <t>0000643453648</t>
  </si>
  <si>
    <t>Universitas Negeri Semarang</t>
  </si>
  <si>
    <t>SULTAN ALFIANTSYAH</t>
  </si>
  <si>
    <t>Manajemen Risiko</t>
  </si>
  <si>
    <t>357810180799000 2</t>
  </si>
  <si>
    <t xml:space="preserve">Jalan Lebak Timur 3 no. 3-5 </t>
  </si>
  <si>
    <t>6281327154410</t>
  </si>
  <si>
    <t>sultan.alfiantsyah07@gmail.com</t>
  </si>
  <si>
    <t>0002050159004</t>
  </si>
  <si>
    <t>60.936.649.7-619.000</t>
  </si>
  <si>
    <t>VINDY VIRGINE GUCCI</t>
  </si>
  <si>
    <t>3519025009960003</t>
  </si>
  <si>
    <t>Jl. Adil Makmur No. 05 RT 05 RW 02 Kel. Bangunsari Kec. Dolopo</t>
  </si>
  <si>
    <t>+62 87836241340</t>
  </si>
  <si>
    <t>vindyvirginegucci@gmail.com</t>
  </si>
  <si>
    <t>0000104782408</t>
  </si>
  <si>
    <t>ZHILAL RATU AQILAH</t>
  </si>
  <si>
    <t>351903640500000 5</t>
  </si>
  <si>
    <t>Desa Kranggan RT 02 RW 01, Kecamatan Geger, Kabupaten Madiun</t>
  </si>
  <si>
    <t>+62 82140333953</t>
  </si>
  <si>
    <t>aqilahratu05@gmail.com</t>
  </si>
  <si>
    <t>0001170755482</t>
  </si>
  <si>
    <t>YUENTIE SOVA PUSPIDALIA</t>
  </si>
  <si>
    <t>07.515.215.7-621.000</t>
  </si>
  <si>
    <t>WAHYU UTOMO</t>
  </si>
  <si>
    <t>Pengelolaan dan Pengendalian Aset INKA Banyuwangi</t>
  </si>
  <si>
    <t>351003270196000 1</t>
  </si>
  <si>
    <t>Dsn. Gumukrejo, Rt. 001/rw. 002, Ds. Purwoharjo, Kec.Purwoharjo, Kab.
Banyuwangi</t>
  </si>
  <si>
    <t>0812 3014 1922</t>
  </si>
  <si>
    <t>1922wahyu@gmail.com</t>
  </si>
  <si>
    <t>0000697632873</t>
  </si>
  <si>
    <t>ERNITA EKA AGUSTIN</t>
  </si>
  <si>
    <t>SHATIRA ARUM CAHYA</t>
  </si>
  <si>
    <t>SMK N 1 Glagah</t>
  </si>
  <si>
    <t>ALBERIL ADITYA WIJAYA</t>
  </si>
  <si>
    <t>357703040200000 4</t>
  </si>
  <si>
    <t>Jl Ponorogo RT 19/RW 08, Kelurahan Demangan, Kecamatan Taman, Kota Madiun</t>
  </si>
  <si>
    <t>0857 4159 7328</t>
  </si>
  <si>
    <t>alberiladityawijaya@gmail.com</t>
  </si>
  <si>
    <t>0002416315195</t>
  </si>
  <si>
    <t>ANDHIKA SEVINSA BIMANTARA</t>
  </si>
  <si>
    <t>357703100902000 3</t>
  </si>
  <si>
    <t>Jl Ciliwung Gg 3/28 RT/RW 41/13, Taman, Kota Madiun</t>
  </si>
  <si>
    <t>0878 1765 2074</t>
  </si>
  <si>
    <t>andhikabimantara72@gmail.com</t>
  </si>
  <si>
    <t>0001097769688</t>
  </si>
  <si>
    <t>ANGGORO DAFFA MAULANA SUKARNO</t>
  </si>
  <si>
    <t>357701021203000 2</t>
  </si>
  <si>
    <t>Jl Dr Sutomo Gg Sosrodiprajan, RT/RW 023/007, Kartoharjo, Kota Madiun</t>
  </si>
  <si>
    <t>0889 8933 7764</t>
  </si>
  <si>
    <t>anggorodaffa02@gmail.com</t>
  </si>
  <si>
    <t>0001480165885</t>
  </si>
  <si>
    <t>BAGUS AMIKA PAMUNGKAS</t>
  </si>
  <si>
    <t>357702040498000 1</t>
  </si>
  <si>
    <t>Jl Prajuritan Gg Tangkis 1 No 8B, Kota Madiun</t>
  </si>
  <si>
    <t>0895 3428 05149</t>
  </si>
  <si>
    <t>bagusamika@gmail.com</t>
  </si>
  <si>
    <t>0000785682742</t>
  </si>
  <si>
    <t>PUTRA KALIH BAGASKARA</t>
  </si>
  <si>
    <t>357703071200000 3</t>
  </si>
  <si>
    <t>JALAN PANGLIMA SUDIRMAN GANG JAMBE NOMER 6</t>
  </si>
  <si>
    <t>0881 0364 35903</t>
  </si>
  <si>
    <t>Bkara6612@gmail.com</t>
  </si>
  <si>
    <t>0002163584384</t>
  </si>
  <si>
    <t>BRIAN DWI PRASTYO</t>
  </si>
  <si>
    <t>352015270899000 3</t>
  </si>
  <si>
    <t>Ds Jeruk RT/RW 014/004, Kartoharjo, Magetan</t>
  </si>
  <si>
    <t>08565 5568 6786</t>
  </si>
  <si>
    <t>0002279438662</t>
  </si>
  <si>
    <t>SMK N 1 Geneng</t>
  </si>
  <si>
    <t>DANIEL MEIHENDRA WIDIYANANDA</t>
  </si>
  <si>
    <t>357703030501000 1</t>
  </si>
  <si>
    <t>Jl Towangsan 11 RT/RW 007/002, Mojorejo, Taman, Kota Madiun</t>
  </si>
  <si>
    <t>0852 5703 1767</t>
  </si>
  <si>
    <t>danielmeihendra3501@gmail.com</t>
  </si>
  <si>
    <t>0000105209695</t>
  </si>
  <si>
    <t>Teknik Perkeretaapian</t>
  </si>
  <si>
    <t>DARIS MUSTAQIM</t>
  </si>
  <si>
    <t>352110231200000 1</t>
  </si>
  <si>
    <t>Jl Imam Bonjol, Ds Dawu, Kec. Paron, Ngawi</t>
  </si>
  <si>
    <t>0896 7961 5716</t>
  </si>
  <si>
    <t>darismustaqim12@gmail.com</t>
  </si>
  <si>
    <t>0000106104126</t>
  </si>
  <si>
    <t>DENNY SAPTO NUGROHO</t>
  </si>
  <si>
    <t>Sukoharjo</t>
  </si>
  <si>
    <t>331111121298000 3</t>
  </si>
  <si>
    <t>Maron Rt.02/05 Sraten,Gatak, Sukoharjo,Jawa Tengah 57557</t>
  </si>
  <si>
    <t>0815 4888 0310</t>
  </si>
  <si>
    <t>belum mengembalikan</t>
  </si>
  <si>
    <t>dennysapto12@gmail.com</t>
  </si>
  <si>
    <t>0002347045727</t>
  </si>
  <si>
    <t>SMK Harapan</t>
  </si>
  <si>
    <t>DEO FAJAR SAPUTRA</t>
  </si>
  <si>
    <t>351909120603000 5</t>
  </si>
  <si>
    <t xml:space="preserve">Dsn. 1 Rt.27/Rw.07, Ds. Teguhan, Kec. Jiwan, Kab. Madiun </t>
  </si>
  <si>
    <t>0881 9871 094</t>
  </si>
  <si>
    <t>deofajar120603@gmail.com</t>
  </si>
  <si>
    <t>0000739642533</t>
  </si>
  <si>
    <t>DWI AGUS IS SAPUTRA</t>
  </si>
  <si>
    <t>351915060893000 1</t>
  </si>
  <si>
    <t>Sidomulyo RT/RW 007/002, Wonoasri, Masiun</t>
  </si>
  <si>
    <t>0815 7564 5488</t>
  </si>
  <si>
    <t>dwiagusissaputra@gmail.com</t>
  </si>
  <si>
    <t>0001543968336</t>
  </si>
  <si>
    <t>EKA NOVA AGFI PUTERA</t>
  </si>
  <si>
    <t>351909041199000 1</t>
  </si>
  <si>
    <t>Jl. Nias 6-B RT/RW 030/008 Kec. Manguharjo Kel. Madiun Lor , Kota Madiun</t>
  </si>
  <si>
    <t>0896 7856 5170</t>
  </si>
  <si>
    <t>ekanovaputera@gmail.com</t>
  </si>
  <si>
    <t>0002164963689</t>
  </si>
  <si>
    <t>FAISHOL RIJALUT TAMMIMI</t>
  </si>
  <si>
    <t>350210210700000 1</t>
  </si>
  <si>
    <t>Jl Jagadan 103 RT/RW 001/003 Mangunsuman Siman Ponorogo</t>
  </si>
  <si>
    <t>0888 0101 4485</t>
  </si>
  <si>
    <t>faishol210700@gmail.com</t>
  </si>
  <si>
    <t>0002893645833</t>
  </si>
  <si>
    <t>FAISAK KHOBBI</t>
  </si>
  <si>
    <t>351915031294000 1</t>
  </si>
  <si>
    <t>Sidomulyo RT/RW 009/003, Wonoasri, Masiun</t>
  </si>
  <si>
    <t>0857 3186 6032</t>
  </si>
  <si>
    <t>faizzalthok55@gmail.com</t>
  </si>
  <si>
    <t>0001045384176</t>
  </si>
  <si>
    <t>FAJHAR ADHA ANGGORO</t>
  </si>
  <si>
    <t>351907040301000 4</t>
  </si>
  <si>
    <t>Jl Sentul No 14 RT/RW 035/009, Banjarejo, Taman, Kota Maduun</t>
  </si>
  <si>
    <t>0896 8536 2472</t>
  </si>
  <si>
    <t>fajharadhaanggoro@gmail.com</t>
  </si>
  <si>
    <t>0001703939319</t>
  </si>
  <si>
    <t>FITRIAL NOVA ARIANTO</t>
  </si>
  <si>
    <t>351017161104000 3</t>
  </si>
  <si>
    <t>Jln. Asahan, Kel. Penataban, Kec. Giri, Banyuwangi</t>
  </si>
  <si>
    <t>0838 5348 6953</t>
  </si>
  <si>
    <t>fitrialnova16@icloud.com</t>
  </si>
  <si>
    <t>0001428980297</t>
  </si>
  <si>
    <t>IKHSAL YUDA PRADANA</t>
  </si>
  <si>
    <t>351909221200000 2</t>
  </si>
  <si>
    <t>Dusun II RT 09 RW 03 Sukulilo, Kec. Jiwan, Kab. Madiun</t>
  </si>
  <si>
    <t>0812 3097 5339</t>
  </si>
  <si>
    <t>ikhsalyudapradana@gmail.com</t>
  </si>
  <si>
    <t>0001274906496</t>
  </si>
  <si>
    <t>IRVAN FRASTYO AFRITAMA</t>
  </si>
  <si>
    <t>351905290499000 2</t>
  </si>
  <si>
    <t>Ds. Cermo RT/RW 001/003 Kec, Kare, Madiun</t>
  </si>
  <si>
    <t>0822 2920 2491</t>
  </si>
  <si>
    <t>irvanfrastyo39@gmail.com</t>
  </si>
  <si>
    <t>0002809852345</t>
  </si>
  <si>
    <t>SMK N Kare</t>
  </si>
  <si>
    <t>JONI PRASTIYO</t>
  </si>
  <si>
    <t>351913311002000 2</t>
  </si>
  <si>
    <t>Sumbergandu, Pilangkenceng, Madiun</t>
  </si>
  <si>
    <t>0857 5517 2033</t>
  </si>
  <si>
    <t>jhonyjhontet02@gmail.com</t>
  </si>
  <si>
    <t>0003570164695</t>
  </si>
  <si>
    <t>SMK Al Basyariyah Pilangkenceng</t>
  </si>
  <si>
    <t>JIMMY LAKSMANA SANJAYA</t>
  </si>
  <si>
    <t>337204090700000 2</t>
  </si>
  <si>
    <t>Jl Sibela Raya 2D Mojosongo, Jebres, Surakarta</t>
  </si>
  <si>
    <t>0813 4397 1280</t>
  </si>
  <si>
    <t>jimmyrailwayphotograph@gmail.com</t>
  </si>
  <si>
    <t>0001526692421</t>
  </si>
  <si>
    <t>MUHAMMAD FIRMAN LAZUARDI</t>
  </si>
  <si>
    <t>351915260901000 2</t>
  </si>
  <si>
    <t>Sidomulyo RT/RW 008/002, Wonoasri, Masiun</t>
  </si>
  <si>
    <t>0895 8085 00107</t>
  </si>
  <si>
    <t>lazuardifirman166@gmail.com</t>
  </si>
  <si>
    <t>0002308685624</t>
  </si>
  <si>
    <t>MUCH KEVIN FAUZI MUQORROBIN</t>
  </si>
  <si>
    <t>357703251099000 3</t>
  </si>
  <si>
    <t>Jl. Perkutut RT15 RW02 No. 349 Suratmajan, Maospati, Magetan</t>
  </si>
  <si>
    <t>0813 5912 5349</t>
  </si>
  <si>
    <t>mkevinfauzi99@gmail.com</t>
  </si>
  <si>
    <t>0001267264067</t>
  </si>
  <si>
    <t>MOCH. YOGI NUROHMAN</t>
  </si>
  <si>
    <t>357703061191000 1</t>
  </si>
  <si>
    <t>Jl Terate I, No 9A, Banjarejo, Taman, Kota Madiun</t>
  </si>
  <si>
    <t>0858 5436 8227</t>
  </si>
  <si>
    <t>mochyoginurohman@gmail.com</t>
  </si>
  <si>
    <t>0001809251278</t>
  </si>
  <si>
    <t>RADITYA WISNU PRADANA</t>
  </si>
  <si>
    <t>357703180402000 5</t>
  </si>
  <si>
    <t>Perum Brawijaya Regency Blok J1, Banyuawangi</t>
  </si>
  <si>
    <t>0823 3077 9456</t>
  </si>
  <si>
    <t>raditya.wisnu0402@gmail.com</t>
  </si>
  <si>
    <t>0001814021886</t>
  </si>
  <si>
    <t>Teknik Konstruksi dan Properti</t>
  </si>
  <si>
    <t>ROMDIDI ANDIKA PAMBUDI</t>
  </si>
  <si>
    <t>351912260201000 1</t>
  </si>
  <si>
    <t>Dusun Saradan Desa Sugihwaras RT 07 RW 02 Kecamatan Saradan Kabupaten Madiun</t>
  </si>
  <si>
    <t>romdidiandikapambudi@gmail.com</t>
  </si>
  <si>
    <t>0000105187487</t>
  </si>
  <si>
    <t>SYAHRIZAL ROHMATUL NUGROHO</t>
  </si>
  <si>
    <t>351709080900000 4</t>
  </si>
  <si>
    <t>Ds Sariloyo RT/RW 004/006, Sambongdukuh, Jombang</t>
  </si>
  <si>
    <t>0895 7020 30658</t>
  </si>
  <si>
    <t>syahrizal.rn285@gmail.com</t>
  </si>
  <si>
    <t>0001542226724</t>
  </si>
  <si>
    <t>TRI SISWANTO</t>
  </si>
  <si>
    <t>352013260597000 1</t>
  </si>
  <si>
    <t>Jl Nakula RT 02 RW 01 Dr. Maron, Karangrejo, Magetan Jawa Timu</t>
  </si>
  <si>
    <t>0857 8467 1840</t>
  </si>
  <si>
    <t>trisiswanto012@gmail.com</t>
  </si>
  <si>
    <t>0001671493228</t>
  </si>
  <si>
    <t>Teknik Kendaraan Ringan</t>
  </si>
  <si>
    <t>WASIS BUDI UTOMO</t>
  </si>
  <si>
    <t>352013031197000 1</t>
  </si>
  <si>
    <t>Ds. Prampelan RT 01 RW 01 Kec. Karangrejo, Kab. Magetan</t>
  </si>
  <si>
    <t>0815 5339 6290</t>
  </si>
  <si>
    <t>wasis7budi@gmail.com</t>
  </si>
  <si>
    <t>0000741022378</t>
  </si>
  <si>
    <t>SETYA AJI WIBOWO</t>
  </si>
  <si>
    <t>321606070603001 8</t>
  </si>
  <si>
    <t>Kaliwowo RT09/RW04 Desa Kedunggalar Kecamatan Kedunggalar Kab Ngawi</t>
  </si>
  <si>
    <t>0812 1319 8788</t>
  </si>
  <si>
    <t>wibowosetyaaji12@gmail.com</t>
  </si>
  <si>
    <t>0002100144936</t>
  </si>
  <si>
    <t>SUTONO</t>
  </si>
  <si>
    <t>TRI SULASMI</t>
  </si>
  <si>
    <t>42.701.761.1-435.000</t>
  </si>
  <si>
    <t>SMK Karya Guna 1 Bekasi</t>
  </si>
  <si>
    <t>WIHANA WAGIRAHAYUTAMA</t>
  </si>
  <si>
    <t>357703081200000 4</t>
  </si>
  <si>
    <t>Jl Kendalisodo Gang Pambutulan II No 55 RT/RW 004/002, Demangan, Taman, Madiun</t>
  </si>
  <si>
    <t>08123 4989 156</t>
  </si>
  <si>
    <t>wihanawtama@gmail.com</t>
  </si>
  <si>
    <t>0000786876197</t>
  </si>
  <si>
    <t>YUDA HENDRA PRASTOWO</t>
  </si>
  <si>
    <t>352013171101000 1</t>
  </si>
  <si>
    <t>Jl Sadewo RT/RW 001/001, Ds Kauman, Karangrejo, Kab. Magetan</t>
  </si>
  <si>
    <t>0899 9830 576</t>
  </si>
  <si>
    <t>yudahendra13579@gmail.com</t>
  </si>
  <si>
    <t>0001282302167</t>
  </si>
  <si>
    <t>ZHALER BAGYA PUTRA</t>
  </si>
  <si>
    <t>352011140602000 3</t>
  </si>
  <si>
    <t>Jl Perkutut 349 RT/RW 015/002, Suratmajan, Maospati, Magetan</t>
  </si>
  <si>
    <t>0851 5658 1387</t>
  </si>
  <si>
    <t>zhalerbagyaputra@gmail.com</t>
  </si>
  <si>
    <t>0001484108482</t>
  </si>
  <si>
    <t>TEGUH NUR KHOLIS</t>
  </si>
  <si>
    <t>351904250998000 1</t>
  </si>
  <si>
    <t>Banjarsari Kulon RT/RW 028/010, Dagangan, Madiun</t>
  </si>
  <si>
    <t>0895 0359 2413</t>
  </si>
  <si>
    <t>zm1988mad@gmail.com</t>
  </si>
  <si>
    <t>0003339758788</t>
  </si>
  <si>
    <t>RAIS JATMIKO</t>
  </si>
  <si>
    <t>351911260695000 1</t>
  </si>
  <si>
    <t>Jl MT Haryono RT/RW 017/005, Krajan, Mejayan</t>
  </si>
  <si>
    <t>0819 4622 2429</t>
  </si>
  <si>
    <t>raisjatmiko99@gmail.com</t>
  </si>
  <si>
    <t>0001872235506</t>
  </si>
  <si>
    <t>Universitas Muhammadiyah Ponorogo</t>
  </si>
  <si>
    <t>MUHAMMAD GALIH YUDHA PRATAMA</t>
  </si>
  <si>
    <t>331816210601000 3</t>
  </si>
  <si>
    <t xml:space="preserve">Sekar Jalak 004/002 Sekarjalak, Margoyoso, Kab Pati </t>
  </si>
  <si>
    <t>0896 9524 6062</t>
  </si>
  <si>
    <t>galihypratama712@gmail.com</t>
  </si>
  <si>
    <t>0000093082915</t>
  </si>
  <si>
    <t>Universitas Muhammadiyah Surakarta</t>
  </si>
  <si>
    <t>RAHMAT SYAIFUDIN</t>
  </si>
  <si>
    <t>352005030993000 1</t>
  </si>
  <si>
    <t>Ds Jetak, Kawedanan RT/RW 017/004, Magetan</t>
  </si>
  <si>
    <t>0895 1661 7233</t>
  </si>
  <si>
    <t>syarahmat67@gmail.com</t>
  </si>
  <si>
    <t>0001702336296</t>
  </si>
  <si>
    <t>RIZAL ILHAM RIFAI</t>
  </si>
  <si>
    <t>350217290593000 1</t>
  </si>
  <si>
    <t>Dk Mancaan RT/RW 003/003, Paju, Ponorogo</t>
  </si>
  <si>
    <t>62 813-3162-4214</t>
  </si>
  <si>
    <t>Rizalilham93@gmail.co</t>
  </si>
  <si>
    <t>0002731740311</t>
  </si>
  <si>
    <t>SMA N 1 Kauman</t>
  </si>
  <si>
    <t>BIMA ADI SAPUTRA</t>
  </si>
  <si>
    <t>357702050901000 2</t>
  </si>
  <si>
    <t>Jl Sriti 37 RT/RW 025/007, Nambangan Lor, Manguharjo, Madiun</t>
  </si>
  <si>
    <t>0895 3843 04668</t>
  </si>
  <si>
    <t>bimaadi115@gmail.com</t>
  </si>
  <si>
    <t>0000785946227</t>
  </si>
  <si>
    <t>SUJITO</t>
  </si>
  <si>
    <t>352009200882000 3</t>
  </si>
  <si>
    <t>Tinap RT/RW 001/002, Sukomoro, Magetan</t>
  </si>
  <si>
    <t>0858 5030 0470</t>
  </si>
  <si>
    <t>jito.magetan@gmail.com</t>
  </si>
  <si>
    <t>0002889756707</t>
  </si>
  <si>
    <t>SAMURI</t>
  </si>
  <si>
    <t>350219140483000 4</t>
  </si>
  <si>
    <t>Jl Sultan Agung Gg Puspita No 7, RT/RW 014/005, Winongo, Manguharjo, Kota Madiun</t>
  </si>
  <si>
    <t>0856 0618 5893</t>
  </si>
  <si>
    <t>Murisamuri490@gmail.com</t>
  </si>
  <si>
    <t>0000663479267</t>
  </si>
  <si>
    <t>SMP N 1 Ngebel</t>
  </si>
  <si>
    <t>KUKUH ANDRIATMOKO</t>
  </si>
  <si>
    <t>351909280990000 2</t>
  </si>
  <si>
    <t>Ngetrep RT/RW 001/001, Jiwan, Madiun</t>
  </si>
  <si>
    <t>0857 3801 5925</t>
  </si>
  <si>
    <t>andrimondrud@gmail.com</t>
  </si>
  <si>
    <t>0001045435869</t>
  </si>
  <si>
    <t>HERI PURWANTO</t>
  </si>
  <si>
    <t>351907211186000 4</t>
  </si>
  <si>
    <t>Mojorayung RT/RW 032/009, Wungu, Madiun</t>
  </si>
  <si>
    <t>0857 9067 4965</t>
  </si>
  <si>
    <t>dewiratnasarii589@gmail.com</t>
  </si>
  <si>
    <t>0001045289428</t>
  </si>
  <si>
    <t>SMP N 2 Wungu</t>
  </si>
  <si>
    <t>ANDRY WAHYU WIDIANTO</t>
  </si>
  <si>
    <t>351909100199000 3</t>
  </si>
  <si>
    <t>Dsn 01 RT/RW 012/005, Bibrik, Jiwan, Madiun</t>
  </si>
  <si>
    <t>0895 2397 7003</t>
  </si>
  <si>
    <t>andrygendon1001@gmail.com</t>
  </si>
  <si>
    <t>0001176355899</t>
  </si>
  <si>
    <t>AHMAD FAUZI</t>
  </si>
  <si>
    <t>351018200494000 6</t>
  </si>
  <si>
    <t>Ds Alasrejo, Wongsorejo, Kab Banyuwangi</t>
  </si>
  <si>
    <t>0822 5784 7925</t>
  </si>
  <si>
    <t>fauzi921093@gmail.com</t>
  </si>
  <si>
    <t>0003571409564</t>
  </si>
  <si>
    <t>PKBM Nurul Karim</t>
  </si>
  <si>
    <t>JOHAN ADHITYA</t>
  </si>
  <si>
    <t>352007080603000 2</t>
  </si>
  <si>
    <t>Dsn Gupakan RT/RW 019/010</t>
  </si>
  <si>
    <t>0855 4625 7365</t>
  </si>
  <si>
    <t>johanadhitya23@gmail.com</t>
  </si>
  <si>
    <t>0002415725346</t>
  </si>
  <si>
    <t>SMK Magetan 1 YKP</t>
  </si>
  <si>
    <t>ARDHIKA WIRATAMA</t>
  </si>
  <si>
    <t>3520051604030002</t>
  </si>
  <si>
    <t>Lingk Gandek RT/TW 014/003, Kawedanan, Magetan</t>
  </si>
  <si>
    <t>0822 0091 83956</t>
  </si>
  <si>
    <t>syafrie0@gmail.com</t>
  </si>
  <si>
    <t>0000739416609</t>
  </si>
  <si>
    <t>ARIFUL</t>
  </si>
  <si>
    <t>RUSITA WATI</t>
  </si>
  <si>
    <t>03.97.127.8.164.6000</t>
  </si>
  <si>
    <t>039712781646000</t>
  </si>
  <si>
    <t>SMK Sabilil Muttaqien 2 Takeran</t>
  </si>
  <si>
    <t>ADZAN ARIK ANGGRIAWAN</t>
  </si>
  <si>
    <t>3174062105950010</t>
  </si>
  <si>
    <t>Jl Intan Dalam Gg H. Umang RT/RW 012/002, Cilandak, Jakarta Selatan</t>
  </si>
  <si>
    <t>0857 7624 1958</t>
  </si>
  <si>
    <t>adzanggriawan@gmail.com</t>
  </si>
  <si>
    <t>0002338400441</t>
  </si>
  <si>
    <t>Universitas Pamulang</t>
  </si>
  <si>
    <t>HAFIF RAFIATHALLAH</t>
  </si>
  <si>
    <t>3276022212040013</t>
  </si>
  <si>
    <t>Jl Kelapa Dua Rtm Gg H. Rijin RT/RW 001/001, Tugu Cimanggis, Depok</t>
  </si>
  <si>
    <t>0856 9414 9513</t>
  </si>
  <si>
    <t>Belum</t>
  </si>
  <si>
    <t>rafihafif73@gmail.com</t>
  </si>
  <si>
    <t>0003046820815</t>
  </si>
  <si>
    <t>ARIYONO</t>
  </si>
  <si>
    <t>SITI HUSNA</t>
  </si>
  <si>
    <t>50.403.453.9-412.000</t>
  </si>
  <si>
    <t>SMK Harapan Bangsa</t>
  </si>
  <si>
    <t>VIKI DIDIK PRASETYO</t>
  </si>
  <si>
    <t>352004271101000 1</t>
  </si>
  <si>
    <t>Banaran 018/003 Kel Kerik Kec Takeran Kab Magetan</t>
  </si>
  <si>
    <t>62 898-6395-026</t>
  </si>
  <si>
    <t>Masp2211@gmail.com</t>
  </si>
  <si>
    <t>0000738923951</t>
  </si>
  <si>
    <t>KARMI</t>
  </si>
  <si>
    <t>Teknik Pemesinan</t>
  </si>
  <si>
    <t>AGUS SUPRIYANTO</t>
  </si>
  <si>
    <t>3175052408720007</t>
  </si>
  <si>
    <t>Jl  Cendrawasih No 16 036/009 kel, nambangan Lor, Kec manguharjo, Kota Madiun</t>
  </si>
  <si>
    <t>62 853-2820-6059</t>
  </si>
  <si>
    <t>omlik172@gmail.com</t>
  </si>
  <si>
    <t>0002065228299</t>
  </si>
  <si>
    <t>WAKIDI</t>
  </si>
  <si>
    <t>MUSIYEM</t>
  </si>
  <si>
    <t>HANI</t>
  </si>
  <si>
    <t>73.117.782.0-009.000</t>
  </si>
  <si>
    <t>SMK Pangudi Rahayu Jakarta</t>
  </si>
  <si>
    <t>4L</t>
  </si>
  <si>
    <t>REZA KRISTI OKTAVIA</t>
  </si>
  <si>
    <t>351909671097000 5</t>
  </si>
  <si>
    <t>Ds. Sambirejo RT. 015 RW. 006, Kec. Jiwan, Kab. Madiun</t>
  </si>
  <si>
    <t>0896 3247 8213</t>
  </si>
  <si>
    <t>rezakristy51@gmail.com</t>
  </si>
  <si>
    <t>0002085834104</t>
  </si>
  <si>
    <t xml:space="preserve">AUDIT FEBRIANANDA YULIA </t>
  </si>
  <si>
    <t>SUMINAH</t>
  </si>
  <si>
    <t>63.474.922.0-621.000</t>
  </si>
  <si>
    <t>CAHAYA SUKMA ANDIKA</t>
  </si>
  <si>
    <t>3273041709010001</t>
  </si>
  <si>
    <t xml:space="preserve"> JL.BABAKAN TAROGONG GG.ANON RT.05 RW.05 NO.29</t>
  </si>
  <si>
    <t>0851 62716956</t>
  </si>
  <si>
    <t>sukmaandika170921@gmail.com</t>
  </si>
  <si>
    <t>0001400604041</t>
  </si>
  <si>
    <t>BUDI SETIA</t>
  </si>
  <si>
    <t>NUNUNG S</t>
  </si>
  <si>
    <t>Teknik Elektronika Industri</t>
  </si>
  <si>
    <t>ADITYA NOVIANTO WICAKSANA</t>
  </si>
  <si>
    <t>3374150111950003</t>
  </si>
  <si>
    <t>JL.kauman baru Vlll B129 genuk karangroto semarang</t>
  </si>
  <si>
    <t>0878 4101 1977</t>
  </si>
  <si>
    <t>ditdot011195@gmail.com</t>
  </si>
  <si>
    <t>0001189501571</t>
  </si>
  <si>
    <t>DIAH WULANDARI</t>
  </si>
  <si>
    <t>ARETHA KIANDRA</t>
  </si>
  <si>
    <t>HERU WARSONO</t>
  </si>
  <si>
    <t>TAURISEA APRILIANTI</t>
  </si>
  <si>
    <t>AGUS PURWOKO</t>
  </si>
  <si>
    <t>SRI MARYATUN</t>
  </si>
  <si>
    <t>SETYO ROY ANDIKA</t>
  </si>
  <si>
    <t>3523090502000001</t>
  </si>
  <si>
    <t>Dsn. Krajan, Ds. Ngawun, Kec. Senori, Kab. Tuban</t>
  </si>
  <si>
    <t>0852 3174 8723</t>
  </si>
  <si>
    <t>setyo.r.a05@gmail.com</t>
  </si>
  <si>
    <t>0000751606299</t>
  </si>
  <si>
    <t xml:space="preserve">	24036556223</t>
  </si>
  <si>
    <t>GINTIYA NURUL ANGGRAINI</t>
  </si>
  <si>
    <t>SUKAWAN</t>
  </si>
  <si>
    <t>SRIATIN</t>
  </si>
  <si>
    <t>SUGENG RIJADI</t>
  </si>
  <si>
    <t>SINAH</t>
  </si>
  <si>
    <t>Rekayasa Perangkat Lunak</t>
  </si>
  <si>
    <t>SMK Miftahul Hikmah</t>
  </si>
  <si>
    <t>ONCE MUHAMMAD ZULFIKAR</t>
  </si>
  <si>
    <t>3578081105010001</t>
  </si>
  <si>
    <t>Kalibokor 5/43, RT009/RW006, Kelurahan Pucang Sewu, Kecamatan Gubeng, Kota Surabaya 60293</t>
  </si>
  <si>
    <t>0822 3391 6223</t>
  </si>
  <si>
    <t>oncezulfikar@gmail.com</t>
  </si>
  <si>
    <t>0001536803346</t>
  </si>
  <si>
    <t>ACENG ZULFIKAR IWAMI</t>
  </si>
  <si>
    <t>SITI AMINI</t>
  </si>
  <si>
    <t>53.653.411.8-606.000</t>
  </si>
  <si>
    <t>GATOT AGUS DWI PURNOMO</t>
  </si>
  <si>
    <t>3519083108860002</t>
  </si>
  <si>
    <t>Jl Gajah Suro 002/002 Tiron, Kab Madiun</t>
  </si>
  <si>
    <t>62 896-7083-8155</t>
  </si>
  <si>
    <t>gatotp761@gmail.com</t>
  </si>
  <si>
    <t xml:space="preserve">0000105214746	</t>
  </si>
  <si>
    <t xml:space="preserve">	24049876527</t>
  </si>
  <si>
    <t>RICHA YUGA FRIMA NURANI</t>
  </si>
  <si>
    <t>SARNO</t>
  </si>
  <si>
    <t>SUMINI</t>
  </si>
  <si>
    <t>GAGUK SUBIANTORO</t>
  </si>
  <si>
    <t>YUNI</t>
  </si>
  <si>
    <t>Teknik Mesin Perkakas</t>
  </si>
  <si>
    <t>RAHMADI PURWANTO</t>
  </si>
  <si>
    <t>3519101606840001</t>
  </si>
  <si>
    <t>DS jeruk gulung RT 5 RW 1 kec balerejo kab madiun</t>
  </si>
  <si>
    <t>0838 4570 5797</t>
  </si>
  <si>
    <t>rahmadiporwanto@gmail.com</t>
  </si>
  <si>
    <t>0001410654429</t>
  </si>
  <si>
    <t>JANATIN ALIYAH</t>
  </si>
  <si>
    <t>DILA ALZAKYA PUTRI</t>
  </si>
  <si>
    <t>SARNI</t>
  </si>
  <si>
    <t>SUKINI</t>
  </si>
  <si>
    <t>WAGIMIN</t>
  </si>
  <si>
    <t>GARMI</t>
  </si>
  <si>
    <t>CHANDRA AGUNG SASONO</t>
  </si>
  <si>
    <t>SK-37/INKA/2024</t>
  </si>
  <si>
    <t>General Manager</t>
  </si>
  <si>
    <t>357702120576000 3</t>
  </si>
  <si>
    <t>JL. Jalak II No.6 RT. 005 RW. 002, Kel Nambangan Kidul, Kec Manguharjo, Kota Madiun</t>
  </si>
  <si>
    <t>0812 3432 463</t>
  </si>
  <si>
    <t>chandra.agung@inka.co.id</t>
  </si>
  <si>
    <t>0001127793554</t>
  </si>
  <si>
    <t>99N70012239</t>
  </si>
  <si>
    <t>MIA RAHAJENG</t>
  </si>
  <si>
    <t>FAYZA KIRANA PUTRI</t>
  </si>
  <si>
    <t>ARDELIA CHANDRA PUTRI</t>
  </si>
  <si>
    <t>382991925621000</t>
  </si>
  <si>
    <t>Institut Teknologi Pembangunan Surabaya</t>
  </si>
  <si>
    <t>RADEN AJENG NURFADILAH</t>
  </si>
  <si>
    <t>SK-38/INKA/2024</t>
  </si>
  <si>
    <t>Sumenep</t>
  </si>
  <si>
    <t>357701491071000 1</t>
  </si>
  <si>
    <t>Jl Sri Widodo 35 B, 011/004, Sukosari, Kartoharjo, Kota Madiun, Jawa Timur</t>
  </si>
  <si>
    <t>+62 811-3484-712</t>
  </si>
  <si>
    <t>62 811-3484-712</t>
  </si>
  <si>
    <t>nurfadilah.inka@gmail.com</t>
  </si>
  <si>
    <t>0001176342028</t>
  </si>
  <si>
    <t>95N70011708</t>
  </si>
  <si>
    <t>SIGIT SUGIARTO</t>
  </si>
  <si>
    <t>SK-40/INKA/2024</t>
  </si>
  <si>
    <t>Aceh Timur</t>
  </si>
  <si>
    <t>3577010704730004</t>
  </si>
  <si>
    <t>Jl Bumi Jaya No 26 RT/RW 20/07, Kartoharjo, Rejomulyo, Madiun</t>
  </si>
  <si>
    <t>+62 852-3044-1228</t>
  </si>
  <si>
    <t xml:space="preserve">	sigit.sugiarto@inka.co.id</t>
  </si>
  <si>
    <t>0001127967311</t>
  </si>
  <si>
    <t>98N70001093</t>
  </si>
  <si>
    <t>ANI IDAYANTI</t>
  </si>
  <si>
    <t>M AMMAR MUJAHID AL KAHFI</t>
  </si>
  <si>
    <t>AHSANI FATHIMAH AZ ZAHRA</t>
  </si>
  <si>
    <t>SURJONO</t>
  </si>
  <si>
    <t>3577011107670005</t>
  </si>
  <si>
    <t>Jl. Indra Manis II No 5 027/008 Kel. Manisrejo, Kec Taman Kota Madiun</t>
  </si>
  <si>
    <t>+62 812-7809-316</t>
  </si>
  <si>
    <t>smedhioen@gmail.com</t>
  </si>
  <si>
    <t>0001520765144</t>
  </si>
  <si>
    <t>FAIZIN</t>
  </si>
  <si>
    <t>327501150459001 9</t>
  </si>
  <si>
    <t>Jl Kusuma Utara XIII C Blok 2C No.2, Wisma Jaya RT/RW 001/017, Duren Jaya, Bekasi Timur, Kota Bekasi</t>
  </si>
  <si>
    <t>0813 8594 8173</t>
  </si>
  <si>
    <t>faizinfai4@gmail.com</t>
  </si>
  <si>
    <t>0001905570213</t>
  </si>
  <si>
    <t>SOPHIANI</t>
  </si>
  <si>
    <t>FAQITHA WIJAYA</t>
  </si>
  <si>
    <t>SMA Arena Siswa II Jakarta</t>
  </si>
  <si>
    <t>IRVAN BAGUS SAPUTRO</t>
  </si>
  <si>
    <t>3521050308830004</t>
  </si>
  <si>
    <t>Dusun Kedungrejo, Desa Klitik, Kec. Geneng, Kab. Ngawi</t>
  </si>
  <si>
    <t>0811 2950 383</t>
  </si>
  <si>
    <t xml:space="preserve">Sobatimung@gmail.com </t>
  </si>
  <si>
    <t>0000205517755</t>
  </si>
  <si>
    <t>24121535397</t>
  </si>
  <si>
    <t>WATIK</t>
  </si>
  <si>
    <t>KIANDRA ZHAFIRA SHANUM PARAMADHITA</t>
  </si>
  <si>
    <t>ARSYILA NAIRA PARAMADHITA</t>
  </si>
  <si>
    <t>SOEPRAPTO</t>
  </si>
  <si>
    <t>SITI NGAINSIAH</t>
  </si>
  <si>
    <t>ALM. MARTO WIKROMO</t>
  </si>
  <si>
    <t>ALM. PARSI</t>
  </si>
  <si>
    <t>67.362.540.6-646.000</t>
  </si>
  <si>
    <t>Teknik Sipil</t>
  </si>
  <si>
    <t>AGUS TRI WALOYO</t>
  </si>
  <si>
    <t>Jember</t>
  </si>
  <si>
    <t xml:space="preserve">Magetan </t>
  </si>
  <si>
    <t>3520042106930001</t>
  </si>
  <si>
    <t>Dusun Klayu 001/002 Tegal waru, Mayang, Kab Jember, Jawa Timur</t>
  </si>
  <si>
    <t>081515549103</t>
  </si>
  <si>
    <t>agustriwaloyo1@gmail.com</t>
  </si>
  <si>
    <t>0000740461061</t>
  </si>
  <si>
    <t>24121535413</t>
  </si>
  <si>
    <t>DEWI SUSANTI</t>
  </si>
  <si>
    <t>ALETHA ALMAIRA PUTRI AGUS</t>
  </si>
  <si>
    <t>MOH KASIRIN</t>
  </si>
  <si>
    <t>MOH YUSUF</t>
  </si>
  <si>
    <t>ANILA KARTIKA</t>
  </si>
  <si>
    <t>82.762.074.1-735.000</t>
  </si>
  <si>
    <t>Mekanik otomotif</t>
  </si>
  <si>
    <t>RENGGA BAGAS DHINO FAIDZIN</t>
  </si>
  <si>
    <t>3519091812000001</t>
  </si>
  <si>
    <t>Jl. Swasembada 32/09 Madiun</t>
  </si>
  <si>
    <t>08978116500</t>
  </si>
  <si>
    <t>renggabagasdf22@gmail.com</t>
  </si>
  <si>
    <t>0002428177713</t>
  </si>
  <si>
    <t xml:space="preserve">	24121535447</t>
  </si>
  <si>
    <t>DJAROT TRIUTOMO WAHYUONO ( ALMARHUM )</t>
  </si>
  <si>
    <t>SRI MARTININGSIH</t>
  </si>
  <si>
    <t>Teknik Gambar Bangunan</t>
  </si>
  <si>
    <t>SMKN 1 Madiun</t>
  </si>
  <si>
    <t>ADITYA ERLANGGA PRASETYO</t>
  </si>
  <si>
    <t>3521100306060002</t>
  </si>
  <si>
    <t>Gebangsewu 001/014 Kel Semen, Kec Paron, Kab Ngawi, Jawa Timur</t>
  </si>
  <si>
    <t>+62 877-3665-7643</t>
  </si>
  <si>
    <t>adityaerlanggap0@gmail.com</t>
  </si>
  <si>
    <t xml:space="preserve">	0000744297131</t>
  </si>
  <si>
    <t>24121535389</t>
  </si>
  <si>
    <t xml:space="preserve">TAUFIK ISMAIL </t>
  </si>
  <si>
    <t xml:space="preserve">WINARSIH </t>
  </si>
  <si>
    <t>Teknik Instalasi Tenaga Listrik</t>
  </si>
  <si>
    <t>BAYU ADI PAMUNGKAS</t>
  </si>
  <si>
    <t>3519020505010003</t>
  </si>
  <si>
    <t>Dolopo 027/009 Kel dolopo Kec Dolopo, Kab Madiun, Jawa timur</t>
  </si>
  <si>
    <t>+62 816-1551-9275</t>
  </si>
  <si>
    <t>Bayuadipamungkas43@gmail.com</t>
  </si>
  <si>
    <t>0000737885992</t>
  </si>
  <si>
    <t xml:space="preserve">	24121535405</t>
  </si>
  <si>
    <t>SUPREHATIN</t>
  </si>
  <si>
    <t>DERI YUDA MAHENDRA</t>
  </si>
  <si>
    <t>3519031812910001</t>
  </si>
  <si>
    <t>Ds. kaibon Rt18 rw 04 kec. geger kab. madiun</t>
  </si>
  <si>
    <t>085736629292</t>
  </si>
  <si>
    <t>deriyuda91@gmail.com</t>
  </si>
  <si>
    <t>0000738045641</t>
  </si>
  <si>
    <t xml:space="preserve">	24121535421</t>
  </si>
  <si>
    <t>TIASIH</t>
  </si>
  <si>
    <t>CHANDRA ANDRIANTO PERDANA</t>
  </si>
  <si>
    <t>3577032409950001</t>
  </si>
  <si>
    <t>jl.pucang wangi kel.manisrejo kec.taman</t>
  </si>
  <si>
    <t>085604086876</t>
  </si>
  <si>
    <t>chandraandri24@gmail.com</t>
  </si>
  <si>
    <t>0001883567957</t>
  </si>
  <si>
    <t xml:space="preserve">	24121535439</t>
  </si>
  <si>
    <t>RAHMAT ANDREAS JUNAIDI</t>
  </si>
  <si>
    <t>DWI KURNIAWATI</t>
  </si>
  <si>
    <t>Teknik Audio Video</t>
  </si>
  <si>
    <t>PRADHITYA FADHIL MUKTINUGRAHA</t>
  </si>
  <si>
    <t>3577031607050002</t>
  </si>
  <si>
    <t>JL. COKROBASONTO GG BUNTU NO. 33</t>
  </si>
  <si>
    <t>0857-3279-8232</t>
  </si>
  <si>
    <t>juangavirya1903@gmail.com</t>
  </si>
  <si>
    <t>0002062936541</t>
  </si>
  <si>
    <t>24136467602</t>
  </si>
  <si>
    <t>AGUNG HARIMUKTI</t>
  </si>
  <si>
    <t>DHINING WULANSARI</t>
  </si>
  <si>
    <t>ALDI FAHREZI</t>
  </si>
  <si>
    <t>1710016111430</t>
  </si>
  <si>
    <t>3519032712010003</t>
  </si>
  <si>
    <t>Ds.Kertosari RT/RW 04/01 Kec.Geger Madiun</t>
  </si>
  <si>
    <t>089 563 801 2725</t>
  </si>
  <si>
    <t>0895638012725</t>
  </si>
  <si>
    <t>fahrezyaldi27@gmail.com</t>
  </si>
  <si>
    <t>0000737085802</t>
  </si>
  <si>
    <t>24154903603</t>
  </si>
  <si>
    <t>SMK N 1 Geger</t>
  </si>
  <si>
    <t>ARIF BAHTIAR</t>
  </si>
  <si>
    <t>1710016243282</t>
  </si>
  <si>
    <t>3519090108930001</t>
  </si>
  <si>
    <t xml:space="preserve">Ds. Bukur RT/RW. 14/04 Kec. Jiwan Madiun </t>
  </si>
  <si>
    <t xml:space="preserve">085 707 602 098 </t>
  </si>
  <si>
    <t>085707602098</t>
  </si>
  <si>
    <t>Bahtiara169@gmail.com</t>
  </si>
  <si>
    <t>0000739165869</t>
  </si>
  <si>
    <t>24154903561</t>
  </si>
  <si>
    <t>ALM.WAKIDI</t>
  </si>
  <si>
    <t>ALM.KOMSATUN</t>
  </si>
  <si>
    <t>SMK Tamansiswa Madiun</t>
  </si>
  <si>
    <t>Xxl</t>
  </si>
  <si>
    <t>BAGUS SETIAWAN</t>
  </si>
  <si>
    <t>1710016111455</t>
  </si>
  <si>
    <t>3520041207980002</t>
  </si>
  <si>
    <t>Ds. Sawojajar RT/RW 11/01 Kec. Takeran Magetan</t>
  </si>
  <si>
    <t>088 216 937 375</t>
  </si>
  <si>
    <t>088216937375</t>
  </si>
  <si>
    <t>Hani.cantik539@gmail.com</t>
  </si>
  <si>
    <t>0000739121174</t>
  </si>
  <si>
    <t xml:space="preserve">	24154903652</t>
  </si>
  <si>
    <t>21.031.305.2-646.000</t>
  </si>
  <si>
    <t>DENY WIDIANTO PERMANA</t>
  </si>
  <si>
    <t>1710016111356</t>
  </si>
  <si>
    <t>351806 110 697 0001</t>
  </si>
  <si>
    <t>Dkh. Watuompak RT/RW 02/ 04 Ds. Mojoagung Kec. Prambon Nganjuk</t>
  </si>
  <si>
    <t xml:space="preserve">087 785 232 242 </t>
  </si>
  <si>
    <t>087785232242</t>
  </si>
  <si>
    <t>Denymanol11@gmail.com</t>
  </si>
  <si>
    <t>0001044708208</t>
  </si>
  <si>
    <t>24154903694</t>
  </si>
  <si>
    <t>ANDRI P</t>
  </si>
  <si>
    <t>YULIATIN</t>
  </si>
  <si>
    <t>DHIFAN QINTHARA</t>
  </si>
  <si>
    <t>1370024302958</t>
  </si>
  <si>
    <t xml:space="preserve">Medan </t>
  </si>
  <si>
    <t>3577 032 00792 0002</t>
  </si>
  <si>
    <t>Sorogenen II, RT/RW 003/001, Purwomartani, Kalasan, Kab Seleman, Yogyakarta</t>
  </si>
  <si>
    <t>+62 812-3524-3551</t>
  </si>
  <si>
    <t>081235243551</t>
  </si>
  <si>
    <t>dhifanqinthara@gmail.com</t>
  </si>
  <si>
    <t>0001476255846</t>
  </si>
  <si>
    <t xml:space="preserve">	24154903595</t>
  </si>
  <si>
    <t>YUNI PANTI LELA</t>
  </si>
  <si>
    <t>AMEERA NABILA SHANUM</t>
  </si>
  <si>
    <t>DJASLI</t>
  </si>
  <si>
    <t>SRI NUR HENDRAYANI</t>
  </si>
  <si>
    <t>SUMARNO</t>
  </si>
  <si>
    <t>WIWIK HERMAWATI</t>
  </si>
  <si>
    <t>12.745.433.8-542.000</t>
  </si>
  <si>
    <t>DICKY WAHYUDI PUTRA</t>
  </si>
  <si>
    <t>1710016111364</t>
  </si>
  <si>
    <t>351913 270 997 0001</t>
  </si>
  <si>
    <t xml:space="preserve">Dkh. Krapyak RT/RW 11/04 Ds. Purworejo Kec. Pilangkenceng Madiun </t>
  </si>
  <si>
    <t>087 875 757 747</t>
  </si>
  <si>
    <t>087875757747</t>
  </si>
  <si>
    <t>dickywputra27@gmail.com</t>
  </si>
  <si>
    <t>0002065320786</t>
  </si>
  <si>
    <t>24154903553</t>
  </si>
  <si>
    <t>KHOLIFATUL MUBASYIROH</t>
  </si>
  <si>
    <t>MUHAMMAD UZAIR ALKAIF</t>
  </si>
  <si>
    <t>ISWAHYUDI</t>
  </si>
  <si>
    <t>SAMSINI</t>
  </si>
  <si>
    <t>RASAD</t>
  </si>
  <si>
    <t>SURATMI</t>
  </si>
  <si>
    <t>L4</t>
  </si>
  <si>
    <t>XL4</t>
  </si>
  <si>
    <t>ELANG MAHMUDI</t>
  </si>
  <si>
    <t>1710016243589</t>
  </si>
  <si>
    <t>351915 110 288 0001</t>
  </si>
  <si>
    <t xml:space="preserve">Ds. Kuwonharjo RT/RW 02/01 Kec. Takeran, Kab. Magetan </t>
  </si>
  <si>
    <t>085 748 043 610</t>
  </si>
  <si>
    <t>085748043610</t>
  </si>
  <si>
    <t>Elangmahmudi88@gmail.com</t>
  </si>
  <si>
    <t>0001701761758</t>
  </si>
  <si>
    <t>24154903546</t>
  </si>
  <si>
    <t>NURUL HITDAHYAH</t>
  </si>
  <si>
    <t>LAMIDJAN</t>
  </si>
  <si>
    <t>PARLAN</t>
  </si>
  <si>
    <t>(ALM)  PARTINI</t>
  </si>
  <si>
    <t>96.143.592.2-646.000</t>
  </si>
  <si>
    <t>KRISNA SEPTIAWAN</t>
  </si>
  <si>
    <t>1710016111448</t>
  </si>
  <si>
    <t>351914 030 998 0002</t>
  </si>
  <si>
    <t xml:space="preserve">Jln. Yos Sudarso No.23B RT/RW 01/01 Kec.Manguharjo Madiun </t>
  </si>
  <si>
    <t>082 261 973 941</t>
  </si>
  <si>
    <t>082261973941</t>
  </si>
  <si>
    <t>krisnaseptiawan39@gmail.com</t>
  </si>
  <si>
    <t>0000738952806</t>
  </si>
  <si>
    <t>24154903579</t>
  </si>
  <si>
    <t>INKA ARDIANI GIRI NATALIA</t>
  </si>
  <si>
    <t>SARENGAT</t>
  </si>
  <si>
    <t>SITI AMINAH</t>
  </si>
  <si>
    <t>EKO JUNAEDI</t>
  </si>
  <si>
    <t>SRIANI</t>
  </si>
  <si>
    <t>Teknik Listrik</t>
  </si>
  <si>
    <t>MUHAMMAD ALDHI SAPUTRO</t>
  </si>
  <si>
    <t>1710016111406</t>
  </si>
  <si>
    <t>357701 050 304 0004</t>
  </si>
  <si>
    <t xml:space="preserve">Jln. Kalimantan No.13 RT/RW 12/03 Kec. Kartoharjo Madiun </t>
  </si>
  <si>
    <t>083 147 850 830</t>
  </si>
  <si>
    <t>083147850830</t>
  </si>
  <si>
    <t>085175192246</t>
  </si>
  <si>
    <t>aldhisaputro13@gmail.com</t>
  </si>
  <si>
    <t>0001542004154</t>
  </si>
  <si>
    <t>MAIRAH</t>
  </si>
  <si>
    <t xml:space="preserve">Teknik Pemesinan </t>
  </si>
  <si>
    <t>PUPUT SANTOSO</t>
  </si>
  <si>
    <t>1710016111414</t>
  </si>
  <si>
    <t>357701 280 397 0001</t>
  </si>
  <si>
    <t>Jln.  Pilangraya RT/RW 05/02 Ds.Pilangbango Kec. Kartoharjo Madiun</t>
  </si>
  <si>
    <t>087 760 450 724</t>
  </si>
  <si>
    <t>087760450724</t>
  </si>
  <si>
    <t>08976080920</t>
  </si>
  <si>
    <t>puputsantoso97@gmail.com</t>
  </si>
  <si>
    <t>24154903678</t>
  </si>
  <si>
    <t>SIYAMAN</t>
  </si>
  <si>
    <t>YASIH SRIYANI</t>
  </si>
  <si>
    <t>xxl</t>
  </si>
  <si>
    <t>PUTUT PUJIONO</t>
  </si>
  <si>
    <t>1710016111349</t>
  </si>
  <si>
    <t>3519080611860001</t>
  </si>
  <si>
    <t xml:space="preserve">Jl. Muhammad Hatta Desa Sidomulyo RT 17 RW 4 Kec. Sawahan Kab. Madiun </t>
  </si>
  <si>
    <t xml:space="preserve">082 131 234 046 </t>
  </si>
  <si>
    <t xml:space="preserve">082131234046 </t>
  </si>
  <si>
    <t>6282131234046</t>
  </si>
  <si>
    <t>pututpujiono86@gmail.com</t>
  </si>
  <si>
    <t>0001318888192</t>
  </si>
  <si>
    <t>24154903587</t>
  </si>
  <si>
    <t>ERNA SETIAWATI</t>
  </si>
  <si>
    <t>NAUFAL IQBAL PRATAMA</t>
  </si>
  <si>
    <t>NAUMI DHEA PRAMESWARI</t>
  </si>
  <si>
    <t>SUMARSONO</t>
  </si>
  <si>
    <t>YATINEM</t>
  </si>
  <si>
    <t>SURAJI</t>
  </si>
  <si>
    <t>SUTINEM</t>
  </si>
  <si>
    <t>RACHMAD RUDI SAPUTRA</t>
  </si>
  <si>
    <t>1710002335712</t>
  </si>
  <si>
    <t>352012 040 894 0003</t>
  </si>
  <si>
    <t>Ds. Rejomulyo RT/RW 11/02 Kec. Barat Magetan</t>
  </si>
  <si>
    <t>082 229 342 428</t>
  </si>
  <si>
    <t>082229342428</t>
  </si>
  <si>
    <t>rudysauptra@gmail.com</t>
  </si>
  <si>
    <t>0001654029933</t>
  </si>
  <si>
    <t>24154903637</t>
  </si>
  <si>
    <t>FALENTINA SABIAH</t>
  </si>
  <si>
    <t>MUSIRAH</t>
  </si>
  <si>
    <t>JASMIN</t>
  </si>
  <si>
    <t>DASRI</t>
  </si>
  <si>
    <t>SAMSUL ANAM</t>
  </si>
  <si>
    <t>1710016111422</t>
  </si>
  <si>
    <t>351915 070 191 0001</t>
  </si>
  <si>
    <t xml:space="preserve">Dkh. Plumpung Lor Ds. Plumpungrejo RT/RW 02/01 Kec. Wonoasri Madiun </t>
  </si>
  <si>
    <t>085 775 549 707</t>
  </si>
  <si>
    <t>085775549707</t>
  </si>
  <si>
    <t>samsulanam1107@gmail.com</t>
  </si>
  <si>
    <t>0003339552734</t>
  </si>
  <si>
    <t>24154903629</t>
  </si>
  <si>
    <t xml:space="preserve">SMK PGRI 1 Mejayan </t>
  </si>
  <si>
    <t>SUKMA FARISSYAH</t>
  </si>
  <si>
    <t>1710003195396</t>
  </si>
  <si>
    <t>352011 100 399 0001</t>
  </si>
  <si>
    <t xml:space="preserve">Ds. Rejoasri RT/RW 04/01 Kec. Seputih Raman Lampung </t>
  </si>
  <si>
    <t>085 646 003 006</t>
  </si>
  <si>
    <t>085646003006</t>
  </si>
  <si>
    <t>sukmafarissyah20@gmail.com</t>
  </si>
  <si>
    <t>0001544298142</t>
  </si>
  <si>
    <t>24154903611</t>
  </si>
  <si>
    <t xml:space="preserve">NIA TRI LESTARI </t>
  </si>
  <si>
    <t xml:space="preserve">DIANDRA REFANI ALICIANA </t>
  </si>
  <si>
    <t>ALM. SUSETYA ESTI HANDOYO</t>
  </si>
  <si>
    <t xml:space="preserve">ALM. HENI SRI SUSMINING </t>
  </si>
  <si>
    <t>NORMAN</t>
  </si>
  <si>
    <t xml:space="preserve">NINING YUNINGSIH </t>
  </si>
  <si>
    <t>82.589.447.0-646.000</t>
  </si>
  <si>
    <t xml:space="preserve">Teknik Instalasi Tenaga Listrik </t>
  </si>
  <si>
    <t xml:space="preserve">XL </t>
  </si>
  <si>
    <t>SUSANTO</t>
  </si>
  <si>
    <t>1710016111372</t>
  </si>
  <si>
    <t>351909 140 798 0002</t>
  </si>
  <si>
    <t>Ds. Sukolilo RT/RW 25/07 Kec. Jiwan Madiun</t>
  </si>
  <si>
    <t>089 606 034 113</t>
  </si>
  <si>
    <t>089606034113</t>
  </si>
  <si>
    <t>Susanto9814@gmail.com</t>
  </si>
  <si>
    <t>0002065295823</t>
  </si>
  <si>
    <t xml:space="preserve">	24154903538</t>
  </si>
  <si>
    <t>ARYANI FITRIANA ROMADHANTY</t>
  </si>
  <si>
    <t>SALAM</t>
  </si>
  <si>
    <t>SURATUN</t>
  </si>
  <si>
    <t>PAMUJI</t>
  </si>
  <si>
    <t>Xl</t>
  </si>
  <si>
    <t>TRI HANDOKO</t>
  </si>
  <si>
    <t>1710002324062</t>
  </si>
  <si>
    <t>357701 120 988 0001</t>
  </si>
  <si>
    <t>Jln. Ardi Manis F 7/5 Perumnas J Manisrejo Kec. Taman Madiun</t>
  </si>
  <si>
    <t>085 755 453 166</t>
  </si>
  <si>
    <t>085755453166</t>
  </si>
  <si>
    <t>trih9589@gmail.com</t>
  </si>
  <si>
    <t>0001648372228</t>
  </si>
  <si>
    <t xml:space="preserve">	24154903645</t>
  </si>
  <si>
    <t xml:space="preserve">OTTI DWI RACHMAWATI </t>
  </si>
  <si>
    <t>DJAIMUN</t>
  </si>
  <si>
    <t>SUTARSIH</t>
  </si>
  <si>
    <t>5L</t>
  </si>
  <si>
    <t>6L</t>
  </si>
  <si>
    <t>AFRIZA KRIDO ANANTA</t>
  </si>
  <si>
    <t>1710016324926</t>
  </si>
  <si>
    <t>3519072804050002</t>
  </si>
  <si>
    <t>Kresek Wungu Madiun, Kel Kresek, Kec Wungu, Kab Madiun, Jawa Timur</t>
  </si>
  <si>
    <t>+62 857-9065-8921</t>
  </si>
  <si>
    <t>085790658921</t>
  </si>
  <si>
    <t>afrizaananta6@gmail.com</t>
  </si>
  <si>
    <t>0000737397009</t>
  </si>
  <si>
    <t>24154903660</t>
  </si>
  <si>
    <t>DIAZ PRATAMA</t>
  </si>
  <si>
    <t>1710016324876</t>
  </si>
  <si>
    <t>3312171305990002</t>
  </si>
  <si>
    <t>Jl.Jatinangor, Green Indah Nglames Blok F, Nglames, Kab. Madiun</t>
  </si>
  <si>
    <t>083851380855</t>
  </si>
  <si>
    <t xml:space="preserve">diaazpratama@gmail.com </t>
  </si>
  <si>
    <t>0001205055202</t>
  </si>
  <si>
    <t xml:space="preserve">Teknik Perkeretaapian </t>
  </si>
  <si>
    <t>ELANG RAIHAN PERMANA</t>
  </si>
  <si>
    <t>1710016329230</t>
  </si>
  <si>
    <t>3577030208010001</t>
  </si>
  <si>
    <t>Jl. Serayu Timur Perum Griya Kencana D/18, Kota Madiun</t>
  </si>
  <si>
    <t>0895339159322</t>
  </si>
  <si>
    <t>raihanelang09@gmail.com</t>
  </si>
  <si>
    <t>0001637226854</t>
  </si>
  <si>
    <t>FAQIH ABDURROHMAN KUSTI</t>
  </si>
  <si>
    <t>1710016337985</t>
  </si>
  <si>
    <t>3520130103030001</t>
  </si>
  <si>
    <t>Dk. Gandri kutu Ds. Kauman Kec. Karangrejo Kab. Magetan</t>
  </si>
  <si>
    <t>081358031270</t>
  </si>
  <si>
    <t>faqihdilla17@gmail.com</t>
  </si>
  <si>
    <t>0001544250712</t>
  </si>
  <si>
    <t>KUSWANTO</t>
  </si>
  <si>
    <t>SITI MARPUNGATUN</t>
  </si>
  <si>
    <t>FIQQI MUHAMMAD ALFIUZZAQI</t>
  </si>
  <si>
    <t>1710016324942</t>
  </si>
  <si>
    <t>3517092806010003</t>
  </si>
  <si>
    <t>Jl. Halmahera VII L-03, Kaliwungu, Jombang</t>
  </si>
  <si>
    <t>0895337665390</t>
  </si>
  <si>
    <t>alfiuzzaqi@gmail.com</t>
  </si>
  <si>
    <t>0000108745457</t>
  </si>
  <si>
    <t xml:space="preserve">D4 </t>
  </si>
  <si>
    <t>MIZANUL ULUM</t>
  </si>
  <si>
    <t>1710016337993</t>
  </si>
  <si>
    <t>3328020304020007</t>
  </si>
  <si>
    <t>Traju , Kel Traju, Kec Bumijawa ,kab tegal, Jawa tengah</t>
  </si>
  <si>
    <t>0857 2295 2854</t>
  </si>
  <si>
    <t>085722952854</t>
  </si>
  <si>
    <t>mizanululum77@gmail.com</t>
  </si>
  <si>
    <t>0003626347241</t>
  </si>
  <si>
    <t>FATKHI</t>
  </si>
  <si>
    <t>WEAH</t>
  </si>
  <si>
    <t>MOH. TAUFIQ MAHENDRA</t>
  </si>
  <si>
    <t>1710016324918</t>
  </si>
  <si>
    <t>3577021101020001</t>
  </si>
  <si>
    <t>Jl. Muria No 6, Kel. Pangongangan, Kec. Manguharjo, Kota Madiun</t>
  </si>
  <si>
    <t>081333587017</t>
  </si>
  <si>
    <t>mohammadtaufiqmahendra@gmail.com</t>
  </si>
  <si>
    <t>0001886534695</t>
  </si>
  <si>
    <t>MUHAMMAD ABDUL AZIZ</t>
  </si>
  <si>
    <t>1710016324868</t>
  </si>
  <si>
    <t>3520101604000001</t>
  </si>
  <si>
    <t>RT 13 RW 02, Desa Dukuh, Kecamatan Bendo, Kabupaten Magetan</t>
  </si>
  <si>
    <t>082232525120</t>
  </si>
  <si>
    <t>mabdulaziz0814@gmail.com</t>
  </si>
  <si>
    <t>0000740379554</t>
  </si>
  <si>
    <t>SUPARJO</t>
  </si>
  <si>
    <t>OCTO AMRI MANSYURIN</t>
  </si>
  <si>
    <t>1710016324850</t>
  </si>
  <si>
    <t xml:space="preserve">Tangerang </t>
  </si>
  <si>
    <t>3603010310010003</t>
  </si>
  <si>
    <t>Villa Balaraja Blok FI/18 RT/RW 04/04 Desa saga Kec Balerejo Kab Tangerang</t>
  </si>
  <si>
    <t>08557255860</t>
  </si>
  <si>
    <t>oktoamrim@gmail.com</t>
  </si>
  <si>
    <t>0003103804181</t>
  </si>
  <si>
    <t>022338701451000</t>
  </si>
  <si>
    <t xml:space="preserve">Teknologi Mekanika Perkeretaapian </t>
  </si>
  <si>
    <t>SHONUFIT AR ROYAN F</t>
  </si>
  <si>
    <t>1710016324884</t>
  </si>
  <si>
    <t>3510032802020002</t>
  </si>
  <si>
    <t xml:space="preserve">Dusun Krajan 002/002 Kel Kradenan, Kec Purwoharjo, Kab Banyuwangi, Jawa timur </t>
  </si>
  <si>
    <t xml:space="preserve">082 141 534 300 </t>
  </si>
  <si>
    <t>082141534300</t>
  </si>
  <si>
    <t>Shonufit@gmail.com</t>
  </si>
  <si>
    <t>0000194802232</t>
  </si>
  <si>
    <t>MOH NUR SHOLEH</t>
  </si>
  <si>
    <t>BOD-5</t>
  </si>
  <si>
    <t>Tgl Masuk</t>
  </si>
  <si>
    <t>Keluar</t>
  </si>
  <si>
    <t>SK Pengangkatan/Mutasi/ No Kontrak</t>
  </si>
  <si>
    <t>Email</t>
  </si>
  <si>
    <t>Ukuran Baju</t>
  </si>
  <si>
    <t>Ukuran Celana</t>
  </si>
  <si>
    <t>Ukuran Sepatu</t>
  </si>
  <si>
    <t>Tgl Keluar</t>
  </si>
  <si>
    <t>Alasan</t>
  </si>
  <si>
    <t>Surat Ket Kerja</t>
  </si>
  <si>
    <t>Tanggungan</t>
  </si>
  <si>
    <t>Legalitas Pemutusan Hubungan Kerja</t>
  </si>
  <si>
    <t>RUNI WIDIASTUTI</t>
  </si>
  <si>
    <t>Kantor</t>
  </si>
  <si>
    <t>Sorong</t>
  </si>
  <si>
    <t>3519094212810002</t>
  </si>
  <si>
    <t>Dusun i rt 25 rw 6 teguhan, jiwan madiun</t>
  </si>
  <si>
    <t>+62 812-3412-0020</t>
  </si>
  <si>
    <t>Belum Menikah</t>
  </si>
  <si>
    <t>Agribisnis</t>
  </si>
  <si>
    <t>PHK</t>
  </si>
  <si>
    <t>SK-10A/D1/IMSS/2020</t>
  </si>
  <si>
    <t>RIZAL AGUS PRATAMA</t>
  </si>
  <si>
    <t>BIM Padang</t>
  </si>
  <si>
    <t>3578102108890008</t>
  </si>
  <si>
    <t>Rangkah Tambak Sari Surabaya</t>
  </si>
  <si>
    <t>081 330 436 724</t>
  </si>
  <si>
    <t>0001459021307</t>
  </si>
  <si>
    <t>Mesin</t>
  </si>
  <si>
    <t>Selesai Kontrak</t>
  </si>
  <si>
    <t>352.9/IV/IMSS/2020</t>
  </si>
  <si>
    <t>SUPRIONO</t>
  </si>
  <si>
    <t>Ds. Sumberejo RT/RW 002/001 geger Madiun</t>
  </si>
  <si>
    <t>0823 3678 6066</t>
  </si>
  <si>
    <t>0001865424824</t>
  </si>
  <si>
    <t>Menikah</t>
  </si>
  <si>
    <t>Resign</t>
  </si>
  <si>
    <t>Tidak Berhak</t>
  </si>
  <si>
    <t>542/VII/IMSS/2020</t>
  </si>
  <si>
    <t>MHD ILHAM DAMANIK</t>
  </si>
  <si>
    <t>Kuala Tanjung</t>
  </si>
  <si>
    <t>121902090997000 4</t>
  </si>
  <si>
    <t>Dusun V Sumber Padi, Ds. Kuala Tanjung, Kec. Sei Suka, Kab. Batu Bara</t>
  </si>
  <si>
    <t>0822 7727 6609</t>
  </si>
  <si>
    <t>Otomotif</t>
  </si>
  <si>
    <t>RICKY WIJAYA</t>
  </si>
  <si>
    <t>1671121705880003</t>
  </si>
  <si>
    <t>Jl Kadir TKR, Kel. 36 Ilir Kec. Gandus, Sumatera Selatan</t>
  </si>
  <si>
    <t xml:space="preserve">0812-19321997 </t>
  </si>
  <si>
    <t>0001790406729</t>
  </si>
  <si>
    <t>1013/X/IMSS/2020</t>
  </si>
  <si>
    <t>ANDIK AGUS PRASETYO</t>
  </si>
  <si>
    <t>Pemeliharaan Dalam Negeri</t>
  </si>
  <si>
    <t>351907040687000 1</t>
  </si>
  <si>
    <t>Ds Sambirejo, Kec. Jiwan Kab Madiun</t>
  </si>
  <si>
    <t>085800771134</t>
  </si>
  <si>
    <t>chaesarbrianputra13@gmail.com</t>
  </si>
  <si>
    <t>Kimia</t>
  </si>
  <si>
    <t>SMN Non Penggerak</t>
  </si>
  <si>
    <t>110806010189000 1</t>
  </si>
  <si>
    <t>Ds. Keude Bungkaih, Kec. Muara Batu, Aceh Utara</t>
  </si>
  <si>
    <t>0822 4835 3264</t>
  </si>
  <si>
    <t>miqbal77918@gmail.com</t>
  </si>
  <si>
    <t>0001120787954</t>
  </si>
  <si>
    <t>1322/XII/IMSS/2020</t>
  </si>
  <si>
    <t>LAILA KURNIASARI</t>
  </si>
  <si>
    <t>Akuntansi dan Perpajakan</t>
  </si>
  <si>
    <t>350218680692000 1</t>
  </si>
  <si>
    <t>Kpr btn blok d 25 RT 004 RW 006 kel. Singosaren kec. Jenangan ponorogo</t>
  </si>
  <si>
    <t>+62 896-7914-8830</t>
  </si>
  <si>
    <t>lalakrnsr28@gmail.com</t>
  </si>
  <si>
    <t>0000100731251</t>
  </si>
  <si>
    <t>Akutansi</t>
  </si>
  <si>
    <t>Univ. Islam Indonesia</t>
  </si>
  <si>
    <t>NILA RAHMAWATI</t>
  </si>
  <si>
    <t>SMN Admin</t>
  </si>
  <si>
    <t>331503510701000 5</t>
  </si>
  <si>
    <t>Dukuh Lor RT 003 RW 001 Desa Toko Kec. Penawangan Kab. Grobogan</t>
  </si>
  <si>
    <t xml:space="preserve">0812 3572 3248 </t>
  </si>
  <si>
    <t>0002346346574</t>
  </si>
  <si>
    <t>1269.88/XII/IMSS/2020</t>
  </si>
  <si>
    <t>SOLEHUDIN</t>
  </si>
  <si>
    <t>320411170793000 3</t>
  </si>
  <si>
    <t>KP Bojong Buah RT 002 RW 004 Desa Pangauban Kec. Katapang Kab. Bandung</t>
  </si>
  <si>
    <t>0852 3088 8416</t>
  </si>
  <si>
    <t>doyeh96@gmail.com</t>
  </si>
  <si>
    <t>0002499193462</t>
  </si>
  <si>
    <t>RIZKI MAULANA YUSUF</t>
  </si>
  <si>
    <t>SMN Penggerak</t>
  </si>
  <si>
    <t>327702241196000 9</t>
  </si>
  <si>
    <t>Perum Permata Padalarang Blok G No 8 RT 004/RW 007, Kab. Bandung</t>
  </si>
  <si>
    <t>0812 2102 9234</t>
  </si>
  <si>
    <t>Rizkyikin.ri@gmail.com</t>
  </si>
  <si>
    <t>0001515651693</t>
  </si>
  <si>
    <t>YANUAR KRISTIYAWAN</t>
  </si>
  <si>
    <t>Blitar</t>
  </si>
  <si>
    <t>357201310199000 2</t>
  </si>
  <si>
    <t>Jl Dewi Sartika No 8A RT/RW 001/003 Sentul, Kepanjen Kidul, Blitar</t>
  </si>
  <si>
    <t>0858 1253 0092</t>
  </si>
  <si>
    <t>yanuarkristiyawan@gmail.com</t>
  </si>
  <si>
    <t>T. Mesin</t>
  </si>
  <si>
    <t>SMK N 1 Blitar</t>
  </si>
  <si>
    <t>AYUB ISNA ALHANIF</t>
  </si>
  <si>
    <t>Pengendalian</t>
  </si>
  <si>
    <t>Teknologi dan Logistik</t>
  </si>
  <si>
    <t>Komersial</t>
  </si>
  <si>
    <t>351812310396000 0</t>
  </si>
  <si>
    <t xml:space="preserve">Kapas, RT 007/RW 004, desa kapas, kec. Sukomoro, kab. Nganjuk </t>
  </si>
  <si>
    <t>+62 857-8452-9251</t>
  </si>
  <si>
    <t>ayubhanif71@gmail.com</t>
  </si>
  <si>
    <t>0000109362914</t>
  </si>
  <si>
    <t>18070554516</t>
  </si>
  <si>
    <t>T. Perkapalan</t>
  </si>
  <si>
    <t>Univ. Diponegoro</t>
  </si>
  <si>
    <t>JONI MUHAMAT ZAKARIA</t>
  </si>
  <si>
    <t>LRT Jabo</t>
  </si>
  <si>
    <t>331504260699000 8</t>
  </si>
  <si>
    <t>Dsn. Singkil RT/RW 001/013, Depok, Toroh, Grobogan</t>
  </si>
  <si>
    <t>0896 8429 7252</t>
  </si>
  <si>
    <t>jonizakaria2@gmail.com</t>
  </si>
  <si>
    <t>0002925418364</t>
  </si>
  <si>
    <t>SMK Pembangunan Nasional Purwodadi</t>
  </si>
  <si>
    <t>GAGUK DWI SASONGKO</t>
  </si>
  <si>
    <t>PJ Manager</t>
  </si>
  <si>
    <t>Staff Khusus Direktur Operasi</t>
  </si>
  <si>
    <t>351914120166000 0</t>
  </si>
  <si>
    <t>JL Prambanan No 13 Lk. Prajuritan RT 004 RW 001 Kec. Manguharjo Kota Madiun</t>
  </si>
  <si>
    <t>0811 348 4919</t>
  </si>
  <si>
    <t>gaguk.dsasongko@inka.co.id</t>
  </si>
  <si>
    <t>0001127892273</t>
  </si>
  <si>
    <t>DIAH LENNY WULANSARI</t>
  </si>
  <si>
    <t>Univ. Gadjah Mada</t>
  </si>
  <si>
    <t>PB-33/XII/IMSS/2019</t>
  </si>
  <si>
    <t>PKWT-642001041/D1/2020</t>
  </si>
  <si>
    <t>Purna Tugas</t>
  </si>
  <si>
    <t>BAMBANG TRIJOKO</t>
  </si>
  <si>
    <t>321606090967002 7</t>
  </si>
  <si>
    <t>Jl Mahoni IV Blok H No 341 RT/RW 007/011, Jatimulya, Tambun Selatan</t>
  </si>
  <si>
    <t>argita3joko@gmail.com</t>
  </si>
  <si>
    <t>0001736659697</t>
  </si>
  <si>
    <t>Meninggal Dunia</t>
  </si>
  <si>
    <t>DARIYANTA</t>
  </si>
  <si>
    <t>351907240266000 1</t>
  </si>
  <si>
    <t>Bantengan RT.001/ RW.001, Bantengan, Wungu, Madiun</t>
  </si>
  <si>
    <t>0877 5391 3801</t>
  </si>
  <si>
    <t>dariyanta@inka.co.id</t>
  </si>
  <si>
    <t>0001127753886</t>
  </si>
  <si>
    <t>93N70013966</t>
  </si>
  <si>
    <t>LELIOSA LULUT L</t>
  </si>
  <si>
    <t>T. Listrik</t>
  </si>
  <si>
    <t>MIFTAKHUL ULUM</t>
  </si>
  <si>
    <t>SMN Loko</t>
  </si>
  <si>
    <t>357703150299000 6</t>
  </si>
  <si>
    <t>Jl. Tumpak manis no 18 RT/RW 40/11 Manisrejo Madiun</t>
  </si>
  <si>
    <t>0821 7043 5066</t>
  </si>
  <si>
    <t>Miftakhulbebek15@gmail.com</t>
  </si>
  <si>
    <t>0002160343001</t>
  </si>
  <si>
    <t>Audio Visual</t>
  </si>
  <si>
    <t>MUHAMMAD ILHAM ZAIFATULLAH</t>
  </si>
  <si>
    <t>167106221100001 2</t>
  </si>
  <si>
    <t>Jl Saboking king LR Telaga Biru No. 369 RT 007 RW 001 Kel. Sei Buah Kec. Ilir Timur II Kota Palembang</t>
  </si>
  <si>
    <t>0813 6961 3116</t>
  </si>
  <si>
    <t>m.ilhamzaifatullah@gmail.com</t>
  </si>
  <si>
    <t>'0000325699841</t>
  </si>
  <si>
    <t xml:space="preserve">SUPRIYADI </t>
  </si>
  <si>
    <t>320808040197000 3</t>
  </si>
  <si>
    <t>Blok Peundeuyraweuy 004/003 Kel. Cikananga. Kuningan</t>
  </si>
  <si>
    <t>0896 5310 4754</t>
  </si>
  <si>
    <t>supriyadiaria29@gmail.com</t>
  </si>
  <si>
    <t>0000445539519</t>
  </si>
  <si>
    <t>GARIT RITO NADI</t>
  </si>
  <si>
    <t>Wil I</t>
  </si>
  <si>
    <t>357703200898000 3</t>
  </si>
  <si>
    <t>Jl Setiabudi asrama mojorejo K30, Madiun</t>
  </si>
  <si>
    <t>0899 3190 027</t>
  </si>
  <si>
    <t>ritogarit@gmail.com</t>
  </si>
  <si>
    <t>0001106816668</t>
  </si>
  <si>
    <t>PB-52/XII/IMSS/2019</t>
  </si>
  <si>
    <t>YENY RUBIANTORO</t>
  </si>
  <si>
    <t>357701040566000 1</t>
  </si>
  <si>
    <t>Jln Diponegoro No.39 RT.040 RW.009, Oro-Oro Ombo, Kartoharjo, Kota Madiun</t>
  </si>
  <si>
    <t>0858 1211 4166</t>
  </si>
  <si>
    <t>yeny.rubiantoro@inka.co.id</t>
  </si>
  <si>
    <t>0001127743997</t>
  </si>
  <si>
    <t>91N72014222</t>
  </si>
  <si>
    <t>SRI WAHYUNINGSIH</t>
  </si>
  <si>
    <t>382988418621000</t>
  </si>
  <si>
    <t>STM Negeri 1 Surabaya</t>
  </si>
  <si>
    <t>DIAH PUSPITASARI</t>
  </si>
  <si>
    <t>Pelatihan Sertifikasi</t>
  </si>
  <si>
    <t xml:space="preserve">357819630794000 4 </t>
  </si>
  <si>
    <t>Wisma tengger 17/3, RT 002/RW 006, kel. Kandangan, kec. Benowo, kota surabaya</t>
  </si>
  <si>
    <t>+62 813-3247-1108</t>
  </si>
  <si>
    <t>94.puspitasari@gmail.com</t>
  </si>
  <si>
    <t>0001803276009</t>
  </si>
  <si>
    <t>18070554532</t>
  </si>
  <si>
    <t>Univ. Airlangga</t>
  </si>
  <si>
    <t>AGUS RIYANTO</t>
  </si>
  <si>
    <t>1710003988121</t>
  </si>
  <si>
    <t>357701290881000 2</t>
  </si>
  <si>
    <t>Jl. Sri Kuning no 08 RT/RW 1/1 Kanigoro Kojo Madiun</t>
  </si>
  <si>
    <t>0858 8575 0927</t>
  </si>
  <si>
    <t>agusjmbol706@gmail.com</t>
  </si>
  <si>
    <t>0002422801978</t>
  </si>
  <si>
    <t>Mekanik</t>
  </si>
  <si>
    <t>PB-11/XII/IMSS/2019</t>
  </si>
  <si>
    <t>PKWT-642001064/D1/2020</t>
  </si>
  <si>
    <t>DANI RAMDANI</t>
  </si>
  <si>
    <t>1710004810639</t>
  </si>
  <si>
    <t>JAKARATA</t>
  </si>
  <si>
    <t>360311010394000 4</t>
  </si>
  <si>
    <t>Kp Sumur Daon 002/006 Sukamanah, Kec Raeg, Tangerang, Banten</t>
  </si>
  <si>
    <t>0896 3650 5330</t>
  </si>
  <si>
    <t>Daniramdani.tp@gmail.com</t>
  </si>
  <si>
    <t>0002492796824</t>
  </si>
  <si>
    <t>ERWANDA SEPTIAJI</t>
  </si>
  <si>
    <t>327502290993000 5</t>
  </si>
  <si>
    <t>KP Setu RT 004 RW 002 Kel. Bintara Jaya Kec. Bekasi Barat Kota Bekasi</t>
  </si>
  <si>
    <t>0856 9111 9750</t>
  </si>
  <si>
    <t>eRWanda.septiaji09@gmail.com</t>
  </si>
  <si>
    <t>0001804569737</t>
  </si>
  <si>
    <t>GATOT BUDI SANTOSO</t>
  </si>
  <si>
    <t>351914200983000 1</t>
  </si>
  <si>
    <t>Ds. Sidomulyo RT/RW 007/002</t>
  </si>
  <si>
    <t>0895 1043 1210</t>
  </si>
  <si>
    <t>gatotbudisantoso17@gmail.com</t>
  </si>
  <si>
    <t>0001706039548</t>
  </si>
  <si>
    <t>PB-24/XII/IMSS/2019</t>
  </si>
  <si>
    <t>PRAHASTA EKA PRATAMA</t>
  </si>
  <si>
    <t>357810131298000 6</t>
  </si>
  <si>
    <t>Rangkah7/27-C, 001/001, Rangkah, Tambak sari, Surabaya</t>
  </si>
  <si>
    <t>0819 3911 2147</t>
  </si>
  <si>
    <t>prahasta1927@gmail.com</t>
  </si>
  <si>
    <t>0001701131376</t>
  </si>
  <si>
    <t>DONI DWI SAPUTRO</t>
  </si>
  <si>
    <t>357703080495000 1</t>
  </si>
  <si>
    <t>Jl. Mangku Jayan Gg VI No 8 RT/RW 010/004 Demangan Taman Madiun</t>
  </si>
  <si>
    <t>081 332 087 519</t>
  </si>
  <si>
    <t>evhidoni@gmail.com</t>
  </si>
  <si>
    <t>0000104915957</t>
  </si>
  <si>
    <t>M WAHYU RAMADON</t>
  </si>
  <si>
    <t>167106151200000 7</t>
  </si>
  <si>
    <t>Jl Segaran Lrg Kebangkan No 342 008/003, 9 ilir Palembang</t>
  </si>
  <si>
    <t>0895 0300 1082</t>
  </si>
  <si>
    <t>wahyuramadon2000@gmail.com</t>
  </si>
  <si>
    <t>0001312053142</t>
  </si>
  <si>
    <t>HADID KALIMARSO</t>
  </si>
  <si>
    <t>01-May-95</t>
  </si>
  <si>
    <t>Pemeliharaan Luar Negeri</t>
  </si>
  <si>
    <t>PONOROGO</t>
  </si>
  <si>
    <t>357703250471000 4</t>
  </si>
  <si>
    <t>Jl. Nitikusumo No. 48 RT. 006 RW. 002, Demangan, Taman, Kota Madiun</t>
  </si>
  <si>
    <t xml:space="preserve">0812 5908 773 </t>
  </si>
  <si>
    <t>hadid.kalimarso@inka.co.id</t>
  </si>
  <si>
    <t>0001127773528</t>
  </si>
  <si>
    <t>95N70012534</t>
  </si>
  <si>
    <t>INING NURYANTI</t>
  </si>
  <si>
    <t>382988095621000</t>
  </si>
  <si>
    <t>PRIYONO</t>
  </si>
  <si>
    <t>01-Dec-99</t>
  </si>
  <si>
    <t>357702130671000 1</t>
  </si>
  <si>
    <t>Jl.Borobudur Gg.1 N0-19 RT.002 RW.001 , Madiun Lor, Manguharjo, Kota Madiun</t>
  </si>
  <si>
    <t>0812 1679 3059</t>
  </si>
  <si>
    <t>priyono@inka.co.id</t>
  </si>
  <si>
    <t>0001127739519</t>
  </si>
  <si>
    <t>98N70015002</t>
  </si>
  <si>
    <t>SHINTA ANGODENY</t>
  </si>
  <si>
    <t>478616741621000</t>
  </si>
  <si>
    <t>STM Gamaliel Madiun</t>
  </si>
  <si>
    <t>GUNTORO</t>
  </si>
  <si>
    <t>357702030168000 1</t>
  </si>
  <si>
    <t>Jl. Pajajaran No.31 RT.026 RW.008, WINONGO, Manguharjo, Kota Madiun</t>
  </si>
  <si>
    <t>0896 9676 8117</t>
  </si>
  <si>
    <t>guntoro@inka.co.id</t>
  </si>
  <si>
    <t>0001127961459</t>
  </si>
  <si>
    <t>98N70014062</t>
  </si>
  <si>
    <t>382992667621000</t>
  </si>
  <si>
    <t>351903100667000 4</t>
  </si>
  <si>
    <t>JL. Lawu RT 021 RW 005, Jatisari, Geger, Madiun</t>
  </si>
  <si>
    <t>isbangun@inka.co.id</t>
  </si>
  <si>
    <t>98N70013973</t>
  </si>
  <si>
    <t>478617129621000</t>
  </si>
  <si>
    <t>BAGUS HARIYO SENO</t>
  </si>
  <si>
    <t>317507260494000 7</t>
  </si>
  <si>
    <t>Komp DEP PU No. 32 RT 009 RW 003 Kel. Pondok Kelapa Kec. Duren Sawit Jakarta Timur</t>
  </si>
  <si>
    <t>0812 9367 8426</t>
  </si>
  <si>
    <t>bagushariyoseno26@gmail.com</t>
  </si>
  <si>
    <t>PBI</t>
  </si>
  <si>
    <t>Universitas Muhammadiyah Jakarta</t>
  </si>
  <si>
    <t>FAIZAL RIZQI NUR EKWANUDIN</t>
  </si>
  <si>
    <t>Wil 1</t>
  </si>
  <si>
    <t>352109010497000 4</t>
  </si>
  <si>
    <t>Pandansari Selatan RT/RW 002/008, Kel, Jururejo, Kec. Ngawi, Kab. Ngawi</t>
  </si>
  <si>
    <t>0856 0865 6823</t>
  </si>
  <si>
    <t>faizalrizqi04@gmail.com</t>
  </si>
  <si>
    <t>0002161134325</t>
  </si>
  <si>
    <t>PANJI SULAKSONO</t>
  </si>
  <si>
    <t>Direktur Operasi</t>
  </si>
  <si>
    <t>357814260485000 2</t>
  </si>
  <si>
    <t>JL. Manukan Bhakti Gg I Blok 29 B No 4 RT 03 RW 03, Manukan Kulon, Tandes, Kota Surabaya</t>
  </si>
  <si>
    <t>0811 3484 876</t>
  </si>
  <si>
    <t>panji.sulaksono@inka.co.id</t>
  </si>
  <si>
    <t>0001134437242</t>
  </si>
  <si>
    <t>YUYUN FATIMAH LESTARI</t>
  </si>
  <si>
    <t>K/2</t>
  </si>
  <si>
    <t>587580192604000</t>
  </si>
  <si>
    <t>Recall INKA</t>
  </si>
  <si>
    <t>BAMBANG SUTRISNO</t>
  </si>
  <si>
    <t>Direktur Komersial</t>
  </si>
  <si>
    <t>357701100573000 1</t>
  </si>
  <si>
    <t>Cassa Blok D No.02 Ling. Jaya RT.006 RW.003, Klegen, Kartoharjo, Kota Madiun</t>
  </si>
  <si>
    <t>0811 3484 929</t>
  </si>
  <si>
    <t>bambang.sutrisno@inka.co.id</t>
  </si>
  <si>
    <t>0001127773539</t>
  </si>
  <si>
    <t>RETNOWATI HAYUNINGSIH</t>
  </si>
  <si>
    <t>478616089621000</t>
  </si>
  <si>
    <t>SUCI HERLAMBANG</t>
  </si>
  <si>
    <t>351908100295000 2</t>
  </si>
  <si>
    <t>Jl Gatotkoco RT 010 RW 004 Desa Nglames Kec. Madiun Kab. Madiun</t>
  </si>
  <si>
    <t>0857 5486 2530</t>
  </si>
  <si>
    <t>suciherlambang7@gmail.com</t>
  </si>
  <si>
    <t>0001545122316</t>
  </si>
  <si>
    <t>MUHAMAD HIDAYAT ADI PRATAMA</t>
  </si>
  <si>
    <t>352005260498000 1</t>
  </si>
  <si>
    <t>Jl Kasianto 260 Gang Sawo RT/RW 11/02 Kawedanan,  Magetan</t>
  </si>
  <si>
    <t>0857 3599 5566</t>
  </si>
  <si>
    <t>hidayatadi404@gmail.com</t>
  </si>
  <si>
    <t>000073954289 2</t>
  </si>
  <si>
    <t>Teknik Tenaga Listrik</t>
  </si>
  <si>
    <t>SEMOGA JAYA</t>
  </si>
  <si>
    <t>352005050694000 2</t>
  </si>
  <si>
    <t>Lingkungan Jetak, RT/RW 17/04, Kawedanan, Magetan</t>
  </si>
  <si>
    <t>0822 3331 0769</t>
  </si>
  <si>
    <t>semogajaya8@gmail.com</t>
  </si>
  <si>
    <t>000073832056 7</t>
  </si>
  <si>
    <t>GANGSAR PURWANTO</t>
  </si>
  <si>
    <t>357702181081000 1</t>
  </si>
  <si>
    <t>Jl. Gembili RT/RW 15/05 Ngejong Manguharjo Madiun</t>
  </si>
  <si>
    <t>0815 1392 0322</t>
  </si>
  <si>
    <t>gangsarpur91@gmail.com</t>
  </si>
  <si>
    <t>0001703366482</t>
  </si>
  <si>
    <t>PB-9/XII/IMSS/2019</t>
  </si>
  <si>
    <t>DWI ARI WIBOWO</t>
  </si>
  <si>
    <t>351907180888000 7</t>
  </si>
  <si>
    <t>Dsn Brojo, Ds. Kresek RT/RW 002/001 Kec. Wungu Madiun</t>
  </si>
  <si>
    <t>0812 3899 4008</t>
  </si>
  <si>
    <t>Dwiariwibowo150718</t>
  </si>
  <si>
    <t>0002037838094</t>
  </si>
  <si>
    <t>SMK Penerbangan Antariksa Madiun</t>
  </si>
  <si>
    <t>PB-4/XII/IMSS/2019</t>
  </si>
  <si>
    <t>HADI SAPUTRA</t>
  </si>
  <si>
    <t>351904110198000 1</t>
  </si>
  <si>
    <t>Dagangan, RT/RW 004/002, Kel. Dagangan, Kec. Dagangan, Kab. Madiun</t>
  </si>
  <si>
    <t>0897 7955 501</t>
  </si>
  <si>
    <t>saputrahadi501@gmail.com</t>
  </si>
  <si>
    <t>000207288509 5</t>
  </si>
  <si>
    <t>BOBON SURYANA</t>
  </si>
  <si>
    <t>Sukabumi</t>
  </si>
  <si>
    <t>Kp Gandasoli RT/RW 001/007 Cipurut, Kec. Cireunghas, Sukabumi</t>
  </si>
  <si>
    <t>0878 2096 4992</t>
  </si>
  <si>
    <t>bobonsuryana@gmail.com</t>
  </si>
  <si>
    <t>000140834818 1</t>
  </si>
  <si>
    <t>Sekolah Teknik Sukabumi</t>
  </si>
  <si>
    <t>MUHAMMAD GUFRON FADLY</t>
  </si>
  <si>
    <t>1440010312855</t>
  </si>
  <si>
    <t>Direktur Keuangan, SDM dan Manajemen Risiko</t>
  </si>
  <si>
    <t>350216280186000 2</t>
  </si>
  <si>
    <t>Gambiran, Ds Makamhaji RT/RW 001/014, Makamhaji, Kec. Kartasura, Kab. Sukoharjo</t>
  </si>
  <si>
    <t>0811 3484 893</t>
  </si>
  <si>
    <t>gufron.fadly@inka.co.id</t>
  </si>
  <si>
    <t>896917952647000</t>
  </si>
  <si>
    <t>IDA SARWENI</t>
  </si>
  <si>
    <t>Ekonomi Manajemen</t>
  </si>
  <si>
    <t>Universitas Airlangga</t>
  </si>
  <si>
    <t>MUHAMMAD RIKI HAMDANI</t>
  </si>
  <si>
    <t>PALEMBANG</t>
  </si>
  <si>
    <t>167108181193000 4</t>
  </si>
  <si>
    <t>Jl. Indragiri Iii No.205, RT 049/RW 017, Kel. Sialang, Kec. Sako, Palembang</t>
  </si>
  <si>
    <t>0896 3303 0918</t>
  </si>
  <si>
    <t>0002767133182</t>
  </si>
  <si>
    <t>TK/0</t>
  </si>
  <si>
    <t>SMK PGRI 2 Palembang</t>
  </si>
  <si>
    <t>ANNIDA NUR NASHEKA</t>
  </si>
  <si>
    <t>1710006037264</t>
  </si>
  <si>
    <t>331003590498000 1</t>
  </si>
  <si>
    <t>Ngemplak RT/RW 13/006, Kel. Birit, Kec. Wedi, Klaten</t>
  </si>
  <si>
    <t>0858 0077 1134</t>
  </si>
  <si>
    <t>0000086995664</t>
  </si>
  <si>
    <t>19081661688</t>
  </si>
  <si>
    <t>Ekonomi Pembangunan</t>
  </si>
  <si>
    <t>Ekonomi Bangunan</t>
  </si>
  <si>
    <t>M. RIZANI</t>
  </si>
  <si>
    <t>Kayu Bangun</t>
  </si>
  <si>
    <t>630705220395000 1</t>
  </si>
  <si>
    <t>Jl Pemuda Selatan 2 RT/RW 002/008 Klaten</t>
  </si>
  <si>
    <t>0822 5544 9319</t>
  </si>
  <si>
    <t>mrizani088@gmail.com</t>
  </si>
  <si>
    <t>000154706419 1</t>
  </si>
  <si>
    <t>SMK Muda Kreatif</t>
  </si>
  <si>
    <t>RAMA SUTAMI SALIM</t>
  </si>
  <si>
    <t>Cinta Manis</t>
  </si>
  <si>
    <t>167102030295000 3</t>
  </si>
  <si>
    <t>Perum Azhar Blok B7 No 9, Tanah Mas, Kec. Talang, Kab Banyuasin</t>
  </si>
  <si>
    <t>0823 0664 3535</t>
  </si>
  <si>
    <t>ramasutamisalim@gmail.com</t>
  </si>
  <si>
    <t>000150555684 3</t>
  </si>
  <si>
    <t>UniversitasTridinanti Palembang</t>
  </si>
  <si>
    <t>Universitas Tridinanti Palembang</t>
  </si>
  <si>
    <t>CHOLIK MOCHAMAD ZAMZAM</t>
  </si>
  <si>
    <t>Direktur Utama</t>
  </si>
  <si>
    <t>357701060369000 3</t>
  </si>
  <si>
    <t>JL Ronggo Tohjoyo Kel. Kanigoro Kec. Kartoharjo Kota Madiun</t>
  </si>
  <si>
    <t>0812 316 1846</t>
  </si>
  <si>
    <t>cholik.mzamzam@inka.co.id</t>
  </si>
  <si>
    <t>0001127773574</t>
  </si>
  <si>
    <t>95N70012690</t>
  </si>
  <si>
    <t>SULISTIYAWASIH</t>
  </si>
  <si>
    <t>Institut Teknologi Bandung</t>
  </si>
  <si>
    <t>ALIFAN BASMAN</t>
  </si>
  <si>
    <t>Pemalang</t>
  </si>
  <si>
    <t>332709090193001 0</t>
  </si>
  <si>
    <t>Dusun III Banjardawa RT 001 RW 006 Desa Banjardawa Kec. Taman Kabupaten Pemalang</t>
  </si>
  <si>
    <t>0853 2697 3312</t>
  </si>
  <si>
    <t xml:space="preserve">Alfianbasman@gmail.com </t>
  </si>
  <si>
    <t>0000078798879</t>
  </si>
  <si>
    <t>Aeronautika</t>
  </si>
  <si>
    <t>Sekolah Tinggi Kedirgantaraan Yogyakarta</t>
  </si>
  <si>
    <t>RUDI HARTONO</t>
  </si>
  <si>
    <t>351909280875000 9</t>
  </si>
  <si>
    <t>Dusun IV RT/RW 009/008 Desa Wayut Jiwan Madiun</t>
  </si>
  <si>
    <t>0812 5969 6592</t>
  </si>
  <si>
    <t>rh3100775@gmail.com</t>
  </si>
  <si>
    <t>SMK Swasta PGRI Mangunharjo</t>
  </si>
  <si>
    <t>PB-20/XII/IMSS/2019</t>
  </si>
  <si>
    <t>IRMA WIDAYANTI</t>
  </si>
  <si>
    <t>357701480300000 5</t>
  </si>
  <si>
    <t>Jl Cokroaminoto No 157 B Madiun</t>
  </si>
  <si>
    <t>0896 8231 1002</t>
  </si>
  <si>
    <t>irmawdyntii@gmail.com</t>
  </si>
  <si>
    <t>SMA N 3 Madiun</t>
  </si>
  <si>
    <t>NUR SHOLEH</t>
  </si>
  <si>
    <t>357703150168000 3</t>
  </si>
  <si>
    <t>Perum Taman Salak Blok C 202 RT 002 RW 003 Kel. Taman Kec. Taman Kota Madiun</t>
  </si>
  <si>
    <t>0812 3425 5656</t>
  </si>
  <si>
    <t>nur.sholeh@inka.co.id</t>
  </si>
  <si>
    <t>0001127758869</t>
  </si>
  <si>
    <t>94N70013956</t>
  </si>
  <si>
    <t>K/3</t>
  </si>
  <si>
    <t>Institut Teknologi Sepuluh November</t>
  </si>
  <si>
    <t>GALANT MAHASNA</t>
  </si>
  <si>
    <t>Tulungagung</t>
  </si>
  <si>
    <t>352514190184000 2</t>
  </si>
  <si>
    <t>JL. Umar Bin Khatab DD-5 RT 009 RW 009, Randuagung, Kebomas, Kota Gresik</t>
  </si>
  <si>
    <t>0822 3333 0910</t>
  </si>
  <si>
    <t>galant.mahasna@inka.co.id</t>
  </si>
  <si>
    <t>0001134427522</t>
  </si>
  <si>
    <t>FITRI IMANIAR</t>
  </si>
  <si>
    <t>ARRAN DZIKIR KALIMUSODO</t>
  </si>
  <si>
    <t>KINARAYU EI PANCANAKA</t>
  </si>
  <si>
    <t>GIRRI MALIK KALIMUSODO</t>
  </si>
  <si>
    <t>778058917629000</t>
  </si>
  <si>
    <t>SK-14/32/INKA/2023</t>
  </si>
  <si>
    <t>HANNA DITA PUSPITA</t>
  </si>
  <si>
    <t>357806610888000 2</t>
  </si>
  <si>
    <t>Manyar TiRToyoso Selatan, Manyar Sabrangan, Mulyorejo, Kota Surabaya</t>
  </si>
  <si>
    <t>0811 3484 935</t>
  </si>
  <si>
    <t>hanna.dpuspita@inka.co.id</t>
  </si>
  <si>
    <t>0001136180946</t>
  </si>
  <si>
    <t>ANDREI GITA HARDI</t>
  </si>
  <si>
    <t>SYAFIA AZZAHRA MALIKA</t>
  </si>
  <si>
    <t>896917895614000</t>
  </si>
  <si>
    <t>Ekonomi Bisnis</t>
  </si>
  <si>
    <t>DADANG KARTAWIJAYA</t>
  </si>
  <si>
    <t>006001084883 0</t>
  </si>
  <si>
    <t>PKWT-642006088 / D1/2020</t>
  </si>
  <si>
    <t>317501080575000 7</t>
  </si>
  <si>
    <t>Jl. Skip No 21, RT 13/RW 014, Pisangan Baru, Matraman, Jakarta Timur</t>
  </si>
  <si>
    <t>0813 8232 6116</t>
  </si>
  <si>
    <t>dadangkartawijaya01@gmail.com</t>
  </si>
  <si>
    <t>Mandiri</t>
  </si>
  <si>
    <t>20046861140</t>
  </si>
  <si>
    <t>Ilmu Sosial</t>
  </si>
  <si>
    <t>Universitas Bung Karno Jakarta</t>
  </si>
  <si>
    <t>63/V/130/IMSS/2023</t>
  </si>
  <si>
    <t>TEGUH PRIYATNA</t>
  </si>
  <si>
    <t>1640003793165</t>
  </si>
  <si>
    <t>1-Sep-21</t>
  </si>
  <si>
    <t>367407011175000 1</t>
  </si>
  <si>
    <t>Jl Bukit Permata Baru II No 26 RT/RW 002/008, Bakti Jaya, Kec. Setu, Tangerang Selatan</t>
  </si>
  <si>
    <t>0857 1145 6109</t>
  </si>
  <si>
    <t>teguh.ibnu.marhaen@gmail.com</t>
  </si>
  <si>
    <t>000236161535 5</t>
  </si>
  <si>
    <t>EPON HODIJAH</t>
  </si>
  <si>
    <t>KHANSA LATIFA IBNATU PRIYATNA</t>
  </si>
  <si>
    <t>KHAWARIZNI AL-MAHRUZ IBNU PRIYATNA</t>
  </si>
  <si>
    <t>SMA Nusantara Jakarta</t>
  </si>
  <si>
    <t>65/V/130/IMSS/2023</t>
  </si>
  <si>
    <t>SUGIYATNO</t>
  </si>
  <si>
    <t>SK-51/INKA/2019</t>
  </si>
  <si>
    <t>357703031274000 1</t>
  </si>
  <si>
    <t>Perum Griya Salak Blok D/08 RT 49/RW6 Kel. Taman Kec. Taman Kota Madiun</t>
  </si>
  <si>
    <t>0811 3484 907</t>
  </si>
  <si>
    <t>sugiyatno@inka.co.id</t>
  </si>
  <si>
    <t>0001127793587</t>
  </si>
  <si>
    <t>99N70012262</t>
  </si>
  <si>
    <t>NUNUNG HANDAYANI</t>
  </si>
  <si>
    <t>MUHAMMAD SHEVA RASYIDI</t>
  </si>
  <si>
    <t>NAFEESA KAYNA ZAFARANI</t>
  </si>
  <si>
    <t>NAFEESA KAYRA ZAFARANI</t>
  </si>
  <si>
    <t>SK-32/INKA/2023</t>
  </si>
  <si>
    <t>BINTANG GUMILAR</t>
  </si>
  <si>
    <t>Situbondo</t>
  </si>
  <si>
    <t>357701160370000 1</t>
  </si>
  <si>
    <t>Jl Hercules D.33 RT 45 RW 10, KLEGEN, Kartoharjo, Kota Madiun</t>
  </si>
  <si>
    <t>0811 3484 7</t>
  </si>
  <si>
    <t>bintang.gumilar@inka.co.id</t>
  </si>
  <si>
    <t>0001127793914</t>
  </si>
  <si>
    <t>97N70011789</t>
  </si>
  <si>
    <t>ENY KUSUMAWARDHA</t>
  </si>
  <si>
    <t>MUHAMMAD FA'IZ SINATRYA PUTRA</t>
  </si>
  <si>
    <t>TANIA CINDY PERMATA PUTRI</t>
  </si>
  <si>
    <t>382988699621000</t>
  </si>
  <si>
    <t>Laptop</t>
  </si>
  <si>
    <t>SK-44/INKA/2022</t>
  </si>
  <si>
    <t>JL. Jalak II No.6 RT. 005 RW. 002, Kel Nambangan Kidul, Kec Manguharjo Kota Madiun</t>
  </si>
  <si>
    <t>SK-46/INKA/2023</t>
  </si>
  <si>
    <t>DONNY EROWADI</t>
  </si>
  <si>
    <t>357602270681000 3</t>
  </si>
  <si>
    <t>Lingk Kedungsari RT 002 RW 009, GUNUNG GEDANGAN, Magersari, Kota Mojokerto</t>
  </si>
  <si>
    <t>0811 3484 896</t>
  </si>
  <si>
    <t>donny.erowadi@inka.co.id</t>
  </si>
  <si>
    <t>0001137332441</t>
  </si>
  <si>
    <t>LINA YANTIKASARI</t>
  </si>
  <si>
    <t>AKMALLINO RAFFASYA EROWADI</t>
  </si>
  <si>
    <t>AKHTAR SYAHRIZA EROWADI</t>
  </si>
  <si>
    <t>449165059602000</t>
  </si>
  <si>
    <t>BAYU YULIANTO</t>
  </si>
  <si>
    <t>LRT Jabo HSE</t>
  </si>
  <si>
    <t>320102240787000 6</t>
  </si>
  <si>
    <t>Jl Taruna Jaya 2 No 10 RT/RW 018/002, Serdang, Kemayoran, Jakarta Pusat</t>
  </si>
  <si>
    <t>0896 6886 5316</t>
  </si>
  <si>
    <t>bayu_yulianto87@yahoo.com</t>
  </si>
  <si>
    <t>000174491937 9</t>
  </si>
  <si>
    <t>Kesehatan Masyarakat</t>
  </si>
  <si>
    <t>Universitas Muhammadiyah Semarang</t>
  </si>
  <si>
    <t>REFA SEPTIYANTO</t>
  </si>
  <si>
    <t>PKWT-642007091 /D1/2020</t>
  </si>
  <si>
    <t>320115080991000 6</t>
  </si>
  <si>
    <t>Jl Ardi Manis F2/19, Kel Manisrejo, Taman, Madiun</t>
  </si>
  <si>
    <t>0859 7410 6613</t>
  </si>
  <si>
    <t>refaseptiyanto@gmail.com</t>
  </si>
  <si>
    <t xml:space="preserve">000123337861 7 </t>
  </si>
  <si>
    <t>15041913441</t>
  </si>
  <si>
    <t>CINDY NUR ARIANI</t>
  </si>
  <si>
    <t>RASHYA ZAKIR KHAIRI</t>
  </si>
  <si>
    <t>Universitas Pasundan</t>
  </si>
  <si>
    <t>DIHAN KHOMIRUL AKHYAR</t>
  </si>
  <si>
    <t>317202080695000 5</t>
  </si>
  <si>
    <t>Jl Warakas IV Gg. 7 No 53, Warakas, Tanjung Priok, Jakarta Utara</t>
  </si>
  <si>
    <t>0899 8773 178</t>
  </si>
  <si>
    <t>dihankhomirul@gmail.com</t>
  </si>
  <si>
    <t>000165023036 8</t>
  </si>
  <si>
    <t>LRT Jabo Driver</t>
  </si>
  <si>
    <t>320426270164000 2</t>
  </si>
  <si>
    <t>Kp Cigalumpit RT/RW 004/012, Citaman, Nagreg, Kab. Bandung</t>
  </si>
  <si>
    <t>0812 8006 0064</t>
  </si>
  <si>
    <t>000235647106 7</t>
  </si>
  <si>
    <t>SMK N 7 Taman Sari Jakarta</t>
  </si>
  <si>
    <t>REIHAN KUSUMA ALAM IRFANSAH</t>
  </si>
  <si>
    <t>357702080201000 2</t>
  </si>
  <si>
    <t>Perumahan Bumi Winongo Indah Blok B/12</t>
  </si>
  <si>
    <t>0813 3368 2608</t>
  </si>
  <si>
    <t>reihankai1@gmail.com</t>
  </si>
  <si>
    <t>0001381433286</t>
  </si>
  <si>
    <t>SETYO WIBOWO</t>
  </si>
  <si>
    <t>357701170472000 3</t>
  </si>
  <si>
    <t>Aneka Sari No 7 RT 016 RW 05 Kec. Kartoharjo Kota Madiun</t>
  </si>
  <si>
    <t>0812 3417 917</t>
  </si>
  <si>
    <t>setyo.wibowo@inka.co.id</t>
  </si>
  <si>
    <t>0001127778772</t>
  </si>
  <si>
    <t>95N70011658</t>
  </si>
  <si>
    <t>KURNIASARI WIDOWATI</t>
  </si>
  <si>
    <t>ISNA ILYASARI</t>
  </si>
  <si>
    <t>AMMAR MUHAMMAD ZAKY</t>
  </si>
  <si>
    <t>NAVYA AZZAHRA</t>
  </si>
  <si>
    <t>1-May-2028</t>
  </si>
  <si>
    <t>SK-48/INKA/2023</t>
  </si>
  <si>
    <t>JOKO PRIYANTO</t>
  </si>
  <si>
    <t>Pemeliharaan Mesin</t>
  </si>
  <si>
    <t>357703121073000 2</t>
  </si>
  <si>
    <t>Jl. Tanjung Mekar No. 10 RT. 050 RW. 003, Manisrejo, Taman, Kota Madiun</t>
  </si>
  <si>
    <t>0852 3503 8460</t>
  </si>
  <si>
    <t>joko.priyanto@inka.co.id</t>
  </si>
  <si>
    <t>0001127778759</t>
  </si>
  <si>
    <t>96N70011203</t>
  </si>
  <si>
    <t>YULIANA ARBA'ATUN</t>
  </si>
  <si>
    <t>HILMY ABYAN RIZKY</t>
  </si>
  <si>
    <t>AULIA IZZATUNNISA FAUZIYYAH</t>
  </si>
  <si>
    <t>SK-52/INKA/2023</t>
  </si>
  <si>
    <t>RIANT ADZANDY</t>
  </si>
  <si>
    <t>357806200790000 1</t>
  </si>
  <si>
    <t>Simo Sidomulyo 8/63-A RT 007 RW 017 , Petemon, Sawahan, Kota Surabaya</t>
  </si>
  <si>
    <t>0857 3301 3137</t>
  </si>
  <si>
    <t>riant.adzandy@inka.co.id</t>
  </si>
  <si>
    <t>0001516953104</t>
  </si>
  <si>
    <t>PERWITASARI FITRAH LAZZARY</t>
  </si>
  <si>
    <t>SENA FATIH ADZANDY</t>
  </si>
  <si>
    <t>BIAN SANI ADZANDY</t>
  </si>
  <si>
    <t>462936451614000</t>
  </si>
  <si>
    <t>Politeknik Elektronika Negeri Surabaya</t>
  </si>
  <si>
    <t>1-Aug-2046</t>
  </si>
  <si>
    <t>AGUS TRI LEKSONO</t>
  </si>
  <si>
    <t xml:space="preserve">125003180870000 4 </t>
  </si>
  <si>
    <t>Jl Dwi Jaya IV No. 148 RT 035 RW 008, Klegen, Kartoharjo, Kota Madiun</t>
  </si>
  <si>
    <t>0822 3333 0991</t>
  </si>
  <si>
    <t>agus.trileksono@inka.co.id</t>
  </si>
  <si>
    <t>0001127744032</t>
  </si>
  <si>
    <t>91N72014263</t>
  </si>
  <si>
    <t>LILIK ERNAWATI</t>
  </si>
  <si>
    <t>INDRA SATRIA</t>
  </si>
  <si>
    <t>DEWI ANGGRAINI INDRASWARI</t>
  </si>
  <si>
    <t>FADHILA ZAHRA SAHAYANTI</t>
  </si>
  <si>
    <t>478616998621000</t>
  </si>
  <si>
    <t>JUHADI</t>
  </si>
  <si>
    <t>351903160773000 5</t>
  </si>
  <si>
    <t>Jl. Perdana No.560 RT.015 RW.004, Jatisari, Geger, Madiun</t>
  </si>
  <si>
    <t>0853 3162 4552</t>
  </si>
  <si>
    <t>juhadi@inka.co.id</t>
  </si>
  <si>
    <t>0001127744212</t>
  </si>
  <si>
    <t>98N70015192</t>
  </si>
  <si>
    <t>EKO SULISTIYANI</t>
  </si>
  <si>
    <t>ADITYA BAYU PRATAMA</t>
  </si>
  <si>
    <t>HAYA LAELITA ANDINI</t>
  </si>
  <si>
    <t>382988012621000</t>
  </si>
  <si>
    <t>1-Aug-2029</t>
  </si>
  <si>
    <t>TEGUH YULIANTO</t>
  </si>
  <si>
    <t>351905140788000 2</t>
  </si>
  <si>
    <t>Jl.Apotik Hidup No.40, RT.RW :006/002, Kel.Ngegong, Kec.Manguharjo, Ngegong, Manguharjo, Kota Madiun</t>
  </si>
  <si>
    <t>0812 1651 4741</t>
  </si>
  <si>
    <t>teguh.yulianto@inka.co.id</t>
  </si>
  <si>
    <t>0001315477506</t>
  </si>
  <si>
    <t>WULI WURYANDARI</t>
  </si>
  <si>
    <t>GALIH HANANDIANTO</t>
  </si>
  <si>
    <t>836416149621000</t>
  </si>
  <si>
    <t>1-Aug-2032</t>
  </si>
  <si>
    <t>YULI SETIYONO</t>
  </si>
  <si>
    <t>Supervisor</t>
  </si>
  <si>
    <t>357701280773000 2</t>
  </si>
  <si>
    <t>Perumahan Jari Kampir Indah No B-9 RT.023 RW.005 , Kanigoro, Kartoharjo, Kota Madiun</t>
  </si>
  <si>
    <t>0813 3571 1511</t>
  </si>
  <si>
    <t>yuli.setiyono@inka.co.id</t>
  </si>
  <si>
    <t>0001127768714</t>
  </si>
  <si>
    <t>94N70014681</t>
  </si>
  <si>
    <t>DWI SULISTYOWATI</t>
  </si>
  <si>
    <t>INEZ HAYU PUTRIA VESTY</t>
  </si>
  <si>
    <t>NATHAN YUSA WARASTIKA</t>
  </si>
  <si>
    <t>382992360621000</t>
  </si>
  <si>
    <t>STM YP 17-1 Madiun</t>
  </si>
  <si>
    <t>ANDI WIJAYA</t>
  </si>
  <si>
    <t>357701160571000 2</t>
  </si>
  <si>
    <t>Jl Dorang Mas No-10 RT.016 RW.004 , Kelun, Kartoharjo, Kota Madiun</t>
  </si>
  <si>
    <t>081803362555 / 081233515323</t>
  </si>
  <si>
    <t>andi.wijaya@inka.co.id</t>
  </si>
  <si>
    <t>0001127813602</t>
  </si>
  <si>
    <t>98N70014575</t>
  </si>
  <si>
    <t>HERI ERNAWATI</t>
  </si>
  <si>
    <t>NAUVAL PUTRA PRADANA</t>
  </si>
  <si>
    <t>NINO PUTRA ANARGHYA</t>
  </si>
  <si>
    <t>382992303621000</t>
  </si>
  <si>
    <t>STM Negeri Jenangan</t>
  </si>
  <si>
    <t>HERMAN EKO SUSILO</t>
  </si>
  <si>
    <t>350216050469000 7</t>
  </si>
  <si>
    <t>Jl. Ali Usman 72 RT.02 RW.02</t>
  </si>
  <si>
    <t>0812 341 1171</t>
  </si>
  <si>
    <t>herman.esusilo@inka.co.id</t>
  </si>
  <si>
    <t>0001127758735</t>
  </si>
  <si>
    <t>93N70014147</t>
  </si>
  <si>
    <t>VIVIN INDAH S</t>
  </si>
  <si>
    <t>ANISA LABIBAH ULYA</t>
  </si>
  <si>
    <t>ACHMAD IRFAN JABBAR</t>
  </si>
  <si>
    <t>478615933647000</t>
  </si>
  <si>
    <t>Institut Teknlogi Pembangunan Surabaya</t>
  </si>
  <si>
    <t>1-May-2025</t>
  </si>
  <si>
    <t>HARIYANTO</t>
  </si>
  <si>
    <t>352004231072000 2</t>
  </si>
  <si>
    <t>Kepuhrejo RT.06 RW.01, Kepuhrejo, Takeran, Kab. Magetan</t>
  </si>
  <si>
    <t>0857 3646 6617</t>
  </si>
  <si>
    <t>hariyanto.98012@inka.co.id</t>
  </si>
  <si>
    <t>0001127798627</t>
  </si>
  <si>
    <t>98N70009492</t>
  </si>
  <si>
    <t>YAYUK PUJI LESTARI</t>
  </si>
  <si>
    <t>MILA AGUSTINA AMBAR WATI</t>
  </si>
  <si>
    <t>382987527646001</t>
  </si>
  <si>
    <t>ACHMAD FITROH SAYEKTI</t>
  </si>
  <si>
    <t>352514050492000 1</t>
  </si>
  <si>
    <t>Sirapan RT/RW.013/004 Madiun, Sirapan, Madiun, Madiun</t>
  </si>
  <si>
    <t>0812 9728 5227</t>
  </si>
  <si>
    <t>achmad.fsayekti@inka.co.id</t>
  </si>
  <si>
    <t>0000762885369</t>
  </si>
  <si>
    <t>NARMA AJENG BELLAKARINA</t>
  </si>
  <si>
    <t>HUMAYRA HAMLATUN NUR</t>
  </si>
  <si>
    <t>SHEZA HAFSHAH ZAHIRA</t>
  </si>
  <si>
    <t>710921065612000</t>
  </si>
  <si>
    <t>1-May-2048</t>
  </si>
  <si>
    <t>MINARTO</t>
  </si>
  <si>
    <t>351909170771000 3</t>
  </si>
  <si>
    <t>Ds Klagen serut RT 10 RW 03 , klagen serut, Jiwan, Madiun</t>
  </si>
  <si>
    <t>0858 5052 3329</t>
  </si>
  <si>
    <t>minaRTo@inka.co.id</t>
  </si>
  <si>
    <t>0001127965869</t>
  </si>
  <si>
    <t>98N70015176</t>
  </si>
  <si>
    <t xml:space="preserve">AJENG SANGGITA </t>
  </si>
  <si>
    <t>SEKAR AZIZAH</t>
  </si>
  <si>
    <t>382987634621000</t>
  </si>
  <si>
    <t>1-Aug-2027</t>
  </si>
  <si>
    <t>FATKHURROZI</t>
  </si>
  <si>
    <t>351902021271000 1</t>
  </si>
  <si>
    <t>Jl. Sido mulyo RT 28 RW 09, Dolopo, Dolopo, Madiun</t>
  </si>
  <si>
    <t>0813 3569 3222</t>
  </si>
  <si>
    <t>fatkhurrozi@inka.co.id</t>
  </si>
  <si>
    <t>0001127768499</t>
  </si>
  <si>
    <t>94N70014434</t>
  </si>
  <si>
    <t>SITI NURAIDAH</t>
  </si>
  <si>
    <t>ZULKHAM ELQUDSI NEILIL MUNA</t>
  </si>
  <si>
    <t>FARRADINKA RISMA FAHIRA</t>
  </si>
  <si>
    <t>382992030621000</t>
  </si>
  <si>
    <t>STM Muhammadiyah 1 Ponorogo</t>
  </si>
  <si>
    <t>KASINUL UMAMI</t>
  </si>
  <si>
    <t>351902151272000 1</t>
  </si>
  <si>
    <t>Sidorejo RT.003 RW.001, Sidorejo, Kebonsari, Madiun</t>
  </si>
  <si>
    <t>0853 3077 8390</t>
  </si>
  <si>
    <t>kasinul.umami@inka.co.id</t>
  </si>
  <si>
    <t>0001127778682</t>
  </si>
  <si>
    <t>96N70011138</t>
  </si>
  <si>
    <t>ANIS NURHIDAYATI</t>
  </si>
  <si>
    <t>FATA IHDA UMAMI</t>
  </si>
  <si>
    <t>NABIL EKA ZAIDAN</t>
  </si>
  <si>
    <t>HANUNG AQILA TRI PAMBUDI</t>
  </si>
  <si>
    <t>478615792621000</t>
  </si>
  <si>
    <t xml:space="preserve">Teknik Listrik </t>
  </si>
  <si>
    <t>SUTANTO</t>
  </si>
  <si>
    <t>352103050690000 4</t>
  </si>
  <si>
    <t>Ds. Soco RT.10 RW.01 Kec. Jogorogo Kab Nagwi, Soco, Jogorogo, NGAWI</t>
  </si>
  <si>
    <t>0858 5296 7087</t>
  </si>
  <si>
    <t>sutanto.16036@inka.co.id</t>
  </si>
  <si>
    <t>0001788813742</t>
  </si>
  <si>
    <t>NURUL MUKHOLIFATUL HASANAH</t>
  </si>
  <si>
    <t>FELICIA UZDA NASYITHA HASANAH</t>
  </si>
  <si>
    <t>820716835646000</t>
  </si>
  <si>
    <t>SMK 10 Nopember Madiun</t>
  </si>
  <si>
    <t>KASTURI</t>
  </si>
  <si>
    <t>352110040669000 4</t>
  </si>
  <si>
    <t>Dsn Melikan RT 02  RW 08, Tempuran, Paron, Kab. Ngawi</t>
  </si>
  <si>
    <t>0812 5250 3852</t>
  </si>
  <si>
    <t>kasturi@inka.co.id</t>
  </si>
  <si>
    <t>0001127808562</t>
  </si>
  <si>
    <t>98N70013965</t>
  </si>
  <si>
    <t>RICHY SYAFRIZAL</t>
  </si>
  <si>
    <t>478615800646000</t>
  </si>
  <si>
    <t>LASIDI</t>
  </si>
  <si>
    <t>351908090172000 1</t>
  </si>
  <si>
    <t>Betek  RT 001  RW 001, BETEK, Madiun, Madiun</t>
  </si>
  <si>
    <t>0821 3122 2828</t>
  </si>
  <si>
    <t>lasidi@inka.co.id</t>
  </si>
  <si>
    <t>0001127895614</t>
  </si>
  <si>
    <t>98N70014435</t>
  </si>
  <si>
    <t>ISTRIYA ARIYANTI</t>
  </si>
  <si>
    <t>EKA BUDI PRAYOGA</t>
  </si>
  <si>
    <t>DONI GEMILANG SAPUTRA</t>
  </si>
  <si>
    <t>478615859621000</t>
  </si>
  <si>
    <t>SUTARBI</t>
  </si>
  <si>
    <t>357701170872000 1</t>
  </si>
  <si>
    <t>Letjen S. Parman No 4B RT 001  RW 001, Oro oro ombo, Kartoharjo, Kota Madiun</t>
  </si>
  <si>
    <t>0813 5928 3741</t>
  </si>
  <si>
    <t>sutarbi@inka.co.id</t>
  </si>
  <si>
    <t>0001127739328</t>
  </si>
  <si>
    <t>98N70014781</t>
  </si>
  <si>
    <t>TITIK SETYAWATI</t>
  </si>
  <si>
    <t>FERDIANSYAH PRASETYA UTAMA</t>
  </si>
  <si>
    <t>CITRA AYU KUSUMANINGRUM</t>
  </si>
  <si>
    <t>FAHREZA AMMAR FAUZAN</t>
  </si>
  <si>
    <t>382989697621000</t>
  </si>
  <si>
    <t>NUR CHOLIS</t>
  </si>
  <si>
    <t>351909270273000 2</t>
  </si>
  <si>
    <t>Ds klagen serut RT 08 RW 03 , Klagen serut, Jiwan, Madiun</t>
  </si>
  <si>
    <t>0857 3659 0706</t>
  </si>
  <si>
    <t>nur.cholis@inka.co.id</t>
  </si>
  <si>
    <t>0001127803544</t>
  </si>
  <si>
    <t>98N70009807</t>
  </si>
  <si>
    <t>RETNO HADI PURNAWATI</t>
  </si>
  <si>
    <t>ABIDANTI DIENNABILA KHALISHYA</t>
  </si>
  <si>
    <t>ZIDAN GUNTUR SASONGKO</t>
  </si>
  <si>
    <t>382987188621000</t>
  </si>
  <si>
    <t>SAIFULLOH ROZI</t>
  </si>
  <si>
    <t>351805020371000 2</t>
  </si>
  <si>
    <t>Gondang RT 005  RW 002, Gondang, Pace, Kab. Nganjuk</t>
  </si>
  <si>
    <t>0822 4513 6052</t>
  </si>
  <si>
    <t>saifulloh.rozi@inka.co.id</t>
  </si>
  <si>
    <t>0001127808584</t>
  </si>
  <si>
    <t>98N70013981</t>
  </si>
  <si>
    <t>NURHAJATI</t>
  </si>
  <si>
    <t>MUHAMMAD AKMAL FURQON</t>
  </si>
  <si>
    <t>NAILA HANUN NAZIZAH</t>
  </si>
  <si>
    <t>478616360622000</t>
  </si>
  <si>
    <t>STM PGRI Nganjuk</t>
  </si>
  <si>
    <t>SUPRIYADI</t>
  </si>
  <si>
    <t>351903100869000 1</t>
  </si>
  <si>
    <t>Setrowiryan RT 16 RW 003, Kaibon, Geger, Madiun</t>
  </si>
  <si>
    <t>08563446871</t>
  </si>
  <si>
    <t>supriyadi.98080@inka.co.id</t>
  </si>
  <si>
    <t>0001127966152</t>
  </si>
  <si>
    <t>98N70013858</t>
  </si>
  <si>
    <t>WINDARTI</t>
  </si>
  <si>
    <t>LELY S</t>
  </si>
  <si>
    <t>MUHAMAD RAKA PRIWARDANA</t>
  </si>
  <si>
    <t>587580267621000</t>
  </si>
  <si>
    <t>DJOKO ISWAHYUDI</t>
  </si>
  <si>
    <t>351909231069000 1</t>
  </si>
  <si>
    <t>Ds. Bibrik RT 12 RW 05 , Bibrik, Jiwan, Madiun</t>
  </si>
  <si>
    <t>085735650499</t>
  </si>
  <si>
    <t>djoko.iswahyudi@inka.co.id</t>
  </si>
  <si>
    <t>0001127803555</t>
  </si>
  <si>
    <t>98N70009815</t>
  </si>
  <si>
    <t>SRI EKA WIDIASTUTI</t>
  </si>
  <si>
    <t>WAHYU AYIK CANDRA IRAWATI</t>
  </si>
  <si>
    <t>382986651621000</t>
  </si>
  <si>
    <t>STM PGRI 2 Madiun</t>
  </si>
  <si>
    <t>351903090370000 3</t>
  </si>
  <si>
    <t>Nglandung RT.006 RW.001, NGLANDUNG, Geger, Madiun</t>
  </si>
  <si>
    <t>082229034877</t>
  </si>
  <si>
    <t>suryono@inka.co.id</t>
  </si>
  <si>
    <t>0001127749331</t>
  </si>
  <si>
    <t>98N70015804</t>
  </si>
  <si>
    <t>WIDAKDO TRICAHYONO</t>
  </si>
  <si>
    <t>478615628621000</t>
  </si>
  <si>
    <t>STM 10 Nopember Madiun</t>
  </si>
  <si>
    <t>ARI EKO PRASETYO</t>
  </si>
  <si>
    <t>351903280290000 1</t>
  </si>
  <si>
    <t>Jl.Istirahat RT/RW :018/004, Kel : Kaibon, Kec: Geger, Kaibon, Geger, Madiun</t>
  </si>
  <si>
    <t>087858386528</t>
  </si>
  <si>
    <t>ari.eko.prasetyo@inka.co.id</t>
  </si>
  <si>
    <t>0001316139851</t>
  </si>
  <si>
    <t>SEPTIANA DEWI IRMAWATI</t>
  </si>
  <si>
    <t>SOFIA HASNA MAHIRA</t>
  </si>
  <si>
    <t>MUHAMMAD ABIZAR RAZQA PRASETYO</t>
  </si>
  <si>
    <t>812927234621000</t>
  </si>
  <si>
    <t>SMK YP17-1 Madiun</t>
  </si>
  <si>
    <t>DANANG SAMUDRO</t>
  </si>
  <si>
    <t>350209160292000 1</t>
  </si>
  <si>
    <t>Dkh. Winong I, RT : 001 RW : 001 , Winong, Jetis, Kab. Ponorogo</t>
  </si>
  <si>
    <t>085716449588</t>
  </si>
  <si>
    <t>danang.samudro@inka.co.id</t>
  </si>
  <si>
    <t>0001809250108</t>
  </si>
  <si>
    <t>DIAH AYU WARDANI</t>
  </si>
  <si>
    <t>ALBERN YUKI KHLAFANI</t>
  </si>
  <si>
    <t>836182329647000</t>
  </si>
  <si>
    <t>SMKN 1 Jenangan</t>
  </si>
  <si>
    <t>351907311271000 3</t>
  </si>
  <si>
    <t>Ds. Tempursari RT 02 RW 01, tempursari, Wungu, Madiun</t>
  </si>
  <si>
    <t>supriyono.94065@inka.co.id</t>
  </si>
  <si>
    <t>0001299596016</t>
  </si>
  <si>
    <t>94N70014442</t>
  </si>
  <si>
    <t>NINIK DAYANI</t>
  </si>
  <si>
    <t>PRIMA SURYADANI</t>
  </si>
  <si>
    <t>382989895621000</t>
  </si>
  <si>
    <t>351905050769000 6</t>
  </si>
  <si>
    <t>Slaji  RT.032 RW.010, Randualas, Kare, Madiun</t>
  </si>
  <si>
    <t>082140956385</t>
  </si>
  <si>
    <t>mujiono@inka.co.id</t>
  </si>
  <si>
    <t>0001299022244</t>
  </si>
  <si>
    <t>96N70010858</t>
  </si>
  <si>
    <t>ATMINI</t>
  </si>
  <si>
    <t>RENY DIAH PUJIASTUTI</t>
  </si>
  <si>
    <t>86877941621000</t>
  </si>
  <si>
    <t>Teknik Pengerjaan Logam</t>
  </si>
  <si>
    <t>1-Aug-2025</t>
  </si>
  <si>
    <t>BAMBANG RUDIANTORO</t>
  </si>
  <si>
    <t>351915050672000 2</t>
  </si>
  <si>
    <t>Sidomulyo RT.018 RW.006, Sidomulyo, Wonoasri, Madiun</t>
  </si>
  <si>
    <t>bambang.rudiyanto@inka.co.id</t>
  </si>
  <si>
    <t>0001127749105</t>
  </si>
  <si>
    <t>98N70015515</t>
  </si>
  <si>
    <t>LILIS MARLIANI</t>
  </si>
  <si>
    <t>BERLIANA WIDIANTORO PUTRI</t>
  </si>
  <si>
    <t>RAMADHAN PUTRA WIDIANTORO</t>
  </si>
  <si>
    <t>BAGUS ANANDA WIDIANTORO</t>
  </si>
  <si>
    <t>382989515621000</t>
  </si>
  <si>
    <t>PUTRA MARULI TUA ARITONANG</t>
  </si>
  <si>
    <t>Tabalong</t>
  </si>
  <si>
    <t>630905270994000 1</t>
  </si>
  <si>
    <t>Kembang Kuning RT 003, Kec. Haruai, Kab. Tabalong</t>
  </si>
  <si>
    <t>0852 5259 1008</t>
  </si>
  <si>
    <t>putramaruli25@gmail.com</t>
  </si>
  <si>
    <t>0002886377218</t>
  </si>
  <si>
    <t>MAULINA SETYASIH</t>
  </si>
  <si>
    <t>SK-31/INKA/2020</t>
  </si>
  <si>
    <t>357701601282000 1</t>
  </si>
  <si>
    <t>Jl Tawang Sakti Gg 4 No 2, RT / RW 004/ 002 Tawangrejo, Kartoharjo, Kota Madiun</t>
  </si>
  <si>
    <t>0822 3122 7420</t>
  </si>
  <si>
    <t>maulina.saisy@gmail.com</t>
  </si>
  <si>
    <t>000114407965 1</t>
  </si>
  <si>
    <t>JAROT RAHMAT KURNIAWAN</t>
  </si>
  <si>
    <t>AISYA NUR MAHDIYA</t>
  </si>
  <si>
    <t>NUR BUSSAINA HANUM</t>
  </si>
  <si>
    <t>NUR CHAIRANI MASAYU</t>
  </si>
  <si>
    <t>ADISCA DEWI NURIZZKY</t>
  </si>
  <si>
    <t>357701640700000 2</t>
  </si>
  <si>
    <t>JL.Sri Unggul No.30 Rt.05/Rw.01, Kanigoro Madiun</t>
  </si>
  <si>
    <t>0858 0676 8376</t>
  </si>
  <si>
    <t>adisdewi24@gmail.com</t>
  </si>
  <si>
    <t>MOCHAMMAD AKBAR ADRIANSYAH</t>
  </si>
  <si>
    <t>327329020695000 1</t>
  </si>
  <si>
    <t>Jl Andes No 33, Pinus Regency RT/RW 002/001, Babakan Penghulu, Cinambo, Bandung</t>
  </si>
  <si>
    <t>0812 2281 1848</t>
  </si>
  <si>
    <t>mochakbaradriansyah@gmail.com</t>
  </si>
  <si>
    <t>000327830282 8</t>
  </si>
  <si>
    <t>IWAN MAULANA</t>
  </si>
  <si>
    <t>350614080301000 1</t>
  </si>
  <si>
    <t>Jalan Raya Papar No 79, RT/RW 001/007, Papar, Kediri</t>
  </si>
  <si>
    <t>0812 1601 8139</t>
  </si>
  <si>
    <t>iwanmaulana407612ipal@gmail.com</t>
  </si>
  <si>
    <t>0002463683466</t>
  </si>
  <si>
    <t>SUTISNO</t>
  </si>
  <si>
    <t>327606010758000 4</t>
  </si>
  <si>
    <t>Komp Perumka RT/RW 003/008, Pondok Cina, Kec. Beji, Kota Depok</t>
  </si>
  <si>
    <t>0882 1085 8634</t>
  </si>
  <si>
    <t>Sutisno.ino18@gmail.com</t>
  </si>
  <si>
    <t>000220893182 8</t>
  </si>
  <si>
    <t>MARGIANTI</t>
  </si>
  <si>
    <t>K/0</t>
  </si>
  <si>
    <t>SMK N 2 Surakarta</t>
  </si>
  <si>
    <t>ENDANG HERMAWAN</t>
  </si>
  <si>
    <t>320512031158000 1</t>
  </si>
  <si>
    <t>Kp Padasuka, RT/RW 002/006, Padasuka, Cibatu, Kab. Garut</t>
  </si>
  <si>
    <t>0878 8962 0963</t>
  </si>
  <si>
    <t>Pensiunan PNS</t>
  </si>
  <si>
    <t>EUIS TETI</t>
  </si>
  <si>
    <t>STM Muhammadiyah I Jakarta</t>
  </si>
  <si>
    <t>000190557021 3</t>
  </si>
  <si>
    <t>K/1</t>
  </si>
  <si>
    <t>ADITYA NAUFAL FIRMANSYAH</t>
  </si>
  <si>
    <t>352109090301000 4</t>
  </si>
  <si>
    <t>Dungus, Karangsari, RT/RW 004/003, Ngawi</t>
  </si>
  <si>
    <t>0823 3745 5245</t>
  </si>
  <si>
    <t>SUDARNO (ALM)</t>
  </si>
  <si>
    <t>ERNI TRESNOWATI</t>
  </si>
  <si>
    <t>DIKI WAHYO AROBI</t>
  </si>
  <si>
    <t>Brumbung RT 03 RW 05 Krakitan, Bayat, Klaten, Jawa Tengah</t>
  </si>
  <si>
    <t>dikifmls07@gmail.com</t>
  </si>
  <si>
    <t>ANDRIANSYAH</t>
  </si>
  <si>
    <t>Timbaan</t>
  </si>
  <si>
    <t>120823191001000 5</t>
  </si>
  <si>
    <t>Huta VI, Pasar Pagi Nagori Perlanaan, Kec Bandar, Kab. Simalungun</t>
  </si>
  <si>
    <t>0823 1209 6615</t>
  </si>
  <si>
    <t>yansyahandri281@gmail.com</t>
  </si>
  <si>
    <t>000308827997 8</t>
  </si>
  <si>
    <t>SMK Swasta Satriya Budi 1 Perdagangan</t>
  </si>
  <si>
    <t>WILDHA AYU KARTIKA</t>
  </si>
  <si>
    <t>administrasi</t>
  </si>
  <si>
    <t>350401420193000 2</t>
  </si>
  <si>
    <t>Jl Mt Haryono V/3f RT02 RW 04 Tulungagung Jawa Timur</t>
  </si>
  <si>
    <t>08121641912</t>
  </si>
  <si>
    <t>wildha.akaRTika@inka.co.id</t>
  </si>
  <si>
    <t>0000106955706</t>
  </si>
  <si>
    <t>17037314386</t>
  </si>
  <si>
    <t>904712932629000</t>
  </si>
  <si>
    <t>SK/100/INKA/2023</t>
  </si>
  <si>
    <t>FLORA WINARSIH</t>
  </si>
  <si>
    <t>Bendahara</t>
  </si>
  <si>
    <t>Ruteng</t>
  </si>
  <si>
    <t>351903580483000 3</t>
  </si>
  <si>
    <t xml:space="preserve">Dusun Bulu Tuwo RT 019 RW 003 Kel. Dukuh Kec. Bendo </t>
  </si>
  <si>
    <t>+62 812-1771-8508</t>
  </si>
  <si>
    <t>flora.kendar@gmail.com</t>
  </si>
  <si>
    <t>0002301320024</t>
  </si>
  <si>
    <t>18026752024</t>
  </si>
  <si>
    <t>AGUNG WAHYUDI</t>
  </si>
  <si>
    <t>Universitas Jember</t>
  </si>
  <si>
    <t>SK-01/D1/IMSS/2024</t>
  </si>
  <si>
    <t>ANDI BAYU SAPUTRA</t>
  </si>
  <si>
    <t>Las</t>
  </si>
  <si>
    <t>351901150595000 2</t>
  </si>
  <si>
    <t>Dusun Gantrung, RT/RW 013/007, Mojorejo, Kebonsari, Kab. Madiun</t>
  </si>
  <si>
    <t>0822 2935 1310</t>
  </si>
  <si>
    <t>andibayusaputra491@gmail.com</t>
  </si>
  <si>
    <t>000261848583 9</t>
  </si>
  <si>
    <t>17/II/210/IMSS/2024</t>
  </si>
  <si>
    <t>TRI HARI SANTOSO</t>
  </si>
  <si>
    <t>357701070588000 2</t>
  </si>
  <si>
    <t>Jl.Imam Bonjol Gg.Jati Kapur No.1, RT/RW:024/006, Kel.Klegen, Kec.Kartoharjo, Klegen, Kartoharjo, Kota Madiun</t>
  </si>
  <si>
    <t>0813 6159 7909</t>
  </si>
  <si>
    <t>tri.hari.santoso@inka.co.id</t>
  </si>
  <si>
    <t>0001306556954</t>
  </si>
  <si>
    <t>NONI SAFITRI</t>
  </si>
  <si>
    <t>AZKA ABDILAH</t>
  </si>
  <si>
    <t>ATHAR UKKASYAH</t>
  </si>
  <si>
    <t>833182793621000</t>
  </si>
  <si>
    <t>SK-11.1/INKA/2024</t>
  </si>
  <si>
    <t>MUHAMMAD VILLA ZAKHI</t>
  </si>
  <si>
    <t>350104010102000 6</t>
  </si>
  <si>
    <t>RW 02, RW 06, Desa Kayen, Kecamatan Pacitan, Kabupaten Pacitan, Provinsi Jawa Timur</t>
  </si>
  <si>
    <t>62 851-7521-1815</t>
  </si>
  <si>
    <t>muhammadvilla89@gmail.com</t>
  </si>
  <si>
    <t>0001844210182</t>
  </si>
  <si>
    <t>18/II/210/IMSS/2024</t>
  </si>
  <si>
    <t>ADITYA RIANTO ST</t>
  </si>
  <si>
    <t>327503271087001 3</t>
  </si>
  <si>
    <t>Pondok Ungu Permai D21/18, Kaliabang Tengah, Bekasi Utara, Kota Bekasi</t>
  </si>
  <si>
    <t>'+62 813-2229-4984</t>
  </si>
  <si>
    <t>aditia.rianto@inka.co.id</t>
  </si>
  <si>
    <t>0001874583505</t>
  </si>
  <si>
    <t>MIMI KADARMI</t>
  </si>
  <si>
    <t>FEISYA ZAFIRA KHANSA</t>
  </si>
  <si>
    <t>574104410407000</t>
  </si>
  <si>
    <t>SK-15/INKA/2024</t>
  </si>
  <si>
    <t>RUDI HARIYANTO</t>
  </si>
  <si>
    <t>357702291071000 1</t>
  </si>
  <si>
    <t>Jl Campursari Blok D3/3 Madiun RT 025 RW 009 Kel. Sogaten Kec. Manguharjo Kota Madiun</t>
  </si>
  <si>
    <t>0857 3670 0387</t>
  </si>
  <si>
    <t>rudi.hariyanto@inka.co.id</t>
  </si>
  <si>
    <t>0001127753741</t>
  </si>
  <si>
    <t>92N70022365</t>
  </si>
  <si>
    <t>NURUL OKTAVIANITA</t>
  </si>
  <si>
    <t>ARDITYA KURNIA RAMADHANI PUTRA</t>
  </si>
  <si>
    <t>AARDIELLA AYU CINTHYA PUTRI</t>
  </si>
  <si>
    <t>ADHITAMA WIKAN HARIYANTO</t>
  </si>
  <si>
    <t>SK-27/INKA/2024</t>
  </si>
  <si>
    <t>DONI EFENDI</t>
  </si>
  <si>
    <t>QC FINAL</t>
  </si>
  <si>
    <t>351910210502000 1</t>
  </si>
  <si>
    <t xml:space="preserve">Dusun Plumpung 002/003 Glonggong, Balerejo, Kab madiun </t>
  </si>
  <si>
    <t>62 857-0750-9042</t>
  </si>
  <si>
    <t>Mbahegaul69@gmail.com</t>
  </si>
  <si>
    <t>0000738442618</t>
  </si>
  <si>
    <t>28/II/210/IMSS/2024</t>
  </si>
  <si>
    <t>ARDHIYANTO DWI PRABOWO</t>
  </si>
  <si>
    <t>352011251294000 1</t>
  </si>
  <si>
    <t>Ds. Suratmajan RT/RW 007/001 Kec. Maospati, Kab. Magetan</t>
  </si>
  <si>
    <t>0858 0721 8541</t>
  </si>
  <si>
    <t>ardhiyantodwiprabowo@gmail.com</t>
  </si>
  <si>
    <t>0001831612228</t>
  </si>
  <si>
    <t>30/III/210/IMSS/2024</t>
  </si>
  <si>
    <t>JUNAIDI</t>
  </si>
  <si>
    <t>351903011168000 3</t>
  </si>
  <si>
    <t>Kranggan, RT/ RW 002/001, Kec. Geger, Kab. Madiun</t>
  </si>
  <si>
    <t>0813 3570 2270</t>
  </si>
  <si>
    <t>junaidi@inka.co.id</t>
  </si>
  <si>
    <t>0001127758702</t>
  </si>
  <si>
    <t>93N70014113</t>
  </si>
  <si>
    <t>YUENTIE SOVA P.</t>
  </si>
  <si>
    <t>ARIF MUHAIMIN</t>
  </si>
  <si>
    <t>350216280870000 2</t>
  </si>
  <si>
    <t>Jl Tunggal Asri 002/001 , Bareng, Babadan, Kab Ponorogo</t>
  </si>
  <si>
    <t>+62 878-3610-0987</t>
  </si>
  <si>
    <t>arif.muhaimin@inka.co.id</t>
  </si>
  <si>
    <t>0001127773596</t>
  </si>
  <si>
    <t>95N70012716</t>
  </si>
  <si>
    <t>ATIQ WIRAWATI</t>
  </si>
  <si>
    <t>SATRYA SIGIT PRAKOSO</t>
  </si>
  <si>
    <t>352422060902000 3</t>
  </si>
  <si>
    <t>Jl Made Kidul GG XVI No 11 002/003 Made Lamongan, Kab Lamongan</t>
  </si>
  <si>
    <t>62 821-3114-5158</t>
  </si>
  <si>
    <t>satryasigit81@gmail.com</t>
  </si>
  <si>
    <t>0002378746124</t>
  </si>
  <si>
    <t>SMK N 2 Lamongan</t>
  </si>
  <si>
    <t>40/IV/210/IMSS/2024</t>
  </si>
  <si>
    <t>ISWANTO</t>
  </si>
  <si>
    <t>357701190469000 1</t>
  </si>
  <si>
    <t>Sri Rejeki 87 B Lk. Gayamsari RT.001 RW.001, Sukosari, Kartoharjo, Kota Madiun</t>
  </si>
  <si>
    <t>0811 3484 880</t>
  </si>
  <si>
    <t>iswanto@inka.co.id</t>
  </si>
  <si>
    <t>0001127798515</t>
  </si>
  <si>
    <t>97N70011847</t>
  </si>
  <si>
    <t>RIESANTI EDIE WIJAYA</t>
  </si>
  <si>
    <t>MUHAMMAD APTA MAHESWARA</t>
  </si>
  <si>
    <t>MUHAMMAD ARKA MAHESWARA</t>
  </si>
  <si>
    <t>382989705621000</t>
  </si>
  <si>
    <t>Ekonomi &amp; Manajemen</t>
  </si>
  <si>
    <t>SD-104/220/INKA/2024</t>
  </si>
  <si>
    <t>JEFRI LEKSANA</t>
  </si>
  <si>
    <t>Gohor Lama</t>
  </si>
  <si>
    <t>120512180693000 3</t>
  </si>
  <si>
    <t>Dsn. Bangun Sari RT/RW 002/004, Jatisari, PD Tualang, Langkat</t>
  </si>
  <si>
    <t>0813 6035 5517</t>
  </si>
  <si>
    <t>lexana43@gmail.com</t>
  </si>
  <si>
    <t>0000249047111</t>
  </si>
  <si>
    <t>NADINE SHAFA ALMAHYRA</t>
  </si>
  <si>
    <t>BOHARI</t>
  </si>
  <si>
    <t>SETIAWATI</t>
  </si>
  <si>
    <t>55.764.035.6-119.000</t>
  </si>
  <si>
    <t>Berhak</t>
  </si>
  <si>
    <t>Lunas</t>
  </si>
  <si>
    <t>46/IV/210/IMSS/2024</t>
  </si>
  <si>
    <t>BERTO BACHTIAR</t>
  </si>
  <si>
    <t>357806220801000 3</t>
  </si>
  <si>
    <t>Kendangsari Gg 2 No 46-B, Kec. Tenggilis Mejoyo, Kota Surabaya</t>
  </si>
  <si>
    <t>62 899-3794-825</t>
  </si>
  <si>
    <t>bjr191@gmail.com</t>
  </si>
  <si>
    <t>0001616056525</t>
  </si>
  <si>
    <t>33/IV/210/IMSS/2024</t>
  </si>
  <si>
    <t>HARSY AJIESEFTIAN</t>
  </si>
  <si>
    <t>327601171097000 4</t>
  </si>
  <si>
    <t>Lio Citayam 004/007 Bojong Pondok Terong, Cipayung, Depok</t>
  </si>
  <si>
    <t>0822 5977 1839</t>
  </si>
  <si>
    <t>Harsyajie17@gmail.com</t>
  </si>
  <si>
    <t>0001014251646</t>
  </si>
  <si>
    <t>HARRY OKTOVIAN</t>
  </si>
  <si>
    <t>NURI IRIANI</t>
  </si>
  <si>
    <t>84.953.045.6.412.000</t>
  </si>
  <si>
    <t>57/VII/210/IMSS/2024</t>
  </si>
  <si>
    <t>MOHAMMAD RIZQI</t>
  </si>
  <si>
    <t>357829140499000 2</t>
  </si>
  <si>
    <t>Jl. Bambang Sutoro No. 2 RT 001 RW 005 Sukolilo Baru, Bulak</t>
  </si>
  <si>
    <t>riski.takul90@gmail.com</t>
  </si>
  <si>
    <t>0001110557529</t>
  </si>
  <si>
    <t>47/VII/210/IMSS/2024</t>
  </si>
  <si>
    <t>MUNIRUL ICHWANI</t>
  </si>
  <si>
    <t>351903250301000 1</t>
  </si>
  <si>
    <t>Jl Sunan Ampel RT/RW 014/007, Sumberejo, Geger, Kabupaten Madiun</t>
  </si>
  <si>
    <t>0881 0368 48018</t>
  </si>
  <si>
    <t>munirulmun21@gmail.com</t>
  </si>
  <si>
    <t>0003274405931</t>
  </si>
  <si>
    <t>74/VI/210/IMSS/2024</t>
  </si>
  <si>
    <t>FALLAH DZUNURAINI</t>
  </si>
  <si>
    <t>PKWT-642002072 /D1/2020</t>
  </si>
  <si>
    <t>Pekanbaru</t>
  </si>
  <si>
    <t>147112080896002 1</t>
  </si>
  <si>
    <t>Jl. Perum Citra Sari RT/RW 001/008, Limbungan, Rumabai Pesisir, Pekanbaru</t>
  </si>
  <si>
    <t>0852 6578 2423</t>
  </si>
  <si>
    <t>fallahdzu96@gmail.com</t>
  </si>
  <si>
    <t>0002920946657</t>
  </si>
  <si>
    <t>20015606583</t>
  </si>
  <si>
    <t>LIZA MAWARNY</t>
  </si>
  <si>
    <t>MUMTAZ ABQARY KAYSAN</t>
  </si>
  <si>
    <t>NURAINI SYARIFUDDIN</t>
  </si>
  <si>
    <t>SUPARMIN</t>
  </si>
  <si>
    <t>IDA FARIDA</t>
  </si>
  <si>
    <t>41.173.788.5.015.000</t>
  </si>
  <si>
    <t>Universitas Lancang Kuning</t>
  </si>
  <si>
    <t xml:space="preserve">ALFIAN ADI SAPUTRA </t>
  </si>
  <si>
    <t>357101 160 398 0003</t>
  </si>
  <si>
    <t xml:space="preserve">Jln. Kawi gang 2 No 34 Kec. Mojoroto Kediri </t>
  </si>
  <si>
    <t>089 518 065 418</t>
  </si>
  <si>
    <t>PRATAMA BAGUS AJI SYAHPUTRA</t>
  </si>
  <si>
    <t>357703210400000 2</t>
  </si>
  <si>
    <t>Jl Kendali Sodo, RT/RW 026/001,  Kel Demangan, Kec. Taman, Kota Madiun</t>
  </si>
  <si>
    <t>0812 1753 2378</t>
  </si>
  <si>
    <t>ramacilik2104@gmail.com</t>
  </si>
  <si>
    <t>0001524217239</t>
  </si>
  <si>
    <t xml:space="preserve">SONY AGUS YULIANTO </t>
  </si>
  <si>
    <t>352011 271 289 0002</t>
  </si>
  <si>
    <t>Jln. Pepaya RT/RW 13/03 Ds. Gulun Kec.Maospati Magetan</t>
  </si>
  <si>
    <t>085 736 443 580</t>
  </si>
  <si>
    <t>Sonyacoy498@gmail.com</t>
  </si>
  <si>
    <t>ERMA PATMAWATI</t>
  </si>
  <si>
    <t>ZHENA RIZKY SEPTIAN NUR ABDULLAH</t>
  </si>
  <si>
    <t>AMANDA ZHERENA NAOURA</t>
  </si>
  <si>
    <t>SUWARNO (ALM)</t>
  </si>
  <si>
    <t>EKO SUPARJO</t>
  </si>
  <si>
    <t>SUTAMI</t>
  </si>
  <si>
    <t>Mekanik Otomotif</t>
  </si>
  <si>
    <t>SMK PGRI 2 Geneng</t>
  </si>
  <si>
    <t>Xl 5</t>
  </si>
  <si>
    <t>XLLLLL</t>
  </si>
  <si>
    <t>TRI YUDHA FIKRI ANTONI</t>
  </si>
  <si>
    <t>352011 040 297 0001</t>
  </si>
  <si>
    <t>Jln. Mlinjo Dkh. Sungwi RT/RW 10/03 Ds. Sugihwaras Kec. Maospati Magetan</t>
  </si>
  <si>
    <t>085 708 030 347</t>
  </si>
  <si>
    <t>yudhafikri4@gmail.com</t>
  </si>
  <si>
    <t>PAINO</t>
  </si>
  <si>
    <t>TUTIK SRI WAHYUNI</t>
  </si>
  <si>
    <t>Teknik Sepeda Motor</t>
  </si>
  <si>
    <t>SMN 1 Bendo</t>
  </si>
  <si>
    <t>M. AKHIRUL RAMADHAN</t>
  </si>
  <si>
    <t>167102280198000 5</t>
  </si>
  <si>
    <t>Jln Faqih Usman Lr Tangga Raja RT 012 RW 003Kel. 2 Ulu Kec. Seberang Ulu I  Kota Palembang</t>
  </si>
  <si>
    <t>0821 8035 7651</t>
  </si>
  <si>
    <t>Akhirulr553@gmail.com</t>
  </si>
  <si>
    <t>0001163846889</t>
  </si>
  <si>
    <t>M. SOFYAN</t>
  </si>
  <si>
    <t>NOVI ANDRIANI</t>
  </si>
  <si>
    <t>42.296.686.1-306.000</t>
  </si>
  <si>
    <t>WIDODO AGUS PRAKOSO</t>
  </si>
  <si>
    <t>351907 140 498 0001</t>
  </si>
  <si>
    <t xml:space="preserve">Ds. Pilangrejo RT/RW 14/04 Kec. Wungu Kab. Madiun </t>
  </si>
  <si>
    <t>087 759 953 584</t>
  </si>
  <si>
    <t>widodobagus201@gmail.com</t>
  </si>
  <si>
    <t>ALISA CITRA FATMAWATI</t>
  </si>
  <si>
    <t>352004450301000 1</t>
  </si>
  <si>
    <t>Dsn Bendo RT/RW 14/03, Kuwonharjo, Takeran Magetan</t>
  </si>
  <si>
    <t>0852 3513 0174</t>
  </si>
  <si>
    <t>alisacitra42@gmail.com</t>
  </si>
  <si>
    <t>0002877702524</t>
  </si>
  <si>
    <t>Teknik Manajemen Lingkungan</t>
  </si>
  <si>
    <t>Institut Pertanian Bogor</t>
  </si>
  <si>
    <t>DATA MUTASI KARYAWAN TERHITUNG MULAI 9 MARET 2021</t>
  </si>
  <si>
    <t>NIP</t>
  </si>
  <si>
    <t>Jabatan</t>
  </si>
  <si>
    <t>Kolom Kosong</t>
  </si>
  <si>
    <t>Unit Kerja/Proyek</t>
  </si>
  <si>
    <t>Tanggal Mutasi</t>
  </si>
  <si>
    <t>Dokumen Mutasi</t>
  </si>
  <si>
    <t>Staf</t>
  </si>
  <si>
    <t>Kantor Pusat</t>
  </si>
  <si>
    <t>SK-05/D1/IMSS/2016</t>
  </si>
  <si>
    <t>Pemeliharaan Sipil</t>
  </si>
  <si>
    <t>Human Capital, Legal &amp; General Affair</t>
  </si>
  <si>
    <t>Group Leader</t>
  </si>
  <si>
    <t>Perawatan Sarana</t>
  </si>
  <si>
    <t>SK-12/D1/IMSS/2016</t>
  </si>
  <si>
    <t>Keuangan dan Anggaran</t>
  </si>
  <si>
    <t>SK-04/D1/IMSS/2017</t>
  </si>
  <si>
    <t>Manager Pratama</t>
  </si>
  <si>
    <t>Logistik, Service &amp; Retail</t>
  </si>
  <si>
    <t>SK-19/D1/IMSS/2016</t>
  </si>
  <si>
    <t>Finance &amp; Budgeting</t>
  </si>
  <si>
    <t>SK-20/D1/IMSS/2016</t>
  </si>
  <si>
    <t>SK-22/D1/IMSS/2016</t>
  </si>
  <si>
    <t>SK-23/D1/IMSS/2016</t>
  </si>
  <si>
    <t>Junior Manager</t>
  </si>
  <si>
    <t>Perawatan Sipil</t>
  </si>
  <si>
    <t>SK-11/D1/IMSS/2018</t>
  </si>
  <si>
    <t>Perawatan Kereta</t>
  </si>
  <si>
    <t>SK-04/D1/IMSS/2018</t>
  </si>
  <si>
    <t>SK-05/D1/IMSS/2018</t>
  </si>
  <si>
    <t>SK-06/D1/IMSS/2018</t>
  </si>
  <si>
    <t>Manager Madya</t>
  </si>
  <si>
    <t>Pengendalian Produksi</t>
  </si>
  <si>
    <t>SK-09/D1/IMSS/2018</t>
  </si>
  <si>
    <t>Pekerjaan Sipil</t>
  </si>
  <si>
    <t>SK-08/D1/IMSS/2018</t>
  </si>
  <si>
    <t>Human Capital</t>
  </si>
  <si>
    <t>Komersial dan Logistik</t>
  </si>
  <si>
    <t>Monitoring dan Pelaporan</t>
  </si>
  <si>
    <t>SK-02/D1/IMSS/2019</t>
  </si>
  <si>
    <t>Pendanaan</t>
  </si>
  <si>
    <t>SK-03/D1/IMSS/2019</t>
  </si>
  <si>
    <t>Pj Kepala Bagian</t>
  </si>
  <si>
    <t>Legal dan Manajemen Risiko</t>
  </si>
  <si>
    <t>Pengendalian Logistik dan Persediaan</t>
  </si>
  <si>
    <t>Pengadaan Barang dan Jasa</t>
  </si>
  <si>
    <t>Legal dan Perizinan</t>
  </si>
  <si>
    <t>Pengembangan dan Sertifikasi SDM</t>
  </si>
  <si>
    <t>Sistem Informasi Teknologi</t>
  </si>
  <si>
    <t>Perawatan Prasarana dan Sarana Pabrik</t>
  </si>
  <si>
    <t>Perencanaan Logistik</t>
  </si>
  <si>
    <t>Staf Ahli</t>
  </si>
  <si>
    <t>Direktorat Operasi</t>
  </si>
  <si>
    <t>Pajak</t>
  </si>
  <si>
    <t>Verifikasi</t>
  </si>
  <si>
    <t>Pengadaan</t>
  </si>
  <si>
    <t>Anggaran</t>
  </si>
  <si>
    <t>Sekretaris Perusahaan</t>
  </si>
  <si>
    <t>Personalia dan Kesejahteraan</t>
  </si>
  <si>
    <t>Minangkabau Express</t>
  </si>
  <si>
    <t>Railbus Bathara Kresna</t>
  </si>
  <si>
    <t>KRDI Cut Meutia</t>
  </si>
  <si>
    <t>Railbus Lembah Anai</t>
  </si>
  <si>
    <t>SK-06/D1/IMSS/2019</t>
  </si>
  <si>
    <t>Pj Kepala Departemen</t>
  </si>
  <si>
    <t>Perawatan Sarana Kereta Api</t>
  </si>
  <si>
    <t>Perawatan Prasarana dan Sarana Pabrik dan kantor</t>
  </si>
  <si>
    <t>Engineering &amp; Supporting</t>
  </si>
  <si>
    <t>Akuntansi Biaya</t>
  </si>
  <si>
    <t>Legal dan Manajemen Resiko</t>
  </si>
  <si>
    <t>Perawatan</t>
  </si>
  <si>
    <t>Supporting Operasi dan Pelaporan</t>
  </si>
  <si>
    <t>Sekertaris Perusahaan</t>
  </si>
  <si>
    <t>Akuntansi Keuangan</t>
  </si>
  <si>
    <t>Verifikasi dan Aset</t>
  </si>
  <si>
    <t>Umum dan IT</t>
  </si>
  <si>
    <t>Pelatihan dan Sertifikasi SDM</t>
  </si>
  <si>
    <t>Administrasi Operasi</t>
  </si>
  <si>
    <t>Estimasi Harga dan Penjualan</t>
  </si>
  <si>
    <t>Quality</t>
  </si>
  <si>
    <t>SK-08/D1/IMSS/2019</t>
  </si>
  <si>
    <t>Kesejahteraan dan Pelatihan</t>
  </si>
  <si>
    <t>Front Office</t>
  </si>
  <si>
    <t>Umum dan Rumah Tangga</t>
  </si>
  <si>
    <t>Sarana dan Prasarana Kereta Api</t>
  </si>
  <si>
    <t>SK-10/D1/IMSS/2019</t>
  </si>
  <si>
    <t>SK-11/D1/IMSS/2019</t>
  </si>
  <si>
    <t>Sarana Milik Negara</t>
  </si>
  <si>
    <t>SK-15/D1/IMSS/2019</t>
  </si>
  <si>
    <t>SK-17/D1/IMSS/2019</t>
  </si>
  <si>
    <t>SK-03/D1/IMSS/2020</t>
  </si>
  <si>
    <t>Fungsional Madya</t>
  </si>
  <si>
    <t>Project Manager</t>
  </si>
  <si>
    <t>SK-15B/D1/IMSS/2020</t>
  </si>
  <si>
    <t>Deputy Project Manager</t>
  </si>
  <si>
    <t>Ketua</t>
  </si>
  <si>
    <t>Tim Tanggap Darurat</t>
  </si>
  <si>
    <t>SK-22/D1/IMSS/2020</t>
  </si>
  <si>
    <t>Regu Pemadam Kebakaran</t>
  </si>
  <si>
    <t>Regu Pertolongan Pertama</t>
  </si>
  <si>
    <t>Regu Evakuasi</t>
  </si>
  <si>
    <t>Regu Keamanan</t>
  </si>
  <si>
    <t>Regu Komunikasi Internal</t>
  </si>
  <si>
    <t>Regu Komunikasi Eksternal</t>
  </si>
  <si>
    <t>SK-04/D1/IMSS/2021</t>
  </si>
  <si>
    <t>Fungsional Pratama</t>
  </si>
  <si>
    <t>SK-5/D1/IMSS/2021</t>
  </si>
  <si>
    <t>Wilayah 1</t>
  </si>
  <si>
    <t>MG 500</t>
  </si>
  <si>
    <t>Bangladesh</t>
  </si>
  <si>
    <t>INOBUS</t>
  </si>
  <si>
    <t>SDM &amp; Umum</t>
  </si>
  <si>
    <t>SK-10/D1/IMSS/2021</t>
  </si>
  <si>
    <t>Perencanaan &amp; Pengendalian Operasi</t>
  </si>
  <si>
    <t>Pemasaran dan Pengembangan Bisnis</t>
  </si>
  <si>
    <t>Manajemen Aset &amp; Tools</t>
  </si>
  <si>
    <t>Engineering &amp; Pengendalian Kualitas</t>
  </si>
  <si>
    <t>Operasi I</t>
  </si>
  <si>
    <t>Operasi II</t>
  </si>
  <si>
    <t>Pemeliharaan Fasilitas</t>
  </si>
  <si>
    <t>Mesin Produksi</t>
  </si>
  <si>
    <t>Pemeliharaan Gedung dan Fasilitas Sipil</t>
  </si>
  <si>
    <t>Departemen Keuangan dan Pengendalian Operasi</t>
  </si>
  <si>
    <t>Tata Kelola</t>
  </si>
  <si>
    <t>Akuntansi dan Pajak</t>
  </si>
  <si>
    <t>Perencanaan dan Pengendalian Operasi</t>
  </si>
  <si>
    <t>Pengembangan Bisnis</t>
  </si>
  <si>
    <t>Rendal Logistik Dan Pengendalian Kualitas</t>
  </si>
  <si>
    <t>Pemeliharaan Mesin I</t>
  </si>
  <si>
    <t>Pemeliharaan Mesin II</t>
  </si>
  <si>
    <t>Pemeliharaan Fasilitas I</t>
  </si>
  <si>
    <t>Pemeliharaan Fasilitas II</t>
  </si>
  <si>
    <t>Engineering dan Dukungan Produk</t>
  </si>
  <si>
    <t>Perencanaan Operasi</t>
  </si>
  <si>
    <t>Pratama Bid &amp; Pricing</t>
  </si>
  <si>
    <t xml:space="preserve">Setingkat Kepala Departemen Yang Diperbantukan </t>
  </si>
  <si>
    <t>RETNO PURBOWATI</t>
  </si>
  <si>
    <t>Setingkat Kepala Departemen Yang Diperbantukan</t>
  </si>
  <si>
    <t>Manajemen Risiko &amp; Manajemen Mutu</t>
  </si>
  <si>
    <t>SK-11/D1/IMSS/2021</t>
  </si>
  <si>
    <t>Perbendaharaan</t>
  </si>
  <si>
    <t>Bid &amp; Pricing</t>
  </si>
  <si>
    <t>Monitoring Kontrak</t>
  </si>
  <si>
    <t>Perencanaan Sparepart</t>
  </si>
  <si>
    <t>SAMNURI</t>
  </si>
  <si>
    <t>Manajemen Aset Dan Tools</t>
  </si>
  <si>
    <t>SMKP</t>
  </si>
  <si>
    <t>Mekanikal</t>
  </si>
  <si>
    <t>Elektrikal</t>
  </si>
  <si>
    <t>Pemeliharaan Fasilitas Gedung Perkantoran &amp; Workshop</t>
  </si>
  <si>
    <t xml:space="preserve"> Pemeliharaan Fasilitas Gedung Perkantoran &amp; Workshop</t>
  </si>
  <si>
    <t xml:space="preserve"> Pemeliharaan Mesin II</t>
  </si>
  <si>
    <t>ST-15/130/IMSS/2021</t>
  </si>
  <si>
    <t>ST-15/130/IMSS/2023</t>
  </si>
  <si>
    <t>ST-15/130/IMSS/2024</t>
  </si>
  <si>
    <t>ST-15/130/IMSS/2022</t>
  </si>
  <si>
    <t>ST-16/130/IMSS/2021</t>
  </si>
  <si>
    <t>Maintenance Repair &amp; Overhaul</t>
  </si>
  <si>
    <t>ST-17/130/IMSS/2021</t>
  </si>
  <si>
    <t>ST-23/130/IMSS/2021</t>
  </si>
  <si>
    <t>ST-25/130/IMSS/2021</t>
  </si>
  <si>
    <t>ST-01/130/IMSS/2022</t>
  </si>
  <si>
    <t>Tim Pengiriman KKBW 50 Ton</t>
  </si>
  <si>
    <t>ST-02/130/IMSS/2022</t>
  </si>
  <si>
    <t>ST-05/130/IMSS/2022</t>
  </si>
  <si>
    <t>ST-04/130/IMSS/2022</t>
  </si>
  <si>
    <t>Site Manager</t>
  </si>
  <si>
    <t>Divisi Pengembangan Bisnis</t>
  </si>
  <si>
    <t>ST-06/130/IMSS/2022</t>
  </si>
  <si>
    <t>Tim Penyambungan Subtsation Workshop INKA Banyuwangi</t>
  </si>
  <si>
    <t>ST-07/130/IMSS/2022</t>
  </si>
  <si>
    <t>Tim Percepatan 5R Kantor Pusat</t>
  </si>
  <si>
    <t>ST-08/130/IMSS/2022</t>
  </si>
  <si>
    <t>ST-10/130/IMSS/2022</t>
  </si>
  <si>
    <t>ST-18/130/IMSS/2022</t>
  </si>
  <si>
    <t>Helper</t>
  </si>
  <si>
    <t>Area Jawa</t>
  </si>
  <si>
    <t>Semua Penempatan</t>
  </si>
  <si>
    <t>Area Luar Jawa</t>
  </si>
  <si>
    <t>Wakil Ketua</t>
  </si>
  <si>
    <t>Panitia Pembina Keselamatan Kerja</t>
  </si>
  <si>
    <t>SK-7/D1/IMSS/2022</t>
  </si>
  <si>
    <t>Anggota</t>
  </si>
  <si>
    <t>ST-03/D3/IMSS/2022</t>
  </si>
  <si>
    <t>Aftersales KKBW 50 Ton</t>
  </si>
  <si>
    <t>ST-27/130/IMSS/2022</t>
  </si>
  <si>
    <t>ST-28/130/IMSS/2022</t>
  </si>
  <si>
    <t>Staf Kesekretariatan</t>
  </si>
  <si>
    <t>ST-30/130/IMSS/2022</t>
  </si>
  <si>
    <t>Staf Fungsional Akuntasi</t>
  </si>
  <si>
    <t>Staf Fungsional Pemasaran</t>
  </si>
  <si>
    <t>Staf Preventif Sipil</t>
  </si>
  <si>
    <t>Staf Fungsional Gudang</t>
  </si>
  <si>
    <t>Panitia HUT-8 PT IMSS</t>
  </si>
  <si>
    <t>ST-31/130/IMSS/2022</t>
  </si>
  <si>
    <t>Ketua Panitia</t>
  </si>
  <si>
    <t>ST-32/130/IMSS/2022</t>
  </si>
  <si>
    <t>ST-36/130/IMSS/2022</t>
  </si>
  <si>
    <t>Masinis/Assisten Masinis</t>
  </si>
  <si>
    <t>Uji Coba Pengoperasian KA Makassar-Parepare</t>
  </si>
  <si>
    <t>ST-39/130/IMSS/2022</t>
  </si>
  <si>
    <t>Schowing</t>
  </si>
  <si>
    <t xml:space="preserve">Penyelia/Supervisor </t>
  </si>
  <si>
    <t>Kondektur</t>
  </si>
  <si>
    <t>ST-46/130/IMSS/2022</t>
  </si>
  <si>
    <t>Health Safety Officer</t>
  </si>
  <si>
    <t>ST-48/130/IMSS/2022</t>
  </si>
  <si>
    <t>ST-49/130/IMSS/2022</t>
  </si>
  <si>
    <t>Service Engineer Wilayah Surabaya</t>
  </si>
  <si>
    <t>Persiapan Pengoperasian Bus Listrik</t>
  </si>
  <si>
    <t>ST-04/D3/IMSS/2022</t>
  </si>
  <si>
    <t>Service Engineer Wilayah Bandung</t>
  </si>
  <si>
    <t>Supervisor Wilayah Bandung</t>
  </si>
  <si>
    <t>Supervisor Wilayah Surabaya</t>
  </si>
  <si>
    <t>KAIS Makassar-Parepare</t>
  </si>
  <si>
    <t>ST-01/130/IMSS/2023</t>
  </si>
  <si>
    <t>ST-03/130/IMSS/2023</t>
  </si>
  <si>
    <t>Plt Kepala Departemen</t>
  </si>
  <si>
    <t>Perencanaan dan Pengendalian Pemasaran</t>
  </si>
  <si>
    <t>SK-02/D1/IMSS/2023</t>
  </si>
  <si>
    <t>Cipinang</t>
  </si>
  <si>
    <t>ST-13/130/IMSS/2023</t>
  </si>
  <si>
    <t>SK-03/D1/IMSS/2023</t>
  </si>
  <si>
    <t>Keuangan dan Akuntansi</t>
  </si>
  <si>
    <t>Plt Kepala</t>
  </si>
  <si>
    <t>Satuan Pengawas Internal</t>
  </si>
  <si>
    <t>Perencanaan &amp; Pengendalian Pemasaran</t>
  </si>
  <si>
    <t>Legal &amp; Manajemen Mutu</t>
  </si>
  <si>
    <t>Bidang Teknologi</t>
  </si>
  <si>
    <t>Mesin 2</t>
  </si>
  <si>
    <t>Fasilitas 1</t>
  </si>
  <si>
    <t>Jasa Lainnya</t>
  </si>
  <si>
    <t>Perencanaan &amp; Pengendalian Logistik</t>
  </si>
  <si>
    <t>Keproyekan</t>
  </si>
  <si>
    <t xml:space="preserve"> Fungsional Engineering</t>
  </si>
  <si>
    <t>ST-19/130/IMSS/2023</t>
  </si>
  <si>
    <t xml:space="preserve"> Fungsional Pembelian</t>
  </si>
  <si>
    <t xml:space="preserve"> Fungsional It Support</t>
  </si>
  <si>
    <t xml:space="preserve"> Fungsional Pemasaran</t>
  </si>
  <si>
    <t xml:space="preserve"> Fungsional Sekretariat Perusahaan</t>
  </si>
  <si>
    <t xml:space="preserve"> Fungsional Pengelolaan Proyek Wilayah I</t>
  </si>
  <si>
    <t xml:space="preserve"> Fungsional Umum</t>
  </si>
  <si>
    <t xml:space="preserve"> Fungsional Proyek</t>
  </si>
  <si>
    <t xml:space="preserve"> Fungsional Perencanaan &amp; Pengendalian MRO</t>
  </si>
  <si>
    <t xml:space="preserve"> Fungsional Administrasi</t>
  </si>
  <si>
    <t xml:space="preserve"> Fungsional Pengelolaan Proyek Wilayah II</t>
  </si>
  <si>
    <t xml:space="preserve"> Fungsional Pengendalian Logistik</t>
  </si>
  <si>
    <t xml:space="preserve"> Fungsional Bid &amp; Pricing</t>
  </si>
  <si>
    <t>ST-22/130/IMSS/2023</t>
  </si>
  <si>
    <t>ST-25/130/IMSS/2023</t>
  </si>
  <si>
    <t>SK-06/D1/IMSS/2023</t>
  </si>
  <si>
    <t>ST-34/130/IMSS/2023</t>
  </si>
  <si>
    <t>SK-07/D1/IMSS/2023</t>
  </si>
  <si>
    <t>SK-08/D1/IMSS/2023</t>
  </si>
  <si>
    <t>SK-09/D1/IMSS/2023</t>
  </si>
  <si>
    <t>ST-37/130/IMSS/2023</t>
  </si>
  <si>
    <t>SK-10/D1/IMSS/2023</t>
  </si>
  <si>
    <t>ST-44/130/IMSS/2023</t>
  </si>
  <si>
    <t>SK-15/D1/IMSS/2023</t>
  </si>
  <si>
    <t>SK-16/D1/IMSS/2023</t>
  </si>
  <si>
    <t>Regu Logistik &amp; Transportasi</t>
  </si>
  <si>
    <t>Panitia HUT-9 PT IMSS</t>
  </si>
  <si>
    <t>ST-02/D2/IMSS/2023</t>
  </si>
  <si>
    <t>Panitia Rekrutmen PKWT Fungsional 2034</t>
  </si>
  <si>
    <t>ST-58/130/IMSS/2023</t>
  </si>
  <si>
    <t>Panitia Rekrutmen PKWT Fungsional 2031</t>
  </si>
  <si>
    <t>Panitia Rekrutmen PKWT Fungsional 2028</t>
  </si>
  <si>
    <t>Panitia Rekrutmen PKWT Fungsional 2032</t>
  </si>
  <si>
    <t>Panitia Rekrutmen PKWT Fungsional 2037</t>
  </si>
  <si>
    <t>Panitia Rekrutmen PKWT Fungsional 2024</t>
  </si>
  <si>
    <t>Panitia Rekrutmen PKWT Fungsional 2023</t>
  </si>
  <si>
    <t>Panitia Rekrutmen PKWT Fungsional 2025</t>
  </si>
  <si>
    <t>Panitia Rekrutmen PKWT Fungsional 2030</t>
  </si>
  <si>
    <t>Panitia Rekrutmen PKWT Fungsional 2038</t>
  </si>
  <si>
    <t>Panitia Rekrutmen PKWT Fungsional 2036</t>
  </si>
  <si>
    <t>Panitia Rekrutmen PKWT Fungsional 2039</t>
  </si>
  <si>
    <t>Panitia Rekrutmen PKWT Fungsional 2029</t>
  </si>
  <si>
    <t>Panitia Rekrutmen PKWT Fungsional 2033</t>
  </si>
  <si>
    <t>Panitia Rekrutmen PKWT Fungsional 2026</t>
  </si>
  <si>
    <t>Panitia Rekrutmen PKWT Fungsional 2035</t>
  </si>
  <si>
    <t>Panitia Rekrutmen PKWT Fungsional 2027</t>
  </si>
  <si>
    <t>SK-18/D1/IMSS/2023</t>
  </si>
  <si>
    <t>Tim Pra-Audit SMK3</t>
  </si>
  <si>
    <t>ST-02/210/IMSS/2023</t>
  </si>
  <si>
    <t>ST-04/210/IMSS/2023</t>
  </si>
  <si>
    <t>Pembina</t>
  </si>
  <si>
    <t>SK-21/D1/IMSS/2023</t>
  </si>
  <si>
    <t>Sekretaris</t>
  </si>
  <si>
    <t>SK-22/D1/IMSS/2023</t>
  </si>
  <si>
    <t>ST-17/210/IMSS/2023</t>
  </si>
  <si>
    <t>Aftersales 612</t>
  </si>
  <si>
    <t>ST-01/130/IMSS/2024</t>
  </si>
  <si>
    <t>Perawatan Pabrik Banyuwangi</t>
  </si>
  <si>
    <t>KRL KFW</t>
  </si>
  <si>
    <t>Solo - Klaten</t>
  </si>
  <si>
    <t>Helper Final Testing</t>
  </si>
  <si>
    <t>Masa Garansi Perawatan SMN Lokomotif</t>
  </si>
  <si>
    <t>ST-07/210/IMSS/2024</t>
  </si>
  <si>
    <t>ST-11/210/IMSS/2024</t>
  </si>
  <si>
    <t>ST-12/210/IMSS/2024</t>
  </si>
  <si>
    <t>ST-17/210/IMSS/2024</t>
  </si>
  <si>
    <t>Dewan Komisaris</t>
  </si>
  <si>
    <t>ST-01/D2/IMSS/2024</t>
  </si>
  <si>
    <t>ST-20/210/IMSS/2024</t>
  </si>
  <si>
    <t>Departemen Umum</t>
  </si>
  <si>
    <t>ST-03/D2/IMSS/2024</t>
  </si>
  <si>
    <t>Karyawan Yang Diperbantukan</t>
  </si>
  <si>
    <t>ST-02/D2/IMSS/2024</t>
  </si>
  <si>
    <t>SK-04/D1/IMSS/2024</t>
  </si>
  <si>
    <t>ST-24/210/IMSS/2024</t>
  </si>
  <si>
    <t xml:space="preserve">Surabaya </t>
  </si>
  <si>
    <t>SK-05/D1/IMSS/2024</t>
  </si>
  <si>
    <t>Plt Kepala Divisi</t>
  </si>
  <si>
    <t>ST-01/D2/IMSS/2023</t>
  </si>
  <si>
    <t>SK-06/D1/IMSS/2024</t>
  </si>
  <si>
    <t>Operator</t>
  </si>
  <si>
    <t>Alat Angkat Angkut INKA</t>
  </si>
  <si>
    <t>ST-31/210/IMSS/2024</t>
  </si>
  <si>
    <t>QC Final</t>
  </si>
  <si>
    <t>ST-27/210/IMSS/2024</t>
  </si>
  <si>
    <t>SK-07/D1/IMSS/2024</t>
  </si>
  <si>
    <t>ST-33/210/IMSS/2024</t>
  </si>
  <si>
    <t>KRDE Makassar-Parepare</t>
  </si>
  <si>
    <t>ST-35/210/IMSS/2024</t>
  </si>
  <si>
    <t>ST-41/210/IMSS/2024</t>
  </si>
  <si>
    <t>Direktorat Utama</t>
  </si>
  <si>
    <t>Direktorat Keuangan, SDM dan Manajemen Risiko</t>
  </si>
  <si>
    <t>ST-43/210/IMSS/2024</t>
  </si>
  <si>
    <t>ST-45.1/210/IMSS/2024</t>
  </si>
  <si>
    <t>Helper Testing QC Final PT Industri Kereta Api (Persero)</t>
  </si>
  <si>
    <t>ST-08/D2/IMSS/2024</t>
  </si>
  <si>
    <t>Bus Listrik Bandung</t>
  </si>
  <si>
    <t>Bus Listrik Surabaya</t>
  </si>
  <si>
    <t>Divisi Wilayah I</t>
  </si>
  <si>
    <t>Pengendalian dan Pemeliharaan Aset PT Industri Kereta Api (Persero)</t>
  </si>
  <si>
    <t>Bagian Pengendalian Logistik</t>
  </si>
  <si>
    <t xml:space="preserve">Operator Alat Angkat Angkut </t>
  </si>
  <si>
    <t>Perawatan Sarana Milik Negara Lokomotif CC300</t>
  </si>
  <si>
    <t>ST-07/D2/IMSS/2024</t>
  </si>
  <si>
    <t>Tim Penyelesaian WIP INKA</t>
  </si>
  <si>
    <t>ST-09/D2/IMSS/2024</t>
  </si>
  <si>
    <t>ST-10/D2/IMSS/2024</t>
  </si>
  <si>
    <t>Technical Assisstance</t>
  </si>
  <si>
    <t>Aftersales Makassar-Parepare</t>
  </si>
  <si>
    <t>ST-48/210/IMSS/2024</t>
  </si>
  <si>
    <t>Penanggungjawab</t>
  </si>
  <si>
    <t>Panitia HUT-10 PT IMSS</t>
  </si>
  <si>
    <t>ST-13/D2/IMSS/2024</t>
  </si>
  <si>
    <t>Dewan Penasihat</t>
  </si>
  <si>
    <t>Ketua Pelaksana</t>
  </si>
  <si>
    <t>Seksi Acara</t>
  </si>
  <si>
    <t>Seksi Perlengkapan</t>
  </si>
  <si>
    <t>Seksi Konsumsi</t>
  </si>
  <si>
    <t>P72 LRT Sumatera Selatan</t>
  </si>
  <si>
    <t>ST-53/210/IMSS/2024</t>
  </si>
  <si>
    <t>Preventive dan Corrective Mainetenance Banyuwangi</t>
  </si>
  <si>
    <t>ST-59/210/IMSS/2024</t>
  </si>
  <si>
    <t>Engineer</t>
  </si>
  <si>
    <t>Preventive Mainetenance Banyuwangi</t>
  </si>
  <si>
    <t>Perawatan AC Graha</t>
  </si>
  <si>
    <t>ST-61/210/IMSS/2024</t>
  </si>
  <si>
    <t>ST-63/210/IMSS/2024</t>
  </si>
  <si>
    <t>ST-62/210/IMSS/2024</t>
  </si>
  <si>
    <t>Kereta Inspeksi Makassar</t>
  </si>
  <si>
    <t>ST-72/210/IMSS/2024</t>
  </si>
  <si>
    <t>ST-75/210/IMSS/2024</t>
  </si>
  <si>
    <t>ST-76/210/IMSS/2024</t>
  </si>
  <si>
    <t>Supervisor QC</t>
  </si>
  <si>
    <t>MSA LRT Jabodebek</t>
  </si>
  <si>
    <t>ST-15/D2/IMSS/2024</t>
  </si>
  <si>
    <t>Supervisor Teknisi</t>
  </si>
  <si>
    <t>Supervisor Warehouse</t>
  </si>
  <si>
    <t>Supervisor Backshop</t>
  </si>
  <si>
    <t>Teknisi Backshop</t>
  </si>
  <si>
    <t>Staf Administrasi</t>
  </si>
  <si>
    <t>Staf Warehouse</t>
  </si>
  <si>
    <t>Helper Testing LRT Jabodebek</t>
  </si>
  <si>
    <t>ST-16/D2/IMSS/2024</t>
  </si>
  <si>
    <t>Aftersales LRT Jabodebek</t>
  </si>
  <si>
    <t>Perawatan KRL KFW</t>
  </si>
  <si>
    <t>285/IX/D1/IMSS/2024</t>
  </si>
  <si>
    <t>File</t>
  </si>
  <si>
    <t>Source</t>
  </si>
  <si>
    <t>Path</t>
  </si>
  <si>
    <t>Aan Taufik (971900031).jpg</t>
  </si>
  <si>
    <t>H:\My Drive\DIV_SDM\BAG. PERSONALIA\01 Data Karyawan\Foto\CV\</t>
  </si>
  <si>
    <t>Abdul Mujib (641801141).jpg</t>
  </si>
  <si>
    <t>Ahmad Fitroh.JPG</t>
  </si>
  <si>
    <t>Achmad Irfan (641907245).jpeg</t>
  </si>
  <si>
    <t>Adang Yonata (971900033).jpg</t>
  </si>
  <si>
    <t>Ade Febri Andika Putra (641810203).jpg</t>
  </si>
  <si>
    <t>Ade Saptura (641906240).jpg</t>
  </si>
  <si>
    <t>Ade Setya Purnama (642001022).jpg</t>
  </si>
  <si>
    <t>Adhe Nugraha (641907252).jpeg</t>
  </si>
  <si>
    <t>Adhip Widodo (641807164).jpg</t>
  </si>
  <si>
    <t>Adisca Dewi.JPG</t>
  </si>
  <si>
    <t>ADITYA NOVANTO WICAKSANA</t>
  </si>
  <si>
    <t>Adrian_Junior.png</t>
  </si>
  <si>
    <t>Adzan arik anggriawan.jpeg</t>
  </si>
  <si>
    <t>affan misbahul (641907257).jpg</t>
  </si>
  <si>
    <t>Agil Ardiansah (642001009).jpg</t>
  </si>
  <si>
    <t>Agung Dwi Prabowo (971900047).jpg</t>
  </si>
  <si>
    <t>Agus Hariono (971900028).jpg</t>
  </si>
  <si>
    <t>Agus_Makmun.png</t>
  </si>
  <si>
    <t>Agus Prasetyo (642001057).jpg</t>
  </si>
  <si>
    <t>Agus Riyanto (642001064).jpg</t>
  </si>
  <si>
    <t>Agus Santoso (642001017).jpg</t>
  </si>
  <si>
    <t>Agus Susilo.JPG</t>
  </si>
  <si>
    <t>Agus Tri L (3).JPG</t>
  </si>
  <si>
    <t>Agus_Wuryanto-removebg-preview.png</t>
  </si>
  <si>
    <t>AHMAD_FAUZI-removebg-preview.png</t>
  </si>
  <si>
    <t>Ahmad Syaiful Anwar (64180184).jpg</t>
  </si>
  <si>
    <t>Ahmad Yudha Fitrianto (971900036).jpg</t>
  </si>
  <si>
    <t>Ahmad Zajuli (742001021).jpg</t>
  </si>
  <si>
    <t>Akbar_Wildhan_P-removebg-preview.png</t>
  </si>
  <si>
    <t>Alberil Aditya Wijaya 642401152.jpeg</t>
  </si>
  <si>
    <t>Aldheo Racka Narendra.jpg</t>
  </si>
  <si>
    <t>Aldif Reza.jpg</t>
  </si>
  <si>
    <t>Alfi Dimas Sugianto (641805143).jpg</t>
  </si>
  <si>
    <t>Alfian Noer Cristanto.jpg</t>
  </si>
  <si>
    <t>Alfi.jpg</t>
  </si>
  <si>
    <t>Ali Oktavian.jpg</t>
  </si>
  <si>
    <t>Alifan Basman.jpg</t>
  </si>
  <si>
    <t>Alvian Krisetiawan.jpg</t>
  </si>
  <si>
    <t>alvin_d-removebg-preview.png</t>
  </si>
  <si>
    <t>Ammar Nuri Sulastino.jpg</t>
  </si>
  <si>
    <t>Amrin Kurniadi (642001019).jpg</t>
  </si>
  <si>
    <t>Andi Apriadi (641810204).jpg</t>
  </si>
  <si>
    <t>Andi Bayu S.jpg</t>
  </si>
  <si>
    <t>Andi Susilo (971900049).jpg</t>
  </si>
  <si>
    <t>Andi Wijaya.JPG</t>
  </si>
  <si>
    <t>Andik Agus Prasetyo (641907280).jpg</t>
  </si>
  <si>
    <t>Andika Setyawan (642001035).jpg</t>
  </si>
  <si>
    <t>Andrea Cahya Putra (642001035).jpg</t>
  </si>
  <si>
    <t>Andriyansah.jpg</t>
  </si>
  <si>
    <t>ANDRY_WAHYU_WIDIANTO-removebg-preview.png</t>
  </si>
  <si>
    <t>Andy Dwi Bastian (641807163).jpg</t>
  </si>
  <si>
    <t>David Dwi Prakoso.jpg</t>
  </si>
  <si>
    <t>Anggitana Sussiaca.jpg</t>
  </si>
  <si>
    <t>Anggoro_Daffa_Maulana_sukarno-removebg-preview.png</t>
  </si>
  <si>
    <t>Anggun Setio Mituhu.jpg</t>
  </si>
  <si>
    <t>Anik Hari Saksono (642001013).jpg</t>
  </si>
  <si>
    <t>Anida Nur Nasekha.JPG</t>
  </si>
  <si>
    <t>Ardanil (641810201).jpg</t>
  </si>
  <si>
    <t>Ardhika_wiratama-removebg-preview.png</t>
  </si>
  <si>
    <t>Ardhiyanto Dwi Prabowo (642002076).jpg</t>
  </si>
  <si>
    <t>Arhanul_Fariz.png</t>
  </si>
  <si>
    <t>Ari Eko Prasetyo.JPG</t>
  </si>
  <si>
    <t>Ari Irawan.jpg</t>
  </si>
  <si>
    <t>Arie_Sihwanto.png</t>
  </si>
  <si>
    <t>Ari T (641906237).jpg</t>
  </si>
  <si>
    <t>Ari Wicaksono (641810198).jpg</t>
  </si>
  <si>
    <t>Arief_Dwi_Kurniawan-removebg-preview.png</t>
  </si>
  <si>
    <t>Arif Muhaimin.jpeg</t>
  </si>
  <si>
    <t>Arif Sugianto (642001058).jpeg</t>
  </si>
  <si>
    <t>Arifin Purnawirawan (642001048).jpg</t>
  </si>
  <si>
    <t>Asep Saepul Mugni.png</t>
  </si>
  <si>
    <t>Aswandi (641907251).jpeg</t>
  </si>
  <si>
    <t>Avin Romadhona (641807166).jpg</t>
  </si>
  <si>
    <t>Awal Romadoni.jpg</t>
  </si>
  <si>
    <t>Awang Tunggal Dia Saputra.jpg</t>
  </si>
  <si>
    <t>Ayub Isna Alhanif (2).JPG</t>
  </si>
  <si>
    <t>Aziz Mahmudi (642001046).jpg</t>
  </si>
  <si>
    <t>Azwar (641811208).jpg</t>
  </si>
  <si>
    <t>Bagas Eko S.jpg</t>
  </si>
  <si>
    <t>Bagas Yazid Ghozi.jpg</t>
  </si>
  <si>
    <t>Bagus_Adiib_Al-Haq-removebg-preview.png</t>
  </si>
  <si>
    <t>Bagus_Amika_Pamungkas-removebg-preview.png</t>
  </si>
  <si>
    <t>Bagus DC.jpg</t>
  </si>
  <si>
    <t>Bagus_Istiandaru.png</t>
  </si>
  <si>
    <t>Bambang Rudiantoro.JPG</t>
  </si>
  <si>
    <t>Bambang Sutrisno (999500017).jpg</t>
  </si>
  <si>
    <t>Bambang Trijoko (641801139).jpg</t>
  </si>
  <si>
    <t>Bangkit Sanjaya (972000054).jpg</t>
  </si>
  <si>
    <t>Bayu Dimas Nurarifin (641806159).jpg</t>
  </si>
  <si>
    <t>Bayu Prasetyo.jpg</t>
  </si>
  <si>
    <t>Bekti Tri Wibowo (641806159).jpg</t>
  </si>
  <si>
    <t>Berry Hartanto (642001030).jpg</t>
  </si>
  <si>
    <t>Bima_Adi_Saputra-removebg-preview.png</t>
  </si>
  <si>
    <t>Bima_Aji_Kurniawan-removebg-preview.png</t>
  </si>
  <si>
    <t>Bima Rizki Pratama.jpg</t>
  </si>
  <si>
    <t>Bimasakti Wahyu Wibawa (641810195).jpg</t>
  </si>
  <si>
    <t>Bimo Tri Prakoso.jpg</t>
  </si>
  <si>
    <t>Bintang Gumilar (999600062).jpg</t>
  </si>
  <si>
    <t>Brian_Dwi_Prastyo-removebg-preview.png</t>
  </si>
  <si>
    <t>Brianto Cahyo Nugroho (972000053).jpg</t>
  </si>
  <si>
    <t>Budi Hariyanto (642001044).jpg</t>
  </si>
  <si>
    <t>Budiono (971900027).jpg</t>
  </si>
  <si>
    <t>Catur Bumi Laksana (641807165).jpg</t>
  </si>
  <si>
    <t>Christoper Bagas Wirawan (971900039).jpg</t>
  </si>
  <si>
    <t>DAFFA' ALIFFYANSYAH</t>
  </si>
  <si>
    <t>Daffa Alifyansah.png</t>
  </si>
  <si>
    <t>Dafil_Fandresa-removebg-preview.png</t>
  </si>
  <si>
    <t>Danang Samudro.JPG</t>
  </si>
  <si>
    <t>Dani Ramdani (641810187).jpg</t>
  </si>
  <si>
    <t>Daniel_Meihendra-removebg-preview.png</t>
  </si>
  <si>
    <t>Daris_Mustaqim_-removebg-preview.png</t>
  </si>
  <si>
    <t>Darwanto (642001028).jpg</t>
  </si>
  <si>
    <t>Dede Suhendra (641807170).jpg</t>
  </si>
  <si>
    <t>Dedy Candra Kristianto (971800023).jpg</t>
  </si>
  <si>
    <t>Denden Agung P.jpg</t>
  </si>
  <si>
    <t>Dendi Hermawan (642001037).jpg</t>
  </si>
  <si>
    <t>Denny Sapto Nugroho.jpeg</t>
  </si>
  <si>
    <t>Deo_Fajar_Saputra-removebg-preview.png</t>
  </si>
  <si>
    <t>Deop Neusta YS (642002080).jpg</t>
  </si>
  <si>
    <t>Deriza Deby Dwianto (971800020).jpg</t>
  </si>
  <si>
    <t>Dewangga Sulung Adhi Cahyono (642001043).jpg</t>
  </si>
  <si>
    <t>Diah Puspitasari (971900038).jpg</t>
  </si>
  <si>
    <t>Dian Wirawan (641810189).jpg</t>
  </si>
  <si>
    <t>Diaz Praba Yudistira.png</t>
  </si>
  <si>
    <t>Dicky Aldi Pratama (641810205).jpg</t>
  </si>
  <si>
    <t>Didi Setiawan 9642001069).jpg</t>
  </si>
  <si>
    <t>Didik Hendri.jpg</t>
  </si>
  <si>
    <t>Diki Robinson (642001027).jpg</t>
  </si>
  <si>
    <t>Dimas_Dwi_Kurniawan-removebg-preview.png</t>
  </si>
  <si>
    <t>Dimas Enggar Pambudi (641805147).jpg</t>
  </si>
  <si>
    <t>Dimas Muchsin Ardiansyah (641805145).jpg</t>
  </si>
  <si>
    <t>Dimas Suhardiyono (971800019).png</t>
  </si>
  <si>
    <t>Dimas Yoga Margihanto.jpg</t>
  </si>
  <si>
    <t>Dionisius Wiratama (642001012).jpg</t>
  </si>
  <si>
    <t>DIVA WIRAKUSUMA</t>
  </si>
  <si>
    <t>Difa Wirakusuma.jpg</t>
  </si>
  <si>
    <t>Dodik Panca Prasetyawan (642001052).jpg</t>
  </si>
  <si>
    <t>Doni Ahmad.jpg</t>
  </si>
  <si>
    <t>Doni Dwi Saputro (642001002).jpg</t>
  </si>
  <si>
    <t>Doni Igo Murti Wardana.png</t>
  </si>
  <si>
    <t>Doni Nur Anggi Prastyo (642001002).jpg</t>
  </si>
  <si>
    <t>Donisah Siregar (642002083).jpg</t>
  </si>
  <si>
    <t>Doni Erowadi.JPG</t>
  </si>
  <si>
    <t>Dony Pramono (641807162).jpg</t>
  </si>
  <si>
    <t>Dwi_Agus_Is_Saputra-removebg-preview.png</t>
  </si>
  <si>
    <t>Dwi Anna Andik Prasetyo (971500002).jpg</t>
  </si>
  <si>
    <t>Dwi Ari Wibowo (642001018).jpg</t>
  </si>
  <si>
    <t>Dwi Arianto (641807161).jpg</t>
  </si>
  <si>
    <t>Edi Prasetiyawan.png</t>
  </si>
  <si>
    <t>Eka_Nova_Agfi_Putera-removebg-preview.png</t>
  </si>
  <si>
    <t>Eko Nur Cahyo Putro (642001042).jpg</t>
  </si>
  <si>
    <t>Eko_Prasetiyo-removebg-preview.png</t>
  </si>
  <si>
    <t>Eko Prasetyo (971900030).jpg</t>
  </si>
  <si>
    <t>Ely_Yudioko-removebg-preview.png</t>
  </si>
  <si>
    <t>Endang Hermawan.jpeg</t>
  </si>
  <si>
    <t>Endrawan (642001036).jpg</t>
  </si>
  <si>
    <t>Erwin Bagus Saputro.jpg</t>
  </si>
  <si>
    <t>Faila Dzul Luthfi (971800018).jpg</t>
  </si>
  <si>
    <t>Faisak_Khobbi-removebg-preview.png</t>
  </si>
  <si>
    <t>Faishol_Rijalut_Tammimi-removebg-preview.png</t>
  </si>
  <si>
    <t>Faiz Nizamudij.jpg</t>
  </si>
  <si>
    <t>Faizal Rizqi Nur Ekwanudin (641807167).jpg</t>
  </si>
  <si>
    <t>FAJAR_ADHA_ANGGORO-removebg-preview.png</t>
  </si>
  <si>
    <t>Fallah Dzu Nur Aini (642002072).jpg</t>
  </si>
  <si>
    <t>Fava_Wira_Pratama-removebg-preview.png</t>
  </si>
  <si>
    <t>Febri Herdian (641808176).jpg</t>
  </si>
  <si>
    <t>Febri Prasetya (642001053).jpg</t>
  </si>
  <si>
    <t>Febriansyah (641810185).jpg</t>
  </si>
  <si>
    <t>Fendik Siswanto.jpg</t>
  </si>
  <si>
    <t>Ferry Apriyanto.jpg</t>
  </si>
  <si>
    <t>Figo Muhammad Hernatias.png</t>
  </si>
  <si>
    <t>Firdaus Kurnia Firmansyah (641806160).jpg</t>
  </si>
  <si>
    <t>Firman_Maulana_R-removebg-preview.png</t>
  </si>
  <si>
    <t>Firzki Prasetya (641906235).jpg</t>
  </si>
  <si>
    <t>fitrial_nova_arianto-removebg-preview.png</t>
  </si>
  <si>
    <t>Flora Winarsih (971700013).jpg</t>
  </si>
  <si>
    <t>Fuad Aziz (972000052).jpg</t>
  </si>
  <si>
    <t>Fuad Bawazir.jpg</t>
  </si>
  <si>
    <t>Galant Mahasna (991000007).jpg</t>
  </si>
  <si>
    <t>Gangsar Purwanto (642001066).jpg</t>
  </si>
  <si>
    <t>Garit Rito Nadi (64201023).jpg</t>
  </si>
  <si>
    <t>Gatot Budi Santoso (642001049).jpg</t>
  </si>
  <si>
    <t>Ghozi Nafiri Fathul Adhim.jpg</t>
  </si>
  <si>
    <t>Gigih Cahyo P.jpg</t>
  </si>
  <si>
    <t>Gilang Akbar Wicaksono (641806157).jpg</t>
  </si>
  <si>
    <t>Gunawan (642001060).jpg</t>
  </si>
  <si>
    <t>Hadi Saputra.jpg</t>
  </si>
  <si>
    <t>Hadid Kalimarso (2).JPG</t>
  </si>
  <si>
    <t>Hafif rafiathallah.jpeg</t>
  </si>
  <si>
    <t>Hafiz_Fadhillah-removebg-preview.png</t>
  </si>
  <si>
    <t>HANDIKA RISKI PRATAMA</t>
  </si>
  <si>
    <t>Hanna Dita Puspita (991000008).jpg</t>
  </si>
  <si>
    <t>Hari Subekti (3).png</t>
  </si>
  <si>
    <t>Harianto-removebg-preview.png</t>
  </si>
  <si>
    <t>Hariyandi.jpg</t>
  </si>
  <si>
    <t>Hariyanto.JPG</t>
  </si>
  <si>
    <t>Harlista Dwi Oktyasworo (971900040).jpg</t>
  </si>
  <si>
    <t>HARSY AJIE SEFTIAN</t>
  </si>
  <si>
    <t>Harsyi Adjie Seftian (642002077).jpg</t>
  </si>
  <si>
    <t>Hartono (999200022).jpg</t>
  </si>
  <si>
    <t>Hatmoko Hadi Saputro (641801140).jpg</t>
  </si>
  <si>
    <t>Helmi Saputra (642002073).jpg</t>
  </si>
  <si>
    <t>Hendra Hermanto.png</t>
  </si>
  <si>
    <t>Hepi Putra Raharja (641806156).jpg</t>
  </si>
  <si>
    <t>Herbid Dwi Saputro.jpg</t>
  </si>
  <si>
    <t>Herman Eko Susilo (2).JPG</t>
  </si>
  <si>
    <t>Heri Nurwantyo (642001055).jpg</t>
  </si>
  <si>
    <t>Ichsanudin (642001004).jpg</t>
  </si>
  <si>
    <t>Ichwan Firdaus Alamsyah (642002086).jpg</t>
  </si>
  <si>
    <t>Ikhsal_Yuda_Pradana-removebg-preview.png</t>
  </si>
  <si>
    <t>Ikhsan Anugrah (641906236).jpg</t>
  </si>
  <si>
    <t>Ilham Yusuf Tri Hardian.png</t>
  </si>
  <si>
    <t>Ilhamsyah (641907248).jpeg</t>
  </si>
  <si>
    <t>Imam Agus Asfarori.jpg</t>
  </si>
  <si>
    <t>Imam Juansyah (641808171).jpg</t>
  </si>
  <si>
    <t>Imron Abidin (971800016).jpg</t>
  </si>
  <si>
    <t>Inggit Wahyu Afrian.jpg</t>
  </si>
  <si>
    <t>Ira_Dwi_Sari-removebg-preview.png</t>
  </si>
  <si>
    <t>irma widayanti.jpg</t>
  </si>
  <si>
    <t>IRVAN_FRASTYO_AFRITAMA-removebg-preview.png</t>
  </si>
  <si>
    <t>Irwan Ahmadi (642001016).jpg</t>
  </si>
  <si>
    <t>Isbangun.JPG</t>
  </si>
  <si>
    <t>Ismail.png</t>
  </si>
  <si>
    <t>Iswanto (999700007).jpg</t>
  </si>
  <si>
    <t>Iwan Maulana.jpg</t>
  </si>
  <si>
    <t>Jepri Leksana (642002081).jpg</t>
  </si>
  <si>
    <t>Jefri Ramadhan (642002075).jpg</t>
  </si>
  <si>
    <t>Jeri Apdi Saputra.jpg</t>
  </si>
  <si>
    <t>Jimi Angel.png</t>
  </si>
  <si>
    <t>Jimmy_Laksmana_Sanjaya-removebg-preview.png</t>
  </si>
  <si>
    <t>JOHAN_ADHITYA-removebg-preview.png</t>
  </si>
  <si>
    <t>Joko Priyanto (4).JPG</t>
  </si>
  <si>
    <t>Joko Purnomo (971700010).jpg</t>
  </si>
  <si>
    <t>Joko Sutrisno (971700005).jpg</t>
  </si>
  <si>
    <t>Joni Muhamat Zakaria (642002078).jpg</t>
  </si>
  <si>
    <t>JONI_PRASETYO-removebg-preview.png</t>
  </si>
  <si>
    <t>Juhadi.JPG</t>
  </si>
  <si>
    <t>Julius Debby Kristiyanto (971800014).jpg</t>
  </si>
  <si>
    <t>Kasinul Umami.JPG</t>
  </si>
  <si>
    <t>Khodiris Salam.png</t>
  </si>
  <si>
    <t>Khohar Leo Kurniawan (641805146).jpg</t>
  </si>
  <si>
    <t>Khoiri Bayu Setiawan (642001014).jpg</t>
  </si>
  <si>
    <t>KMS M Jimi.jpg</t>
  </si>
  <si>
    <t>Komaruzzaman (642001047).jpg</t>
  </si>
  <si>
    <t>Korona Alfindi Febryantika (972000051).jpg</t>
  </si>
  <si>
    <t>Kukuh_Andriatmoko.-removebg-preview.png</t>
  </si>
  <si>
    <t>Kurniawan Budi Mulya (641810186).jpg</t>
  </si>
  <si>
    <t>Laila Kurnia Sari.JPG</t>
  </si>
  <si>
    <t>Laurentius Yhoan.jpg</t>
  </si>
  <si>
    <t>Lingga Bekti Kurnianto (642001020).jpg</t>
  </si>
  <si>
    <t>M Fahmi (641702080).jpg</t>
  </si>
  <si>
    <t>M Wahyu Romadon (641810182).jpg</t>
  </si>
  <si>
    <t>M Akhirul Ramadhan (641906239).jpg</t>
  </si>
  <si>
    <t>M Rizani.jpg</t>
  </si>
  <si>
    <t>M Rizki Firdaus (641808173).jpg</t>
  </si>
  <si>
    <t>Marselo.jpg</t>
  </si>
  <si>
    <t>Maulana Jihan.jpg</t>
  </si>
  <si>
    <t>Maulana Zakaria.jpg</t>
  </si>
  <si>
    <t>Maulina.jpg</t>
  </si>
  <si>
    <t>Mega Kartika Putra Hadi (641805148).jpg</t>
  </si>
  <si>
    <t>MGS Dimas Syahreza (641810196).jpg</t>
  </si>
  <si>
    <t>Mhd Ilham Damanik (6420020820.jpg</t>
  </si>
  <si>
    <t>Miftakhul Ulum (642001041).jpg</t>
  </si>
  <si>
    <t>Minarto.JPG</t>
  </si>
  <si>
    <t>MOCH_YOGI_NUROHMAN-removebg-preview.png</t>
  </si>
  <si>
    <t>Mochamad Sandi Nur Ramadan.jpg</t>
  </si>
  <si>
    <t>M Sukron (641801134).jpg</t>
  </si>
  <si>
    <t>M Ridwan Ismail (642001015).jpg</t>
  </si>
  <si>
    <t>Zulkarnaini (641907250).jpeg</t>
  </si>
  <si>
    <t>Much_Kevin_Fauzi_Muqorrobin-removebg-preview.png</t>
  </si>
  <si>
    <t>Muchammad Nur Ismail.jpg</t>
  </si>
  <si>
    <t>Muhamad Fachri Riyansah.jpg</t>
  </si>
  <si>
    <t>Muhammad Hidayat Adi Pratama.JPG</t>
  </si>
  <si>
    <t>Muhamad Irfan.jpg</t>
  </si>
  <si>
    <t>M Nurul Irfan (641801133).jpg</t>
  </si>
  <si>
    <t>M Prabowo (641809178).jpg</t>
  </si>
  <si>
    <t>Muhammad Al Saufi.jpg</t>
  </si>
  <si>
    <t>M Bangun Sabrinna.jpg</t>
  </si>
  <si>
    <t>MUHAMMAD_BAYU_DIRGANTARA-removebg-preview.png</t>
  </si>
  <si>
    <t>Muhammad_Firman_Lazuardi-removebg-preview.png</t>
  </si>
  <si>
    <t>Muhammad_Galih_Yudha_Pratama-removebg-preview.png</t>
  </si>
  <si>
    <t>M Hidayat.jpg</t>
  </si>
  <si>
    <t>M Ilham (641906238).jpg</t>
  </si>
  <si>
    <t>Muhammad Iqbal (642002084).jpg</t>
  </si>
  <si>
    <t>M Iqbal (641810193).jpg</t>
  </si>
  <si>
    <t>M Iqbal Albanjari.png</t>
  </si>
  <si>
    <t>M Irsan Pratama (641810202).jpg</t>
  </si>
  <si>
    <t>M Kasi Ghusoory (64180197).jpg</t>
  </si>
  <si>
    <t>M Lintang Arafi Ichsan.png</t>
  </si>
  <si>
    <t>M Riki Hamdani (641809177).jpg</t>
  </si>
  <si>
    <t>M Vinando (642001026).jpg</t>
  </si>
  <si>
    <t>Muhammad_Yuniar_Fijriantoro-removebg-preview.png</t>
  </si>
  <si>
    <t>Muhtarom (642001039).jpg</t>
  </si>
  <si>
    <t>Mukson.jpg</t>
  </si>
  <si>
    <t>Munirul_Ichwani-removebg-preview.png</t>
  </si>
  <si>
    <t>Nanang Adi Saputra (642001032).jpg</t>
  </si>
  <si>
    <t>Nazeem Ahmed Alvarizi.jpg</t>
  </si>
  <si>
    <t>Norfi Janoko.jpg</t>
  </si>
  <si>
    <t>Noviana_Hariyanto-removebg-preview.png</t>
  </si>
  <si>
    <t>Novikasari (971800021).jpg</t>
  </si>
  <si>
    <t>Nur Cahyono (971900046).jpg</t>
  </si>
  <si>
    <t>Nur Oktaria (971800015).jpg</t>
  </si>
  <si>
    <t>Nursamsi (642001061).jpg</t>
  </si>
  <si>
    <t>Nurul Rochman.jpg</t>
  </si>
  <si>
    <t>Okta Setyanida (971900035).jpg</t>
  </si>
  <si>
    <t>Oktari Ayu Wandira (642002074).jpg</t>
  </si>
  <si>
    <t>Oktavian Frans Sanjaya.jpg</t>
  </si>
  <si>
    <t>Oktaviyanto.jpg</t>
  </si>
  <si>
    <t>Ongky Yusfiantara (642001024).jpg</t>
  </si>
  <si>
    <t>Oskar Anggara (641801137).jpg</t>
  </si>
  <si>
    <t>pamungkas 1.jpg</t>
  </si>
  <si>
    <t>Panji Sulaksono (990900012).jpg</t>
  </si>
  <si>
    <t>Prahasta Eka Pratama (641811207).jpg</t>
  </si>
  <si>
    <t>Prasetyo Ari Anggoro.jpg</t>
  </si>
  <si>
    <t>Pratama Bagus Aji Syahputra (641812210).jpg</t>
  </si>
  <si>
    <t>Prima Lestian Herlambang.jpg</t>
  </si>
  <si>
    <t>Priyogo Susilo.jpg</t>
  </si>
  <si>
    <t>Priyono.JPG</t>
  </si>
  <si>
    <t>Puput Wahyudhianto (971800026).jpg</t>
  </si>
  <si>
    <t>Purwanto (642001059).jpg</t>
  </si>
  <si>
    <t>Putra MAT (3).JPG</t>
  </si>
  <si>
    <t>Putra Satria Bintang Pamungkas (642001065).jpg</t>
  </si>
  <si>
    <t>Qhoirul Wafiudin (641907269).jpeg</t>
  </si>
  <si>
    <t>R Praja Kusuma Nugraha (971800017).jpg</t>
  </si>
  <si>
    <t>R_Sonny_Yanupraja-removebg-preview.png</t>
  </si>
  <si>
    <t>Raditya_Wisnu_Pradana-removebg-preview.png</t>
  </si>
  <si>
    <t>Rahardian_Indra_Mayuriidz-removebg-preview.png</t>
  </si>
  <si>
    <t>Rahman Damanik (641907247).jpeg</t>
  </si>
  <si>
    <t>RAHMAT_SYAIFUDIN-removebg-preview.png</t>
  </si>
  <si>
    <t>Rais Jatmiko.jpeg</t>
  </si>
  <si>
    <t>Rama Sutami Salim.jpg</t>
  </si>
  <si>
    <t>Randi Ardiman (641810206).jpg</t>
  </si>
  <si>
    <t>Randu Ariandi.jpg</t>
  </si>
  <si>
    <t>Ratih Widiastuti (971700011).jpg</t>
  </si>
  <si>
    <t>Reihan.jpg</t>
  </si>
  <si>
    <t>Reka Patria Raflyliano.jpg</t>
  </si>
  <si>
    <t>Rendhy Eko Nur Cahyo (641807169).jpg</t>
  </si>
  <si>
    <t>Revan Pradipta (642001067).jpg</t>
  </si>
  <si>
    <t>REZA_KRISTI_OKTAVIA-removebg-preview.png</t>
  </si>
  <si>
    <t>Rezaldhy Erlangga.jpg</t>
  </si>
  <si>
    <t>Rian Adji P.JPG</t>
  </si>
  <si>
    <t>Rian Pratama.jpg</t>
  </si>
  <si>
    <t>Rian Wijaya Pratama (641907278).jpg</t>
  </si>
  <si>
    <t>Riant Adzandy.png</t>
  </si>
  <si>
    <t>Ricky Wijaya (641810200).jpg</t>
  </si>
  <si>
    <t>Rifqi Tegar Laksono (971900044).jpg</t>
  </si>
  <si>
    <t>Rija Cahyadi.jpg</t>
  </si>
  <si>
    <t>Rika Kusumaning Indramtoko (971500003).jpg</t>
  </si>
  <si>
    <t>Riko Sanjaya (642001068).jpg</t>
  </si>
  <si>
    <t>Riyan Andika (642002079).jpg</t>
  </si>
  <si>
    <t>RIZAL_ILHAM_RIFAI-removebg-preview.png</t>
  </si>
  <si>
    <t>Rizki Kurniawan.jpg</t>
  </si>
  <si>
    <t>Rizk Novriansyah (641810190).jpg</t>
  </si>
  <si>
    <t>Rizky Maulana Indrosaputro (642003087).jpg</t>
  </si>
  <si>
    <t>Rofingi (642001056).jpg</t>
  </si>
  <si>
    <t>Rudi Hariyanto.JPG</t>
  </si>
  <si>
    <t>Rudi Hartono (642001054).jpg</t>
  </si>
  <si>
    <t>Rudik Haryanto (642001033).jpg</t>
  </si>
  <si>
    <t>Rudi Susanto (971800024).jpg</t>
  </si>
  <si>
    <t>Sadikun.jpg</t>
  </si>
  <si>
    <t>Sahban Arif.png</t>
  </si>
  <si>
    <t>Samuri-removebg-preview.png</t>
  </si>
  <si>
    <t>Sandy Mahesta.jpg</t>
  </si>
  <si>
    <t>Sarah Ayu J.jpg</t>
  </si>
  <si>
    <t>Satria Gustiana Rahardi (971900043).jpg</t>
  </si>
  <si>
    <t>Satrya_sigit_prakoso-removebg-preview.png</t>
  </si>
  <si>
    <t>Semoga Jayaa.jpg</t>
  </si>
  <si>
    <t>SETYA_AJI_WIBOWO-removebg-preview.png</t>
  </si>
  <si>
    <t>Setyo Wibowo (999600008).jpg</t>
  </si>
  <si>
    <t>Shofwan Mahsyurdin (641808174).jpg</t>
  </si>
  <si>
    <t>Sigit Eko Susanto (642001011).jpg</t>
  </si>
  <si>
    <t>Sigit Usmanto (641810192).jpg</t>
  </si>
  <si>
    <t>Sigit Wahyu.jpg</t>
  </si>
  <si>
    <t>Siswahyudi.JPG</t>
  </si>
  <si>
    <t>siswanto-removebg-preview.png</t>
  </si>
  <si>
    <t>Suci Herlambang.jpg</t>
  </si>
  <si>
    <t>Sudarmawan (641807168).jpg</t>
  </si>
  <si>
    <t>Sugiyanto (642001050).jpg</t>
  </si>
  <si>
    <t>Sugiyatno (999900116).jpg</t>
  </si>
  <si>
    <t>Sujito-removebg-preview.png</t>
  </si>
  <si>
    <t>Sultan_Alfiantsyah-removebg-preview.png</t>
  </si>
  <si>
    <t>Supriono (642001001).jpg</t>
  </si>
  <si>
    <t>Supriyadi (641810194).jpg</t>
  </si>
  <si>
    <t>Supriyadi.JPG</t>
  </si>
  <si>
    <t>Suryat Dwi Pramono (642001007).jpg</t>
  </si>
  <si>
    <t>Sutrisno.jpg</t>
  </si>
  <si>
    <t>Sutrisno Sitorus (641907249).jpeg</t>
  </si>
  <si>
    <t>Suwardoyok (642001010).jpg</t>
  </si>
  <si>
    <t>Syahrizal Rohmatul Nugroho.jpeg</t>
  </si>
  <si>
    <t>TEGUH_NUR_KHOLIS.-removebg-preview.png</t>
  </si>
  <si>
    <t>Teguh Priyatna.jpg</t>
  </si>
  <si>
    <t>Teguh Yulianto.jpg</t>
  </si>
  <si>
    <t>Tito Petrick.png</t>
  </si>
  <si>
    <t>Tomi_Suharto__642001029_-removebg-preview.png</t>
  </si>
  <si>
    <t>Tri Anang Susanto (971700007).jpg</t>
  </si>
  <si>
    <t>Tri Bagus Ridho.jpg</t>
  </si>
  <si>
    <t>Tri Diantoro (642001038).jpg</t>
  </si>
  <si>
    <t>Tri Hari S.JPG</t>
  </si>
  <si>
    <t>Tri_siswanto-removebg-preview.png</t>
  </si>
  <si>
    <t>Trustha Ashar Ramadhan.jpg</t>
  </si>
  <si>
    <t>Tubagus Vikry Iskandar.jpg</t>
  </si>
  <si>
    <t>Unggul Widiyanto (971700008).jpg</t>
  </si>
  <si>
    <t>Verry Chrisdiantoro Rubbis (642002085).jpg</t>
  </si>
  <si>
    <t>Wahab.JPG</t>
  </si>
  <si>
    <t>Wahyu Bagus Kusuma.jpg</t>
  </si>
  <si>
    <t>Wahyu_Utomo-removebg-preview.png</t>
  </si>
  <si>
    <t>WASIS BUDI UTOMO.jpeg</t>
  </si>
  <si>
    <t>Widhi Musliqim.jpg</t>
  </si>
  <si>
    <t>Wihana_Wagirahayutama-removebg-preview.png</t>
  </si>
  <si>
    <t>Wildha Ayu Kartika (4).JPG</t>
  </si>
  <si>
    <t>Yanti_Safitri-removebg-preview.png</t>
  </si>
  <si>
    <t>Yanuar Kristiyawan.jpg</t>
  </si>
  <si>
    <t>Yasir Arafad.jpg</t>
  </si>
  <si>
    <t>Yeni Rubiantoro.JPG</t>
  </si>
  <si>
    <t>Yoga Adi Pratama.jpg</t>
  </si>
  <si>
    <t>Yoga Bima Aji Wardana (642001034).jpg</t>
  </si>
  <si>
    <t>Yoga Indra Irawan.jpg</t>
  </si>
  <si>
    <t>Yoga Wicaksana.jpg</t>
  </si>
  <si>
    <t>Yolandha Erhasya.jpg</t>
  </si>
  <si>
    <t>Yonny Widiantoro.jpeg</t>
  </si>
  <si>
    <t>Yovi_Mahaputra-removebg-preview.png</t>
  </si>
  <si>
    <t>Yuda_Hendra_Prastowo-removebg-preview.png</t>
  </si>
  <si>
    <t>Yudi Hantoro (642001031).jpg</t>
  </si>
  <si>
    <t>Yuli Setiono (2).JPG</t>
  </si>
  <si>
    <t>Yulia_Whirdawati-removebg-preview.png</t>
  </si>
  <si>
    <t>Yuliantoro-removebg-preview.png</t>
  </si>
  <si>
    <t>Yusuf Baktiar.jpg</t>
  </si>
  <si>
    <t>Yusup Zakaria (641907250).jpg</t>
  </si>
  <si>
    <t>Zaim Habib.png</t>
  </si>
  <si>
    <t>Zhaler_Bagya_Putra-removebg-preview.png</t>
  </si>
  <si>
    <t>Zhilal_Ratu_Aqilah-removebg-preview.png</t>
  </si>
  <si>
    <t>Sigit Sugiarto 999800002 HC.png</t>
  </si>
  <si>
    <t>DATA RIWAYAT HIDUP / CURRICULUM VITAE</t>
  </si>
  <si>
    <t>Data Pribadi</t>
  </si>
  <si>
    <t>:</t>
  </si>
  <si>
    <t>Departemen / Proyek</t>
  </si>
  <si>
    <t>Pendidikan</t>
  </si>
  <si>
    <t>Pengalaman</t>
  </si>
  <si>
    <t>Unit Kerja</t>
  </si>
  <si>
    <t>Tahun</t>
  </si>
  <si>
    <t>Pelatihan / Sertifikasi</t>
  </si>
  <si>
    <t>Jenis Pelatihan / Sertifikasi</t>
  </si>
  <si>
    <t>PT INKA Multi Solusi Service</t>
  </si>
  <si>
    <t>Kepala Divisi SDM, Manajemen Risiko dan Umum</t>
  </si>
  <si>
    <t>Sigit Sugiarto</t>
  </si>
  <si>
    <t>16006272021</t>
  </si>
  <si>
    <t>22063660751</t>
  </si>
  <si>
    <t>24192575926</t>
  </si>
  <si>
    <t>24192575892</t>
  </si>
  <si>
    <t xml:space="preserve">	24192575942</t>
  </si>
  <si>
    <t xml:space="preserve">	24192575884</t>
  </si>
  <si>
    <t>24192575868</t>
  </si>
  <si>
    <t xml:space="preserve">	24192575918</t>
  </si>
  <si>
    <t xml:space="preserve">	24192575975</t>
  </si>
  <si>
    <t xml:space="preserve">	24192575934</t>
  </si>
  <si>
    <t xml:space="preserve">	24192575850</t>
  </si>
  <si>
    <t xml:space="preserve">	24192575967</t>
  </si>
  <si>
    <t xml:space="preserve">	24192575876</t>
  </si>
  <si>
    <t>24192575900</t>
  </si>
  <si>
    <t xml:space="preserve">	24192575983</t>
  </si>
  <si>
    <t xml:space="preserve">	24192575959</t>
  </si>
  <si>
    <t>AHINDA AFRILIA RISTIANINGRUM</t>
  </si>
  <si>
    <t>3520046304860001</t>
  </si>
  <si>
    <t>Perum Graha mas Blok A8 Jl Sukarno Hatta</t>
  </si>
  <si>
    <t>081229913641</t>
  </si>
  <si>
    <t>ahindaar@gmail.com</t>
  </si>
  <si>
    <t>Pendidikan Olahraga</t>
  </si>
  <si>
    <t>IKIP Budi Utomo Malang</t>
  </si>
  <si>
    <t>0001449448795</t>
  </si>
  <si>
    <t>20033431022</t>
  </si>
  <si>
    <t xml:space="preserve">SMK Gamaliel 1 Madiun </t>
  </si>
  <si>
    <t>ZAPENGELOLAAN DAN PENGENDALIAN ASET INKAWI</t>
  </si>
  <si>
    <t>SUKANTI</t>
  </si>
  <si>
    <t>SUNDJOTO</t>
  </si>
  <si>
    <t>PARDI</t>
  </si>
  <si>
    <t>DINEM</t>
  </si>
  <si>
    <t>IRWAN JUWONO</t>
  </si>
  <si>
    <t>SUSI HARTINI</t>
  </si>
  <si>
    <t>KUKUH ARIS PRASETYO</t>
  </si>
  <si>
    <t>ENDANG SRI ELIK NURWAHYUNI</t>
  </si>
  <si>
    <t>SURAT</t>
  </si>
  <si>
    <t>SUNARTI</t>
  </si>
  <si>
    <t>ABDUL MAJID</t>
  </si>
  <si>
    <t>PUDJI ASTUTI</t>
  </si>
  <si>
    <t>AHMAD LUKMAN</t>
  </si>
  <si>
    <t>RACHMA SETYAWATI</t>
  </si>
  <si>
    <t xml:space="preserve">MUHIDDIN </t>
  </si>
  <si>
    <t xml:space="preserve">SULASRIANI ABDULLAH </t>
  </si>
  <si>
    <t>TATIN SUMIATIN</t>
  </si>
  <si>
    <t>BASYUNI</t>
  </si>
  <si>
    <t>RIYANI</t>
  </si>
  <si>
    <t xml:space="preserve">SUWARNO </t>
  </si>
  <si>
    <t>ENDANG TRIMURTI</t>
  </si>
  <si>
    <t xml:space="preserve">LUTFIA INDRIANI </t>
  </si>
  <si>
    <t>MUHAMMAD HENOKH AL MASYISY</t>
  </si>
  <si>
    <t>KUAT SAROSA (ALM)</t>
  </si>
  <si>
    <t xml:space="preserve">SITI RUKANAH </t>
  </si>
  <si>
    <t>BASIR SISWANTO</t>
  </si>
  <si>
    <t>KHUSNUL KHOIRIYAH</t>
  </si>
  <si>
    <t>Teknik Instalasi Pemanfaatan Tenaga  Listrik</t>
  </si>
  <si>
    <t>Teknik Ketenagalistrikan</t>
  </si>
  <si>
    <t>SMA N 1 Dagangan</t>
  </si>
  <si>
    <t>SMK N 26 Jakarta</t>
  </si>
  <si>
    <t>SMK N 8 Bandung</t>
  </si>
  <si>
    <t>Universitas Ma Chung Malang</t>
  </si>
  <si>
    <t>Staf Ahli Direktur Keuangan, SDM dan Manajemen Risiko</t>
  </si>
  <si>
    <t>JIMMY LAKSAMANA SANJAYA</t>
  </si>
  <si>
    <t>MUHAMMAD IQBAL ALBANJARI</t>
  </si>
  <si>
    <t>119/XII/210/IMSS/2024</t>
  </si>
  <si>
    <t>116/XI/210/IMSS/2024</t>
  </si>
  <si>
    <t>SK-01/D2/IMSS/2024</t>
  </si>
  <si>
    <t>102/X/210/IMSS/2024</t>
  </si>
  <si>
    <t>99/X/210/IMSS/2024</t>
  </si>
  <si>
    <t>96/X/210/IMSS/2024</t>
  </si>
  <si>
    <t>76/IX/210/IMSS/2024</t>
  </si>
  <si>
    <t>SLAMET PUJIANTO</t>
  </si>
  <si>
    <t>HARMINI</t>
  </si>
  <si>
    <t>P48 KRL KFW</t>
  </si>
  <si>
    <t>Safety Officer</t>
  </si>
  <si>
    <t>ST-83/210/IMSS/2024</t>
  </si>
  <si>
    <t>ST-84/210/IMSS/2024</t>
  </si>
  <si>
    <t>KRDE Kualanamu</t>
  </si>
  <si>
    <t>ST-87/210/IMSS/2024</t>
  </si>
  <si>
    <t>Uji Tram Battery</t>
  </si>
  <si>
    <t>ST-90/210/IMSS/2024</t>
  </si>
  <si>
    <t>ST-91/210/IMSS/2024</t>
  </si>
  <si>
    <t>ST-94/210/IMSS/2024</t>
  </si>
  <si>
    <t>ST-99/210/IMSS/2024</t>
  </si>
  <si>
    <t>QHOIRUL WAFIUDdIN</t>
  </si>
  <si>
    <t>Staf Ahli Direktur Keuangan</t>
  </si>
  <si>
    <t>PKWT-642412239/210/IMSS/2024</t>
  </si>
  <si>
    <t>SK-06.4/D1/IMSS/2024</t>
  </si>
  <si>
    <t>SK-06.3/D1/IMSS/2024</t>
  </si>
  <si>
    <t>SK-06.5/D1/IMSS/2024</t>
  </si>
  <si>
    <t>SK-06.6/D1/IMSS/2024</t>
  </si>
  <si>
    <t>SK-06.7/D1/IMSS/2024</t>
  </si>
  <si>
    <t>SK-06.2/D1/IMSS/2024</t>
  </si>
  <si>
    <t>SK-06.1/D1/IMSS/2024</t>
  </si>
  <si>
    <t>SK-06.8/D1/IMSS/2024</t>
  </si>
  <si>
    <t>SK-12.1/D1/IMSS/2024</t>
  </si>
  <si>
    <t>SK-12.2/D1/IMSS/2024</t>
  </si>
  <si>
    <t>Tidak Menerima Offering</t>
  </si>
  <si>
    <t>Cerai</t>
  </si>
  <si>
    <t>24009885500</t>
  </si>
  <si>
    <t>STATUS PEGAWAI</t>
  </si>
  <si>
    <t>Column Labels</t>
  </si>
  <si>
    <t>Grand Total</t>
  </si>
  <si>
    <t>Status</t>
  </si>
  <si>
    <t>Count of Domisili</t>
  </si>
  <si>
    <t>SAR</t>
  </si>
  <si>
    <t>PPA</t>
  </si>
  <si>
    <t>SD,</t>
  </si>
  <si>
    <t>LEGAL</t>
  </si>
  <si>
    <t>%</t>
  </si>
  <si>
    <t>SIPIL</t>
  </si>
  <si>
    <t xml:space="preserve">PMU </t>
  </si>
  <si>
    <t>Count of Divisi</t>
  </si>
  <si>
    <t>Staf Ahli
Direktur Utama</t>
  </si>
  <si>
    <t>TEKLOG</t>
  </si>
  <si>
    <t>W 1</t>
  </si>
  <si>
    <t>W 2</t>
  </si>
  <si>
    <t>Keu</t>
  </si>
  <si>
    <t>0001128620316</t>
  </si>
  <si>
    <t>0000786811781</t>
  </si>
  <si>
    <t>7273678195</t>
  </si>
  <si>
    <t>SMA SEDERAJAT</t>
  </si>
  <si>
    <t>Row Labels</t>
  </si>
  <si>
    <t>(blank)</t>
  </si>
  <si>
    <t>Count of Status Pernikahan</t>
  </si>
  <si>
    <t>Count of Almamater</t>
  </si>
  <si>
    <t>TIMOTHY NAINGGOLAN</t>
  </si>
  <si>
    <t>RAMADHAN HADIYANSYAH</t>
  </si>
  <si>
    <t>ENDANG SUPARI</t>
  </si>
  <si>
    <t>MUKHAMAD RIZALDI AWALUDIN</t>
  </si>
  <si>
    <t>17036886087</t>
  </si>
  <si>
    <t>15057038687</t>
  </si>
  <si>
    <t>Penempatan Karyawan</t>
  </si>
  <si>
    <t>ORGANIK IMSS</t>
  </si>
  <si>
    <t>ORGANIK INKA</t>
  </si>
  <si>
    <t>Column2</t>
  </si>
  <si>
    <t>BOD</t>
  </si>
  <si>
    <t>BOD - 1</t>
  </si>
  <si>
    <t>BOD - 3</t>
  </si>
  <si>
    <t>BOD - 2</t>
  </si>
  <si>
    <t>STAF</t>
  </si>
  <si>
    <t>GOLONGAN JABATAN</t>
  </si>
  <si>
    <t>Count of Usia</t>
  </si>
  <si>
    <t>50&gt;</t>
  </si>
  <si>
    <t>45-49</t>
  </si>
  <si>
    <t>40-44</t>
  </si>
  <si>
    <t>35-39</t>
  </si>
  <si>
    <t>30-34</t>
  </si>
  <si>
    <t>25-29</t>
  </si>
  <si>
    <t>&lt;25</t>
  </si>
  <si>
    <t>USIA</t>
  </si>
  <si>
    <t>3318210507980002</t>
  </si>
  <si>
    <t>Tlutup, RT/RW 003/002, Trangkil, Kab. Pati</t>
  </si>
  <si>
    <t>0895975311736</t>
  </si>
  <si>
    <t>risaltlutup@gmail.com</t>
  </si>
  <si>
    <t>MUNASIR</t>
  </si>
  <si>
    <t>RUGIYATI</t>
  </si>
  <si>
    <t>SMK Tunas Harapan Pati</t>
  </si>
  <si>
    <t>087873063096</t>
  </si>
  <si>
    <t>3328141012000002</t>
  </si>
  <si>
    <t>Cikedokan RT/RW 01/04, Cikarang Barat, Kab. Bekasi</t>
  </si>
  <si>
    <t>SMK Maarif 1 Suradadi</t>
  </si>
  <si>
    <t>Gunung Menang</t>
  </si>
  <si>
    <t>082181270707</t>
  </si>
  <si>
    <t>endangsupari028@gmail.com</t>
  </si>
  <si>
    <t>1603132801990002</t>
  </si>
  <si>
    <t>Dusun III, Gunung Menang, Penukal, Kab. Penukal Abab Lematang Ilir</t>
  </si>
  <si>
    <t>1271192001070001</t>
  </si>
  <si>
    <t>Perum Kartama Raya Blok G1 No 37 RT/RW 001/003 Perhentianmarpoyan, Marpoyan Damai, Kota Pekanbaru</t>
  </si>
  <si>
    <t>081396193311</t>
  </si>
  <si>
    <t>timothynainggolan93@gmail.com</t>
  </si>
  <si>
    <t>SMA N 14 Pekanbaru</t>
  </si>
  <si>
    <t>RAHARDIAN TITUS NURDIANSYAH</t>
  </si>
  <si>
    <t>DENI WULANDANI</t>
  </si>
  <si>
    <t>Spesialis Muda</t>
  </si>
  <si>
    <t>Jl Jati Jajar II No.7, Taman, Kota Madiun</t>
  </si>
  <si>
    <t>Dsn Padas Balong RT/RW 02/05, Patihan, Karangrejo, Magetan</t>
  </si>
  <si>
    <t>K/4</t>
  </si>
  <si>
    <t>SK-02/D1/IMSS/2025</t>
  </si>
  <si>
    <t>Plt Kepala Bagian</t>
  </si>
  <si>
    <t>SDM, Manajemen Risiko dan Umum</t>
  </si>
  <si>
    <t>Teknik &amp; Logistik</t>
  </si>
  <si>
    <t>Keuangan &amp; Akuntansi</t>
  </si>
  <si>
    <t>SMK3 &amp; Pengelolaan Aset</t>
  </si>
  <si>
    <t>Staf Khusus Direktorat Operasi</t>
  </si>
  <si>
    <t>MRO I</t>
  </si>
  <si>
    <t>Pemasaran INKA Group</t>
  </si>
  <si>
    <t>Pemasaran Non-INKA Group</t>
  </si>
  <si>
    <t>MRO II</t>
  </si>
  <si>
    <t>Madiun,   30        Januari 2025</t>
  </si>
  <si>
    <t>ST-02/210/IMSS/2025</t>
  </si>
  <si>
    <t>ST-07/210/IMSS/2025</t>
  </si>
  <si>
    <t>99N70012270</t>
  </si>
  <si>
    <t>08021928174</t>
  </si>
  <si>
    <t>0001134328522</t>
  </si>
  <si>
    <t>0001127793598</t>
  </si>
  <si>
    <t>deni.wulandani@inka.co.id</t>
  </si>
  <si>
    <t>rahardian.titus@inka.co.id</t>
  </si>
  <si>
    <t>3524121404820004</t>
  </si>
  <si>
    <t>3520131206740002</t>
  </si>
  <si>
    <t>FUNSIONAL PRATAMA</t>
  </si>
  <si>
    <t>Adib_Ardhian.png</t>
  </si>
  <si>
    <t>Aditya_Erlangga_Prasetyo-removebg-preview.png</t>
  </si>
  <si>
    <t>Aditya_Novianto_Wicaksana-removebg-preview.png</t>
  </si>
  <si>
    <t>Afriza Krido Ananta.jpeg</t>
  </si>
  <si>
    <t>Agung_setiawan-removebg-preview.png</t>
  </si>
  <si>
    <t>Agus Tri Waloyo.png</t>
  </si>
  <si>
    <t>Ahinda_Afrilia_Ristianingrum-removebg-preview.png</t>
  </si>
  <si>
    <t>Ahmad_Rizal.png</t>
  </si>
  <si>
    <t>ALDI_FAHREZI-removebg-preview.png</t>
  </si>
  <si>
    <t>Anas Albadry.jpg</t>
  </si>
  <si>
    <t>Arif Bahtiar.jpeg</t>
  </si>
  <si>
    <t>Bagus setiawan.jpeg</t>
  </si>
  <si>
    <t>Bayu Adi Pamungkas.jpeg</t>
  </si>
  <si>
    <t>Bayu_Yulianto.png</t>
  </si>
  <si>
    <t>Bobon_Suryana.png</t>
  </si>
  <si>
    <t>Cahaya_Sukma_Andika-removebg-preview.png</t>
  </si>
  <si>
    <t>Cholik M Zamzam.png</t>
  </si>
  <si>
    <t>Dela_Oktaviana.png</t>
  </si>
  <si>
    <t>Deni Wulandani.jpeg</t>
  </si>
  <si>
    <t>Deny_widianto-removebg-preview.png</t>
  </si>
  <si>
    <t>Deri_Yuda_Mahendra-removebg-preview.png</t>
  </si>
  <si>
    <t>Deviana.png</t>
  </si>
  <si>
    <t>Dhifan_Qinthara-removebg-preview.png</t>
  </si>
  <si>
    <t>Diaz_Pratama-removebg-preview.png</t>
  </si>
  <si>
    <t>Dicky_Wahyudi_Putra-removebg-preview.png</t>
  </si>
  <si>
    <t>Dita_Karolin.png</t>
  </si>
  <si>
    <t>Joko Iswahyudi.jpg</t>
  </si>
  <si>
    <t>Elang_mahmudi-removebg-preview.png</t>
  </si>
  <si>
    <t>Elang_Raihan_Permana-removebg-preview.png</t>
  </si>
  <si>
    <t>Faizin.jpg</t>
  </si>
  <si>
    <t>Faqih_Abdurrohman_Kusti-removebg-preview.png</t>
  </si>
  <si>
    <t>Fatkhurrozi.jpg</t>
  </si>
  <si>
    <t>Gaguk-removebg-preview.png</t>
  </si>
  <si>
    <t>Irvan Bagus Saputro.jpg</t>
  </si>
  <si>
    <t>Kasturi.png</t>
  </si>
  <si>
    <t>Lasidi.png</t>
  </si>
  <si>
    <t>MIZANUL_ULUM-removebg-preview.png</t>
  </si>
  <si>
    <t>Moch Dony Anggoro.png</t>
  </si>
  <si>
    <t>Moh._Taufiq_Mahendra-removebg-preview.png</t>
  </si>
  <si>
    <t>Mujiono.png</t>
  </si>
  <si>
    <t>Muhammad_abdul_aziz-removebg-preview.png</t>
  </si>
  <si>
    <t>Muhammad_Aldhi_Saputro-removebg-preview.png</t>
  </si>
  <si>
    <t>Muhammad_Tsamarah_Natizatus_Suluk-removebg-preview.png</t>
  </si>
  <si>
    <t>Nur_Cholis-removebg-preview.png</t>
  </si>
  <si>
    <t>Nur_Sholeh__6_-removebg-preview.png</t>
  </si>
  <si>
    <t>OCTO_AMRI_MANSYURIN-removebg-preview.png</t>
  </si>
  <si>
    <t>Oky nur fahrezi.jpeg</t>
  </si>
  <si>
    <t>Once_Muhammad_Zulfikar-removebg-preview.png</t>
  </si>
  <si>
    <t>Pradhita Fadhil Muktinugraha.jpeg</t>
  </si>
  <si>
    <t>PUPUT_SANTOSO-removebg-preview.png</t>
  </si>
  <si>
    <t>Putut_Pujiono-removebg-preview.png</t>
  </si>
  <si>
    <t>RACMAD_RUDI_SAPUTRA-removebg-preview.png</t>
  </si>
  <si>
    <t>Rahardian Titus Nurdiansyah.jpeg</t>
  </si>
  <si>
    <t>Rahmadi_Purwanto-removebg-preview.png</t>
  </si>
  <si>
    <t>Risma_Alfiyani-removebg-preview.png</t>
  </si>
  <si>
    <t>Rizal Agus Pratama.jpg</t>
  </si>
  <si>
    <t>Runi Widiastuti.jpg</t>
  </si>
  <si>
    <t>Saifulloh Rozi.jpg</t>
  </si>
  <si>
    <t>Setyo_Roy_Andika-removebg-preview.png</t>
  </si>
  <si>
    <t>SHONUFIT_AR_ROYAN_FIRDAUS-removebg-preview.png</t>
  </si>
  <si>
    <t>Sukirno.png</t>
  </si>
  <si>
    <t>Sukma_Farissyah-removebg-preview.png</t>
  </si>
  <si>
    <t>Surjono.png</t>
  </si>
  <si>
    <t>Suryono.jpg</t>
  </si>
  <si>
    <t>Sutanto.png</t>
  </si>
  <si>
    <t>Sutarbi.jpg</t>
  </si>
  <si>
    <t>TRI_HANDOKO-removebg-preview.png</t>
  </si>
  <si>
    <t>Yusuf_Abdullah-removebg-preview.png</t>
  </si>
  <si>
    <t>Madrasah Aliyah NU Nurul Huda Semarang</t>
  </si>
  <si>
    <t>SMA N 2 Dewantara Kabupaten Aceh Utara</t>
  </si>
  <si>
    <t>SK-05/D1/IMSS/2025</t>
  </si>
  <si>
    <t>SK-04/D1/IMSS/2025</t>
  </si>
  <si>
    <t>Pemasaran Non INKA Group</t>
  </si>
  <si>
    <t>Pengendalian Logistik</t>
  </si>
  <si>
    <t>Pengelolaan Aset</t>
  </si>
  <si>
    <t>SK-06/D1/IMSS/2025</t>
  </si>
  <si>
    <t>ACHMAD ADIB FAIZI</t>
  </si>
  <si>
    <t>ACHMAD RIZAL</t>
  </si>
  <si>
    <t>AHMAD YUSWAN AWANG</t>
  </si>
  <si>
    <t xml:space="preserve">KHOIRUL ARIS BUDIMAN </t>
  </si>
  <si>
    <t>MUHAMMAD RAFLI</t>
  </si>
  <si>
    <t>RENDIKA DWI SETIAWAN</t>
  </si>
  <si>
    <t>RENNO DANUARTA AFANDI</t>
  </si>
  <si>
    <t>MUHAMMAD IQBAL (BWI)</t>
  </si>
  <si>
    <t>DESNA FITRIA DEVI</t>
  </si>
  <si>
    <t>NOVI NAVISA RIFKY</t>
  </si>
  <si>
    <t>LELY APRILIA</t>
  </si>
  <si>
    <t>FADILA DANDI ROSITA</t>
  </si>
  <si>
    <t>RENATA TRISTIANA</t>
  </si>
  <si>
    <t>DENI ESTU PRAYOGA</t>
  </si>
  <si>
    <t xml:space="preserve">SHELIA NOVARULY SAHITA DEWI </t>
  </si>
  <si>
    <t>ERINA ANANDA RIDWAN</t>
  </si>
  <si>
    <t>3510241808060002</t>
  </si>
  <si>
    <t>Jl.mahoni,Dusun krajan,Desa Pesucen,Kec.Kalipuro</t>
  </si>
  <si>
    <t>087716425119</t>
  </si>
  <si>
    <t>6287716425119</t>
  </si>
  <si>
    <t>achmadadibfaizi@gmail.com</t>
  </si>
  <si>
    <t>Bambang triyono</t>
  </si>
  <si>
    <t>Tamsil Kanah</t>
  </si>
  <si>
    <t>3510161702010007</t>
  </si>
  <si>
    <t>3510161208030004</t>
  </si>
  <si>
    <t>3510161207050001</t>
  </si>
  <si>
    <t>351015020030002</t>
  </si>
  <si>
    <t>3510140102060002</t>
  </si>
  <si>
    <t>3311070209050002</t>
  </si>
  <si>
    <t>3510162812050003</t>
  </si>
  <si>
    <t>Dusun Krajan, RT 01 RW 02, Kalirejo, Kec.Kabat, Kab.Banyuwangi</t>
  </si>
  <si>
    <t xml:space="preserve">Lingk Kauman Biskalan kelurahan Kepatihan kecamatan Banyuwangi </t>
  </si>
  <si>
    <t>Dusun wonosari, RT/RW 004/002,Tamansuruh,Glagah</t>
  </si>
  <si>
    <t>JL. IKAN MUNGSING KARANGREJO BANYUWANGI</t>
  </si>
  <si>
    <t>Dk. Selang RT002 / RW003 Kenokorejo, Polokarto, Sukoharjo</t>
  </si>
  <si>
    <t>JL. Tawang alun NO.06</t>
  </si>
  <si>
    <t>Jl Ikan Pesut No. 13 Sobo, Banyuwangi</t>
  </si>
  <si>
    <t>089602499134</t>
  </si>
  <si>
    <t>0895413539152</t>
  </si>
  <si>
    <t>085231186419</t>
  </si>
  <si>
    <t>085810429958</t>
  </si>
  <si>
    <t>0881036739036</t>
  </si>
  <si>
    <t>0859175518773</t>
  </si>
  <si>
    <t>08983784836</t>
  </si>
  <si>
    <t>089523902657</t>
  </si>
  <si>
    <t>achmadrizal122001@gmail.com</t>
  </si>
  <si>
    <t>ahmadyuswan126@gmail.com</t>
  </si>
  <si>
    <t>khoirularis877@gmail.com</t>
  </si>
  <si>
    <t>muhiqbal020803@gmail com</t>
  </si>
  <si>
    <t>pincung789@gmail.com</t>
  </si>
  <si>
    <t>rendikads07@gmail.com</t>
  </si>
  <si>
    <t>renoodanuartaafandi@gmail.com</t>
  </si>
  <si>
    <t>Mansur ali</t>
  </si>
  <si>
    <t>Sahid Hadi Wardoyo</t>
  </si>
  <si>
    <t xml:space="preserve">Slamet Budiarto </t>
  </si>
  <si>
    <t>Yahya Abdullah</t>
  </si>
  <si>
    <t>Purwanto</t>
  </si>
  <si>
    <t>Endro Mardianto</t>
  </si>
  <si>
    <t>Suryadi</t>
  </si>
  <si>
    <t>Jamiah</t>
  </si>
  <si>
    <t xml:space="preserve">Nur Indrayati </t>
  </si>
  <si>
    <t xml:space="preserve">EMI Rosidah </t>
  </si>
  <si>
    <t>Sri Diana</t>
  </si>
  <si>
    <t>Sri Rahayu</t>
  </si>
  <si>
    <t>Intan Purnamawati</t>
  </si>
  <si>
    <t>Lisa Dwi Lestari</t>
  </si>
  <si>
    <t>Teknik mesin</t>
  </si>
  <si>
    <t>Teknik instalasi listrik</t>
  </si>
  <si>
    <t xml:space="preserve">Ketenagalistrikan </t>
  </si>
  <si>
    <t xml:space="preserve">Teknik ketenagalistrikan </t>
  </si>
  <si>
    <t>Instalasi Tenaga Kelistrikan</t>
  </si>
  <si>
    <t>SMK Negeri 1 Glagah</t>
  </si>
  <si>
    <t>Instalasi Tenaga Listrik</t>
  </si>
  <si>
    <t>Teknik Instalasi Listrik</t>
  </si>
  <si>
    <t xml:space="preserve">Teknik Ketenagalistrikan </t>
  </si>
  <si>
    <t>Desa Mojorayung RT. 02 RW. 01, Kec. Wungu, Kab. Madiun, Jawa Timur</t>
  </si>
  <si>
    <t xml:space="preserve">Blitar </t>
  </si>
  <si>
    <t>Kota Batu</t>
  </si>
  <si>
    <t>Banjarmasin</t>
  </si>
  <si>
    <t>3519034712020002</t>
  </si>
  <si>
    <t>3507235111020003</t>
  </si>
  <si>
    <t>3515047103010002</t>
  </si>
  <si>
    <t>3519076905030001</t>
  </si>
  <si>
    <t>3577035210010004</t>
  </si>
  <si>
    <t>3519091012990002</t>
  </si>
  <si>
    <t>3519124901980002</t>
  </si>
  <si>
    <t>6372046911990001</t>
  </si>
  <si>
    <t>Jl. Raya Dungus Ds. Karangrejo RT. 10 RW. 02, Kec. Wungu, Kab. Madiun</t>
  </si>
  <si>
    <t>Jl. Raya Tajem, RT.002/RW.031, Maguwoharjo, Depok, Sleman, DI Yogyakarta</t>
  </si>
  <si>
    <t>Jl. Raya Brak Tawangargo RT 16/RW 04, Kec.Karangploso, Kab.Malang</t>
  </si>
  <si>
    <t>Jl. Sutoyo RT.10/RW.02 Ds. Kaibon, Kec. Geger, Kab. Madiun</t>
  </si>
  <si>
    <t>Dusun Tengger RT. 001 RW. 007 Desa Watukenongo Kec. Pungging, Kab. Mojokerto</t>
  </si>
  <si>
    <t>Dusun 02, RT.008 RW.003 Desa Ngetrep Kec. Jiwan, Kab. Madiun</t>
  </si>
  <si>
    <t>Sugihwaras RT. 17 RW. 05, Kec. Saradan, Kab. Madiun, Jawa Timur</t>
  </si>
  <si>
    <t>082264732767</t>
  </si>
  <si>
    <t>085749714820</t>
  </si>
  <si>
    <t>081343128013</t>
  </si>
  <si>
    <t>085697139546</t>
  </si>
  <si>
    <t>085851392920</t>
  </si>
  <si>
    <t>081556901903</t>
  </si>
  <si>
    <t>082219437206</t>
  </si>
  <si>
    <t>082231152877</t>
  </si>
  <si>
    <t>desnafitria712@gmail.com</t>
  </si>
  <si>
    <t>novinavisarifky@gmail.com</t>
  </si>
  <si>
    <t>lelyaprilia82@gmail.com</t>
  </si>
  <si>
    <t>fadiladandirosita@gmail.com</t>
  </si>
  <si>
    <t>tristirenata@gmail.com</t>
  </si>
  <si>
    <t>deniestup6@gmail.com</t>
  </si>
  <si>
    <t>shelianovaruly@gmail.com</t>
  </si>
  <si>
    <t>erinaananda29@gmail.com</t>
  </si>
  <si>
    <t xml:space="preserve">Muhaimin </t>
  </si>
  <si>
    <t>Saiful Islam</t>
  </si>
  <si>
    <t>Joko Sutrisno (Alm)</t>
  </si>
  <si>
    <t>YUDI PRAMONO</t>
  </si>
  <si>
    <t>Leonardo Sembiring</t>
  </si>
  <si>
    <t>Suryaning Wuri Werdani</t>
  </si>
  <si>
    <t>Pribadi</t>
  </si>
  <si>
    <t>Kusnah</t>
  </si>
  <si>
    <t>Aslimah</t>
  </si>
  <si>
    <t>Siti Chalimah</t>
  </si>
  <si>
    <t>Rosyidi</t>
  </si>
  <si>
    <t>Sumini</t>
  </si>
  <si>
    <t>DESIAH</t>
  </si>
  <si>
    <t>SRI WIWIN</t>
  </si>
  <si>
    <t>Kristina Alep Ape Lenda</t>
  </si>
  <si>
    <t>Universitas Telkom</t>
  </si>
  <si>
    <t>0000700925027</t>
  </si>
  <si>
    <t>0002806183697</t>
  </si>
  <si>
    <t>0002595187089</t>
  </si>
  <si>
    <t>0001704199408</t>
  </si>
  <si>
    <t>TK/1</t>
  </si>
  <si>
    <t>Pembinaan Dan Sertifikasi Calon Ahli K3 Umum</t>
  </si>
  <si>
    <t>TK/2</t>
  </si>
  <si>
    <t>Count of Status Pegawai</t>
  </si>
  <si>
    <t>Count of Jenis Kelamin</t>
  </si>
  <si>
    <t>P48 KRL KfW</t>
  </si>
  <si>
    <t>SMK3 dan Pengelolaan Aset</t>
  </si>
  <si>
    <t>UPDATE</t>
  </si>
  <si>
    <t xml:space="preserve">LRT Jabodebek </t>
  </si>
  <si>
    <t>Staff Khusus</t>
  </si>
  <si>
    <t xml:space="preserve">Aftersales 612 </t>
  </si>
  <si>
    <t xml:space="preserve">SDM </t>
  </si>
  <si>
    <t xml:space="preserve">Perawatan AC </t>
  </si>
  <si>
    <t xml:space="preserve">MRO </t>
  </si>
  <si>
    <t>Pengelolaan Proyek Wilaya II</t>
  </si>
  <si>
    <t>Operator Scrap 5R</t>
  </si>
  <si>
    <t>P48 AC Railink Medan</t>
  </si>
  <si>
    <t>P72 LRT Palembang</t>
  </si>
  <si>
    <t>Manajemen Mutu</t>
  </si>
  <si>
    <t>Sekrataris Perusahaan</t>
  </si>
  <si>
    <t xml:space="preserve">QC Incoming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</si>
</sst>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164" formatCode="_-* #,##0_-;\-* #,##0_-;_-* &quot;-&quot;_-;_-@"/>
    <numFmt numFmtId="165" formatCode="[$-409]dd\-mmm\-yy"/>
    <numFmt numFmtId="166" formatCode="[$-409]d\-mmm\-yy"/>
    <numFmt numFmtId="167" formatCode="[$-13809]d\ mmm\ yyyy"/>
    <numFmt numFmtId="168" formatCode="yyyy\-mm\-dd"/>
    <numFmt numFmtId="169" formatCode="_(* #,##0_);_(* \(#,##0\);_(* &quot;-&quot;??_);_(@_)"/>
    <numFmt numFmtId="170" formatCode="_(* #,##0.00_);_(* \(#,##0.00\);_(* &quot;-&quot;??_);_(@_)"/>
    <numFmt numFmtId="171" formatCode="[$-421]dd\ mmmm\ yyyy"/>
    <numFmt numFmtId="172" formatCode="[$-409]d\-mmm\-yy;@"/>
    <numFmt numFmtId="173" formatCode="[$-421]dd\ mmmm\ yyyy;@"/>
    <numFmt numFmtId="174" formatCode="[$-409]dd\-mmm\-yy;@"/>
  </numFmts>
  <fonts count="44" x14ac:knownFonts="1">
    <font>
      <sz val="11"/>
      <color theme="1"/>
      <name val="Calibri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b/>
      <sz val="11"/>
      <color theme="0"/>
      <name val="Calibri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b/>
      <sz val="18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theme="1"/>
      <name val="Calibri"/>
      <family val="2"/>
    </font>
    <font>
      <b/>
      <u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rgb="FF374151"/>
      <name val="Calibri"/>
      <family val="2"/>
    </font>
    <font>
      <sz val="11"/>
      <color rgb="FF1E1E1E"/>
      <name val="Calibri"/>
      <family val="2"/>
    </font>
    <font>
      <sz val="11"/>
      <color rgb="FF37415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8"/>
      <color theme="1"/>
      <name val="Calibri"/>
      <family val="2"/>
    </font>
    <font>
      <u/>
      <sz val="8"/>
      <color theme="10"/>
      <name val="Calibri"/>
      <family val="2"/>
    </font>
    <font>
      <sz val="8"/>
      <color rgb="FF212529"/>
      <name val="Calibri"/>
      <family val="2"/>
    </font>
    <font>
      <sz val="8"/>
      <color rgb="FF434343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</font>
    <font>
      <b/>
      <u/>
      <sz val="24"/>
      <color theme="1"/>
      <name val="Calibri"/>
      <family val="2"/>
    </font>
    <font>
      <sz val="8"/>
      <color rgb="FF434343"/>
      <name val="Arial"/>
      <family val="2"/>
    </font>
    <font>
      <sz val="7"/>
      <color rgb="FF222222"/>
      <name val="Arial"/>
      <family val="2"/>
    </font>
    <font>
      <sz val="8"/>
      <color rgb="FF212529"/>
      <name val="Arial"/>
      <family val="2"/>
    </font>
    <font>
      <sz val="11"/>
      <color indexed="8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F8F9FA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FFFFFF"/>
      </left>
      <right/>
      <top style="hair">
        <color rgb="FF000000"/>
      </top>
      <bottom style="hair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8F9FA"/>
      </top>
      <bottom/>
      <diagonal/>
    </border>
    <border>
      <left style="thin">
        <color rgb="FFFFFFFF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rgb="FF000000"/>
      </left>
      <right/>
      <top style="hair">
        <color rgb="FF000000"/>
      </top>
      <bottom style="thin">
        <color theme="6" tint="0.39997558519241921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theme="6" tint="0.3999755851924192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8F9FA"/>
      </left>
      <right/>
      <top style="thin">
        <color rgb="FFF8F9FA"/>
      </top>
      <bottom/>
      <diagonal/>
    </border>
    <border>
      <left style="thin">
        <color rgb="FFFFFFFF"/>
      </left>
      <right/>
      <top style="thin">
        <color rgb="FFFFFFFF"/>
      </top>
      <bottom style="hair">
        <color rgb="FF000000"/>
      </bottom>
      <diagonal/>
    </border>
  </borders>
  <cellStyleXfs count="6">
    <xf numFmtId="0" fontId="0" fillId="0" borderId="0"/>
    <xf numFmtId="41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4" fillId="0" borderId="0"/>
    <xf numFmtId="0" fontId="8" fillId="0" borderId="0"/>
    <xf numFmtId="9" fontId="4" fillId="0" borderId="0" applyFont="0" applyFill="0" applyBorder="0" applyAlignment="0" applyProtection="0"/>
  </cellStyleXfs>
  <cellXfs count="347">
    <xf numFmtId="0" fontId="0" fillId="0" borderId="0" xfId="0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top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10" fillId="0" borderId="2" xfId="0" applyFont="1" applyBorder="1"/>
    <xf numFmtId="0" fontId="11" fillId="0" borderId="0" xfId="0" applyFont="1"/>
    <xf numFmtId="0" fontId="10" fillId="0" borderId="0" xfId="0" applyFont="1"/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0" fillId="0" borderId="4" xfId="0" applyFont="1" applyBorder="1"/>
    <xf numFmtId="0" fontId="10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2" fillId="0" borderId="0" xfId="0" applyFont="1" applyAlignment="1">
      <alignment vertical="top"/>
    </xf>
    <xf numFmtId="0" fontId="10" fillId="0" borderId="5" xfId="0" applyFont="1" applyBorder="1"/>
    <xf numFmtId="0" fontId="10" fillId="0" borderId="5" xfId="0" applyFont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left" vertical="top"/>
    </xf>
    <xf numFmtId="0" fontId="10" fillId="0" borderId="2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4" fontId="10" fillId="0" borderId="0" xfId="0" applyNumberFormat="1" applyFont="1"/>
    <xf numFmtId="0" fontId="12" fillId="0" borderId="10" xfId="0" applyFont="1" applyBorder="1" applyAlignment="1">
      <alignment vertical="top"/>
    </xf>
    <xf numFmtId="0" fontId="13" fillId="2" borderId="10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left" vertical="top"/>
    </xf>
    <xf numFmtId="0" fontId="12" fillId="4" borderId="10" xfId="0" applyFont="1" applyFill="1" applyBorder="1" applyAlignment="1">
      <alignment horizontal="right" vertical="top"/>
    </xf>
    <xf numFmtId="0" fontId="12" fillId="4" borderId="10" xfId="0" applyFont="1" applyFill="1" applyBorder="1" applyAlignment="1">
      <alignment vertical="top"/>
    </xf>
    <xf numFmtId="0" fontId="12" fillId="0" borderId="2" xfId="0" applyFont="1" applyBorder="1" applyAlignment="1">
      <alignment vertical="top"/>
    </xf>
    <xf numFmtId="3" fontId="12" fillId="0" borderId="10" xfId="0" applyNumberFormat="1" applyFont="1" applyBorder="1" applyAlignment="1">
      <alignment horizontal="left" vertical="top"/>
    </xf>
    <xf numFmtId="0" fontId="12" fillId="0" borderId="10" xfId="0" applyFont="1" applyBorder="1" applyAlignment="1">
      <alignment horizontal="right" vertical="top"/>
    </xf>
    <xf numFmtId="0" fontId="12" fillId="0" borderId="10" xfId="0" applyFont="1" applyBorder="1" applyAlignment="1">
      <alignment horizontal="left" vertical="top"/>
    </xf>
    <xf numFmtId="49" fontId="12" fillId="4" borderId="10" xfId="0" applyNumberFormat="1" applyFont="1" applyFill="1" applyBorder="1" applyAlignment="1">
      <alignment horizontal="left" vertical="top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center"/>
    </xf>
    <xf numFmtId="0" fontId="10" fillId="5" borderId="2" xfId="0" applyFont="1" applyFill="1" applyBorder="1"/>
    <xf numFmtId="0" fontId="10" fillId="0" borderId="6" xfId="0" applyFont="1" applyBorder="1"/>
    <xf numFmtId="0" fontId="10" fillId="0" borderId="8" xfId="0" applyFont="1" applyBorder="1"/>
    <xf numFmtId="0" fontId="11" fillId="0" borderId="11" xfId="0" applyFont="1" applyBorder="1"/>
    <xf numFmtId="0" fontId="11" fillId="0" borderId="11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center" wrapText="1" readingOrder="1"/>
    </xf>
    <xf numFmtId="0" fontId="16" fillId="0" borderId="0" xfId="0" applyFont="1" applyAlignment="1">
      <alignment horizontal="center" vertical="center" wrapText="1" readingOrder="1"/>
    </xf>
    <xf numFmtId="0" fontId="17" fillId="0" borderId="0" xfId="0" applyFont="1" applyAlignment="1">
      <alignment horizontal="center" vertical="center" wrapText="1" readingOrder="1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left" vertical="center" wrapText="1" readingOrder="1"/>
    </xf>
    <xf numFmtId="0" fontId="19" fillId="0" borderId="0" xfId="0" applyFont="1" applyAlignment="1">
      <alignment horizontal="center" vertical="center" wrapText="1" readingOrder="1"/>
    </xf>
    <xf numFmtId="9" fontId="18" fillId="0" borderId="0" xfId="0" applyNumberFormat="1" applyFont="1"/>
    <xf numFmtId="0" fontId="20" fillId="0" borderId="0" xfId="0" applyFont="1" applyAlignment="1">
      <alignment horizontal="left" vertical="center" wrapText="1" readingOrder="1"/>
    </xf>
    <xf numFmtId="0" fontId="20" fillId="0" borderId="0" xfId="0" applyFont="1" applyAlignment="1">
      <alignment horizontal="center" vertical="center" wrapText="1" readingOrder="1"/>
    </xf>
    <xf numFmtId="0" fontId="21" fillId="0" borderId="0" xfId="0" applyFont="1" applyAlignment="1">
      <alignment horizontal="left" vertical="center" wrapText="1" readingOrder="1"/>
    </xf>
    <xf numFmtId="0" fontId="21" fillId="0" borderId="0" xfId="0" applyFont="1" applyAlignment="1">
      <alignment horizontal="center" vertical="center" wrapText="1" readingOrder="1"/>
    </xf>
    <xf numFmtId="3" fontId="21" fillId="0" borderId="0" xfId="0" applyNumberFormat="1" applyFont="1" applyAlignment="1">
      <alignment horizontal="center" vertical="center" wrapText="1" readingOrder="1"/>
    </xf>
    <xf numFmtId="3" fontId="20" fillId="0" borderId="0" xfId="0" applyNumberFormat="1" applyFont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4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0" fontId="12" fillId="0" borderId="6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22" fillId="6" borderId="12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vertical="top" wrapText="1"/>
    </xf>
    <xf numFmtId="0" fontId="12" fillId="0" borderId="14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top" wrapText="1"/>
    </xf>
    <xf numFmtId="0" fontId="12" fillId="0" borderId="5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top" wrapText="1"/>
    </xf>
    <xf numFmtId="0" fontId="12" fillId="0" borderId="15" xfId="0" applyFont="1" applyBorder="1" applyAlignment="1">
      <alignment horizontal="center" vertical="center" wrapText="1"/>
    </xf>
    <xf numFmtId="9" fontId="10" fillId="0" borderId="0" xfId="0" applyNumberFormat="1" applyFont="1" applyAlignment="1">
      <alignment horizontal="center"/>
    </xf>
    <xf numFmtId="9" fontId="10" fillId="0" borderId="0" xfId="0" applyNumberFormat="1" applyFont="1"/>
    <xf numFmtId="0" fontId="10" fillId="0" borderId="8" xfId="0" applyFont="1" applyBorder="1" applyAlignment="1">
      <alignment horizontal="center" vertical="center"/>
    </xf>
    <xf numFmtId="0" fontId="10" fillId="0" borderId="16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2" fillId="0" borderId="0" xfId="0" applyFont="1"/>
    <xf numFmtId="166" fontId="12" fillId="0" borderId="0" xfId="0" applyNumberFormat="1" applyFont="1"/>
    <xf numFmtId="14" fontId="12" fillId="0" borderId="0" xfId="0" applyNumberFormat="1" applyFont="1"/>
    <xf numFmtId="0" fontId="22" fillId="0" borderId="0" xfId="0" applyFont="1"/>
    <xf numFmtId="0" fontId="12" fillId="0" borderId="0" xfId="0" applyFont="1" applyAlignment="1">
      <alignment horizontal="center"/>
    </xf>
    <xf numFmtId="0" fontId="22" fillId="0" borderId="17" xfId="0" applyFont="1" applyBorder="1" applyAlignment="1">
      <alignment horizontal="center"/>
    </xf>
    <xf numFmtId="0" fontId="12" fillId="0" borderId="10" xfId="0" applyFont="1" applyBorder="1"/>
    <xf numFmtId="0" fontId="12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164" fontId="10" fillId="0" borderId="0" xfId="0" applyNumberFormat="1" applyFont="1" applyAlignment="1">
      <alignment vertical="top"/>
    </xf>
    <xf numFmtId="171" fontId="10" fillId="0" borderId="0" xfId="0" applyNumberFormat="1" applyFont="1" applyAlignment="1">
      <alignment horizontal="left" vertical="top"/>
    </xf>
    <xf numFmtId="0" fontId="23" fillId="0" borderId="0" xfId="0" applyFont="1" applyAlignment="1">
      <alignment vertical="top"/>
    </xf>
    <xf numFmtId="1" fontId="10" fillId="0" borderId="0" xfId="0" applyNumberFormat="1" applyFont="1" applyAlignment="1">
      <alignment horizontal="left" vertical="top"/>
    </xf>
    <xf numFmtId="0" fontId="11" fillId="0" borderId="0" xfId="0" applyFont="1" applyAlignment="1">
      <alignment vertical="top"/>
    </xf>
    <xf numFmtId="164" fontId="11" fillId="0" borderId="0" xfId="0" applyNumberFormat="1" applyFont="1" applyAlignment="1">
      <alignment vertical="top"/>
    </xf>
    <xf numFmtId="0" fontId="11" fillId="0" borderId="0" xfId="0" applyFont="1" applyAlignment="1">
      <alignment horizontal="left" vertical="top"/>
    </xf>
    <xf numFmtId="171" fontId="11" fillId="0" borderId="0" xfId="0" applyNumberFormat="1" applyFont="1" applyAlignment="1">
      <alignment horizontal="left" vertical="top"/>
    </xf>
    <xf numFmtId="0" fontId="10" fillId="0" borderId="0" xfId="0" applyFont="1" applyAlignment="1">
      <alignment vertical="top" wrapText="1"/>
    </xf>
    <xf numFmtId="164" fontId="10" fillId="0" borderId="0" xfId="0" applyNumberFormat="1" applyFont="1" applyAlignment="1">
      <alignment vertical="top" wrapText="1"/>
    </xf>
    <xf numFmtId="171" fontId="10" fillId="0" borderId="0" xfId="0" applyNumberFormat="1" applyFont="1" applyAlignment="1">
      <alignment horizontal="left" vertical="top" wrapText="1"/>
    </xf>
    <xf numFmtId="0" fontId="24" fillId="0" borderId="0" xfId="0" applyFont="1" applyAlignment="1">
      <alignment horizontal="center" vertical="top"/>
    </xf>
    <xf numFmtId="0" fontId="25" fillId="0" borderId="0" xfId="0" applyFont="1" applyAlignment="1">
      <alignment horizontal="center" vertical="top"/>
    </xf>
    <xf numFmtId="0" fontId="26" fillId="0" borderId="0" xfId="0" applyFont="1" applyAlignment="1">
      <alignment horizontal="center" vertical="top"/>
    </xf>
    <xf numFmtId="0" fontId="12" fillId="0" borderId="0" xfId="0" applyFont="1" applyAlignment="1">
      <alignment horizontal="right" vertical="top"/>
    </xf>
    <xf numFmtId="1" fontId="12" fillId="0" borderId="0" xfId="0" applyNumberFormat="1" applyFont="1" applyAlignment="1">
      <alignment horizontal="left" vertical="top"/>
    </xf>
    <xf numFmtId="166" fontId="12" fillId="0" borderId="0" xfId="0" applyNumberFormat="1" applyFont="1" applyAlignment="1">
      <alignment vertical="top"/>
    </xf>
    <xf numFmtId="1" fontId="12" fillId="0" borderId="0" xfId="0" applyNumberFormat="1" applyFont="1" applyAlignment="1">
      <alignment vertical="top"/>
    </xf>
    <xf numFmtId="165" fontId="12" fillId="0" borderId="0" xfId="0" applyNumberFormat="1" applyFont="1" applyAlignment="1">
      <alignment horizontal="right" vertical="top"/>
    </xf>
    <xf numFmtId="49" fontId="12" fillId="0" borderId="0" xfId="0" applyNumberFormat="1" applyFont="1" applyAlignment="1">
      <alignment vertical="top"/>
    </xf>
    <xf numFmtId="0" fontId="12" fillId="0" borderId="0" xfId="0" applyFont="1" applyAlignment="1">
      <alignment horizontal="left" vertical="top"/>
    </xf>
    <xf numFmtId="166" fontId="12" fillId="0" borderId="0" xfId="0" applyNumberFormat="1" applyFont="1" applyAlignment="1">
      <alignment horizontal="right" vertical="top"/>
    </xf>
    <xf numFmtId="49" fontId="12" fillId="0" borderId="0" xfId="0" applyNumberFormat="1" applyFont="1" applyAlignment="1">
      <alignment horizontal="left" vertical="top"/>
    </xf>
    <xf numFmtId="165" fontId="12" fillId="0" borderId="0" xfId="0" applyNumberFormat="1" applyFont="1" applyAlignment="1">
      <alignment vertical="top"/>
    </xf>
    <xf numFmtId="164" fontId="12" fillId="0" borderId="0" xfId="0" applyNumberFormat="1" applyFont="1" applyAlignment="1">
      <alignment vertical="top"/>
    </xf>
    <xf numFmtId="49" fontId="12" fillId="0" borderId="0" xfId="0" applyNumberFormat="1" applyFont="1"/>
    <xf numFmtId="14" fontId="12" fillId="0" borderId="0" xfId="0" applyNumberFormat="1" applyFont="1" applyAlignment="1">
      <alignment vertical="top"/>
    </xf>
    <xf numFmtId="0" fontId="27" fillId="0" borderId="4" xfId="0" applyFont="1" applyBorder="1"/>
    <xf numFmtId="0" fontId="28" fillId="0" borderId="0" xfId="0" applyFont="1" applyAlignment="1">
      <alignment horizontal="left" vertical="center" wrapText="1"/>
    </xf>
    <xf numFmtId="0" fontId="27" fillId="0" borderId="18" xfId="0" applyFont="1" applyBorder="1"/>
    <xf numFmtId="0" fontId="18" fillId="0" borderId="0" xfId="0" applyFont="1" applyAlignment="1">
      <alignment vertical="top" wrapText="1"/>
    </xf>
    <xf numFmtId="0" fontId="10" fillId="0" borderId="10" xfId="0" applyFont="1" applyBorder="1" applyAlignment="1">
      <alignment vertical="top"/>
    </xf>
    <xf numFmtId="0" fontId="29" fillId="0" borderId="4" xfId="0" applyFont="1" applyBorder="1"/>
    <xf numFmtId="165" fontId="10" fillId="0" borderId="0" xfId="0" applyNumberFormat="1" applyFont="1" applyAlignment="1">
      <alignment vertical="top"/>
    </xf>
    <xf numFmtId="0" fontId="30" fillId="0" borderId="0" xfId="0" applyFont="1" applyAlignment="1">
      <alignment horizontal="center" vertical="center" wrapText="1" readingOrder="1"/>
    </xf>
    <xf numFmtId="0" fontId="31" fillId="0" borderId="0" xfId="0" applyFont="1" applyAlignment="1">
      <alignment horizontal="center" vertical="center" wrapText="1" readingOrder="1"/>
    </xf>
    <xf numFmtId="0" fontId="32" fillId="0" borderId="0" xfId="0" applyFont="1" applyAlignment="1">
      <alignment horizontal="center" vertical="center" wrapText="1" readingOrder="1"/>
    </xf>
    <xf numFmtId="0" fontId="30" fillId="0" borderId="0" xfId="0" applyFont="1" applyAlignment="1">
      <alignment horizontal="left" vertical="center" wrapText="1" readingOrder="1"/>
    </xf>
    <xf numFmtId="0" fontId="31" fillId="0" borderId="0" xfId="0" applyFont="1" applyAlignment="1">
      <alignment horizontal="left" vertical="center" wrapText="1" readingOrder="1"/>
    </xf>
    <xf numFmtId="0" fontId="32" fillId="0" borderId="0" xfId="0" applyFont="1" applyAlignment="1">
      <alignment horizontal="left" vertical="center" wrapText="1" readingOrder="1"/>
    </xf>
    <xf numFmtId="3" fontId="32" fillId="0" borderId="0" xfId="0" applyNumberFormat="1" applyFont="1" applyAlignment="1">
      <alignment horizontal="center" vertical="center" wrapText="1" readingOrder="1"/>
    </xf>
    <xf numFmtId="3" fontId="31" fillId="0" borderId="0" xfId="0" applyNumberFormat="1" applyFont="1" applyAlignment="1">
      <alignment horizontal="center" vertical="center" wrapText="1" readingOrder="1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top" wrapText="1"/>
    </xf>
    <xf numFmtId="0" fontId="10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15" xfId="0" applyFont="1" applyBorder="1" applyAlignment="1">
      <alignment vertical="top" wrapText="1"/>
    </xf>
    <xf numFmtId="0" fontId="10" fillId="0" borderId="15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19" xfId="0" applyFont="1" applyBorder="1" applyAlignment="1">
      <alignment vertical="top"/>
    </xf>
    <xf numFmtId="0" fontId="12" fillId="0" borderId="20" xfId="0" applyFont="1" applyBorder="1" applyAlignment="1">
      <alignment vertical="top"/>
    </xf>
    <xf numFmtId="14" fontId="12" fillId="0" borderId="20" xfId="0" applyNumberFormat="1" applyFont="1" applyBorder="1" applyAlignment="1">
      <alignment horizontal="left" vertical="top"/>
    </xf>
    <xf numFmtId="0" fontId="12" fillId="0" borderId="20" xfId="0" applyFont="1" applyBorder="1" applyAlignment="1">
      <alignment horizontal="right" vertical="top"/>
    </xf>
    <xf numFmtId="1" fontId="12" fillId="0" borderId="20" xfId="0" applyNumberFormat="1" applyFont="1" applyBorder="1" applyAlignment="1">
      <alignment horizontal="left" vertical="top"/>
    </xf>
    <xf numFmtId="49" fontId="12" fillId="0" borderId="20" xfId="0" applyNumberFormat="1" applyFont="1" applyBorder="1" applyAlignment="1">
      <alignment horizontal="left" vertical="top"/>
    </xf>
    <xf numFmtId="165" fontId="12" fillId="0" borderId="20" xfId="0" applyNumberFormat="1" applyFont="1" applyBorder="1" applyAlignment="1">
      <alignment vertical="top"/>
    </xf>
    <xf numFmtId="14" fontId="12" fillId="0" borderId="20" xfId="0" applyNumberFormat="1" applyFont="1" applyBorder="1" applyAlignment="1">
      <alignment vertical="top"/>
    </xf>
    <xf numFmtId="165" fontId="12" fillId="0" borderId="20" xfId="0" applyNumberFormat="1" applyFont="1" applyBorder="1" applyAlignment="1">
      <alignment horizontal="right" vertical="top"/>
    </xf>
    <xf numFmtId="49" fontId="12" fillId="0" borderId="20" xfId="0" applyNumberFormat="1" applyFont="1" applyBorder="1" applyAlignment="1">
      <alignment vertical="top"/>
    </xf>
    <xf numFmtId="166" fontId="12" fillId="0" borderId="20" xfId="0" applyNumberFormat="1" applyFont="1" applyBorder="1" applyAlignment="1">
      <alignment horizontal="right" vertical="top"/>
    </xf>
    <xf numFmtId="166" fontId="12" fillId="0" borderId="20" xfId="0" applyNumberFormat="1" applyFont="1" applyBorder="1" applyAlignment="1">
      <alignment vertical="top"/>
    </xf>
    <xf numFmtId="0" fontId="22" fillId="0" borderId="20" xfId="0" applyFont="1" applyBorder="1" applyAlignment="1">
      <alignment vertical="top"/>
    </xf>
    <xf numFmtId="0" fontId="12" fillId="0" borderId="21" xfId="0" applyFont="1" applyBorder="1" applyAlignment="1">
      <alignment vertical="top"/>
    </xf>
    <xf numFmtId="0" fontId="2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65" fontId="13" fillId="0" borderId="22" xfId="0" applyNumberFormat="1" applyFont="1" applyBorder="1" applyAlignment="1">
      <alignment horizontal="center" vertical="top" wrapText="1"/>
    </xf>
    <xf numFmtId="0" fontId="13" fillId="0" borderId="22" xfId="0" applyFont="1" applyBorder="1" applyAlignment="1">
      <alignment horizontal="center" vertical="top" wrapText="1"/>
    </xf>
    <xf numFmtId="1" fontId="13" fillId="0" borderId="22" xfId="0" applyNumberFormat="1" applyFont="1" applyBorder="1" applyAlignment="1">
      <alignment horizontal="center" vertical="top" wrapText="1"/>
    </xf>
    <xf numFmtId="49" fontId="13" fillId="0" borderId="22" xfId="0" applyNumberFormat="1" applyFont="1" applyBorder="1" applyAlignment="1">
      <alignment horizontal="center" vertical="top" wrapText="1"/>
    </xf>
    <xf numFmtId="14" fontId="13" fillId="0" borderId="22" xfId="0" applyNumberFormat="1" applyFont="1" applyBorder="1" applyAlignment="1">
      <alignment horizontal="center" vertical="top" wrapText="1"/>
    </xf>
    <xf numFmtId="166" fontId="13" fillId="0" borderId="22" xfId="0" applyNumberFormat="1" applyFont="1" applyBorder="1" applyAlignment="1">
      <alignment horizontal="center" vertical="top" wrapText="1"/>
    </xf>
    <xf numFmtId="167" fontId="12" fillId="0" borderId="0" xfId="0" applyNumberFormat="1" applyFont="1" applyAlignment="1">
      <alignment vertical="top"/>
    </xf>
    <xf numFmtId="164" fontId="12" fillId="0" borderId="0" xfId="0" applyNumberFormat="1" applyFont="1"/>
    <xf numFmtId="14" fontId="22" fillId="0" borderId="0" xfId="0" applyNumberFormat="1" applyFont="1" applyAlignment="1">
      <alignment vertical="top"/>
    </xf>
    <xf numFmtId="0" fontId="12" fillId="0" borderId="0" xfId="0" applyFont="1" applyAlignment="1">
      <alignment wrapText="1"/>
    </xf>
    <xf numFmtId="1" fontId="22" fillId="0" borderId="0" xfId="0" applyNumberFormat="1" applyFont="1" applyAlignment="1">
      <alignment horizontal="left" vertical="top" wrapText="1"/>
    </xf>
    <xf numFmtId="1" fontId="22" fillId="0" borderId="0" xfId="0" applyNumberFormat="1" applyFont="1" applyAlignment="1">
      <alignment horizontal="center" vertical="top" wrapText="1"/>
    </xf>
    <xf numFmtId="166" fontId="22" fillId="0" borderId="0" xfId="0" applyNumberFormat="1" applyFont="1" applyAlignment="1">
      <alignment horizontal="center" vertical="top" wrapText="1"/>
    </xf>
    <xf numFmtId="0" fontId="22" fillId="0" borderId="0" xfId="0" applyFont="1" applyAlignment="1">
      <alignment horizontal="left" vertical="top" wrapText="1"/>
    </xf>
    <xf numFmtId="49" fontId="22" fillId="0" borderId="0" xfId="0" applyNumberFormat="1" applyFont="1" applyAlignment="1">
      <alignment horizontal="left" vertical="top" wrapText="1"/>
    </xf>
    <xf numFmtId="168" fontId="22" fillId="0" borderId="0" xfId="0" applyNumberFormat="1" applyFont="1" applyAlignment="1">
      <alignment horizontal="center" vertical="top" wrapText="1"/>
    </xf>
    <xf numFmtId="167" fontId="22" fillId="0" borderId="0" xfId="0" applyNumberFormat="1" applyFont="1" applyAlignment="1">
      <alignment horizontal="center" vertical="top" wrapText="1"/>
    </xf>
    <xf numFmtId="164" fontId="22" fillId="0" borderId="0" xfId="0" applyNumberFormat="1" applyFont="1" applyAlignment="1">
      <alignment horizontal="center" vertical="top" wrapText="1"/>
    </xf>
    <xf numFmtId="0" fontId="12" fillId="0" borderId="0" xfId="0" applyFont="1" applyAlignment="1">
      <alignment horizontal="left"/>
    </xf>
    <xf numFmtId="169" fontId="12" fillId="0" borderId="0" xfId="0" applyNumberFormat="1" applyFont="1" applyAlignment="1">
      <alignment vertical="top"/>
    </xf>
    <xf numFmtId="170" fontId="12" fillId="0" borderId="0" xfId="0" applyNumberFormat="1" applyFont="1" applyAlignment="1">
      <alignment vertical="top"/>
    </xf>
    <xf numFmtId="1" fontId="12" fillId="0" borderId="0" xfId="0" quotePrefix="1" applyNumberFormat="1" applyFont="1" applyAlignment="1">
      <alignment vertical="top"/>
    </xf>
    <xf numFmtId="0" fontId="12" fillId="0" borderId="0" xfId="0" quotePrefix="1" applyFont="1" applyAlignment="1">
      <alignment horizontal="left" vertical="top"/>
    </xf>
    <xf numFmtId="0" fontId="33" fillId="0" borderId="0" xfId="0" applyFont="1" applyAlignment="1">
      <alignment vertical="top"/>
    </xf>
    <xf numFmtId="167" fontId="12" fillId="0" borderId="0" xfId="0" applyNumberFormat="1" applyFont="1"/>
    <xf numFmtId="3" fontId="12" fillId="0" borderId="0" xfId="0" applyNumberFormat="1" applyFont="1" applyAlignment="1">
      <alignment vertical="top"/>
    </xf>
    <xf numFmtId="15" fontId="12" fillId="0" borderId="0" xfId="0" applyNumberFormat="1" applyFont="1" applyAlignment="1">
      <alignment horizontal="right" vertical="top"/>
    </xf>
    <xf numFmtId="166" fontId="12" fillId="0" borderId="0" xfId="0" applyNumberFormat="1" applyFont="1" applyAlignment="1">
      <alignment horizontal="left" vertical="top"/>
    </xf>
    <xf numFmtId="1" fontId="12" fillId="0" borderId="0" xfId="0" quotePrefix="1" applyNumberFormat="1" applyFont="1" applyAlignment="1">
      <alignment horizontal="left" vertical="top"/>
    </xf>
    <xf numFmtId="1" fontId="12" fillId="0" borderId="0" xfId="0" applyNumberFormat="1" applyFont="1" applyAlignment="1">
      <alignment horizontal="right" vertical="top"/>
    </xf>
    <xf numFmtId="1" fontId="12" fillId="0" borderId="0" xfId="0" applyNumberFormat="1" applyFont="1" applyAlignment="1">
      <alignment horizontal="left"/>
    </xf>
    <xf numFmtId="0" fontId="12" fillId="0" borderId="0" xfId="0" quotePrefix="1" applyFont="1" applyAlignment="1">
      <alignment vertical="top"/>
    </xf>
    <xf numFmtId="1" fontId="12" fillId="0" borderId="0" xfId="0" applyNumberFormat="1" applyFont="1" applyAlignment="1">
      <alignment horizontal="right"/>
    </xf>
    <xf numFmtId="49" fontId="12" fillId="0" borderId="0" xfId="0" quotePrefix="1" applyNumberFormat="1" applyFont="1" applyAlignment="1">
      <alignment horizontal="left"/>
    </xf>
    <xf numFmtId="0" fontId="12" fillId="0" borderId="0" xfId="0" quotePrefix="1" applyFont="1"/>
    <xf numFmtId="49" fontId="12" fillId="0" borderId="0" xfId="0" quotePrefix="1" applyNumberFormat="1" applyFont="1" applyAlignment="1">
      <alignment horizontal="left" vertical="top"/>
    </xf>
    <xf numFmtId="0" fontId="34" fillId="0" borderId="0" xfId="0" applyFont="1" applyAlignment="1">
      <alignment vertical="top"/>
    </xf>
    <xf numFmtId="0" fontId="33" fillId="0" borderId="0" xfId="0" applyFont="1" applyAlignment="1">
      <alignment horizontal="left" vertical="top"/>
    </xf>
    <xf numFmtId="168" fontId="12" fillId="0" borderId="0" xfId="0" applyNumberFormat="1" applyFont="1"/>
    <xf numFmtId="49" fontId="12" fillId="0" borderId="0" xfId="0" quotePrefix="1" applyNumberFormat="1" applyFont="1" applyAlignment="1">
      <alignment vertical="top"/>
    </xf>
    <xf numFmtId="0" fontId="35" fillId="0" borderId="0" xfId="0" applyFont="1" applyAlignment="1">
      <alignment vertical="center"/>
    </xf>
    <xf numFmtId="41" fontId="12" fillId="0" borderId="0" xfId="1" applyFont="1" applyFill="1" applyBorder="1"/>
    <xf numFmtId="172" fontId="12" fillId="0" borderId="0" xfId="0" applyNumberFormat="1" applyFont="1" applyAlignment="1">
      <alignment vertical="top"/>
    </xf>
    <xf numFmtId="172" fontId="22" fillId="0" borderId="0" xfId="0" applyNumberFormat="1" applyFont="1" applyAlignment="1">
      <alignment horizontal="center" vertical="top" wrapText="1"/>
    </xf>
    <xf numFmtId="172" fontId="12" fillId="0" borderId="0" xfId="0" applyNumberFormat="1" applyFont="1"/>
    <xf numFmtId="172" fontId="12" fillId="0" borderId="0" xfId="0" applyNumberFormat="1" applyFont="1" applyAlignment="1">
      <alignment horizontal="right" vertical="top"/>
    </xf>
    <xf numFmtId="172" fontId="22" fillId="0" borderId="17" xfId="0" applyNumberFormat="1" applyFont="1" applyBorder="1" applyAlignment="1">
      <alignment horizontal="center"/>
    </xf>
    <xf numFmtId="0" fontId="4" fillId="0" borderId="0" xfId="3" applyAlignment="1">
      <alignment horizontal="center"/>
    </xf>
    <xf numFmtId="0" fontId="4" fillId="0" borderId="0" xfId="3"/>
    <xf numFmtId="0" fontId="4" fillId="0" borderId="0" xfId="3" applyAlignment="1">
      <alignment horizontal="center" vertical="center"/>
    </xf>
    <xf numFmtId="10" fontId="4" fillId="0" borderId="0" xfId="3" applyNumberFormat="1"/>
    <xf numFmtId="0" fontId="6" fillId="7" borderId="1" xfId="3" applyFont="1" applyFill="1" applyBorder="1" applyAlignment="1">
      <alignment horizontal="center" vertical="center" wrapText="1"/>
    </xf>
    <xf numFmtId="0" fontId="5" fillId="8" borderId="1" xfId="3" applyFont="1" applyFill="1" applyBorder="1" applyAlignment="1">
      <alignment horizontal="center" vertical="center" wrapText="1"/>
    </xf>
    <xf numFmtId="0" fontId="9" fillId="9" borderId="1" xfId="3" applyFont="1" applyFill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10" fontId="4" fillId="0" borderId="1" xfId="3" applyNumberFormat="1" applyBorder="1" applyAlignment="1">
      <alignment horizontal="center" vertical="center"/>
    </xf>
    <xf numFmtId="0" fontId="4" fillId="0" borderId="1" xfId="3" applyBorder="1"/>
    <xf numFmtId="10" fontId="4" fillId="0" borderId="1" xfId="3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5" fillId="8" borderId="1" xfId="0" applyFont="1" applyFill="1" applyBorder="1"/>
    <xf numFmtId="0" fontId="0" fillId="0" borderId="1" xfId="0" applyBorder="1"/>
    <xf numFmtId="0" fontId="5" fillId="8" borderId="1" xfId="3" applyFont="1" applyFill="1" applyBorder="1" applyAlignment="1">
      <alignment horizontal="center" vertical="center"/>
    </xf>
    <xf numFmtId="10" fontId="0" fillId="0" borderId="1" xfId="0" applyNumberFormat="1" applyBorder="1"/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4" fillId="0" borderId="0" xfId="3" applyAlignment="1">
      <alignment vertical="center"/>
    </xf>
    <xf numFmtId="0" fontId="5" fillId="8" borderId="0" xfId="0" applyFont="1" applyFill="1" applyAlignment="1">
      <alignment horizontal="center"/>
    </xf>
    <xf numFmtId="1" fontId="12" fillId="0" borderId="23" xfId="0" applyNumberFormat="1" applyFont="1" applyBorder="1" applyAlignment="1">
      <alignment horizontal="left" vertical="top"/>
    </xf>
    <xf numFmtId="0" fontId="12" fillId="0" borderId="24" xfId="0" applyFont="1" applyBorder="1" applyAlignment="1">
      <alignment vertical="top"/>
    </xf>
    <xf numFmtId="0" fontId="12" fillId="0" borderId="23" xfId="0" applyFont="1" applyBorder="1" applyAlignment="1">
      <alignment horizontal="right" vertical="top"/>
    </xf>
    <xf numFmtId="49" fontId="12" fillId="0" borderId="23" xfId="0" applyNumberFormat="1" applyFont="1" applyBorder="1" applyAlignment="1">
      <alignment horizontal="left" vertical="top"/>
    </xf>
    <xf numFmtId="0" fontId="12" fillId="0" borderId="23" xfId="0" applyFont="1" applyBorder="1" applyAlignment="1">
      <alignment vertical="top"/>
    </xf>
    <xf numFmtId="165" fontId="12" fillId="0" borderId="23" xfId="0" applyNumberFormat="1" applyFont="1" applyBorder="1" applyAlignment="1">
      <alignment vertical="top"/>
    </xf>
    <xf numFmtId="14" fontId="12" fillId="0" borderId="23" xfId="0" applyNumberFormat="1" applyFont="1" applyBorder="1" applyAlignment="1">
      <alignment horizontal="right" vertical="top"/>
    </xf>
    <xf numFmtId="166" fontId="12" fillId="0" borderId="23" xfId="0" applyNumberFormat="1" applyFont="1" applyBorder="1" applyAlignment="1">
      <alignment vertical="top"/>
    </xf>
    <xf numFmtId="14" fontId="12" fillId="0" borderId="23" xfId="0" applyNumberFormat="1" applyFont="1" applyBorder="1" applyAlignment="1">
      <alignment vertical="top"/>
    </xf>
    <xf numFmtId="49" fontId="12" fillId="0" borderId="23" xfId="0" applyNumberFormat="1" applyFont="1" applyBorder="1" applyAlignment="1">
      <alignment vertical="top"/>
    </xf>
    <xf numFmtId="166" fontId="12" fillId="0" borderId="23" xfId="0" applyNumberFormat="1" applyFont="1" applyBorder="1" applyAlignment="1">
      <alignment horizontal="right" vertical="top"/>
    </xf>
    <xf numFmtId="0" fontId="22" fillId="0" borderId="23" xfId="0" applyFont="1" applyBorder="1" applyAlignment="1">
      <alignment horizontal="center" vertical="top"/>
    </xf>
    <xf numFmtId="1" fontId="12" fillId="0" borderId="23" xfId="0" applyNumberFormat="1" applyFont="1" applyBorder="1" applyAlignment="1">
      <alignment vertical="top"/>
    </xf>
    <xf numFmtId="0" fontId="12" fillId="0" borderId="23" xfId="0" applyFont="1" applyBorder="1"/>
    <xf numFmtId="0" fontId="12" fillId="0" borderId="22" xfId="0" applyFont="1" applyBorder="1" applyAlignment="1">
      <alignment vertical="top"/>
    </xf>
    <xf numFmtId="49" fontId="12" fillId="0" borderId="24" xfId="0" applyNumberFormat="1" applyFont="1" applyBorder="1" applyAlignment="1">
      <alignment vertical="top"/>
    </xf>
    <xf numFmtId="0" fontId="12" fillId="0" borderId="23" xfId="0" applyFont="1" applyBorder="1" applyAlignment="1">
      <alignment horizontal="left" vertical="top"/>
    </xf>
    <xf numFmtId="49" fontId="12" fillId="0" borderId="23" xfId="0" applyNumberFormat="1" applyFont="1" applyBorder="1"/>
    <xf numFmtId="14" fontId="12" fillId="0" borderId="23" xfId="0" applyNumberFormat="1" applyFont="1" applyBorder="1"/>
    <xf numFmtId="0" fontId="12" fillId="0" borderId="25" xfId="0" applyFont="1" applyBorder="1" applyAlignment="1">
      <alignment vertical="top"/>
    </xf>
    <xf numFmtId="0" fontId="12" fillId="0" borderId="26" xfId="0" applyFont="1" applyBorder="1" applyAlignment="1">
      <alignment vertical="top"/>
    </xf>
    <xf numFmtId="49" fontId="12" fillId="0" borderId="26" xfId="0" applyNumberFormat="1" applyFont="1" applyBorder="1" applyAlignment="1">
      <alignment vertical="top"/>
    </xf>
    <xf numFmtId="14" fontId="12" fillId="0" borderId="26" xfId="0" applyNumberFormat="1" applyFont="1" applyBorder="1" applyAlignment="1">
      <alignment vertical="top"/>
    </xf>
    <xf numFmtId="0" fontId="12" fillId="0" borderId="27" xfId="0" applyFont="1" applyBorder="1" applyAlignment="1">
      <alignment vertical="top"/>
    </xf>
    <xf numFmtId="0" fontId="12" fillId="11" borderId="23" xfId="0" applyFont="1" applyFill="1" applyBorder="1" applyAlignment="1">
      <alignment horizontal="right" vertical="top"/>
    </xf>
    <xf numFmtId="165" fontId="12" fillId="0" borderId="23" xfId="0" applyNumberFormat="1" applyFont="1" applyBorder="1" applyAlignment="1">
      <alignment horizontal="right" vertical="top"/>
    </xf>
    <xf numFmtId="0" fontId="0" fillId="0" borderId="4" xfId="0" applyBorder="1"/>
    <xf numFmtId="0" fontId="0" fillId="0" borderId="4" xfId="0" applyBorder="1" applyAlignment="1">
      <alignment vertical="top"/>
    </xf>
    <xf numFmtId="0" fontId="0" fillId="0" borderId="1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left"/>
    </xf>
    <xf numFmtId="14" fontId="36" fillId="0" borderId="23" xfId="0" applyNumberFormat="1" applyFont="1" applyBorder="1"/>
    <xf numFmtId="0" fontId="36" fillId="0" borderId="23" xfId="0" applyFont="1" applyBorder="1"/>
    <xf numFmtId="49" fontId="35" fillId="0" borderId="23" xfId="0" applyNumberFormat="1" applyFont="1" applyBorder="1"/>
    <xf numFmtId="0" fontId="36" fillId="0" borderId="23" xfId="0" applyFont="1" applyBorder="1" applyAlignment="1">
      <alignment vertical="center" wrapText="1"/>
    </xf>
    <xf numFmtId="0" fontId="12" fillId="0" borderId="23" xfId="0" applyFont="1" applyBorder="1" applyAlignment="1">
      <alignment vertical="center"/>
    </xf>
    <xf numFmtId="0" fontId="36" fillId="0" borderId="23" xfId="0" applyFont="1" applyBorder="1" applyAlignment="1">
      <alignment horizontal="right" vertical="center" wrapText="1"/>
    </xf>
    <xf numFmtId="0" fontId="12" fillId="11" borderId="0" xfId="0" applyFont="1" applyFill="1" applyAlignment="1">
      <alignment vertical="top"/>
    </xf>
    <xf numFmtId="0" fontId="12" fillId="11" borderId="0" xfId="0" applyFont="1" applyFill="1"/>
    <xf numFmtId="0" fontId="4" fillId="0" borderId="0" xfId="0" applyFont="1"/>
    <xf numFmtId="3" fontId="12" fillId="0" borderId="23" xfId="0" applyNumberFormat="1" applyFont="1" applyBorder="1" applyAlignment="1">
      <alignment horizontal="left" vertical="top"/>
    </xf>
    <xf numFmtId="49" fontId="35" fillId="0" borderId="23" xfId="0" applyNumberFormat="1" applyFont="1" applyBorder="1" applyAlignment="1">
      <alignment vertical="top"/>
    </xf>
    <xf numFmtId="173" fontId="10" fillId="0" borderId="0" xfId="0" applyNumberFormat="1" applyFont="1" applyAlignment="1">
      <alignment horizontal="left" vertical="top"/>
    </xf>
    <xf numFmtId="0" fontId="12" fillId="12" borderId="23" xfId="0" applyFont="1" applyFill="1" applyBorder="1" applyAlignment="1">
      <alignment vertical="top"/>
    </xf>
    <xf numFmtId="0" fontId="12" fillId="14" borderId="23" xfId="0" applyFont="1" applyFill="1" applyBorder="1" applyAlignment="1">
      <alignment vertical="top"/>
    </xf>
    <xf numFmtId="0" fontId="12" fillId="13" borderId="23" xfId="0" applyFont="1" applyFill="1" applyBorder="1" applyAlignment="1">
      <alignment vertical="top"/>
    </xf>
    <xf numFmtId="0" fontId="22" fillId="15" borderId="23" xfId="0" applyFont="1" applyFill="1" applyBorder="1" applyAlignment="1">
      <alignment horizontal="center" vertical="top"/>
    </xf>
    <xf numFmtId="0" fontId="12" fillId="15" borderId="23" xfId="0" applyFont="1" applyFill="1" applyBorder="1" applyAlignment="1">
      <alignment vertical="top"/>
    </xf>
    <xf numFmtId="49" fontId="12" fillId="0" borderId="23" xfId="0" applyNumberFormat="1" applyFont="1" applyBorder="1" applyAlignment="1">
      <alignment horizontal="right" vertical="top"/>
    </xf>
    <xf numFmtId="0" fontId="12" fillId="16" borderId="23" xfId="0" applyFont="1" applyFill="1" applyBorder="1" applyAlignment="1">
      <alignment vertical="top"/>
    </xf>
    <xf numFmtId="49" fontId="33" fillId="0" borderId="23" xfId="0" applyNumberFormat="1" applyFont="1" applyBorder="1" applyAlignment="1">
      <alignment vertical="top"/>
    </xf>
    <xf numFmtId="15" fontId="12" fillId="0" borderId="23" xfId="0" applyNumberFormat="1" applyFont="1" applyBorder="1" applyAlignment="1">
      <alignment horizontal="right" vertical="top"/>
    </xf>
    <xf numFmtId="167" fontId="12" fillId="0" borderId="23" xfId="0" applyNumberFormat="1" applyFont="1" applyBorder="1" applyAlignment="1">
      <alignment vertical="top"/>
    </xf>
    <xf numFmtId="174" fontId="12" fillId="0" borderId="0" xfId="0" applyNumberFormat="1" applyFont="1" applyAlignment="1">
      <alignment vertical="top"/>
    </xf>
    <xf numFmtId="174" fontId="12" fillId="0" borderId="0" xfId="0" applyNumberFormat="1" applyFont="1"/>
    <xf numFmtId="49" fontId="12" fillId="12" borderId="23" xfId="0" applyNumberFormat="1" applyFont="1" applyFill="1" applyBorder="1" applyAlignment="1">
      <alignment vertical="top"/>
    </xf>
    <xf numFmtId="49" fontId="34" fillId="0" borderId="23" xfId="2" applyNumberFormat="1" applyFont="1" applyFill="1" applyBorder="1" applyAlignment="1">
      <alignment vertical="top"/>
    </xf>
    <xf numFmtId="3" fontId="12" fillId="0" borderId="23" xfId="0" applyNumberFormat="1" applyFont="1" applyBorder="1" applyAlignment="1">
      <alignment vertical="top"/>
    </xf>
    <xf numFmtId="0" fontId="12" fillId="0" borderId="28" xfId="0" applyFont="1" applyBorder="1" applyAlignment="1">
      <alignment vertical="center"/>
    </xf>
    <xf numFmtId="0" fontId="12" fillId="0" borderId="28" xfId="0" applyFont="1" applyBorder="1" applyAlignment="1">
      <alignment vertical="top"/>
    </xf>
    <xf numFmtId="49" fontId="12" fillId="0" borderId="23" xfId="2" applyNumberFormat="1" applyFont="1" applyFill="1" applyBorder="1" applyAlignment="1">
      <alignment vertical="top"/>
    </xf>
    <xf numFmtId="0" fontId="12" fillId="0" borderId="30" xfId="0" applyFont="1" applyBorder="1" applyAlignment="1">
      <alignment vertical="top"/>
    </xf>
    <xf numFmtId="0" fontId="12" fillId="0" borderId="23" xfId="0" applyFont="1" applyBorder="1" applyAlignment="1">
      <alignment horizontal="center" vertical="top"/>
    </xf>
    <xf numFmtId="0" fontId="12" fillId="0" borderId="23" xfId="0" applyFont="1" applyBorder="1" applyAlignment="1">
      <alignment horizontal="center" vertical="center"/>
    </xf>
    <xf numFmtId="0" fontId="12" fillId="0" borderId="31" xfId="0" applyFont="1" applyBorder="1" applyAlignment="1">
      <alignment vertical="top"/>
    </xf>
    <xf numFmtId="0" fontId="37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1" fontId="3" fillId="0" borderId="0" xfId="5" applyNumberFormat="1" applyFont="1"/>
    <xf numFmtId="0" fontId="12" fillId="0" borderId="32" xfId="0" applyFont="1" applyBorder="1" applyAlignment="1">
      <alignment vertical="top"/>
    </xf>
    <xf numFmtId="1" fontId="12" fillId="0" borderId="32" xfId="0" applyNumberFormat="1" applyFont="1" applyBorder="1" applyAlignment="1">
      <alignment horizontal="left" vertical="top"/>
    </xf>
    <xf numFmtId="0" fontId="12" fillId="0" borderId="32" xfId="0" applyFont="1" applyBorder="1" applyAlignment="1">
      <alignment horizontal="right" vertical="top"/>
    </xf>
    <xf numFmtId="49" fontId="12" fillId="0" borderId="32" xfId="0" applyNumberFormat="1" applyFont="1" applyBorder="1" applyAlignment="1">
      <alignment horizontal="left" vertical="top"/>
    </xf>
    <xf numFmtId="1" fontId="12" fillId="0" borderId="32" xfId="0" applyNumberFormat="1" applyFont="1" applyBorder="1" applyAlignment="1">
      <alignment vertical="top"/>
    </xf>
    <xf numFmtId="14" fontId="12" fillId="0" borderId="32" xfId="0" applyNumberFormat="1" applyFont="1" applyBorder="1" applyAlignment="1">
      <alignment vertical="top"/>
    </xf>
    <xf numFmtId="49" fontId="12" fillId="0" borderId="32" xfId="0" applyNumberFormat="1" applyFont="1" applyBorder="1" applyAlignment="1">
      <alignment vertical="top"/>
    </xf>
    <xf numFmtId="0" fontId="12" fillId="0" borderId="33" xfId="0" applyFont="1" applyBorder="1" applyAlignment="1">
      <alignment vertical="top"/>
    </xf>
    <xf numFmtId="14" fontId="12" fillId="0" borderId="32" xfId="0" applyNumberFormat="1" applyFont="1" applyBorder="1" applyAlignment="1">
      <alignment horizontal="right" vertical="top"/>
    </xf>
    <xf numFmtId="165" fontId="12" fillId="0" borderId="32" xfId="0" applyNumberFormat="1" applyFont="1" applyBorder="1" applyAlignment="1">
      <alignment vertical="top"/>
    </xf>
    <xf numFmtId="0" fontId="10" fillId="0" borderId="1" xfId="0" applyFont="1" applyBorder="1" applyAlignment="1">
      <alignment horizontal="center"/>
    </xf>
    <xf numFmtId="0" fontId="12" fillId="0" borderId="34" xfId="0" applyFont="1" applyBorder="1" applyAlignment="1">
      <alignment vertical="top"/>
    </xf>
    <xf numFmtId="0" fontId="12" fillId="0" borderId="35" xfId="0" applyFont="1" applyBorder="1" applyAlignment="1">
      <alignment vertical="top"/>
    </xf>
    <xf numFmtId="0" fontId="12" fillId="11" borderId="23" xfId="0" applyFont="1" applyFill="1" applyBorder="1" applyAlignment="1">
      <alignment vertical="top"/>
    </xf>
    <xf numFmtId="1" fontId="38" fillId="0" borderId="23" xfId="0" applyNumberFormat="1" applyFont="1" applyBorder="1" applyAlignment="1">
      <alignment horizontal="left" vertical="top"/>
    </xf>
    <xf numFmtId="1" fontId="12" fillId="0" borderId="23" xfId="0" applyNumberFormat="1" applyFont="1" applyBorder="1"/>
    <xf numFmtId="1" fontId="12" fillId="0" borderId="20" xfId="0" applyNumberFormat="1" applyFont="1" applyBorder="1" applyAlignment="1">
      <alignment vertical="top"/>
    </xf>
    <xf numFmtId="1" fontId="12" fillId="0" borderId="0" xfId="0" applyNumberFormat="1" applyFont="1"/>
    <xf numFmtId="0" fontId="12" fillId="0" borderId="37" xfId="0" applyFont="1" applyBorder="1" applyAlignment="1">
      <alignment vertical="center"/>
    </xf>
    <xf numFmtId="1" fontId="12" fillId="0" borderId="26" xfId="0" applyNumberFormat="1" applyFont="1" applyBorder="1" applyAlignment="1">
      <alignment vertical="top"/>
    </xf>
    <xf numFmtId="0" fontId="12" fillId="0" borderId="22" xfId="0" applyFont="1" applyBorder="1"/>
    <xf numFmtId="14" fontId="40" fillId="0" borderId="0" xfId="0" applyNumberFormat="1" applyFont="1"/>
    <xf numFmtId="0" fontId="41" fillId="0" borderId="0" xfId="0" applyFont="1"/>
    <xf numFmtId="49" fontId="42" fillId="0" borderId="0" xfId="0" applyNumberFormat="1" applyFont="1"/>
    <xf numFmtId="0" fontId="12" fillId="0" borderId="29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" fillId="0" borderId="9" xfId="0" applyFont="1" applyBorder="1"/>
    <xf numFmtId="0" fontId="10" fillId="0" borderId="8" xfId="0" applyFont="1" applyBorder="1" applyAlignment="1">
      <alignment horizontal="center"/>
    </xf>
    <xf numFmtId="0" fontId="1" fillId="0" borderId="16" xfId="0" applyFont="1" applyBorder="1"/>
    <xf numFmtId="0" fontId="11" fillId="0" borderId="8" xfId="0" applyFont="1" applyBorder="1" applyAlignment="1">
      <alignment horizontal="center" vertical="center"/>
    </xf>
    <xf numFmtId="0" fontId="1" fillId="0" borderId="36" xfId="0" applyFont="1" applyBorder="1"/>
    <xf numFmtId="0" fontId="11" fillId="0" borderId="8" xfId="0" applyFont="1" applyBorder="1" applyAlignment="1">
      <alignment horizontal="center"/>
    </xf>
    <xf numFmtId="0" fontId="10" fillId="0" borderId="8" xfId="0" applyFont="1" applyBorder="1" applyAlignment="1">
      <alignment horizontal="left"/>
    </xf>
    <xf numFmtId="0" fontId="4" fillId="0" borderId="0" xfId="3" applyAlignment="1">
      <alignment horizontal="center"/>
    </xf>
    <xf numFmtId="0" fontId="5" fillId="17" borderId="0" xfId="3" applyFont="1" applyFill="1" applyAlignment="1">
      <alignment horizontal="center" vertical="center"/>
    </xf>
    <xf numFmtId="0" fontId="6" fillId="10" borderId="0" xfId="3" applyFont="1" applyFill="1" applyAlignment="1">
      <alignment horizontal="center"/>
    </xf>
    <xf numFmtId="0" fontId="39" fillId="0" borderId="0" xfId="0" applyFont="1" applyAlignment="1">
      <alignment horizontal="center" vertical="top"/>
    </xf>
    <xf numFmtId="0" fontId="0" fillId="0" borderId="0" xfId="0"/>
  </cellXfs>
  <cellStyles count="6">
    <cellStyle name="Comma [0]" xfId="1" builtinId="6"/>
    <cellStyle name="Hyperlink" xfId="2" builtinId="8"/>
    <cellStyle name="Normal" xfId="0" builtinId="0"/>
    <cellStyle name="Normal 2" xfId="3" xr:uid="{D589787B-F981-4737-8265-505620875183}"/>
    <cellStyle name="Normal 3" xfId="4" xr:uid="{7848C2E7-616B-47C9-AD4F-E8CC1E9F1512}"/>
    <cellStyle name="Percent" xfId="5" builtinId="5"/>
  </cellStyles>
  <dxfs count="1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FFFFFF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FFFF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alignment horizontal="general" vertical="top" textRotation="0" wrapText="0" indent="0" justifyLastLine="0" shrinkToFit="0" readingOrder="0"/>
      <border diagonalUp="0" diagonalDown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65" formatCode="[$-409]dd\-mmm\-yy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hair">
          <color rgb="FF000000"/>
        </left>
        <right/>
        <top style="hair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 style="hair">
          <color rgb="FF000000"/>
        </top>
        <bottom/>
      </border>
    </dxf>
    <dxf>
      <border outline="0">
        <left style="thin">
          <color rgb="FF000000"/>
        </left>
        <right style="thin">
          <color rgb="FF000000"/>
        </right>
        <top style="hair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75B7C2AF-7055-45D1-9C29-092BD6BF86C3}">
      <tableStyleElement type="headerRow" dxfId="117"/>
      <tableStyleElement type="firstRowStripe" dxfId="116"/>
      <tableStyleElement type="secondRowStripe" dxfId="1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lang="en-ID" sz="1600" b="1" i="0">
                <a:solidFill>
                  <a:srgbClr val="757575"/>
                </a:solidFill>
                <a:latin typeface="+mn-lt"/>
              </a:rPr>
              <a:t>JENIS KELAMIN</a:t>
            </a:r>
          </a:p>
        </c:rich>
      </c:tx>
      <c:overlay val="0"/>
    </c:title>
    <c:autoTitleDeleted val="0"/>
    <c:view3D>
      <c:rotX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8.5319677338621183E-2"/>
          <c:y val="0.29443158314888057"/>
          <c:w val="0.80328077572210566"/>
          <c:h val="0.5864363728727457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0-2660-48D4-82BD-56741C1298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660-48D4-82BD-56741C129827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5B9BD5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2660-48D4-82BD-56741C12982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000" b="1" i="0">
                      <a:solidFill>
                        <a:srgbClr val="ED7D31"/>
                      </a:solidFill>
                      <a:latin typeface="+mn-l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660-48D4-82BD-56741C12982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A!$B$4:$B$5</c:f>
              <c:strCache>
                <c:ptCount val="2"/>
                <c:pt idx="0">
                  <c:v>LAKI LAKI </c:v>
                </c:pt>
                <c:pt idx="1">
                  <c:v>PEREMPUAN</c:v>
                </c:pt>
              </c:strCache>
            </c:strRef>
          </c:cat>
          <c:val>
            <c:numRef>
              <c:f>A!$C$4:$C$5</c:f>
              <c:numCache>
                <c:formatCode>General</c:formatCode>
                <c:ptCount val="2"/>
                <c:pt idx="0">
                  <c:v>347</c:v>
                </c:pt>
                <c:pt idx="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60-48D4-82BD-56741C129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LOKASI PEKERJAAN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Direksi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A!$B$12:$B$30</c:f>
              <c:strCache>
                <c:ptCount val="19"/>
                <c:pt idx="0">
                  <c:v>Kantor Salak</c:v>
                </c:pt>
                <c:pt idx="1">
                  <c:v>GUDANG</c:v>
                </c:pt>
                <c:pt idx="2">
                  <c:v>INKA </c:v>
                </c:pt>
                <c:pt idx="3">
                  <c:v>MRO</c:v>
                </c:pt>
                <c:pt idx="4">
                  <c:v>PMU</c:v>
                </c:pt>
                <c:pt idx="5">
                  <c:v>Bandung</c:v>
                </c:pt>
                <c:pt idx="6">
                  <c:v>Aceh</c:v>
                </c:pt>
                <c:pt idx="7">
                  <c:v>Makassar</c:v>
                </c:pt>
                <c:pt idx="8">
                  <c:v>Klaten</c:v>
                </c:pt>
                <c:pt idx="9">
                  <c:v>Jakarta</c:v>
                </c:pt>
                <c:pt idx="10">
                  <c:v>Palembang</c:v>
                </c:pt>
                <c:pt idx="11">
                  <c:v>Padang</c:v>
                </c:pt>
                <c:pt idx="12">
                  <c:v>Solo</c:v>
                </c:pt>
                <c:pt idx="13">
                  <c:v>Purwodadi</c:v>
                </c:pt>
                <c:pt idx="14">
                  <c:v>Lampung</c:v>
                </c:pt>
                <c:pt idx="15">
                  <c:v>Medan</c:v>
                </c:pt>
                <c:pt idx="16">
                  <c:v>Surabaya</c:v>
                </c:pt>
                <c:pt idx="17">
                  <c:v>Banyuwangi</c:v>
                </c:pt>
                <c:pt idx="18">
                  <c:v>Yogyakarta</c:v>
                </c:pt>
              </c:strCache>
            </c:strRef>
          </c:cat>
          <c:val>
            <c:numRef>
              <c:f>A!$C$12:$C$30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375-4846-9961-9D253F0C60CC}"/>
            </c:ext>
          </c:extLst>
        </c:ser>
        <c:ser>
          <c:idx val="1"/>
          <c:order val="1"/>
          <c:tx>
            <c:v>Organik INKA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A!$B$12:$B$30</c:f>
              <c:strCache>
                <c:ptCount val="19"/>
                <c:pt idx="0">
                  <c:v>Kantor Salak</c:v>
                </c:pt>
                <c:pt idx="1">
                  <c:v>GUDANG</c:v>
                </c:pt>
                <c:pt idx="2">
                  <c:v>INKA </c:v>
                </c:pt>
                <c:pt idx="3">
                  <c:v>MRO</c:v>
                </c:pt>
                <c:pt idx="4">
                  <c:v>PMU</c:v>
                </c:pt>
                <c:pt idx="5">
                  <c:v>Bandung</c:v>
                </c:pt>
                <c:pt idx="6">
                  <c:v>Aceh</c:v>
                </c:pt>
                <c:pt idx="7">
                  <c:v>Makassar</c:v>
                </c:pt>
                <c:pt idx="8">
                  <c:v>Klaten</c:v>
                </c:pt>
                <c:pt idx="9">
                  <c:v>Jakarta</c:v>
                </c:pt>
                <c:pt idx="10">
                  <c:v>Palembang</c:v>
                </c:pt>
                <c:pt idx="11">
                  <c:v>Padang</c:v>
                </c:pt>
                <c:pt idx="12">
                  <c:v>Solo</c:v>
                </c:pt>
                <c:pt idx="13">
                  <c:v>Purwodadi</c:v>
                </c:pt>
                <c:pt idx="14">
                  <c:v>Lampung</c:v>
                </c:pt>
                <c:pt idx="15">
                  <c:v>Medan</c:v>
                </c:pt>
                <c:pt idx="16">
                  <c:v>Surabaya</c:v>
                </c:pt>
                <c:pt idx="17">
                  <c:v>Banyuwangi</c:v>
                </c:pt>
                <c:pt idx="18">
                  <c:v>Yogyakarta</c:v>
                </c:pt>
              </c:strCache>
            </c:strRef>
          </c:cat>
          <c:val>
            <c:numRef>
              <c:f>A!$D$12:$D$30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375-4846-9961-9D253F0C60CC}"/>
            </c:ext>
          </c:extLst>
        </c:ser>
        <c:ser>
          <c:idx val="2"/>
          <c:order val="2"/>
          <c:tx>
            <c:v>IMSS Tetap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A!$B$12:$B$30</c:f>
              <c:strCache>
                <c:ptCount val="19"/>
                <c:pt idx="0">
                  <c:v>Kantor Salak</c:v>
                </c:pt>
                <c:pt idx="1">
                  <c:v>GUDANG</c:v>
                </c:pt>
                <c:pt idx="2">
                  <c:v>INKA </c:v>
                </c:pt>
                <c:pt idx="3">
                  <c:v>MRO</c:v>
                </c:pt>
                <c:pt idx="4">
                  <c:v>PMU</c:v>
                </c:pt>
                <c:pt idx="5">
                  <c:v>Bandung</c:v>
                </c:pt>
                <c:pt idx="6">
                  <c:v>Aceh</c:v>
                </c:pt>
                <c:pt idx="7">
                  <c:v>Makassar</c:v>
                </c:pt>
                <c:pt idx="8">
                  <c:v>Klaten</c:v>
                </c:pt>
                <c:pt idx="9">
                  <c:v>Jakarta</c:v>
                </c:pt>
                <c:pt idx="10">
                  <c:v>Palembang</c:v>
                </c:pt>
                <c:pt idx="11">
                  <c:v>Padang</c:v>
                </c:pt>
                <c:pt idx="12">
                  <c:v>Solo</c:v>
                </c:pt>
                <c:pt idx="13">
                  <c:v>Purwodadi</c:v>
                </c:pt>
                <c:pt idx="14">
                  <c:v>Lampung</c:v>
                </c:pt>
                <c:pt idx="15">
                  <c:v>Medan</c:v>
                </c:pt>
                <c:pt idx="16">
                  <c:v>Surabaya</c:v>
                </c:pt>
                <c:pt idx="17">
                  <c:v>Banyuwangi</c:v>
                </c:pt>
                <c:pt idx="18">
                  <c:v>Yogyakarta</c:v>
                </c:pt>
              </c:strCache>
            </c:strRef>
          </c:cat>
          <c:val>
            <c:numRef>
              <c:f>A!$E$12:$E$30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375-4846-9961-9D253F0C60CC}"/>
            </c:ext>
          </c:extLst>
        </c:ser>
        <c:ser>
          <c:idx val="3"/>
          <c:order val="3"/>
          <c:tx>
            <c:v>PKWT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A!$B$12:$B$30</c:f>
              <c:strCache>
                <c:ptCount val="19"/>
                <c:pt idx="0">
                  <c:v>Kantor Salak</c:v>
                </c:pt>
                <c:pt idx="1">
                  <c:v>GUDANG</c:v>
                </c:pt>
                <c:pt idx="2">
                  <c:v>INKA </c:v>
                </c:pt>
                <c:pt idx="3">
                  <c:v>MRO</c:v>
                </c:pt>
                <c:pt idx="4">
                  <c:v>PMU</c:v>
                </c:pt>
                <c:pt idx="5">
                  <c:v>Bandung</c:v>
                </c:pt>
                <c:pt idx="6">
                  <c:v>Aceh</c:v>
                </c:pt>
                <c:pt idx="7">
                  <c:v>Makassar</c:v>
                </c:pt>
                <c:pt idx="8">
                  <c:v>Klaten</c:v>
                </c:pt>
                <c:pt idx="9">
                  <c:v>Jakarta</c:v>
                </c:pt>
                <c:pt idx="10">
                  <c:v>Palembang</c:v>
                </c:pt>
                <c:pt idx="11">
                  <c:v>Padang</c:v>
                </c:pt>
                <c:pt idx="12">
                  <c:v>Solo</c:v>
                </c:pt>
                <c:pt idx="13">
                  <c:v>Purwodadi</c:v>
                </c:pt>
                <c:pt idx="14">
                  <c:v>Lampung</c:v>
                </c:pt>
                <c:pt idx="15">
                  <c:v>Medan</c:v>
                </c:pt>
                <c:pt idx="16">
                  <c:v>Surabaya</c:v>
                </c:pt>
                <c:pt idx="17">
                  <c:v>Banyuwangi</c:v>
                </c:pt>
                <c:pt idx="18">
                  <c:v>Yogyakarta</c:v>
                </c:pt>
              </c:strCache>
            </c:strRef>
          </c:cat>
          <c:val>
            <c:numRef>
              <c:f>A!$F$12:$F$30</c:f>
              <c:numCache>
                <c:formatCode>General</c:formatCode>
                <c:ptCount val="19"/>
                <c:pt idx="0">
                  <c:v>31</c:v>
                </c:pt>
                <c:pt idx="1">
                  <c:v>1</c:v>
                </c:pt>
                <c:pt idx="2">
                  <c:v>58</c:v>
                </c:pt>
                <c:pt idx="3">
                  <c:v>0</c:v>
                </c:pt>
                <c:pt idx="4">
                  <c:v>0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39</c:v>
                </c:pt>
                <c:pt idx="9">
                  <c:v>89</c:v>
                </c:pt>
                <c:pt idx="10">
                  <c:v>32</c:v>
                </c:pt>
                <c:pt idx="11">
                  <c:v>0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2</c:v>
                </c:pt>
                <c:pt idx="16">
                  <c:v>5</c:v>
                </c:pt>
                <c:pt idx="17">
                  <c:v>4</c:v>
                </c:pt>
                <c:pt idx="18">
                  <c:v>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375-4846-9961-9D253F0C6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0084895"/>
        <c:axId val="1"/>
      </c:barChart>
      <c:catAx>
        <c:axId val="87008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008489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045678362817898"/>
          <c:y val="0.42116721822093423"/>
          <c:w val="0.14634623040160916"/>
          <c:h val="0.2596236276704388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Data Karyawan IMSS Februari-Rev 4 - Copy.xlsx]dashboard (EDIT)!PivotTable1</c:name>
    <c:fmtId val="0"/>
  </c:pivotSource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 w="25400">
            <a:noFill/>
          </a:ln>
        </c:spPr>
      </c:pivotFmt>
      <c:pivotFmt>
        <c:idx val="2"/>
        <c:spPr>
          <a:solidFill>
            <a:srgbClr val="ED7D31"/>
          </a:solidFill>
          <a:ln w="25400">
            <a:noFill/>
          </a:ln>
        </c:spPr>
      </c:pivotFmt>
      <c:pivotFmt>
        <c:idx val="3"/>
        <c:spPr>
          <a:solidFill>
            <a:srgbClr val="A5A5A5"/>
          </a:solidFill>
          <a:ln w="25400">
            <a:noFill/>
          </a:ln>
        </c:spPr>
      </c:pivotFmt>
      <c:pivotFmt>
        <c:idx val="4"/>
        <c:spPr>
          <a:solidFill>
            <a:srgbClr val="FFC000"/>
          </a:solidFill>
          <a:ln w="25400">
            <a:noFill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'dashboard (EDIT)'!$B$2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2511-4643-9F3B-649242ABD185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11-4643-9F3B-649242ABD185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2-2511-4643-9F3B-649242ABD18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11-4643-9F3B-649242ABD185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(EDIT)'!$A$3:$A$7</c:f>
              <c:strCache>
                <c:ptCount val="4"/>
                <c:pt idx="0">
                  <c:v>PKWT</c:v>
                </c:pt>
                <c:pt idx="1">
                  <c:v>(blank)</c:v>
                </c:pt>
                <c:pt idx="2">
                  <c:v>ORGANIK IMSS</c:v>
                </c:pt>
                <c:pt idx="3">
                  <c:v>ORGANIK INKA</c:v>
                </c:pt>
              </c:strCache>
            </c:strRef>
          </c:cat>
          <c:val>
            <c:numRef>
              <c:f>'dashboard (EDIT)'!$B$3:$B$7</c:f>
              <c:numCache>
                <c:formatCode>General</c:formatCode>
                <c:ptCount val="4"/>
                <c:pt idx="0">
                  <c:v>344</c:v>
                </c:pt>
                <c:pt idx="2">
                  <c:v>57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11-4643-9F3B-649242ABD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Data Karyawan IMSS Februari-Rev 4 - Copy.xlsx]dashboard (EDIT)!PivotTable3</c:name>
    <c:fmtId val="0"/>
  </c:pivotSource>
  <c:chart>
    <c:title>
      <c:tx>
        <c:strRef>
          <c:f>'dashboard (EDIT)'!$H$1</c:f>
          <c:strCache>
            <c:ptCount val="1"/>
            <c:pt idx="0">
              <c:v>Kariawan IMSS dan Perbantuan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9BD5"/>
          </a:solidFill>
          <a:ln w="25400">
            <a:noFill/>
          </a:ln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 w="25400">
            <a:noFill/>
          </a:ln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5A5A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(EDIT)'!$H$1</c:f>
              <c:strCache>
                <c:ptCount val="1"/>
                <c:pt idx="0">
                  <c:v>Laki-Laki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(EDIT)'!$H$1</c:f>
              <c:strCache>
                <c:ptCount val="3"/>
                <c:pt idx="0">
                  <c:v>IMSS</c:v>
                </c:pt>
                <c:pt idx="1">
                  <c:v>INKA</c:v>
                </c:pt>
                <c:pt idx="2">
                  <c:v>(blank)</c:v>
                </c:pt>
              </c:strCache>
            </c:strRef>
          </c:cat>
          <c:val>
            <c:numRef>
              <c:f>'dashboard (EDIT)'!$H$1</c:f>
              <c:numCache>
                <c:formatCode>General</c:formatCode>
                <c:ptCount val="3"/>
                <c:pt idx="0">
                  <c:v>378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6-4E5A-8441-EA15FEEAFDD3}"/>
            </c:ext>
          </c:extLst>
        </c:ser>
        <c:ser>
          <c:idx val="1"/>
          <c:order val="1"/>
          <c:tx>
            <c:strRef>
              <c:f>'dashboard (EDIT)'!$H$1</c:f>
              <c:strCache>
                <c:ptCount val="1"/>
                <c:pt idx="0">
                  <c:v>Perempuan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(EDIT)'!$H$1</c:f>
              <c:strCache>
                <c:ptCount val="3"/>
                <c:pt idx="0">
                  <c:v>IMSS</c:v>
                </c:pt>
                <c:pt idx="1">
                  <c:v>INKA</c:v>
                </c:pt>
                <c:pt idx="2">
                  <c:v>(blank)</c:v>
                </c:pt>
              </c:strCache>
            </c:strRef>
          </c:cat>
          <c:val>
            <c:numRef>
              <c:f>'dashboard (EDIT)'!$H$1</c:f>
              <c:numCache>
                <c:formatCode>General</c:formatCode>
                <c:ptCount val="3"/>
                <c:pt idx="0">
                  <c:v>23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6-4E5A-8441-EA15FEEAFDD3}"/>
            </c:ext>
          </c:extLst>
        </c:ser>
        <c:ser>
          <c:idx val="2"/>
          <c:order val="2"/>
          <c:tx>
            <c:strRef>
              <c:f>'dashboard (EDIT)'!$H$1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cat>
            <c:strRef>
              <c:f>'dashboard (EDIT)'!$H$1</c:f>
              <c:strCache>
                <c:ptCount val="3"/>
                <c:pt idx="0">
                  <c:v>IMSS</c:v>
                </c:pt>
                <c:pt idx="1">
                  <c:v>INKA</c:v>
                </c:pt>
                <c:pt idx="2">
                  <c:v>(blank)</c:v>
                </c:pt>
              </c:strCache>
            </c:strRef>
          </c:cat>
          <c:val>
            <c:numRef>
              <c:f>'dashboard (EDIT)'!$H$1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2366-4E5A-8441-EA15FEEA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915999"/>
        <c:axId val="1"/>
      </c:barChart>
      <c:catAx>
        <c:axId val="10429159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4291599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Data Karyawan IMSS Februari-Rev 4 - Copy.xlsx]dashboard (EDIT)!PivotTable4</c:name>
    <c:fmtId val="0"/>
  </c:pivotSource>
  <c:chart>
    <c:title>
      <c:tx>
        <c:strRef>
          <c:f>'dashboard (EDIT)'!$A$8</c:f>
          <c:strCache>
            <c:ptCount val="1"/>
            <c:pt idx="0">
              <c:v>DISTRIBUSI PEGAWAI PT IMSS PADA TIAP UNIT KERJA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numFmt formatCode="0%" sourceLinked="0"/>
          <c:spPr>
            <a:noFill/>
            <a:ln w="25400">
              <a:noFill/>
            </a:ln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2"/>
        <c:spPr>
          <a:solidFill>
            <a:srgbClr val="ED7D31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3"/>
        <c:spPr>
          <a:solidFill>
            <a:srgbClr val="A5A5A5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4"/>
        <c:spPr>
          <a:solidFill>
            <a:srgbClr val="FFC000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5"/>
        <c:spPr>
          <a:solidFill>
            <a:srgbClr val="4472C4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6"/>
        <c:spPr>
          <a:solidFill>
            <a:srgbClr val="70AD47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3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5B9BD5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18"/>
        <c:spPr>
          <a:solidFill>
            <a:srgbClr val="ED7D31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19"/>
        <c:spPr>
          <a:solidFill>
            <a:srgbClr val="A5A5A5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20"/>
        <c:spPr>
          <a:solidFill>
            <a:srgbClr val="FFC000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21"/>
        <c:spPr>
          <a:solidFill>
            <a:srgbClr val="4472C4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22"/>
        <c:spPr>
          <a:solidFill>
            <a:srgbClr val="70AD47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23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5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6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2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3">
              <a:lumMod val="80000"/>
              <a:lumOff val="2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'dashboard (EDIT)'!$A$8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83B-4321-84AF-940E6B55DD5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3B-4321-84AF-940E6B55DD5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83B-4321-84AF-940E6B55DD5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3B-4321-84AF-940E6B55DD52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C83B-4321-84AF-940E6B55DD5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3B-4321-84AF-940E6B55DD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83B-4321-84AF-940E6B55DD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3B-4321-84AF-940E6B55DD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83B-4321-84AF-940E6B55DD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83B-4321-84AF-940E6B55DD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83B-4321-84AF-940E6B55DD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83B-4321-84AF-940E6B55DD5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83B-4321-84AF-940E6B55DD5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83B-4321-84AF-940E6B55DD5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83B-4321-84AF-940E6B55DD52}"/>
              </c:ext>
            </c:extLst>
          </c:dPt>
          <c:dLbls>
            <c:numFmt formatCode="0%" sourceLinked="0"/>
            <c:spPr>
              <a:noFill/>
              <a:ln w="25400">
                <a:noFill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(EDIT)'!$A$8</c:f>
              <c:strCache>
                <c:ptCount val="15"/>
                <c:pt idx="0">
                  <c:v>SIPIL</c:v>
                </c:pt>
                <c:pt idx="1">
                  <c:v>Keuangan</c:v>
                </c:pt>
                <c:pt idx="2">
                  <c:v>SAR</c:v>
                </c:pt>
                <c:pt idx="3">
                  <c:v>PPA</c:v>
                </c:pt>
                <c:pt idx="4">
                  <c:v>PMU </c:v>
                </c:pt>
                <c:pt idx="5">
                  <c:v>SDM</c:v>
                </c:pt>
                <c:pt idx="6">
                  <c:v>Sekper, Legal dan Tata Kelola</c:v>
                </c:pt>
                <c:pt idx="7">
                  <c:v>SMK3</c:v>
                </c:pt>
                <c:pt idx="8">
                  <c:v>SPI</c:v>
                </c:pt>
                <c:pt idx="9">
                  <c:v>Staf Ahli Direktur Utama</c:v>
                </c:pt>
                <c:pt idx="10">
                  <c:v>Teknik dan Logistik</c:v>
                </c:pt>
                <c:pt idx="11">
                  <c:v>Wilayah I</c:v>
                </c:pt>
                <c:pt idx="12">
                  <c:v>Wilayah II</c:v>
                </c:pt>
                <c:pt idx="13">
                  <c:v>Direksi</c:v>
                </c:pt>
                <c:pt idx="14">
                  <c:v>(blank)</c:v>
                </c:pt>
              </c:strCache>
            </c:strRef>
          </c:cat>
          <c:val>
            <c:numRef>
              <c:f>'dashboard (EDIT)'!$A$8</c:f>
              <c:numCache>
                <c:formatCode>General</c:formatCode>
                <c:ptCount val="15"/>
                <c:pt idx="0">
                  <c:v>6</c:v>
                </c:pt>
                <c:pt idx="1">
                  <c:v>7</c:v>
                </c:pt>
                <c:pt idx="2">
                  <c:v>12</c:v>
                </c:pt>
                <c:pt idx="3">
                  <c:v>52</c:v>
                </c:pt>
                <c:pt idx="4">
                  <c:v>2</c:v>
                </c:pt>
                <c:pt idx="5">
                  <c:v>9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25</c:v>
                </c:pt>
                <c:pt idx="11">
                  <c:v>203</c:v>
                </c:pt>
                <c:pt idx="12">
                  <c:v>95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83B-4321-84AF-940E6B55DD52}"/>
            </c:ext>
          </c:extLst>
        </c:ser>
        <c:ser>
          <c:idx val="1"/>
          <c:order val="1"/>
          <c:tx>
            <c:strRef>
              <c:f>'dashboard (EDIT)'!$A$8</c:f>
              <c:strCache>
                <c:ptCount val="1"/>
                <c:pt idx="0">
                  <c:v>Count of Divisi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3B-4321-84AF-940E6B55DD52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C83B-4321-84AF-940E6B55DD52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3B-4321-84AF-940E6B55DD5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C83B-4321-84AF-940E6B55DD52}"/>
              </c:ext>
            </c:extLst>
          </c:dPt>
          <c:dPt>
            <c:idx val="4"/>
            <c:bubble3D val="0"/>
            <c:spPr>
              <a:solidFill>
                <a:srgbClr val="4472C4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3B-4321-84AF-940E6B55DD52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C83B-4321-84AF-940E6B55DD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83B-4321-84AF-940E6B55DD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C83B-4321-84AF-940E6B55DD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83B-4321-84AF-940E6B55DD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C83B-4321-84AF-940E6B55DD5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83B-4321-84AF-940E6B55DD5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C83B-4321-84AF-940E6B55DD52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83B-4321-84AF-940E6B55DD52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C83B-4321-84AF-940E6B55DD52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83B-4321-84AF-940E6B55DD52}"/>
              </c:ext>
            </c:extLst>
          </c:dPt>
          <c:cat>
            <c:strRef>
              <c:f>'dashboard (EDIT)'!$A$8</c:f>
              <c:strCache>
                <c:ptCount val="15"/>
                <c:pt idx="0">
                  <c:v>SIPIL</c:v>
                </c:pt>
                <c:pt idx="1">
                  <c:v>Keuangan</c:v>
                </c:pt>
                <c:pt idx="2">
                  <c:v>SAR</c:v>
                </c:pt>
                <c:pt idx="3">
                  <c:v>PPA</c:v>
                </c:pt>
                <c:pt idx="4">
                  <c:v>PMU </c:v>
                </c:pt>
                <c:pt idx="5">
                  <c:v>SDM</c:v>
                </c:pt>
                <c:pt idx="6">
                  <c:v>Sekper, Legal dan Tata Kelola</c:v>
                </c:pt>
                <c:pt idx="7">
                  <c:v>SMK3</c:v>
                </c:pt>
                <c:pt idx="8">
                  <c:v>SPI</c:v>
                </c:pt>
                <c:pt idx="9">
                  <c:v>Staf Ahli Direktur Utama</c:v>
                </c:pt>
                <c:pt idx="10">
                  <c:v>Teknik dan Logistik</c:v>
                </c:pt>
                <c:pt idx="11">
                  <c:v>Wilayah I</c:v>
                </c:pt>
                <c:pt idx="12">
                  <c:v>Wilayah II</c:v>
                </c:pt>
                <c:pt idx="13">
                  <c:v>Direksi</c:v>
                </c:pt>
                <c:pt idx="14">
                  <c:v>(blank)</c:v>
                </c:pt>
              </c:strCache>
            </c:strRef>
          </c:cat>
          <c:val>
            <c:numRef>
              <c:f>'dashboard (EDIT)'!$A$8</c:f>
              <c:numCache>
                <c:formatCode>0.00%</c:formatCode>
                <c:ptCount val="15"/>
                <c:pt idx="0">
                  <c:v>1.4285714285714285E-2</c:v>
                </c:pt>
                <c:pt idx="1">
                  <c:v>1.6666666666666666E-2</c:v>
                </c:pt>
                <c:pt idx="2">
                  <c:v>2.8571428571428571E-2</c:v>
                </c:pt>
                <c:pt idx="3">
                  <c:v>0.12380952380952381</c:v>
                </c:pt>
                <c:pt idx="4">
                  <c:v>4.7619047619047623E-3</c:v>
                </c:pt>
                <c:pt idx="5">
                  <c:v>2.1428571428571429E-2</c:v>
                </c:pt>
                <c:pt idx="6">
                  <c:v>7.1428571428571426E-3</c:v>
                </c:pt>
                <c:pt idx="7">
                  <c:v>2.3809523809523812E-3</c:v>
                </c:pt>
                <c:pt idx="8">
                  <c:v>2.3809523809523812E-3</c:v>
                </c:pt>
                <c:pt idx="9">
                  <c:v>2.3809523809523812E-3</c:v>
                </c:pt>
                <c:pt idx="10">
                  <c:v>5.9523809523809521E-2</c:v>
                </c:pt>
                <c:pt idx="11">
                  <c:v>0.48333333333333334</c:v>
                </c:pt>
                <c:pt idx="12">
                  <c:v>0.22619047619047619</c:v>
                </c:pt>
                <c:pt idx="13">
                  <c:v>7.1428571428571426E-3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C83B-4321-84AF-940E6B55D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Data Karyawan IMSS Februari-Rev 4 - Copy.xlsx]dashboard (EDIT)!PivotTable1</c:name>
    <c:fmtId val="1"/>
  </c:pivotSource>
  <c:chart>
    <c:title>
      <c:tx>
        <c:strRef>
          <c:f>'dashboard (EDIT)'!$A$1</c:f>
          <c:strCache>
            <c:ptCount val="1"/>
            <c:pt idx="0">
              <c:v>Distribusi Pada Status Pegawai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2"/>
        <c:spPr>
          <a:solidFill>
            <a:srgbClr val="ED7D31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3"/>
        <c:spPr>
          <a:solidFill>
            <a:srgbClr val="A5A5A5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4"/>
        <c:spPr>
          <a:solidFill>
            <a:srgbClr val="FFC000"/>
          </a:solidFill>
          <a:ln w="12700">
            <a:solidFill>
              <a:srgbClr val="FFFFFF"/>
            </a:solidFill>
            <a:prstDash val="solid"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'dashboard (EDIT)'!$A$1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F895-421F-9D71-E8293CF6B176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95-421F-9D71-E8293CF6B176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895-421F-9D71-E8293CF6B17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95-421F-9D71-E8293CF6B176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(EDIT)'!$A$1</c:f>
              <c:strCache>
                <c:ptCount val="4"/>
                <c:pt idx="0">
                  <c:v>PKWT</c:v>
                </c:pt>
                <c:pt idx="1">
                  <c:v>(blank)</c:v>
                </c:pt>
                <c:pt idx="2">
                  <c:v>ORGANIK IMSS</c:v>
                </c:pt>
                <c:pt idx="3">
                  <c:v>ORGANIK INKA</c:v>
                </c:pt>
              </c:strCache>
            </c:strRef>
          </c:cat>
          <c:val>
            <c:numRef>
              <c:f>'dashboard (EDIT)'!$A$1</c:f>
              <c:numCache>
                <c:formatCode>General</c:formatCode>
                <c:ptCount val="4"/>
                <c:pt idx="0">
                  <c:v>344</c:v>
                </c:pt>
                <c:pt idx="2">
                  <c:v>57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895-421F-9D71-E8293CF6B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Data Karyawan IMSS Februari-Rev 4 - Copy.xlsx]dashboard (EDIT)!PivotTable5</c:name>
    <c:fmtId val="0"/>
  </c:pivotSource>
  <c:chart>
    <c:title>
      <c:tx>
        <c:strRef>
          <c:f>'dashboard (EDIT)'!$E$8</c:f>
          <c:strCache>
            <c:ptCount val="1"/>
            <c:pt idx="0">
              <c:v>Status Pernikahan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9BD5"/>
          </a:solidFill>
          <a:ln w="12700">
            <a:solidFill>
              <a:srgbClr val="FFFFFF"/>
            </a:solidFill>
            <a:prstDash val="solid"/>
          </a:ln>
        </c:spPr>
      </c:pivotFmt>
      <c:pivotFmt>
        <c:idx val="2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9BD5"/>
          </a:solidFill>
          <a:ln w="12700">
            <a:solidFill>
              <a:srgbClr val="FFFFFF"/>
            </a:solidFill>
            <a:prstDash val="solid"/>
          </a:ln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'dashboard (EDIT)'!$E$8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8F8A-418B-8C3B-ED531179403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(EDIT)'!$E$8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'dashboard (EDIT)'!$E$8</c:f>
              <c:numCache>
                <c:formatCode>General</c:formatCode>
                <c:ptCount val="1"/>
                <c:pt idx="0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A-418B-8C3B-ED531179403D}"/>
            </c:ext>
          </c:extLst>
        </c:ser>
        <c:ser>
          <c:idx val="1"/>
          <c:order val="1"/>
          <c:tx>
            <c:strRef>
              <c:f>'dashboard (EDIT)'!$E$8</c:f>
              <c:strCache>
                <c:ptCount val="1"/>
                <c:pt idx="0">
                  <c:v>Count of Status Pernikahan</c:v>
                </c:pt>
              </c:strCache>
            </c:strRef>
          </c:tx>
          <c:dPt>
            <c:idx val="0"/>
            <c:bubble3D val="0"/>
            <c:spPr>
              <a:solidFill>
                <a:srgbClr val="5B9BD5"/>
              </a:solidFill>
              <a:ln w="12700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F8A-418B-8C3B-ED531179403D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'dashboard (EDIT)'!$E$8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'dashboard (EDIT)'!$E$8</c:f>
              <c:numCache>
                <c:formatCode>General</c:formatCode>
                <c:ptCount val="1"/>
                <c:pt idx="0">
                  <c:v>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8A-418B-8C3B-ED5311794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[2. Data Karyawan IMSS Februari-Rev 4 - Copy.xlsx]dashboard (EDIT)!PivotTable6</c:name>
    <c:fmtId val="0"/>
  </c:pivotSource>
  <c:chart>
    <c:title>
      <c:tx>
        <c:strRef>
          <c:f>'dashboard (EDIT)'!$E$12</c:f>
          <c:strCache>
            <c:ptCount val="1"/>
            <c:pt idx="0">
              <c:v>Status Pendidikan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(EDIT)'!$E$12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472C4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(EDIT)'!$E$12</c:f>
              <c:strCache>
                <c:ptCount val="11"/>
                <c:pt idx="0">
                  <c:v>D2</c:v>
                </c:pt>
                <c:pt idx="1">
                  <c:v>D3</c:v>
                </c:pt>
                <c:pt idx="2">
                  <c:v>D4</c:v>
                </c:pt>
                <c:pt idx="3">
                  <c:v>D4 </c:v>
                </c:pt>
                <c:pt idx="4">
                  <c:v>S1</c:v>
                </c:pt>
                <c:pt idx="5">
                  <c:v>S2</c:v>
                </c:pt>
                <c:pt idx="6">
                  <c:v>SMA</c:v>
                </c:pt>
                <c:pt idx="7">
                  <c:v>SMK</c:v>
                </c:pt>
                <c:pt idx="8">
                  <c:v>SMK </c:v>
                </c:pt>
                <c:pt idx="9">
                  <c:v>SMP</c:v>
                </c:pt>
                <c:pt idx="10">
                  <c:v>(blank)</c:v>
                </c:pt>
              </c:strCache>
            </c:strRef>
          </c:cat>
          <c:val>
            <c:numRef>
              <c:f>'dashboard (EDIT)'!$E$12</c:f>
              <c:numCache>
                <c:formatCode>General</c:formatCode>
                <c:ptCount val="11"/>
                <c:pt idx="0">
                  <c:v>1</c:v>
                </c:pt>
                <c:pt idx="1">
                  <c:v>53</c:v>
                </c:pt>
                <c:pt idx="2">
                  <c:v>9</c:v>
                </c:pt>
                <c:pt idx="3">
                  <c:v>1</c:v>
                </c:pt>
                <c:pt idx="4">
                  <c:v>66</c:v>
                </c:pt>
                <c:pt idx="5">
                  <c:v>4</c:v>
                </c:pt>
                <c:pt idx="6">
                  <c:v>21</c:v>
                </c:pt>
                <c:pt idx="7">
                  <c:v>259</c:v>
                </c:pt>
                <c:pt idx="8">
                  <c:v>1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0-4420-AB68-D635F0172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270607"/>
        <c:axId val="1"/>
      </c:barChart>
      <c:catAx>
        <c:axId val="1043270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7060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alumni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D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25400">
              <a:noFill/>
            </a:ln>
          </c:spPr>
          <c:invertIfNegative val="0"/>
          <c:cat>
            <c:strRef>
              <c:f>'dashboard (EDIT)'!$F$59:$F$100</c:f>
              <c:strCache>
                <c:ptCount val="42"/>
                <c:pt idx="0">
                  <c:v>IKIP Budi Utomo Malang</c:v>
                </c:pt>
                <c:pt idx="1">
                  <c:v>Institut Teknologi Bandung</c:v>
                </c:pt>
                <c:pt idx="2">
                  <c:v>Institut Teknologi Pembangunan Surabaya</c:v>
                </c:pt>
                <c:pt idx="3">
                  <c:v>Institut Teknologi Sepuluh Nopember</c:v>
                </c:pt>
                <c:pt idx="4">
                  <c:v>PKBM Nurul Karim</c:v>
                </c:pt>
                <c:pt idx="5">
                  <c:v>Politeknik Negeri Madiun</c:v>
                </c:pt>
                <c:pt idx="6">
                  <c:v>Politeknik Negeri Madiun </c:v>
                </c:pt>
                <c:pt idx="7">
                  <c:v>Politeknik Negeri Malang</c:v>
                </c:pt>
                <c:pt idx="8">
                  <c:v>Politeknik Perkapalan Negeri Surabaya</c:v>
                </c:pt>
                <c:pt idx="9">
                  <c:v>Politeknik Perkeretaapian Indonesia </c:v>
                </c:pt>
                <c:pt idx="10">
                  <c:v>Politeknik Perkeretaapian Indonesia Madiun</c:v>
                </c:pt>
                <c:pt idx="11">
                  <c:v>Polteknik Negeri Sriwijaya</c:v>
                </c:pt>
                <c:pt idx="12">
                  <c:v>Sekolah Tinggi Teknik PLN</c:v>
                </c:pt>
                <c:pt idx="13">
                  <c:v>STMIK Bina Patria Magelang</c:v>
                </c:pt>
                <c:pt idx="14">
                  <c:v>UIN Raden Fatah Palembang</c:v>
                </c:pt>
                <c:pt idx="15">
                  <c:v>Universitas Andalas</c:v>
                </c:pt>
                <c:pt idx="16">
                  <c:v>Universitas Brawijaya</c:v>
                </c:pt>
                <c:pt idx="17">
                  <c:v>Universitas Diponegoro</c:v>
                </c:pt>
                <c:pt idx="18">
                  <c:v>Universitas Gadjah Mada</c:v>
                </c:pt>
                <c:pt idx="19">
                  <c:v>Universitas Islam Asyafiiah</c:v>
                </c:pt>
                <c:pt idx="20">
                  <c:v>Universitas Islam Indonesia</c:v>
                </c:pt>
                <c:pt idx="21">
                  <c:v>Universitas Lampung</c:v>
                </c:pt>
                <c:pt idx="22">
                  <c:v>Universitas Ma Chung Malang</c:v>
                </c:pt>
                <c:pt idx="23">
                  <c:v>Universitas Merdeka Madiun</c:v>
                </c:pt>
                <c:pt idx="24">
                  <c:v>Universitas Muhammadiyah Palembang</c:v>
                </c:pt>
                <c:pt idx="25">
                  <c:v>Universitas Muhammadiyah Ponorogo</c:v>
                </c:pt>
                <c:pt idx="26">
                  <c:v>Universitas Muhammadiyah Sidoarjo</c:v>
                </c:pt>
                <c:pt idx="27">
                  <c:v>Universitas Muhammadiyah Surakarta</c:v>
                </c:pt>
                <c:pt idx="28">
                  <c:v>Universitas Muhammadiyah Tangerang</c:v>
                </c:pt>
                <c:pt idx="29">
                  <c:v>Universitas Negeri Jakarta</c:v>
                </c:pt>
                <c:pt idx="30">
                  <c:v>Universitas Negeri Malang</c:v>
                </c:pt>
                <c:pt idx="31">
                  <c:v>Universitas Negeri Semarang</c:v>
                </c:pt>
                <c:pt idx="32">
                  <c:v>Universitas Negeri Yogyakarta</c:v>
                </c:pt>
                <c:pt idx="33">
                  <c:v>Universitas Pamulang</c:v>
                </c:pt>
                <c:pt idx="34">
                  <c:v>Universitas PGRI Madiun</c:v>
                </c:pt>
                <c:pt idx="35">
                  <c:v>Universitas Sanata Darma</c:v>
                </c:pt>
                <c:pt idx="36">
                  <c:v>Universitas Sebelas Maret Surakarta</c:v>
                </c:pt>
                <c:pt idx="37">
                  <c:v>Universitas Soerjo Ngawi</c:v>
                </c:pt>
                <c:pt idx="38">
                  <c:v>Universitas Sriwijaya</c:v>
                </c:pt>
                <c:pt idx="39">
                  <c:v>Universitas Widya Mandala</c:v>
                </c:pt>
                <c:pt idx="40">
                  <c:v>Universitas Wisnuwardhana Malang</c:v>
                </c:pt>
                <c:pt idx="41">
                  <c:v>UPN Veteran Yogyakarta</c:v>
                </c:pt>
              </c:strCache>
            </c:strRef>
          </c:cat>
          <c:val>
            <c:numRef>
              <c:f>'dashboard (EDIT)'!$G$59:$G$100</c:f>
              <c:numCache>
                <c:formatCode>General</c:formatCode>
                <c:ptCount val="4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25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29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11</c:v>
                </c:pt>
                <c:pt idx="17">
                  <c:v>1</c:v>
                </c:pt>
                <c:pt idx="18">
                  <c:v>8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4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4</c:v>
                </c:pt>
                <c:pt idx="35">
                  <c:v>1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1-4511-9D93-0B642692A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3261967"/>
        <c:axId val="1"/>
      </c:barChart>
      <c:catAx>
        <c:axId val="10432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6196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Data Karyawan IMSS Februari-Rev 4 - Copy.xlsx]dashboard (EDIT)!PivotTable10</c:name>
    <c:fmtId val="0"/>
  </c:pivotSource>
  <c:chart>
    <c:title>
      <c:tx>
        <c:strRef>
          <c:f>'dashboard (EDIT)'!$A$28:$B$28</c:f>
          <c:strCache>
            <c:ptCount val="2"/>
            <c:pt idx="0">
              <c:v>Penempatan Karyawan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9BD5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5A5A5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(EDIT)'!$A$28:$B$28</c:f>
              <c:strCache>
                <c:ptCount val="1"/>
                <c:pt idx="0">
                  <c:v>PKWT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(EDIT)'!$A$28:$B$28</c:f>
              <c:strCache>
                <c:ptCount val="18"/>
                <c:pt idx="0">
                  <c:v>Aceh</c:v>
                </c:pt>
                <c:pt idx="1">
                  <c:v>Bandung</c:v>
                </c:pt>
                <c:pt idx="2">
                  <c:v>Banyuwangi</c:v>
                </c:pt>
                <c:pt idx="3">
                  <c:v>Gudang</c:v>
                </c:pt>
                <c:pt idx="4">
                  <c:v>IMSS</c:v>
                </c:pt>
                <c:pt idx="5">
                  <c:v>INKA</c:v>
                </c:pt>
                <c:pt idx="6">
                  <c:v>Jakarta</c:v>
                </c:pt>
                <c:pt idx="7">
                  <c:v>Klaten</c:v>
                </c:pt>
                <c:pt idx="8">
                  <c:v>Lampung</c:v>
                </c:pt>
                <c:pt idx="9">
                  <c:v>Makassar</c:v>
                </c:pt>
                <c:pt idx="10">
                  <c:v>Medan</c:v>
                </c:pt>
                <c:pt idx="11">
                  <c:v>Padang</c:v>
                </c:pt>
                <c:pt idx="12">
                  <c:v>Palembang</c:v>
                </c:pt>
                <c:pt idx="13">
                  <c:v>PMU</c:v>
                </c:pt>
                <c:pt idx="14">
                  <c:v>Purwodadi</c:v>
                </c:pt>
                <c:pt idx="15">
                  <c:v>Solo</c:v>
                </c:pt>
                <c:pt idx="16">
                  <c:v>Surabaya</c:v>
                </c:pt>
                <c:pt idx="17">
                  <c:v>Yogyakarta</c:v>
                </c:pt>
              </c:strCache>
            </c:strRef>
          </c:cat>
          <c:val>
            <c:numRef>
              <c:f>'dashboard (EDIT)'!$A$28:$B$28</c:f>
              <c:numCache>
                <c:formatCode>General</c:formatCode>
                <c:ptCount val="18"/>
                <c:pt idx="0">
                  <c:v>4</c:v>
                </c:pt>
                <c:pt idx="1">
                  <c:v>10</c:v>
                </c:pt>
                <c:pt idx="2">
                  <c:v>6</c:v>
                </c:pt>
                <c:pt idx="3">
                  <c:v>3</c:v>
                </c:pt>
                <c:pt idx="4">
                  <c:v>30</c:v>
                </c:pt>
                <c:pt idx="5">
                  <c:v>65</c:v>
                </c:pt>
                <c:pt idx="6">
                  <c:v>85</c:v>
                </c:pt>
                <c:pt idx="7">
                  <c:v>36</c:v>
                </c:pt>
                <c:pt idx="8">
                  <c:v>4</c:v>
                </c:pt>
                <c:pt idx="9">
                  <c:v>6</c:v>
                </c:pt>
                <c:pt idx="10">
                  <c:v>1</c:v>
                </c:pt>
                <c:pt idx="11">
                  <c:v>4</c:v>
                </c:pt>
                <c:pt idx="12">
                  <c:v>32</c:v>
                </c:pt>
                <c:pt idx="14">
                  <c:v>6</c:v>
                </c:pt>
                <c:pt idx="15">
                  <c:v>8</c:v>
                </c:pt>
                <c:pt idx="16">
                  <c:v>11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3-4893-8BC7-8E724F0BB1A6}"/>
            </c:ext>
          </c:extLst>
        </c:ser>
        <c:ser>
          <c:idx val="1"/>
          <c:order val="1"/>
          <c:tx>
            <c:strRef>
              <c:f>'dashboard (EDIT)'!$A$28:$B$28</c:f>
              <c:strCache>
                <c:ptCount val="1"/>
                <c:pt idx="0">
                  <c:v>ORGANIK IMSS</c:v>
                </c:pt>
              </c:strCache>
            </c:strRef>
          </c:tx>
          <c:spPr>
            <a:solidFill>
              <a:srgbClr val="ED7D31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(EDIT)'!$A$28:$B$28</c:f>
              <c:strCache>
                <c:ptCount val="18"/>
                <c:pt idx="0">
                  <c:v>Aceh</c:v>
                </c:pt>
                <c:pt idx="1">
                  <c:v>Bandung</c:v>
                </c:pt>
                <c:pt idx="2">
                  <c:v>Banyuwangi</c:v>
                </c:pt>
                <c:pt idx="3">
                  <c:v>Gudang</c:v>
                </c:pt>
                <c:pt idx="4">
                  <c:v>IMSS</c:v>
                </c:pt>
                <c:pt idx="5">
                  <c:v>INKA</c:v>
                </c:pt>
                <c:pt idx="6">
                  <c:v>Jakarta</c:v>
                </c:pt>
                <c:pt idx="7">
                  <c:v>Klaten</c:v>
                </c:pt>
                <c:pt idx="8">
                  <c:v>Lampung</c:v>
                </c:pt>
                <c:pt idx="9">
                  <c:v>Makassar</c:v>
                </c:pt>
                <c:pt idx="10">
                  <c:v>Medan</c:v>
                </c:pt>
                <c:pt idx="11">
                  <c:v>Padang</c:v>
                </c:pt>
                <c:pt idx="12">
                  <c:v>Palembang</c:v>
                </c:pt>
                <c:pt idx="13">
                  <c:v>PMU</c:v>
                </c:pt>
                <c:pt idx="14">
                  <c:v>Purwodadi</c:v>
                </c:pt>
                <c:pt idx="15">
                  <c:v>Solo</c:v>
                </c:pt>
                <c:pt idx="16">
                  <c:v>Surabaya</c:v>
                </c:pt>
                <c:pt idx="17">
                  <c:v>Yogyakarta</c:v>
                </c:pt>
              </c:strCache>
            </c:strRef>
          </c:cat>
          <c:val>
            <c:numRef>
              <c:f>'dashboard (EDIT)'!$A$28:$B$28</c:f>
              <c:numCache>
                <c:formatCode>General</c:formatCode>
                <c:ptCount val="18"/>
                <c:pt idx="0">
                  <c:v>1</c:v>
                </c:pt>
                <c:pt idx="3">
                  <c:v>1</c:v>
                </c:pt>
                <c:pt idx="4">
                  <c:v>26</c:v>
                </c:pt>
                <c:pt idx="5">
                  <c:v>8</c:v>
                </c:pt>
                <c:pt idx="6">
                  <c:v>9</c:v>
                </c:pt>
                <c:pt idx="7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3-4893-8BC7-8E724F0BB1A6}"/>
            </c:ext>
          </c:extLst>
        </c:ser>
        <c:ser>
          <c:idx val="2"/>
          <c:order val="2"/>
          <c:tx>
            <c:strRef>
              <c:f>'dashboard (EDIT)'!$A$28:$B$28</c:f>
              <c:strCache>
                <c:ptCount val="1"/>
                <c:pt idx="0">
                  <c:v>ORGANIK INKA</c:v>
                </c:pt>
              </c:strCache>
            </c:strRef>
          </c:tx>
          <c:spPr>
            <a:solidFill>
              <a:srgbClr val="A5A5A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(EDIT)'!$A$28:$B$28</c:f>
              <c:strCache>
                <c:ptCount val="18"/>
                <c:pt idx="0">
                  <c:v>Aceh</c:v>
                </c:pt>
                <c:pt idx="1">
                  <c:v>Bandung</c:v>
                </c:pt>
                <c:pt idx="2">
                  <c:v>Banyuwangi</c:v>
                </c:pt>
                <c:pt idx="3">
                  <c:v>Gudang</c:v>
                </c:pt>
                <c:pt idx="4">
                  <c:v>IMSS</c:v>
                </c:pt>
                <c:pt idx="5">
                  <c:v>INKA</c:v>
                </c:pt>
                <c:pt idx="6">
                  <c:v>Jakarta</c:v>
                </c:pt>
                <c:pt idx="7">
                  <c:v>Klaten</c:v>
                </c:pt>
                <c:pt idx="8">
                  <c:v>Lampung</c:v>
                </c:pt>
                <c:pt idx="9">
                  <c:v>Makassar</c:v>
                </c:pt>
                <c:pt idx="10">
                  <c:v>Medan</c:v>
                </c:pt>
                <c:pt idx="11">
                  <c:v>Padang</c:v>
                </c:pt>
                <c:pt idx="12">
                  <c:v>Palembang</c:v>
                </c:pt>
                <c:pt idx="13">
                  <c:v>PMU</c:v>
                </c:pt>
                <c:pt idx="14">
                  <c:v>Purwodadi</c:v>
                </c:pt>
                <c:pt idx="15">
                  <c:v>Solo</c:v>
                </c:pt>
                <c:pt idx="16">
                  <c:v>Surabaya</c:v>
                </c:pt>
                <c:pt idx="17">
                  <c:v>Yogyakarta</c:v>
                </c:pt>
              </c:strCache>
            </c:strRef>
          </c:cat>
          <c:val>
            <c:numRef>
              <c:f>'dashboard (EDIT)'!$A$28:$B$28</c:f>
              <c:numCache>
                <c:formatCode>General</c:formatCode>
                <c:ptCount val="18"/>
                <c:pt idx="1">
                  <c:v>1</c:v>
                </c:pt>
                <c:pt idx="3">
                  <c:v>1</c:v>
                </c:pt>
                <c:pt idx="4">
                  <c:v>15</c:v>
                </c:pt>
                <c:pt idx="13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73-4893-8BC7-8E724F0BB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265807"/>
        <c:axId val="1"/>
      </c:barChart>
      <c:catAx>
        <c:axId val="10432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2658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[2. Data Karyawan IMSS Februari-Rev 4 - Copy.xlsx]dashboard (EDIT)!PivotTable8</c:name>
    <c:fmtId val="0"/>
  </c:pivotSource>
  <c:chart>
    <c:title>
      <c:tx>
        <c:strRef>
          <c:f>'dashboard (EDIT)'!$H$12:$I$12</c:f>
          <c:strCache>
            <c:ptCount val="2"/>
            <c:pt idx="0">
              <c:v>GOLONGAN JABATAN</c:v>
            </c:pt>
          </c:strCache>
        </c:strRef>
      </c:tx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5B9BD5"/>
          </a:solidFill>
          <a:ln w="25400">
            <a:noFill/>
          </a:ln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(EDIT)'!$H$12:$I$12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(EDIT)'!$H$12:$I$12</c:f>
              <c:strCache>
                <c:ptCount val="5"/>
                <c:pt idx="0">
                  <c:v>STAF</c:v>
                </c:pt>
                <c:pt idx="1">
                  <c:v>BOD - 3</c:v>
                </c:pt>
                <c:pt idx="2">
                  <c:v>BOD - 2</c:v>
                </c:pt>
                <c:pt idx="3">
                  <c:v>BOD - 1</c:v>
                </c:pt>
                <c:pt idx="4">
                  <c:v>BOD</c:v>
                </c:pt>
              </c:strCache>
            </c:strRef>
          </c:cat>
          <c:val>
            <c:numRef>
              <c:f>'dashboard (EDIT)'!$H$12:$I$12</c:f>
              <c:numCache>
                <c:formatCode>General</c:formatCode>
                <c:ptCount val="5"/>
                <c:pt idx="0">
                  <c:v>394</c:v>
                </c:pt>
                <c:pt idx="1">
                  <c:v>5</c:v>
                </c:pt>
                <c:pt idx="2">
                  <c:v>11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3-44AB-9F20-8BF20E60B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3268687"/>
        <c:axId val="1"/>
      </c:barChart>
      <c:catAx>
        <c:axId val="10432686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3268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'dashboard (EDIT)'!$M$71</c:f>
          <c:strCache>
            <c:ptCount val="1"/>
            <c:pt idx="0">
              <c:v>USIA</c:v>
            </c:pt>
          </c:strCache>
        </c:strRef>
      </c:tx>
      <c:overlay val="1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(EDIT)'!$N$72</c:f>
              <c:strCache>
                <c:ptCount val="1"/>
                <c:pt idx="0">
                  <c:v>Count of Usia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(EDIT)'!$M$73:$M$79</c:f>
              <c:strCache>
                <c:ptCount val="7"/>
                <c:pt idx="0">
                  <c:v>&lt;25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45-49</c:v>
                </c:pt>
                <c:pt idx="6">
                  <c:v>50&gt;</c:v>
                </c:pt>
              </c:strCache>
            </c:strRef>
          </c:cat>
          <c:val>
            <c:numRef>
              <c:f>'dashboard (EDIT)'!$N$73:$N$79</c:f>
              <c:numCache>
                <c:formatCode>General</c:formatCode>
                <c:ptCount val="7"/>
                <c:pt idx="0">
                  <c:v>84</c:v>
                </c:pt>
                <c:pt idx="1">
                  <c:v>153</c:v>
                </c:pt>
                <c:pt idx="2">
                  <c:v>97</c:v>
                </c:pt>
                <c:pt idx="3">
                  <c:v>42</c:v>
                </c:pt>
                <c:pt idx="4">
                  <c:v>17</c:v>
                </c:pt>
                <c:pt idx="5">
                  <c:v>9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2-4BCE-AEA7-F7C83A8A5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3260527"/>
        <c:axId val="1"/>
      </c:barChart>
      <c:catAx>
        <c:axId val="10432605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326052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292100</xdr:colOff>
      <xdr:row>26</xdr:row>
      <xdr:rowOff>88900</xdr:rowOff>
    </xdr:from>
    <xdr:to>
      <xdr:col>13</xdr:col>
      <xdr:colOff>768350</xdr:colOff>
      <xdr:row>37</xdr:row>
      <xdr:rowOff>38100</xdr:rowOff>
    </xdr:to>
    <xdr:graphicFrame macro="">
      <xdr:nvGraphicFramePr>
        <xdr:cNvPr id="4137" name="Chart 1">
          <a:extLst>
            <a:ext uri="{FF2B5EF4-FFF2-40B4-BE49-F238E27FC236}">
              <a16:creationId xmlns:a16="http://schemas.microsoft.com/office/drawing/2014/main" id="{12B7C893-A7EA-A44E-F5CB-2CBA0CA52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 editAs="oneCell">
    <xdr:from>
      <xdr:col>8</xdr:col>
      <xdr:colOff>101600</xdr:colOff>
      <xdr:row>9</xdr:row>
      <xdr:rowOff>0</xdr:rowOff>
    </xdr:from>
    <xdr:to>
      <xdr:col>13</xdr:col>
      <xdr:colOff>889000</xdr:colOff>
      <xdr:row>26</xdr:row>
      <xdr:rowOff>95250</xdr:rowOff>
    </xdr:to>
    <xdr:graphicFrame macro="">
      <xdr:nvGraphicFramePr>
        <xdr:cNvPr id="4138" name="Chart 2">
          <a:extLst>
            <a:ext uri="{FF2B5EF4-FFF2-40B4-BE49-F238E27FC236}">
              <a16:creationId xmlns:a16="http://schemas.microsoft.com/office/drawing/2014/main" id="{D6A0F844-4E9D-2C3D-3640-202F692BB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349250</xdr:colOff>
      <xdr:row>60</xdr:row>
      <xdr:rowOff>158750</xdr:rowOff>
    </xdr:from>
    <xdr:to>
      <xdr:col>37</xdr:col>
      <xdr:colOff>584200</xdr:colOff>
      <xdr:row>70</xdr:row>
      <xdr:rowOff>139700</xdr:rowOff>
    </xdr:to>
    <xdr:graphicFrame macro="">
      <xdr:nvGraphicFramePr>
        <xdr:cNvPr id="6315" name="Chart 1">
          <a:extLst>
            <a:ext uri="{FF2B5EF4-FFF2-40B4-BE49-F238E27FC236}">
              <a16:creationId xmlns:a16="http://schemas.microsoft.com/office/drawing/2014/main" id="{A8978549-372A-4512-6238-02A8D0269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342900</xdr:colOff>
      <xdr:row>15</xdr:row>
      <xdr:rowOff>95250</xdr:rowOff>
    </xdr:from>
    <xdr:to>
      <xdr:col>46</xdr:col>
      <xdr:colOff>190500</xdr:colOff>
      <xdr:row>28</xdr:row>
      <xdr:rowOff>165100</xdr:rowOff>
    </xdr:to>
    <xdr:graphicFrame macro="">
      <xdr:nvGraphicFramePr>
        <xdr:cNvPr id="6316" name="Chart 2">
          <a:extLst>
            <a:ext uri="{FF2B5EF4-FFF2-40B4-BE49-F238E27FC236}">
              <a16:creationId xmlns:a16="http://schemas.microsoft.com/office/drawing/2014/main" id="{ECAA846E-3ECB-D18D-9FA4-51B17AB0F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603250</xdr:colOff>
      <xdr:row>44</xdr:row>
      <xdr:rowOff>146050</xdr:rowOff>
    </xdr:from>
    <xdr:to>
      <xdr:col>42</xdr:col>
      <xdr:colOff>323850</xdr:colOff>
      <xdr:row>58</xdr:row>
      <xdr:rowOff>120650</xdr:rowOff>
    </xdr:to>
    <xdr:graphicFrame macro="">
      <xdr:nvGraphicFramePr>
        <xdr:cNvPr id="6317" name="Chart 3">
          <a:extLst>
            <a:ext uri="{FF2B5EF4-FFF2-40B4-BE49-F238E27FC236}">
              <a16:creationId xmlns:a16="http://schemas.microsoft.com/office/drawing/2014/main" id="{86E98A61-31C8-91EE-ABC8-B675E12F4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450850</xdr:colOff>
      <xdr:row>29</xdr:row>
      <xdr:rowOff>127000</xdr:rowOff>
    </xdr:from>
    <xdr:to>
      <xdr:col>56</xdr:col>
      <xdr:colOff>558800</xdr:colOff>
      <xdr:row>44</xdr:row>
      <xdr:rowOff>19050</xdr:rowOff>
    </xdr:to>
    <xdr:graphicFrame macro="">
      <xdr:nvGraphicFramePr>
        <xdr:cNvPr id="6318" name="Chart 4">
          <a:extLst>
            <a:ext uri="{FF2B5EF4-FFF2-40B4-BE49-F238E27FC236}">
              <a16:creationId xmlns:a16="http://schemas.microsoft.com/office/drawing/2014/main" id="{AD630259-E966-6536-C31D-F8E1C00E9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482600</xdr:colOff>
      <xdr:row>30</xdr:row>
      <xdr:rowOff>0</xdr:rowOff>
    </xdr:from>
    <xdr:to>
      <xdr:col>45</xdr:col>
      <xdr:colOff>158750</xdr:colOff>
      <xdr:row>44</xdr:row>
      <xdr:rowOff>76200</xdr:rowOff>
    </xdr:to>
    <xdr:graphicFrame macro="">
      <xdr:nvGraphicFramePr>
        <xdr:cNvPr id="6319" name="Chart 6">
          <a:extLst>
            <a:ext uri="{FF2B5EF4-FFF2-40B4-BE49-F238E27FC236}">
              <a16:creationId xmlns:a16="http://schemas.microsoft.com/office/drawing/2014/main" id="{B3B138B8-D4C5-4803-5295-3978FD7D4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12700</xdr:colOff>
      <xdr:row>15</xdr:row>
      <xdr:rowOff>177800</xdr:rowOff>
    </xdr:from>
    <xdr:to>
      <xdr:col>56</xdr:col>
      <xdr:colOff>101600</xdr:colOff>
      <xdr:row>29</xdr:row>
      <xdr:rowOff>6350</xdr:rowOff>
    </xdr:to>
    <xdr:graphicFrame macro="">
      <xdr:nvGraphicFramePr>
        <xdr:cNvPr id="6320" name="Chart 7">
          <a:extLst>
            <a:ext uri="{FF2B5EF4-FFF2-40B4-BE49-F238E27FC236}">
              <a16:creationId xmlns:a16="http://schemas.microsoft.com/office/drawing/2014/main" id="{DF494FF1-10D6-F84C-B20D-6EAF3EB4D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260350</xdr:colOff>
      <xdr:row>46</xdr:row>
      <xdr:rowOff>107950</xdr:rowOff>
    </xdr:from>
    <xdr:to>
      <xdr:col>57</xdr:col>
      <xdr:colOff>101600</xdr:colOff>
      <xdr:row>79</xdr:row>
      <xdr:rowOff>107950</xdr:rowOff>
    </xdr:to>
    <xdr:graphicFrame macro="">
      <xdr:nvGraphicFramePr>
        <xdr:cNvPr id="6321" name="Chart 5">
          <a:extLst>
            <a:ext uri="{FF2B5EF4-FFF2-40B4-BE49-F238E27FC236}">
              <a16:creationId xmlns:a16="http://schemas.microsoft.com/office/drawing/2014/main" id="{F2672ABD-68D8-B582-06B8-4DC6794ED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35</xdr:col>
      <xdr:colOff>381000</xdr:colOff>
      <xdr:row>0</xdr:row>
      <xdr:rowOff>0</xdr:rowOff>
    </xdr:from>
    <xdr:to>
      <xdr:col>58</xdr:col>
      <xdr:colOff>0</xdr:colOff>
      <xdr:row>14</xdr:row>
      <xdr:rowOff>57150</xdr:rowOff>
    </xdr:to>
    <xdr:graphicFrame macro="">
      <xdr:nvGraphicFramePr>
        <xdr:cNvPr id="6322" name="Chart 8">
          <a:extLst>
            <a:ext uri="{FF2B5EF4-FFF2-40B4-BE49-F238E27FC236}">
              <a16:creationId xmlns:a16="http://schemas.microsoft.com/office/drawing/2014/main" id="{A42797B1-E7B9-8AB5-E76E-0C4A2573B9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666750</xdr:colOff>
      <xdr:row>7</xdr:row>
      <xdr:rowOff>184150</xdr:rowOff>
    </xdr:from>
    <xdr:to>
      <xdr:col>15</xdr:col>
      <xdr:colOff>1143000</xdr:colOff>
      <xdr:row>19</xdr:row>
      <xdr:rowOff>76200</xdr:rowOff>
    </xdr:to>
    <xdr:graphicFrame macro="">
      <xdr:nvGraphicFramePr>
        <xdr:cNvPr id="6323" name="Chart 9">
          <a:extLst>
            <a:ext uri="{FF2B5EF4-FFF2-40B4-BE49-F238E27FC236}">
              <a16:creationId xmlns:a16="http://schemas.microsoft.com/office/drawing/2014/main" id="{43598B19-0936-4533-BA84-2FBBBE1C9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927100</xdr:colOff>
      <xdr:row>81</xdr:row>
      <xdr:rowOff>101600</xdr:rowOff>
    </xdr:from>
    <xdr:to>
      <xdr:col>12</xdr:col>
      <xdr:colOff>1149350</xdr:colOff>
      <xdr:row>95</xdr:row>
      <xdr:rowOff>177800</xdr:rowOff>
    </xdr:to>
    <xdr:graphicFrame macro="">
      <xdr:nvGraphicFramePr>
        <xdr:cNvPr id="6324" name="Chart 10">
          <a:extLst>
            <a:ext uri="{FF2B5EF4-FFF2-40B4-BE49-F238E27FC236}">
              <a16:creationId xmlns:a16="http://schemas.microsoft.com/office/drawing/2014/main" id="{CFE5BEC6-54EE-FC57-94CE-A444CD364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8</xdr:col>
      <xdr:colOff>203200</xdr:colOff>
      <xdr:row>20</xdr:row>
      <xdr:rowOff>158750</xdr:rowOff>
    </xdr:to>
    <xdr:sp macro="" textlink="">
      <xdr:nvSpPr>
        <xdr:cNvPr id="7255" name="Shape 3">
          <a:extLst>
            <a:ext uri="{FF2B5EF4-FFF2-40B4-BE49-F238E27FC236}">
              <a16:creationId xmlns:a16="http://schemas.microsoft.com/office/drawing/2014/main" id="{9CF2E9A9-9B6A-5D92-C09F-94E2A4A516F8}"/>
            </a:ext>
          </a:extLst>
        </xdr:cNvPr>
        <xdr:cNvSpPr>
          <a:spLocks noChangeArrowheads="1"/>
        </xdr:cNvSpPr>
      </xdr:nvSpPr>
      <xdr:spPr bwMode="auto">
        <a:xfrm>
          <a:off x="8051800" y="1555750"/>
          <a:ext cx="2101850" cy="2292350"/>
        </a:xfrm>
        <a:prstGeom prst="rect">
          <a:avLst/>
        </a:prstGeo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6</xdr:col>
      <xdr:colOff>1149350</xdr:colOff>
      <xdr:row>0</xdr:row>
      <xdr:rowOff>95250</xdr:rowOff>
    </xdr:from>
    <xdr:to>
      <xdr:col>8</xdr:col>
      <xdr:colOff>520700</xdr:colOff>
      <xdr:row>2</xdr:row>
      <xdr:rowOff>133350</xdr:rowOff>
    </xdr:to>
    <xdr:pic>
      <xdr:nvPicPr>
        <xdr:cNvPr id="7256" name="image1.png">
          <a:extLst>
            <a:ext uri="{FF2B5EF4-FFF2-40B4-BE49-F238E27FC236}">
              <a16:creationId xmlns:a16="http://schemas.microsoft.com/office/drawing/2014/main" id="{8ADAB55E-A3DF-EB6A-87A8-CD116D67937F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95250"/>
          <a:ext cx="12700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6</xdr:col>
      <xdr:colOff>1117600</xdr:colOff>
      <xdr:row>0</xdr:row>
      <xdr:rowOff>19050</xdr:rowOff>
    </xdr:from>
    <xdr:to>
      <xdr:col>8</xdr:col>
      <xdr:colOff>552450</xdr:colOff>
      <xdr:row>3</xdr:row>
      <xdr:rowOff>76200</xdr:rowOff>
    </xdr:to>
    <xdr:pic>
      <xdr:nvPicPr>
        <xdr:cNvPr id="7257" name="image2.jpg">
          <a:extLst>
            <a:ext uri="{FF2B5EF4-FFF2-40B4-BE49-F238E27FC236}">
              <a16:creationId xmlns:a16="http://schemas.microsoft.com/office/drawing/2014/main" id="{66D4A391-EE3C-265E-82C8-B52D9724BEF8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9400" y="19050"/>
          <a:ext cx="13335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xdr:twoCellAnchor editAs="oneCell">
    <xdr:from>
      <xdr:col>5</xdr:col>
      <xdr:colOff>520700</xdr:colOff>
      <xdr:row>66</xdr:row>
      <xdr:rowOff>139700</xdr:rowOff>
    </xdr:from>
    <xdr:to>
      <xdr:col>6</xdr:col>
      <xdr:colOff>1066800</xdr:colOff>
      <xdr:row>74</xdr:row>
      <xdr:rowOff>25400</xdr:rowOff>
    </xdr:to>
    <xdr:pic>
      <xdr:nvPicPr>
        <xdr:cNvPr id="7258" name="Picture 4">
          <a:extLst>
            <a:ext uri="{FF2B5EF4-FFF2-40B4-BE49-F238E27FC236}">
              <a16:creationId xmlns:a16="http://schemas.microsoft.com/office/drawing/2014/main" id="{321A186E-D489-887F-115A-52A9EB413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7900" y="12007850"/>
          <a:ext cx="1790700" cy="130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806450</xdr:colOff>
      <xdr:row>63</xdr:row>
      <xdr:rowOff>76200</xdr:rowOff>
    </xdr:from>
    <xdr:to>
      <xdr:col>6</xdr:col>
      <xdr:colOff>1250950</xdr:colOff>
      <xdr:row>75</xdr:row>
      <xdr:rowOff>120650</xdr:rowOff>
    </xdr:to>
    <xdr:pic>
      <xdr:nvPicPr>
        <xdr:cNvPr id="7259" name="Picture 5">
          <a:extLst>
            <a:ext uri="{FF2B5EF4-FFF2-40B4-BE49-F238E27FC236}">
              <a16:creationId xmlns:a16="http://schemas.microsoft.com/office/drawing/2014/main" id="{42EC74BC-B0CA-85B6-40AA-A63EAA1F3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3650" y="11410950"/>
          <a:ext cx="1689100" cy="2178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%20Drive\DIV_SDM\AUDIT\2023\k3\Book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%20Drive\DIV_SDM\BAG.%20PERSONALIA\01%20Data%20Karyawan\2024\8.%20Data%20Karyawan%20IMSS%20Agustu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My%20Drive\DIV_SDM\BAG.%20SERTIFIKASI%20PELATIHAN\Scan%20Sertifikat\Personil\Sertifikasi%20SDM%20IM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rtifikasi"/>
    </sheetNames>
    <sheetDataSet>
      <sheetData sheetId="0">
        <row r="4">
          <cell r="B4" t="str">
            <v>R. PRAJA KUSUMA NUGRAHA</v>
          </cell>
          <cell r="C4" t="str">
            <v>IMSS</v>
          </cell>
          <cell r="D4">
            <v>32799</v>
          </cell>
          <cell r="E4" t="str">
            <v>S1</v>
          </cell>
          <cell r="F4" t="str">
            <v>6 Tahun 9 Bulan</v>
          </cell>
          <cell r="G4">
            <v>42767</v>
          </cell>
          <cell r="H4" t="str">
            <v>K3</v>
          </cell>
          <cell r="I4" t="str">
            <v>Pembinaan Dan Sertifikasi Calon Ahli K3 Umum</v>
          </cell>
        </row>
        <row r="5">
          <cell r="B5" t="str">
            <v>BUDIONO</v>
          </cell>
          <cell r="C5" t="str">
            <v>IMSS</v>
          </cell>
          <cell r="D5">
            <v>33268</v>
          </cell>
          <cell r="E5" t="str">
            <v>S1</v>
          </cell>
          <cell r="F5" t="str">
            <v>6 Tahun 9 Bulan</v>
          </cell>
          <cell r="G5">
            <v>42767</v>
          </cell>
          <cell r="H5" t="str">
            <v>K3</v>
          </cell>
          <cell r="I5" t="str">
            <v>Pembinaan Dan Sertifikasi Calon Ahli K3 Umum</v>
          </cell>
        </row>
        <row r="6">
          <cell r="B6" t="str">
            <v>BRIANTO CAHYO NUGROHO</v>
          </cell>
          <cell r="C6" t="str">
            <v>IMSS</v>
          </cell>
          <cell r="D6">
            <v>33263</v>
          </cell>
          <cell r="E6" t="str">
            <v>D3</v>
          </cell>
          <cell r="F6" t="str">
            <v>6 Tahun 4 Bulan</v>
          </cell>
          <cell r="G6">
            <v>42919</v>
          </cell>
          <cell r="H6" t="str">
            <v>K3</v>
          </cell>
          <cell r="I6" t="str">
            <v>Pembinaan Dan Sertifikasi Calon Ahli K3 Umum</v>
          </cell>
        </row>
        <row r="7">
          <cell r="B7" t="str">
            <v>ARI IRAWAN</v>
          </cell>
          <cell r="C7" t="str">
            <v>PKWT</v>
          </cell>
          <cell r="D7">
            <v>36643</v>
          </cell>
          <cell r="E7" t="str">
            <v>D3</v>
          </cell>
          <cell r="F7" t="str">
            <v>0 Tahun 10 Bulan</v>
          </cell>
          <cell r="G7">
            <v>44931</v>
          </cell>
          <cell r="H7" t="str">
            <v>K3</v>
          </cell>
          <cell r="I7" t="str">
            <v>Pembinaan Dan Sertifikasi Calon Ahli K3 Umum</v>
          </cell>
        </row>
        <row r="8">
          <cell r="B8" t="str">
            <v>ZA'IM NAUFAL HABIB</v>
          </cell>
          <cell r="C8" t="str">
            <v>PKWT</v>
          </cell>
          <cell r="D8">
            <v>36891</v>
          </cell>
          <cell r="E8" t="str">
            <v>D3</v>
          </cell>
          <cell r="F8" t="str">
            <v>0 Tahun 10 Bulan</v>
          </cell>
          <cell r="G8">
            <v>44931</v>
          </cell>
          <cell r="H8" t="str">
            <v>K3</v>
          </cell>
          <cell r="I8" t="str">
            <v>Pembinaan Dan Sertifikasi Calon Ahli K3 Umum</v>
          </cell>
        </row>
        <row r="9">
          <cell r="B9" t="str">
            <v>ALI OKTAVIAN HANDOKO</v>
          </cell>
          <cell r="C9" t="str">
            <v>PKWT</v>
          </cell>
          <cell r="D9">
            <v>36802</v>
          </cell>
          <cell r="E9" t="str">
            <v>D3</v>
          </cell>
          <cell r="F9" t="str">
            <v>0 Tahun 10 Bulan</v>
          </cell>
          <cell r="G9">
            <v>44931</v>
          </cell>
          <cell r="H9" t="str">
            <v>K3</v>
          </cell>
          <cell r="I9" t="str">
            <v>Pembinaan Dan Sertifikasi Calon Ahli K3 Umum</v>
          </cell>
        </row>
        <row r="10">
          <cell r="B10" t="str">
            <v>YOLANDHA ERHASYA TALITAFANI</v>
          </cell>
          <cell r="C10" t="str">
            <v>PKWT</v>
          </cell>
          <cell r="D10">
            <v>37103</v>
          </cell>
          <cell r="E10" t="str">
            <v>D3</v>
          </cell>
          <cell r="F10" t="str">
            <v>0 Tahun 10 Bulan</v>
          </cell>
          <cell r="G10">
            <v>44931</v>
          </cell>
          <cell r="H10" t="str">
            <v>K3</v>
          </cell>
          <cell r="I10" t="str">
            <v>Pembinaan Dan Sertifikasi Calon Ahli K3 Umum</v>
          </cell>
        </row>
        <row r="11">
          <cell r="B11" t="str">
            <v>DONI NUR ANGGI PRASETYO</v>
          </cell>
          <cell r="C11" t="str">
            <v>PKWT</v>
          </cell>
          <cell r="D11">
            <v>33683</v>
          </cell>
          <cell r="E11" t="str">
            <v>D3</v>
          </cell>
          <cell r="F11" t="str">
            <v>5 Tahun 5 Bulan</v>
          </cell>
          <cell r="G11">
            <v>43255</v>
          </cell>
          <cell r="H11" t="str">
            <v>K3</v>
          </cell>
          <cell r="I11" t="str">
            <v>Pembinaan Dan Sertifikasi Calon Ahli K3 Umum</v>
          </cell>
        </row>
        <row r="12">
          <cell r="B12" t="str">
            <v>SHOFWAN MAHSYURDIN</v>
          </cell>
          <cell r="C12" t="str">
            <v>PKWT</v>
          </cell>
          <cell r="D12">
            <v>34344</v>
          </cell>
          <cell r="E12" t="str">
            <v>S1</v>
          </cell>
          <cell r="F12" t="str">
            <v>5 Tahun 2 Bulan</v>
          </cell>
          <cell r="G12">
            <v>43325</v>
          </cell>
          <cell r="H12" t="str">
            <v>K3</v>
          </cell>
          <cell r="I12" t="str">
            <v>Pembinaan Dan Sertifikasi Calon Ahli K3 Umum</v>
          </cell>
        </row>
        <row r="13">
          <cell r="B13" t="str">
            <v>RANDI ARDIMAN</v>
          </cell>
          <cell r="C13" t="str">
            <v>PKWT</v>
          </cell>
          <cell r="D13">
            <v>33367</v>
          </cell>
          <cell r="E13" t="str">
            <v>D3</v>
          </cell>
          <cell r="F13" t="str">
            <v>5 Tahun 0 Bulan</v>
          </cell>
          <cell r="G13">
            <v>43395</v>
          </cell>
          <cell r="H13" t="str">
            <v>K3</v>
          </cell>
          <cell r="I13" t="str">
            <v>Pembinaan Dan Sertifikasi Calon Ahli K3 Umum</v>
          </cell>
        </row>
        <row r="14">
          <cell r="B14" t="str">
            <v>RIZKI NOVRIANSYAH</v>
          </cell>
          <cell r="C14" t="str">
            <v>PKWT</v>
          </cell>
          <cell r="D14">
            <v>33188</v>
          </cell>
          <cell r="E14" t="str">
            <v>S1</v>
          </cell>
          <cell r="F14" t="str">
            <v>5 Tahun 0 Bulan</v>
          </cell>
          <cell r="G14">
            <v>43395</v>
          </cell>
          <cell r="H14" t="str">
            <v>K3</v>
          </cell>
          <cell r="I14" t="str">
            <v>Pembinaan Dan Sertifikasi Calon Ahli K3 Umum</v>
          </cell>
        </row>
        <row r="15">
          <cell r="B15" t="str">
            <v>M. AKHIRUL RAMADHAN</v>
          </cell>
          <cell r="C15" t="str">
            <v>PKWT</v>
          </cell>
          <cell r="D15">
            <v>35823</v>
          </cell>
          <cell r="E15" t="str">
            <v>D3</v>
          </cell>
          <cell r="F15" t="str">
            <v>4 Tahun 4 Bulan</v>
          </cell>
          <cell r="G15">
            <v>43647</v>
          </cell>
          <cell r="H15" t="str">
            <v>K3</v>
          </cell>
          <cell r="I15" t="str">
            <v>Pembinaan Dan Sertifikasi Calon Ahli K3 Umum</v>
          </cell>
        </row>
        <row r="16">
          <cell r="B16" t="str">
            <v>FALLAH DZUNURAINI</v>
          </cell>
          <cell r="C16" t="str">
            <v>PKWT</v>
          </cell>
          <cell r="D16">
            <v>35285</v>
          </cell>
          <cell r="E16" t="str">
            <v>S1</v>
          </cell>
          <cell r="F16" t="str">
            <v>3 Tahun 10 Bulan</v>
          </cell>
          <cell r="G16">
            <v>43832</v>
          </cell>
          <cell r="H16" t="str">
            <v>K3</v>
          </cell>
          <cell r="I16" t="str">
            <v>Pembinaan Dan Sertifikasi Calon Ahli K3 Umum</v>
          </cell>
        </row>
        <row r="17">
          <cell r="B17" t="str">
            <v>FUAD AZIZ</v>
          </cell>
          <cell r="C17" t="str">
            <v>Organik</v>
          </cell>
          <cell r="D17">
            <v>28288</v>
          </cell>
          <cell r="E17" t="str">
            <v>S2</v>
          </cell>
          <cell r="F17" t="str">
            <v>4 Tahun 4 Bulan</v>
          </cell>
          <cell r="G17">
            <v>43647</v>
          </cell>
          <cell r="H17" t="str">
            <v>K3</v>
          </cell>
          <cell r="I17" t="str">
            <v>Pembinaan Dan Sertifikasi Calon Ahli K3 Umum</v>
          </cell>
        </row>
        <row r="18">
          <cell r="B18" t="str">
            <v>ASEP SAEPUL MUGNI</v>
          </cell>
          <cell r="C18" t="str">
            <v>PKWT</v>
          </cell>
          <cell r="D18">
            <v>32924</v>
          </cell>
          <cell r="E18" t="str">
            <v>S1</v>
          </cell>
          <cell r="F18" t="str">
            <v>1 Tahun 9 Bulan</v>
          </cell>
          <cell r="G18">
            <v>44594</v>
          </cell>
          <cell r="H18" t="str">
            <v>K3</v>
          </cell>
          <cell r="I18" t="str">
            <v>Pembinaan Dan Sertifikasi Calon Ahli K3 Umum</v>
          </cell>
        </row>
        <row r="19">
          <cell r="B19" t="str">
            <v>ALDIF REZA PRIATAMA</v>
          </cell>
          <cell r="C19" t="str">
            <v>PKWT</v>
          </cell>
          <cell r="D19">
            <v>36937</v>
          </cell>
          <cell r="E19" t="str">
            <v>D3</v>
          </cell>
          <cell r="F19" t="str">
            <v>0 Tahun 10 Bulan</v>
          </cell>
          <cell r="G19">
            <v>44931</v>
          </cell>
          <cell r="H19" t="str">
            <v>K3</v>
          </cell>
          <cell r="I19" t="str">
            <v>Pembinaan Dan Sertifikasi Calon Ahli K3 Umum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mografi"/>
      <sheetName val="Database"/>
      <sheetName val="logut"/>
      <sheetName val="Data Mutasi"/>
      <sheetName val="CV"/>
      <sheetName val="DataFoto"/>
      <sheetName val="Sheet1"/>
    </sheetNames>
    <sheetDataSet>
      <sheetData sheetId="0" refreshError="1"/>
      <sheetData sheetId="1"/>
      <sheetData sheetId="2" refreshError="1">
        <row r="3">
          <cell r="D3">
            <v>45579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ertifikasi"/>
      <sheetName val="Pivot"/>
      <sheetName val="Sheet2"/>
      <sheetName val="audit k3"/>
    </sheetNames>
    <sheetDataSet>
      <sheetData sheetId="0"/>
      <sheetData sheetId="1">
        <row r="2">
          <cell r="B2" t="str">
            <v>AGUNG DWI CAHYONO</v>
          </cell>
          <cell r="C2" t="str">
            <v>Resign</v>
          </cell>
          <cell r="D2" t="str">
            <v>Pembicara Pelatihan Internal Perawatan Loko CC DH 300</v>
          </cell>
          <cell r="E2">
            <v>0</v>
          </cell>
          <cell r="F2">
            <v>43052</v>
          </cell>
        </row>
        <row r="3">
          <cell r="B3" t="str">
            <v>AGUS RIYANTO</v>
          </cell>
          <cell r="C3" t="str">
            <v>Resign</v>
          </cell>
          <cell r="D3" t="str">
            <v>Inhouse Training Perawatan KRL Soetta</v>
          </cell>
          <cell r="E3">
            <v>0</v>
          </cell>
          <cell r="F3">
            <v>43134</v>
          </cell>
        </row>
        <row r="4">
          <cell r="B4" t="str">
            <v>DONI DWI SAPUTRO</v>
          </cell>
          <cell r="C4" t="str">
            <v>Resign</v>
          </cell>
          <cell r="D4" t="str">
            <v>Inhouse Training Perawatan Kereta Bandara Solo</v>
          </cell>
          <cell r="E4">
            <v>0</v>
          </cell>
          <cell r="F4">
            <v>44292</v>
          </cell>
        </row>
        <row r="5">
          <cell r="B5" t="str">
            <v>DONI DWI SAPUTRO</v>
          </cell>
          <cell r="C5" t="str">
            <v>Resign</v>
          </cell>
          <cell r="D5" t="str">
            <v>Inhouse Training Perawatan Kereta Jenggala</v>
          </cell>
          <cell r="E5">
            <v>0</v>
          </cell>
          <cell r="F5">
            <v>42481</v>
          </cell>
        </row>
        <row r="6">
          <cell r="B6" t="str">
            <v>DONI DWI SAPUTRO</v>
          </cell>
          <cell r="C6" t="str">
            <v>Resign</v>
          </cell>
          <cell r="D6" t="str">
            <v>Inhouse Training Perawatan Kereta Railbus Solo</v>
          </cell>
          <cell r="E6">
            <v>0</v>
          </cell>
          <cell r="F6">
            <v>42392</v>
          </cell>
        </row>
        <row r="7">
          <cell r="B7" t="str">
            <v>FERRY HANDITA MEITANTO</v>
          </cell>
          <cell r="C7" t="str">
            <v>Resign</v>
          </cell>
          <cell r="D7" t="str">
            <v>Inhouse Training Kereta LRT Palembang</v>
          </cell>
          <cell r="E7">
            <v>0</v>
          </cell>
          <cell r="F7">
            <v>43197</v>
          </cell>
        </row>
        <row r="8">
          <cell r="B8" t="str">
            <v>FERRY HANDITA MEITANTO</v>
          </cell>
          <cell r="C8" t="str">
            <v>Resign</v>
          </cell>
          <cell r="D8" t="str">
            <v>Inhouse Training Perawatan Kereta Inspeksi</v>
          </cell>
          <cell r="E8">
            <v>0</v>
          </cell>
          <cell r="F8">
            <v>43275</v>
          </cell>
        </row>
        <row r="9">
          <cell r="B9" t="str">
            <v>FERRY HANDITA MEITANTO</v>
          </cell>
          <cell r="C9" t="str">
            <v>Resign</v>
          </cell>
          <cell r="D9" t="str">
            <v>Inhouse Training Perawatan Kereta Kedinasan</v>
          </cell>
          <cell r="E9">
            <v>0</v>
          </cell>
          <cell r="F9">
            <v>43241</v>
          </cell>
        </row>
        <row r="10">
          <cell r="B10" t="str">
            <v>FERRY HANDITA MEITANTO</v>
          </cell>
          <cell r="C10" t="str">
            <v>Resign</v>
          </cell>
          <cell r="D10" t="str">
            <v>Inhouse Training Perawatan KRL Soetta</v>
          </cell>
          <cell r="E10">
            <v>0</v>
          </cell>
          <cell r="F10">
            <v>43134</v>
          </cell>
        </row>
        <row r="11">
          <cell r="B11" t="str">
            <v>FERRY HANDITA MEITANTO</v>
          </cell>
          <cell r="C11" t="str">
            <v>Resign</v>
          </cell>
          <cell r="D11" t="str">
            <v>Inhouse Training Perawatan Railbus Palembang</v>
          </cell>
          <cell r="E11">
            <v>0</v>
          </cell>
          <cell r="F11">
            <v>43250</v>
          </cell>
        </row>
        <row r="12">
          <cell r="B12" t="str">
            <v>GANGSAR PURWANTO</v>
          </cell>
          <cell r="C12" t="str">
            <v>Resign</v>
          </cell>
          <cell r="D12" t="str">
            <v>Inhouse Training Perawatan KRL Soetta</v>
          </cell>
          <cell r="E12">
            <v>0</v>
          </cell>
          <cell r="F12">
            <v>42779</v>
          </cell>
        </row>
        <row r="13">
          <cell r="B13" t="str">
            <v>GANGSAR PURWANTO</v>
          </cell>
          <cell r="C13" t="str">
            <v>Resign</v>
          </cell>
          <cell r="D13" t="str">
            <v>Inhouse Training Perawatan ZZOW</v>
          </cell>
          <cell r="E13">
            <v>0</v>
          </cell>
          <cell r="F13">
            <v>42135</v>
          </cell>
        </row>
        <row r="14">
          <cell r="B14" t="str">
            <v>GANGSAR PURWANTO</v>
          </cell>
          <cell r="C14" t="str">
            <v>Resign</v>
          </cell>
          <cell r="D14" t="str">
            <v>Pelatihan Internal Perawatan Kereta Krdi Jenggala</v>
          </cell>
          <cell r="E14">
            <v>0</v>
          </cell>
          <cell r="F14">
            <v>42930</v>
          </cell>
        </row>
        <row r="15">
          <cell r="B15" t="str">
            <v>GARIT RITO NADI</v>
          </cell>
          <cell r="C15" t="str">
            <v>Resign</v>
          </cell>
          <cell r="D15" t="str">
            <v>Inhouse Training Perawatan KRL Soetta</v>
          </cell>
          <cell r="E15">
            <v>0</v>
          </cell>
          <cell r="F15">
            <v>43134</v>
          </cell>
        </row>
        <row r="16">
          <cell r="B16" t="str">
            <v>GARIT RITO NADI</v>
          </cell>
          <cell r="C16" t="str">
            <v>Resign</v>
          </cell>
          <cell r="D16" t="str">
            <v>Inhouse Training Perawatan ZZOW</v>
          </cell>
          <cell r="E16">
            <v>0</v>
          </cell>
          <cell r="F16">
            <v>42827</v>
          </cell>
        </row>
        <row r="17">
          <cell r="B17" t="str">
            <v>GATOT BUDI SANTOSO</v>
          </cell>
          <cell r="C17" t="str">
            <v>Resign</v>
          </cell>
          <cell r="D17" t="str">
            <v>Inhouse Training Perawatan KRL Soetta</v>
          </cell>
          <cell r="E17">
            <v>0</v>
          </cell>
          <cell r="F17">
            <v>43137</v>
          </cell>
        </row>
        <row r="18">
          <cell r="B18" t="str">
            <v>GATOT BUDI SANTOSO</v>
          </cell>
          <cell r="C18" t="str">
            <v>Resign</v>
          </cell>
          <cell r="D18" t="str">
            <v>Inhouse Training Perawatan Loko CC DH 300</v>
          </cell>
          <cell r="E18">
            <v>0</v>
          </cell>
          <cell r="F18">
            <v>41956</v>
          </cell>
        </row>
        <row r="19">
          <cell r="B19" t="str">
            <v>GATOT BUDI SANTOSO</v>
          </cell>
          <cell r="C19" t="str">
            <v>Resign</v>
          </cell>
          <cell r="D19" t="str">
            <v>Pelatihan Internal Perawatan Kereta Kedinasan</v>
          </cell>
          <cell r="E19">
            <v>0</v>
          </cell>
          <cell r="F19">
            <v>42803</v>
          </cell>
        </row>
        <row r="20">
          <cell r="B20" t="str">
            <v>GATOT BUDI SANTOSO</v>
          </cell>
          <cell r="C20" t="str">
            <v>Resign</v>
          </cell>
          <cell r="D20" t="str">
            <v>Pelatihan Internal Perawatan Kereta Krdi Jenggala</v>
          </cell>
          <cell r="E20">
            <v>0</v>
          </cell>
          <cell r="F20">
            <v>42931</v>
          </cell>
        </row>
        <row r="21">
          <cell r="B21" t="str">
            <v>M. RIZANI</v>
          </cell>
          <cell r="C21" t="str">
            <v>Resign</v>
          </cell>
          <cell r="D21" t="str">
            <v>Pelatihan Perawatan KRL KfW</v>
          </cell>
          <cell r="E21">
            <v>0</v>
          </cell>
          <cell r="F21">
            <v>44802</v>
          </cell>
        </row>
        <row r="22">
          <cell r="B22" t="str">
            <v>RICKY WIJAYA</v>
          </cell>
          <cell r="C22" t="str">
            <v>Resign</v>
          </cell>
          <cell r="D22" t="str">
            <v>Pelatihan Praktik Pengoperasian K3 Premium 2017</v>
          </cell>
          <cell r="E22">
            <v>0</v>
          </cell>
          <cell r="F22">
            <v>43165</v>
          </cell>
        </row>
        <row r="23">
          <cell r="B23" t="str">
            <v>RICKY WIJAYA</v>
          </cell>
          <cell r="C23" t="str">
            <v>Resign</v>
          </cell>
          <cell r="D23" t="str">
            <v>Training Tata Cara Pengoperasian KRL Bandara Soekarno Hatta</v>
          </cell>
          <cell r="E23">
            <v>0</v>
          </cell>
          <cell r="F23">
            <v>43502</v>
          </cell>
        </row>
        <row r="24">
          <cell r="B24" t="str">
            <v>RIZAL AGUS PRATAMA</v>
          </cell>
          <cell r="C24" t="str">
            <v>Resign</v>
          </cell>
          <cell r="D24" t="str">
            <v>Pelatihan Praktik Pengoperasian K3 Premium 2017</v>
          </cell>
          <cell r="E24">
            <v>0</v>
          </cell>
          <cell r="F24">
            <v>43165</v>
          </cell>
        </row>
        <row r="25">
          <cell r="B25" t="str">
            <v>RIZAL AGUS PRATAMA</v>
          </cell>
          <cell r="C25" t="str">
            <v>Resign</v>
          </cell>
          <cell r="D25" t="str">
            <v>Training Tata Cara Pengoperasian KRL Bandara Soekarno Hatta</v>
          </cell>
          <cell r="E25">
            <v>0</v>
          </cell>
          <cell r="F25">
            <v>43502</v>
          </cell>
        </row>
        <row r="26">
          <cell r="B26" t="str">
            <v>RUDI HARIYANTO</v>
          </cell>
          <cell r="C26" t="str">
            <v>Resign</v>
          </cell>
          <cell r="D26" t="str">
            <v>Pelatihan Praktik Pengoperasian K3 Premium 2017</v>
          </cell>
          <cell r="E26">
            <v>0</v>
          </cell>
          <cell r="F26">
            <v>43165</v>
          </cell>
        </row>
        <row r="27">
          <cell r="B27" t="str">
            <v>RUDI HARIYANTO</v>
          </cell>
          <cell r="C27" t="str">
            <v>Resign</v>
          </cell>
          <cell r="D27" t="str">
            <v>Training Tata Cara Pengoperasian KRL Bandara Soekarno Hatta</v>
          </cell>
          <cell r="E27">
            <v>0</v>
          </cell>
          <cell r="F27">
            <v>43502</v>
          </cell>
        </row>
        <row r="28">
          <cell r="B28" t="str">
            <v>SANDY RIANTIAWAN HANGGARETA</v>
          </cell>
          <cell r="C28" t="str">
            <v>Resign</v>
          </cell>
          <cell r="D28" t="str">
            <v>Inhouse Training Perawatan Kereta Inspeksi</v>
          </cell>
          <cell r="E28">
            <v>0</v>
          </cell>
          <cell r="F28">
            <v>43275</v>
          </cell>
        </row>
        <row r="29">
          <cell r="B29" t="str">
            <v>SANDY RIANTIAWAN HANGGARETA</v>
          </cell>
          <cell r="C29" t="str">
            <v>Resign</v>
          </cell>
          <cell r="D29" t="str">
            <v>Inhouse Training Perawatan KRL Soetta</v>
          </cell>
          <cell r="E29">
            <v>0</v>
          </cell>
          <cell r="F29">
            <v>43134</v>
          </cell>
        </row>
        <row r="30">
          <cell r="B30" t="str">
            <v>SUPRIONO</v>
          </cell>
          <cell r="C30" t="str">
            <v>Resign</v>
          </cell>
          <cell r="D30" t="str">
            <v>Inhouse Training Perawatan Kereta Kedinasan</v>
          </cell>
          <cell r="E30">
            <v>0</v>
          </cell>
          <cell r="F30">
            <v>42565</v>
          </cell>
        </row>
        <row r="31">
          <cell r="B31" t="str">
            <v>SUPRIONO</v>
          </cell>
          <cell r="C31" t="str">
            <v>Resign</v>
          </cell>
          <cell r="D31" t="str">
            <v>Inhouse Training Perawatan KRL Soetta</v>
          </cell>
          <cell r="E31">
            <v>0</v>
          </cell>
          <cell r="F31">
            <v>43134</v>
          </cell>
        </row>
        <row r="32">
          <cell r="B32" t="str">
            <v>SUPRIONO</v>
          </cell>
          <cell r="C32" t="str">
            <v>Resign</v>
          </cell>
          <cell r="D32" t="str">
            <v>Inhouse Training Perawatan ZZOW</v>
          </cell>
          <cell r="E32">
            <v>0</v>
          </cell>
          <cell r="F32">
            <v>42097</v>
          </cell>
        </row>
        <row r="33">
          <cell r="B33" t="str">
            <v>TONI HINDARTO</v>
          </cell>
          <cell r="C33" t="str">
            <v>Resign</v>
          </cell>
          <cell r="D33" t="str">
            <v>Inhouse Training Perawatan Kereta Inspeksi</v>
          </cell>
          <cell r="E33">
            <v>0</v>
          </cell>
          <cell r="F33">
            <v>42086</v>
          </cell>
        </row>
        <row r="34">
          <cell r="B34" t="str">
            <v>TONI HINDARTO</v>
          </cell>
          <cell r="C34" t="str">
            <v>Resign</v>
          </cell>
          <cell r="D34" t="str">
            <v>Inhouse Training Perawatan KRL Soetta</v>
          </cell>
          <cell r="E34">
            <v>0</v>
          </cell>
          <cell r="F34">
            <v>43134</v>
          </cell>
        </row>
        <row r="35">
          <cell r="B35" t="str">
            <v>TONI HINDARTO</v>
          </cell>
          <cell r="C35" t="str">
            <v>Resign</v>
          </cell>
          <cell r="D35" t="str">
            <v>Inhouse Training Perawatan ZZOW</v>
          </cell>
          <cell r="E35">
            <v>0</v>
          </cell>
          <cell r="F35">
            <v>42097</v>
          </cell>
        </row>
        <row r="36">
          <cell r="B36" t="str">
            <v>ADE IBOY TRESNIADI</v>
          </cell>
          <cell r="C36" t="str">
            <v>Resign</v>
          </cell>
          <cell r="D36" t="str">
            <v xml:space="preserve">Pelatihan Pengoperasian Dan Perawatan LRT Jabodebek </v>
          </cell>
          <cell r="E36">
            <v>0</v>
          </cell>
          <cell r="F36">
            <v>43710</v>
          </cell>
        </row>
        <row r="37">
          <cell r="B37" t="str">
            <v>DWI ARI WIBOWO</v>
          </cell>
          <cell r="C37" t="str">
            <v>Resign</v>
          </cell>
          <cell r="D37" t="str">
            <v>Training Operasional Dan Perawatan Kereta K3 &amp; K1 Proyek 438</v>
          </cell>
          <cell r="E37">
            <v>0</v>
          </cell>
          <cell r="F37">
            <v>43116</v>
          </cell>
        </row>
        <row r="38">
          <cell r="B38" t="str">
            <v>FAIZAL RIZQI NUR EKWANUDIN</v>
          </cell>
          <cell r="C38" t="str">
            <v>Resign</v>
          </cell>
          <cell r="D38" t="str">
            <v>Training Pengoperasian Dan Perawatan Light Rail (LRT) Palembang</v>
          </cell>
          <cell r="E38">
            <v>0</v>
          </cell>
          <cell r="F38">
            <v>43290</v>
          </cell>
        </row>
        <row r="39">
          <cell r="B39" t="str">
            <v>FERRY HANDITA MEITANTO</v>
          </cell>
          <cell r="C39" t="str">
            <v>Resign</v>
          </cell>
          <cell r="D39" t="str">
            <v>Training Pengoperasian Dan Perawatan Light Rail (LRT) Palembang</v>
          </cell>
          <cell r="E39">
            <v>0</v>
          </cell>
          <cell r="F39">
            <v>43290</v>
          </cell>
        </row>
        <row r="40">
          <cell r="B40" t="str">
            <v>HADID KALIMARSO</v>
          </cell>
          <cell r="C40" t="str">
            <v>Resign</v>
          </cell>
          <cell r="D40" t="str">
            <v>Trainer Sistem Penggerak Kereta Diesel</v>
          </cell>
          <cell r="E40">
            <v>0</v>
          </cell>
          <cell r="F40">
            <v>43108</v>
          </cell>
        </row>
        <row r="41">
          <cell r="B41" t="str">
            <v>TUROJI</v>
          </cell>
          <cell r="C41" t="str">
            <v>Resign</v>
          </cell>
          <cell r="D41" t="str">
            <v xml:space="preserve">Pelatihan Pengoperasian Dan Perawatan LRT Jabodebek </v>
          </cell>
          <cell r="E41">
            <v>0</v>
          </cell>
          <cell r="F41">
            <v>43710</v>
          </cell>
        </row>
        <row r="42">
          <cell r="B42" t="str">
            <v>LAILA KURNIASARI</v>
          </cell>
          <cell r="C42" t="str">
            <v>Resign</v>
          </cell>
          <cell r="D42" t="str">
            <v>Pendidikan Akuntan Profesional Berkelanjutan</v>
          </cell>
          <cell r="E42">
            <v>0</v>
          </cell>
          <cell r="F42">
            <v>43783</v>
          </cell>
        </row>
        <row r="43">
          <cell r="B43" t="str">
            <v>ADISCA DEWI NURIZZKY</v>
          </cell>
          <cell r="C43" t="str">
            <v>Resign</v>
          </cell>
          <cell r="D43" t="str">
            <v>Pembinaan Dan Sertifikasi Calon Ahli K3 Umum</v>
          </cell>
          <cell r="E43">
            <v>0</v>
          </cell>
          <cell r="F43">
            <v>0</v>
          </cell>
        </row>
        <row r="44">
          <cell r="B44" t="str">
            <v>BAMBANG RUDIANTORO</v>
          </cell>
          <cell r="C44" t="str">
            <v>Resign</v>
          </cell>
          <cell r="D44" t="str">
            <v>Sertifikasi Operator Crane</v>
          </cell>
          <cell r="E44">
            <v>0</v>
          </cell>
          <cell r="F44">
            <v>45068</v>
          </cell>
        </row>
        <row r="45">
          <cell r="B45" t="str">
            <v>BAYU YULIANTO</v>
          </cell>
          <cell r="C45" t="str">
            <v>Resign</v>
          </cell>
          <cell r="D45" t="str">
            <v>Pembinaan Dan Sertifikasi Calon Ahli K3 Umum</v>
          </cell>
          <cell r="E45">
            <v>0</v>
          </cell>
          <cell r="F45">
            <v>0</v>
          </cell>
        </row>
        <row r="46">
          <cell r="B46" t="str">
            <v>DANANG SAMUDRO</v>
          </cell>
          <cell r="C46" t="str">
            <v>Resign</v>
          </cell>
          <cell r="D46" t="str">
            <v>Sertifikasi Operator Forklift</v>
          </cell>
          <cell r="E46">
            <v>0</v>
          </cell>
          <cell r="F46">
            <v>45068</v>
          </cell>
        </row>
        <row r="47">
          <cell r="B47" t="str">
            <v>DIHAN KHOMIRUL AKHYAR</v>
          </cell>
          <cell r="C47" t="str">
            <v>Resign</v>
          </cell>
          <cell r="D47" t="str">
            <v>Pembinaan Dan Sertifikasi Calon Ahli K3 Umum</v>
          </cell>
          <cell r="E47">
            <v>0</v>
          </cell>
          <cell r="F47">
            <v>0</v>
          </cell>
        </row>
        <row r="48">
          <cell r="B48" t="str">
            <v>HADID KALIMARSO</v>
          </cell>
          <cell r="C48" t="str">
            <v>Resign</v>
          </cell>
          <cell r="D48" t="str">
            <v>Pembinaan Dan Sertifikasi Calon Ahli K3 Umum</v>
          </cell>
          <cell r="E48">
            <v>0</v>
          </cell>
          <cell r="F48">
            <v>44298</v>
          </cell>
        </row>
        <row r="49">
          <cell r="B49" t="str">
            <v>REIHAN KUSUMA ALAM IRFANSAH</v>
          </cell>
          <cell r="C49" t="str">
            <v>Resign</v>
          </cell>
          <cell r="D49" t="str">
            <v>Pembinaan Dan Sertifikasi Calon Ahli K3 Umum</v>
          </cell>
          <cell r="E49">
            <v>0</v>
          </cell>
          <cell r="F49">
            <v>0</v>
          </cell>
        </row>
        <row r="50">
          <cell r="B50" t="str">
            <v>SUTARBI</v>
          </cell>
          <cell r="C50" t="str">
            <v>Resign</v>
          </cell>
          <cell r="D50" t="str">
            <v>Sertifikasi Operator Crane</v>
          </cell>
          <cell r="E50">
            <v>0</v>
          </cell>
          <cell r="F50">
            <v>45068</v>
          </cell>
        </row>
        <row r="51">
          <cell r="B51" t="str">
            <v>BOBON SURYANA</v>
          </cell>
          <cell r="C51" t="str">
            <v>Resign</v>
          </cell>
          <cell r="D51" t="str">
            <v>Sertifikasi Awak Sarana Perkeretaapian Manual- Madya</v>
          </cell>
          <cell r="E51">
            <v>0</v>
          </cell>
          <cell r="F51">
            <v>0</v>
          </cell>
        </row>
        <row r="52">
          <cell r="B52" t="str">
            <v>DONI DWI SAPUTRO</v>
          </cell>
          <cell r="C52" t="str">
            <v>Resign</v>
          </cell>
          <cell r="D52" t="str">
            <v>Sertifikasi Perawat Sarana Kereta Berpenggerak dan Tanpa Penggerak</v>
          </cell>
          <cell r="E52">
            <v>0</v>
          </cell>
          <cell r="F52">
            <v>43135</v>
          </cell>
        </row>
        <row r="53">
          <cell r="B53" t="str">
            <v>FAIZIN</v>
          </cell>
          <cell r="C53" t="str">
            <v>Resign</v>
          </cell>
          <cell r="D53" t="str">
            <v>Sertifikasi Awak Sarana Perkeretaapian Manual- Madya</v>
          </cell>
          <cell r="E53">
            <v>0</v>
          </cell>
          <cell r="F53">
            <v>0</v>
          </cell>
        </row>
        <row r="54">
          <cell r="B54" t="str">
            <v>FERRY HANDITA MEITANTO</v>
          </cell>
          <cell r="C54" t="str">
            <v>Resign</v>
          </cell>
          <cell r="D54" t="str">
            <v>Sertifikasi Perawat Sarana Kereta Berpenggerak dan Tanpa Penggerak</v>
          </cell>
          <cell r="E54">
            <v>0</v>
          </cell>
          <cell r="F54">
            <v>42877</v>
          </cell>
        </row>
        <row r="55">
          <cell r="B55" t="str">
            <v>KUSMIYANTO</v>
          </cell>
          <cell r="C55" t="str">
            <v>Resign</v>
          </cell>
          <cell r="D55" t="str">
            <v>Sertifikasi Perawat Sarana Kereta Berpenggerak dan Tanpa Penggerak</v>
          </cell>
          <cell r="E55">
            <v>0</v>
          </cell>
          <cell r="F55">
            <v>43135</v>
          </cell>
        </row>
        <row r="56">
          <cell r="B56" t="str">
            <v>SUKIRNO</v>
          </cell>
          <cell r="C56" t="str">
            <v>Resign</v>
          </cell>
          <cell r="D56" t="str">
            <v>Sertifikasi Awak Sarana Perkeretaapian Manual- Madya</v>
          </cell>
          <cell r="E56">
            <v>0</v>
          </cell>
          <cell r="F56">
            <v>0</v>
          </cell>
        </row>
        <row r="57">
          <cell r="B57" t="str">
            <v>SUPRIONO</v>
          </cell>
          <cell r="C57" t="str">
            <v>Resign</v>
          </cell>
          <cell r="D57" t="str">
            <v>Sertifikasi Perawat Sarana Kereta Berpenggerak dan Tanpa Penggerak</v>
          </cell>
          <cell r="E57">
            <v>0</v>
          </cell>
          <cell r="F57">
            <v>43135</v>
          </cell>
        </row>
        <row r="58">
          <cell r="B58" t="str">
            <v>SUTISNO</v>
          </cell>
          <cell r="C58" t="str">
            <v>Resign</v>
          </cell>
          <cell r="D58" t="str">
            <v>Sertifikasi Awak Sarana Perkeretaapian Manual- Madya</v>
          </cell>
          <cell r="E58">
            <v>0</v>
          </cell>
          <cell r="F58">
            <v>0</v>
          </cell>
        </row>
        <row r="59">
          <cell r="B59" t="str">
            <v>TONI HINDARTO</v>
          </cell>
          <cell r="C59" t="str">
            <v>Resign</v>
          </cell>
          <cell r="D59" t="str">
            <v>Sertifikasi Perawat Sarana Kereta Berpenggerak dan Tanpa Penggerak</v>
          </cell>
          <cell r="E59">
            <v>0</v>
          </cell>
          <cell r="F59">
            <v>43135</v>
          </cell>
        </row>
        <row r="60">
          <cell r="B60" t="str">
            <v>BUDI SANTOSO</v>
          </cell>
          <cell r="C60" t="str">
            <v>Resign</v>
          </cell>
          <cell r="D60" t="str">
            <v>Sertifikasi Ahli Elektrikal</v>
          </cell>
          <cell r="E60">
            <v>0</v>
          </cell>
          <cell r="F60">
            <v>42536</v>
          </cell>
        </row>
        <row r="61">
          <cell r="B61" t="str">
            <v>GAGUK DWI SASONGKO</v>
          </cell>
          <cell r="C61" t="str">
            <v>Resign</v>
          </cell>
          <cell r="D61" t="str">
            <v>Sertifikasi Ahli Mekanikal</v>
          </cell>
          <cell r="E61">
            <v>0</v>
          </cell>
          <cell r="F61">
            <v>43294</v>
          </cell>
        </row>
        <row r="62">
          <cell r="B62" t="str">
            <v>SUGENG SUPRAPTIKTO</v>
          </cell>
          <cell r="C62" t="str">
            <v>Resign</v>
          </cell>
          <cell r="D62" t="str">
            <v>Sertifikasi Ahli Mekanikal</v>
          </cell>
          <cell r="E62">
            <v>0</v>
          </cell>
          <cell r="F62">
            <v>41983</v>
          </cell>
        </row>
        <row r="63">
          <cell r="B63" t="str">
            <v>TRISNO SADARI</v>
          </cell>
          <cell r="C63" t="str">
            <v>Resign</v>
          </cell>
          <cell r="D63" t="str">
            <v>Sertifikasi Ahli Elektrikal</v>
          </cell>
          <cell r="E63">
            <v>0</v>
          </cell>
          <cell r="F63">
            <v>43294</v>
          </cell>
        </row>
        <row r="64">
          <cell r="B64" t="str">
            <v>YANTO</v>
          </cell>
          <cell r="C64" t="str">
            <v>Resign</v>
          </cell>
          <cell r="D64" t="str">
            <v>Sertifikasi Ahli Elektrikal</v>
          </cell>
          <cell r="E64">
            <v>0</v>
          </cell>
          <cell r="F64">
            <v>43836</v>
          </cell>
        </row>
        <row r="65">
          <cell r="B65" t="str">
            <v>YUDHO PRAKOSO</v>
          </cell>
          <cell r="C65" t="str">
            <v>Resign</v>
          </cell>
          <cell r="D65" t="str">
            <v>Sertifikasi Ahli Teknik Jalan Rel</v>
          </cell>
          <cell r="E65">
            <v>0</v>
          </cell>
          <cell r="F65">
            <v>41992</v>
          </cell>
        </row>
        <row r="66">
          <cell r="B66" t="str">
            <v>ACHMAD FITROH SAYEKTI</v>
          </cell>
          <cell r="C66" t="str">
            <v>Resign</v>
          </cell>
          <cell r="D66" t="str">
            <v>Sertifikat Peranserta Bimbingan Teknis Sertifikasi Insinyur Profesional</v>
          </cell>
          <cell r="E66">
            <v>0</v>
          </cell>
          <cell r="F66">
            <v>44109</v>
          </cell>
        </row>
        <row r="67">
          <cell r="B67" t="str">
            <v>ACHMAD FITROH SAYEKTI</v>
          </cell>
          <cell r="C67" t="str">
            <v>Resign</v>
          </cell>
          <cell r="D67" t="str">
            <v>Surat Tanda Registrasi Insinyur Pratama</v>
          </cell>
          <cell r="E67">
            <v>0</v>
          </cell>
          <cell r="F67">
            <v>44188</v>
          </cell>
        </row>
        <row r="68">
          <cell r="B68" t="str">
            <v>BAMBANG SUTRISNO</v>
          </cell>
          <cell r="C68" t="str">
            <v>Resign</v>
          </cell>
          <cell r="D68" t="str">
            <v>Surat Tanda Registrasi Insinyur Madya</v>
          </cell>
          <cell r="E68">
            <v>0</v>
          </cell>
          <cell r="F68">
            <v>44182</v>
          </cell>
        </row>
        <row r="69">
          <cell r="B69" t="str">
            <v>CHOLIK MOCHAMAD ZAMZAM</v>
          </cell>
          <cell r="C69" t="str">
            <v>Resign</v>
          </cell>
          <cell r="D69" t="str">
            <v>Sertifikat Peranserta Bimbingan Teknis Sertifikasi Insinyur Profesional</v>
          </cell>
          <cell r="E69">
            <v>0</v>
          </cell>
          <cell r="F69">
            <v>44109</v>
          </cell>
        </row>
        <row r="70">
          <cell r="B70" t="str">
            <v>RIANT ADZANDY</v>
          </cell>
          <cell r="C70" t="str">
            <v>Resign</v>
          </cell>
          <cell r="D70" t="str">
            <v>Sertifikat Peranserta Bimbingan Teknis Sertifikasi Insinyur Profesional</v>
          </cell>
          <cell r="E70">
            <v>0</v>
          </cell>
          <cell r="F70">
            <v>44109</v>
          </cell>
        </row>
        <row r="71">
          <cell r="B71" t="str">
            <v>RIANT ADZANDY</v>
          </cell>
          <cell r="C71" t="str">
            <v>Resign</v>
          </cell>
          <cell r="D71" t="str">
            <v>Surat Tanda Registrasi Insinyur Pratama</v>
          </cell>
          <cell r="E71">
            <v>0</v>
          </cell>
          <cell r="F71">
            <v>44188</v>
          </cell>
        </row>
        <row r="72">
          <cell r="B72" t="str">
            <v>ADANG YONATA</v>
          </cell>
          <cell r="C72" t="str">
            <v>IMSS</v>
          </cell>
          <cell r="D72" t="str">
            <v>Workshop Basic Efi &amp; Fwa</v>
          </cell>
          <cell r="E72">
            <v>0</v>
          </cell>
          <cell r="F72">
            <v>40149</v>
          </cell>
        </row>
        <row r="73">
          <cell r="B73" t="str">
            <v>ALDIF REZA PRIATAMA</v>
          </cell>
          <cell r="C73" t="str">
            <v>PKWT</v>
          </cell>
          <cell r="D73" t="str">
            <v>Pembinaan Dan Sertifikasi Calon Ahli K3 Umum</v>
          </cell>
          <cell r="E73">
            <v>0</v>
          </cell>
          <cell r="F73">
            <v>0</v>
          </cell>
        </row>
        <row r="74">
          <cell r="B74" t="str">
            <v>ALFIRINA ARDYASTUTIK</v>
          </cell>
          <cell r="C74" t="str">
            <v>IMSS</v>
          </cell>
          <cell r="D74" t="str">
            <v>Pendidikan Khusus Profesi Advokat</v>
          </cell>
          <cell r="E74">
            <v>0</v>
          </cell>
          <cell r="F74">
            <v>44175</v>
          </cell>
        </row>
        <row r="75">
          <cell r="B75" t="str">
            <v>ANGGER BAYU AJI</v>
          </cell>
          <cell r="C75" t="str">
            <v>PKWT</v>
          </cell>
          <cell r="D75" t="str">
            <v>Sertifikasi Awak Sarana Perkeretaapian Otomatis</v>
          </cell>
          <cell r="E75">
            <v>0</v>
          </cell>
          <cell r="F75">
            <v>0</v>
          </cell>
        </row>
        <row r="76">
          <cell r="B76" t="str">
            <v>NUR CAHYONO</v>
          </cell>
          <cell r="C76" t="str">
            <v>IMSS</v>
          </cell>
          <cell r="D76" t="str">
            <v>Inhouse Training Perawatan Krde Banyu Biru</v>
          </cell>
          <cell r="E76">
            <v>0</v>
          </cell>
          <cell r="F76">
            <v>40735</v>
          </cell>
        </row>
        <row r="77">
          <cell r="B77" t="str">
            <v>ADANG YONATA</v>
          </cell>
          <cell r="C77" t="str">
            <v>IMSS</v>
          </cell>
          <cell r="D77" t="str">
            <v>Inhouse Training Perawatan Kereta TMC</v>
          </cell>
          <cell r="E77">
            <v>0</v>
          </cell>
          <cell r="F77">
            <v>42011</v>
          </cell>
        </row>
        <row r="78">
          <cell r="B78" t="str">
            <v>UNGGUL WIDIYANTO</v>
          </cell>
          <cell r="C78" t="str">
            <v>IMSS</v>
          </cell>
          <cell r="D78" t="str">
            <v>Inhouse Training Perawatan Kereta TMC</v>
          </cell>
          <cell r="E78">
            <v>0</v>
          </cell>
          <cell r="F78">
            <v>42011</v>
          </cell>
        </row>
        <row r="79">
          <cell r="B79" t="str">
            <v>AGIL ARDIANSAH</v>
          </cell>
          <cell r="C79" t="str">
            <v>PKWT</v>
          </cell>
          <cell r="D79" t="str">
            <v>Inhouse Training Perawatan Kereta TMC</v>
          </cell>
          <cell r="E79">
            <v>0</v>
          </cell>
          <cell r="F79">
            <v>42011</v>
          </cell>
        </row>
        <row r="80">
          <cell r="B80" t="str">
            <v>ARIFIN PURNAWIRAWAN</v>
          </cell>
          <cell r="C80" t="str">
            <v>PKWT</v>
          </cell>
          <cell r="D80" t="str">
            <v>Inhouse Training Perawatan ZZOW</v>
          </cell>
          <cell r="E80">
            <v>0</v>
          </cell>
          <cell r="F80">
            <v>42053</v>
          </cell>
        </row>
        <row r="81">
          <cell r="B81" t="str">
            <v>ARIFIN PURNAWIRAWAN</v>
          </cell>
          <cell r="C81" t="str">
            <v>PKWT</v>
          </cell>
          <cell r="D81" t="str">
            <v>Inhouse Training Perawatan Kereta Jenggala</v>
          </cell>
          <cell r="E81">
            <v>0</v>
          </cell>
          <cell r="F81">
            <v>42053</v>
          </cell>
        </row>
        <row r="82">
          <cell r="B82" t="str">
            <v>DWI ARI WIBOWO</v>
          </cell>
          <cell r="C82" t="str">
            <v>PKWT</v>
          </cell>
          <cell r="D82" t="str">
            <v>Inhouse Training Perawatan Kereta Inspeksi</v>
          </cell>
          <cell r="E82">
            <v>0</v>
          </cell>
          <cell r="F82">
            <v>42074</v>
          </cell>
        </row>
        <row r="83">
          <cell r="B83" t="str">
            <v>EKO PRASTYO</v>
          </cell>
          <cell r="C83" t="str">
            <v>IMSS</v>
          </cell>
          <cell r="D83" t="str">
            <v>Inhouse Training Perawatan Kereta Inspeksi</v>
          </cell>
          <cell r="E83">
            <v>0</v>
          </cell>
          <cell r="F83">
            <v>42086</v>
          </cell>
        </row>
        <row r="84">
          <cell r="B84" t="str">
            <v>UNGGUL WIDIYANTO</v>
          </cell>
          <cell r="C84" t="str">
            <v>IMSS</v>
          </cell>
          <cell r="D84" t="str">
            <v>Inhouse Training Perawatan Kereta Inspeksi</v>
          </cell>
          <cell r="E84">
            <v>0</v>
          </cell>
          <cell r="F84">
            <v>42086</v>
          </cell>
        </row>
        <row r="85">
          <cell r="B85" t="str">
            <v>SIGIT EKO SUSANTO</v>
          </cell>
          <cell r="C85" t="str">
            <v>PKWT</v>
          </cell>
          <cell r="D85" t="str">
            <v>Inhouse Training Perawatan Kereta Inspeksi</v>
          </cell>
          <cell r="E85">
            <v>0</v>
          </cell>
          <cell r="F85">
            <v>42086</v>
          </cell>
        </row>
        <row r="86">
          <cell r="B86" t="str">
            <v>AMRIN KURNIADI</v>
          </cell>
          <cell r="C86" t="str">
            <v>PKWT</v>
          </cell>
          <cell r="D86" t="str">
            <v>Inhouse Training Perawatan ZZOW</v>
          </cell>
          <cell r="E86">
            <v>0</v>
          </cell>
          <cell r="F86">
            <v>42097</v>
          </cell>
        </row>
        <row r="87">
          <cell r="B87" t="str">
            <v>MOHAMMAD RIDWAN ISMAIL</v>
          </cell>
          <cell r="C87" t="str">
            <v>PKWT</v>
          </cell>
          <cell r="D87" t="str">
            <v>Inhouse Training Perawatan ZZOW</v>
          </cell>
          <cell r="E87">
            <v>0</v>
          </cell>
          <cell r="F87">
            <v>42097</v>
          </cell>
        </row>
        <row r="88">
          <cell r="B88" t="str">
            <v>RUDY SUSANTO</v>
          </cell>
          <cell r="C88" t="str">
            <v>IMSS</v>
          </cell>
          <cell r="D88" t="str">
            <v>Inhouse Training Perawatan Kereta Jenggala</v>
          </cell>
          <cell r="E88">
            <v>0</v>
          </cell>
          <cell r="F88">
            <v>42199</v>
          </cell>
        </row>
        <row r="89">
          <cell r="B89" t="str">
            <v>NUR CAHYONO</v>
          </cell>
          <cell r="C89" t="str">
            <v>IMSS</v>
          </cell>
          <cell r="D89" t="str">
            <v>Inhouse Training Perawatan Loko CC DH 300</v>
          </cell>
          <cell r="E89">
            <v>0</v>
          </cell>
          <cell r="F89">
            <v>42200</v>
          </cell>
        </row>
        <row r="90">
          <cell r="B90" t="str">
            <v>ADANG YONATA</v>
          </cell>
          <cell r="C90" t="str">
            <v>IMSS</v>
          </cell>
          <cell r="D90" t="str">
            <v>Inhouse Training Perawatan Kereta Railbus Solo</v>
          </cell>
          <cell r="E90">
            <v>0</v>
          </cell>
          <cell r="F90">
            <v>42392</v>
          </cell>
        </row>
        <row r="91">
          <cell r="B91" t="str">
            <v>UNGGUL WIDIYANTO</v>
          </cell>
          <cell r="C91" t="str">
            <v>IMSS</v>
          </cell>
          <cell r="D91" t="str">
            <v>Inhouse Training Perawatan Kereta Railbus Solo</v>
          </cell>
          <cell r="E91">
            <v>0</v>
          </cell>
          <cell r="F91">
            <v>42392</v>
          </cell>
        </row>
        <row r="92">
          <cell r="B92" t="str">
            <v>FEBRI PRASTYO</v>
          </cell>
          <cell r="C92" t="str">
            <v>PKWT</v>
          </cell>
          <cell r="D92" t="str">
            <v>Inhouse Training Perawatan Kereta Railbus Solo</v>
          </cell>
          <cell r="E92">
            <v>0</v>
          </cell>
          <cell r="F92">
            <v>42392</v>
          </cell>
        </row>
        <row r="93">
          <cell r="B93" t="str">
            <v>LAURENTIUS YHOAN KRISMANTARA</v>
          </cell>
          <cell r="C93" t="str">
            <v>PKWT</v>
          </cell>
          <cell r="D93" t="str">
            <v>Inhouse Training Perawatan Kereta Railbus Solo</v>
          </cell>
          <cell r="E93">
            <v>0</v>
          </cell>
          <cell r="F93">
            <v>42392</v>
          </cell>
        </row>
        <row r="94">
          <cell r="B94" t="str">
            <v>PUTRA SATRIA BINTANG PAMUNGKAS</v>
          </cell>
          <cell r="C94" t="str">
            <v>PKWT</v>
          </cell>
          <cell r="D94" t="str">
            <v>Inhouse Training Perawatan Kereta Railbus Solo</v>
          </cell>
          <cell r="E94">
            <v>0</v>
          </cell>
          <cell r="F94">
            <v>42392</v>
          </cell>
        </row>
        <row r="95">
          <cell r="B95" t="str">
            <v xml:space="preserve">BAGUS DWI CAHYONO </v>
          </cell>
          <cell r="C95" t="str">
            <v>IMSS</v>
          </cell>
          <cell r="D95" t="str">
            <v>Inhouse Training Perawatan Kereta Inspeksi</v>
          </cell>
          <cell r="E95">
            <v>0</v>
          </cell>
          <cell r="F95">
            <v>42415</v>
          </cell>
        </row>
        <row r="96">
          <cell r="B96" t="str">
            <v xml:space="preserve">BAGUS DWI CAHYONO </v>
          </cell>
          <cell r="C96" t="str">
            <v>IMSS</v>
          </cell>
          <cell r="D96" t="str">
            <v>Pelatihan Internal Perawatan Kereta Krdi Jenggala</v>
          </cell>
          <cell r="E96">
            <v>0</v>
          </cell>
          <cell r="F96">
            <v>42415</v>
          </cell>
        </row>
        <row r="97">
          <cell r="B97" t="str">
            <v>DWI ARI WIBOWO</v>
          </cell>
          <cell r="C97" t="str">
            <v>Resign</v>
          </cell>
          <cell r="D97" t="str">
            <v>Inhouse Training Perawatan Loko CC DH 300</v>
          </cell>
          <cell r="E97">
            <v>0</v>
          </cell>
          <cell r="F97">
            <v>42450</v>
          </cell>
        </row>
        <row r="98">
          <cell r="B98" t="str">
            <v>DWI ARI WIBOWO</v>
          </cell>
          <cell r="C98" t="str">
            <v>Resign</v>
          </cell>
          <cell r="D98" t="str">
            <v>Inhouse Training Perawatan Railbus Padang</v>
          </cell>
          <cell r="E98">
            <v>0</v>
          </cell>
          <cell r="F98">
            <v>42457</v>
          </cell>
        </row>
        <row r="99">
          <cell r="B99" t="str">
            <v>ANDI SUSILO</v>
          </cell>
          <cell r="C99" t="str">
            <v>IMSS</v>
          </cell>
          <cell r="D99" t="str">
            <v>Inhouse Training Perawatan Kereta Jenggala</v>
          </cell>
          <cell r="E99">
            <v>0</v>
          </cell>
          <cell r="F99">
            <v>42481</v>
          </cell>
        </row>
        <row r="100">
          <cell r="B100" t="str">
            <v>MOHAMMAD RIDWAN ISMAIL</v>
          </cell>
          <cell r="C100" t="str">
            <v>PKWT</v>
          </cell>
          <cell r="D100" t="str">
            <v>Inhouse Training Perawatan Kereta Jenggala</v>
          </cell>
          <cell r="E100">
            <v>0</v>
          </cell>
          <cell r="F100">
            <v>42481</v>
          </cell>
        </row>
        <row r="101">
          <cell r="B101" t="str">
            <v>PUTRA SATRIA BINTANG PAMUNGKAS</v>
          </cell>
          <cell r="C101" t="str">
            <v>PKWT</v>
          </cell>
          <cell r="D101" t="str">
            <v>Inhouse Training Perawatan Kereta Jenggala</v>
          </cell>
          <cell r="E101">
            <v>0</v>
          </cell>
          <cell r="F101">
            <v>42481</v>
          </cell>
        </row>
        <row r="102">
          <cell r="B102" t="str">
            <v>SUWARDOYOK</v>
          </cell>
          <cell r="C102" t="str">
            <v>PKWT</v>
          </cell>
          <cell r="D102" t="str">
            <v>Inhouse Training Perawatan Kereta Jenggala</v>
          </cell>
          <cell r="E102">
            <v>0</v>
          </cell>
          <cell r="F102">
            <v>42481</v>
          </cell>
        </row>
        <row r="103">
          <cell r="B103" t="str">
            <v>SUGIYANTO</v>
          </cell>
          <cell r="C103" t="str">
            <v>PKWT</v>
          </cell>
          <cell r="D103" t="str">
            <v>Inhouse Training Perawatan Kereta Kedinasan</v>
          </cell>
          <cell r="E103">
            <v>0</v>
          </cell>
          <cell r="F103">
            <v>42512</v>
          </cell>
        </row>
        <row r="104">
          <cell r="B104" t="str">
            <v>EKO PRASTYO</v>
          </cell>
          <cell r="C104" t="str">
            <v>IMSS</v>
          </cell>
          <cell r="D104" t="str">
            <v>Inhouse Training Perawatan Railbus Padang</v>
          </cell>
          <cell r="E104">
            <v>0</v>
          </cell>
          <cell r="F104">
            <v>42525</v>
          </cell>
        </row>
        <row r="105">
          <cell r="B105" t="str">
            <v>PUPUT WAHYUDHIANTO</v>
          </cell>
          <cell r="C105" t="str">
            <v>IMSS</v>
          </cell>
          <cell r="D105" t="str">
            <v>Inhouse Training Perawatan Railbus Padang</v>
          </cell>
          <cell r="E105">
            <v>0</v>
          </cell>
          <cell r="F105">
            <v>42525</v>
          </cell>
        </row>
        <row r="106">
          <cell r="B106" t="str">
            <v>SUGIYANTO</v>
          </cell>
          <cell r="C106" t="str">
            <v>PKWT</v>
          </cell>
          <cell r="D106" t="str">
            <v>Inhouse Training Perawatan Loko CC DH 300</v>
          </cell>
          <cell r="E106">
            <v>0</v>
          </cell>
          <cell r="F106">
            <v>42525</v>
          </cell>
        </row>
        <row r="107">
          <cell r="B107" t="str">
            <v>MOHAMMAD RIDWAN ISMAIL</v>
          </cell>
          <cell r="C107" t="str">
            <v>PKWT</v>
          </cell>
          <cell r="D107" t="str">
            <v>Inhouse Training Perawatan Kereta Kedinasan</v>
          </cell>
          <cell r="E107">
            <v>0</v>
          </cell>
          <cell r="F107">
            <v>42565</v>
          </cell>
        </row>
        <row r="108">
          <cell r="B108" t="str">
            <v xml:space="preserve">BAGUS DWI CAHYONO </v>
          </cell>
          <cell r="C108" t="str">
            <v>IMSS</v>
          </cell>
          <cell r="D108" t="str">
            <v>Inhouse Training Perawatan Loko CC DH 300</v>
          </cell>
          <cell r="E108">
            <v>0</v>
          </cell>
          <cell r="F108">
            <v>42569</v>
          </cell>
        </row>
        <row r="109">
          <cell r="B109" t="str">
            <v>AMRIN KURNIADI</v>
          </cell>
          <cell r="C109" t="str">
            <v>PKWT</v>
          </cell>
          <cell r="D109" t="str">
            <v>Inhouse Training Perawatan Loko CC DH 300</v>
          </cell>
          <cell r="E109">
            <v>0</v>
          </cell>
          <cell r="F109">
            <v>42621</v>
          </cell>
        </row>
        <row r="110">
          <cell r="B110" t="str">
            <v>ARDANIL</v>
          </cell>
          <cell r="C110" t="str">
            <v>IMSS</v>
          </cell>
          <cell r="D110" t="str">
            <v>Inhouse Training Perawatan ZZOW</v>
          </cell>
          <cell r="E110">
            <v>0</v>
          </cell>
          <cell r="F110">
            <v>42632</v>
          </cell>
        </row>
        <row r="111">
          <cell r="B111" t="str">
            <v>AZWAR</v>
          </cell>
          <cell r="C111" t="str">
            <v>PKWT</v>
          </cell>
          <cell r="D111" t="str">
            <v>Inhouse Training Perawatan ZZOW</v>
          </cell>
          <cell r="E111">
            <v>0</v>
          </cell>
          <cell r="F111">
            <v>42632</v>
          </cell>
        </row>
        <row r="112">
          <cell r="B112" t="str">
            <v>NUR CAHYONO</v>
          </cell>
          <cell r="C112" t="str">
            <v>IMSS</v>
          </cell>
          <cell r="D112" t="str">
            <v>Inhouse Training Perawatan Loko CC DH 300</v>
          </cell>
          <cell r="E112">
            <v>0</v>
          </cell>
          <cell r="F112">
            <v>42646</v>
          </cell>
        </row>
        <row r="113">
          <cell r="B113" t="str">
            <v>ADANG YONATA</v>
          </cell>
          <cell r="C113" t="str">
            <v>IMSS</v>
          </cell>
          <cell r="D113" t="str">
            <v>Inhouse Training Perawatan KRL Soetta</v>
          </cell>
          <cell r="E113">
            <v>0</v>
          </cell>
          <cell r="F113">
            <v>42746</v>
          </cell>
        </row>
        <row r="114">
          <cell r="B114" t="str">
            <v>AGIL ARDIANSAH</v>
          </cell>
          <cell r="C114" t="str">
            <v>PKWT</v>
          </cell>
          <cell r="D114" t="str">
            <v>Inhouse Training Perawatan Railbus Padang</v>
          </cell>
          <cell r="E114">
            <v>0</v>
          </cell>
          <cell r="F114">
            <v>42753</v>
          </cell>
        </row>
        <row r="115">
          <cell r="B115" t="str">
            <v>PUTRA SATRIA BINTANG PAMUNGKAS</v>
          </cell>
          <cell r="C115" t="str">
            <v>PKWT</v>
          </cell>
          <cell r="D115" t="str">
            <v>Inhouse Training Perawatan Railbus Padang</v>
          </cell>
          <cell r="E115">
            <v>0</v>
          </cell>
          <cell r="F115">
            <v>42753</v>
          </cell>
        </row>
        <row r="116">
          <cell r="B116" t="str">
            <v>ARIFIN PURNAWIRAWAN</v>
          </cell>
          <cell r="C116" t="str">
            <v>PKWT</v>
          </cell>
          <cell r="D116" t="str">
            <v>Inhouse Training Perawatan KRL Soetta</v>
          </cell>
          <cell r="E116">
            <v>0</v>
          </cell>
          <cell r="F116">
            <v>42777</v>
          </cell>
        </row>
        <row r="117">
          <cell r="B117" t="str">
            <v>ARDANIL</v>
          </cell>
          <cell r="C117" t="str">
            <v>IMSS</v>
          </cell>
          <cell r="D117" t="str">
            <v>Inhouse Training Perawatan Kereta LRT Palembang</v>
          </cell>
          <cell r="E117">
            <v>0</v>
          </cell>
          <cell r="F117">
            <v>42778</v>
          </cell>
        </row>
        <row r="118">
          <cell r="B118" t="str">
            <v>BRIANTO CAHYO NUGROHO</v>
          </cell>
          <cell r="C118" t="str">
            <v>IMSS</v>
          </cell>
          <cell r="D118" t="str">
            <v>Inhouse Training Perawatan KRL Soetta</v>
          </cell>
          <cell r="E118">
            <v>0</v>
          </cell>
          <cell r="F118">
            <v>42779</v>
          </cell>
        </row>
        <row r="119">
          <cell r="B119" t="str">
            <v>ARIFIN PURNAWIRAWAN</v>
          </cell>
          <cell r="C119" t="str">
            <v>PKWT</v>
          </cell>
          <cell r="D119" t="str">
            <v>Inhouse Training Perawatan Loko CC DH 300</v>
          </cell>
          <cell r="E119">
            <v>0</v>
          </cell>
          <cell r="F119">
            <v>42782</v>
          </cell>
        </row>
        <row r="120">
          <cell r="B120" t="str">
            <v>EKO PRASTYO</v>
          </cell>
          <cell r="C120" t="str">
            <v>IMSS</v>
          </cell>
          <cell r="D120" t="str">
            <v xml:space="preserve">Inhouse Training Perawatan Loko CC DH 300 </v>
          </cell>
          <cell r="E120">
            <v>0</v>
          </cell>
          <cell r="F120">
            <v>42805</v>
          </cell>
        </row>
        <row r="121">
          <cell r="B121" t="str">
            <v>GHOZIE NAFIIRI FATHUL ADHIM</v>
          </cell>
          <cell r="C121" t="str">
            <v>PKWT</v>
          </cell>
          <cell r="D121" t="str">
            <v xml:space="preserve">Inhouse Training Perawatan Loko CC DH 300 </v>
          </cell>
          <cell r="E121">
            <v>0</v>
          </cell>
          <cell r="F121">
            <v>42805</v>
          </cell>
        </row>
        <row r="122">
          <cell r="B122" t="str">
            <v>PUPUT WAHYUDHIANTO</v>
          </cell>
          <cell r="C122" t="str">
            <v>IMSS</v>
          </cell>
          <cell r="D122" t="str">
            <v>Inhouse Training Perawatan ZZOW</v>
          </cell>
          <cell r="E122">
            <v>0</v>
          </cell>
          <cell r="F122">
            <v>42827</v>
          </cell>
        </row>
        <row r="123">
          <cell r="B123" t="str">
            <v>FEBRI PRASTYO</v>
          </cell>
          <cell r="C123" t="str">
            <v>PKWT</v>
          </cell>
          <cell r="D123" t="str">
            <v>Inhouse Training Perawatan ZZOW</v>
          </cell>
          <cell r="E123">
            <v>0</v>
          </cell>
          <cell r="F123">
            <v>42827</v>
          </cell>
        </row>
        <row r="124">
          <cell r="B124" t="str">
            <v>NANANG ADI SAPUTRA</v>
          </cell>
          <cell r="C124" t="str">
            <v>PKWT</v>
          </cell>
          <cell r="D124" t="str">
            <v>Inhouse Training Perawatan ZZOW</v>
          </cell>
          <cell r="E124">
            <v>0</v>
          </cell>
          <cell r="F124">
            <v>42827</v>
          </cell>
        </row>
        <row r="125">
          <cell r="B125" t="str">
            <v>OKTA SETYANIDA</v>
          </cell>
          <cell r="C125" t="str">
            <v>IMSS</v>
          </cell>
          <cell r="D125" t="str">
            <v>Brevet Perpajakan A dan B</v>
          </cell>
          <cell r="E125">
            <v>0</v>
          </cell>
          <cell r="F125">
            <v>42851</v>
          </cell>
        </row>
        <row r="126">
          <cell r="B126" t="str">
            <v>AAN TAUFIQ</v>
          </cell>
          <cell r="C126" t="str">
            <v>IMSS</v>
          </cell>
          <cell r="D126" t="str">
            <v>Sertifikasi Perawat Sarana Kereta Berpenggerak dan Tanpa Penggerak</v>
          </cell>
          <cell r="E126">
            <v>0</v>
          </cell>
          <cell r="F126">
            <v>42877</v>
          </cell>
        </row>
        <row r="127">
          <cell r="B127" t="str">
            <v>ADANG YONATA</v>
          </cell>
          <cell r="C127" t="str">
            <v>IMSS</v>
          </cell>
          <cell r="D127" t="str">
            <v>Sertifikasi Perawat Sarana Kereta Berpenggerak dan Tanpa Penggerak</v>
          </cell>
          <cell r="E127">
            <v>0</v>
          </cell>
          <cell r="F127">
            <v>42877</v>
          </cell>
        </row>
        <row r="128">
          <cell r="B128" t="str">
            <v xml:space="preserve">SADIKUN </v>
          </cell>
          <cell r="C128" t="str">
            <v>IMSS</v>
          </cell>
          <cell r="D128" t="str">
            <v>Sertifikasi Perawat Sarana Kereta Berpenggerak dan Tanpa Penggerak</v>
          </cell>
          <cell r="E128">
            <v>0</v>
          </cell>
          <cell r="F128">
            <v>42877</v>
          </cell>
        </row>
        <row r="129">
          <cell r="B129" t="str">
            <v>AMRIN KURNIADI</v>
          </cell>
          <cell r="C129" t="str">
            <v>PKWT</v>
          </cell>
          <cell r="D129" t="str">
            <v>Sertifikasi Perawat Sarana Kereta Berpenggerak dan Tanpa Penggerak</v>
          </cell>
          <cell r="E129">
            <v>0</v>
          </cell>
          <cell r="F129">
            <v>42877</v>
          </cell>
        </row>
        <row r="130">
          <cell r="B130" t="str">
            <v>ANIK HARI SAKSONO</v>
          </cell>
          <cell r="C130" t="str">
            <v>PKWT</v>
          </cell>
          <cell r="D130" t="str">
            <v>Sertifikasi Perawat Sarana Kereta Berpenggerak dan Tanpa Penggerak</v>
          </cell>
          <cell r="E130">
            <v>0</v>
          </cell>
          <cell r="F130">
            <v>42877</v>
          </cell>
        </row>
        <row r="131">
          <cell r="B131" t="str">
            <v>MOHAMMAD RIDWAN ISMAIL</v>
          </cell>
          <cell r="C131" t="str">
            <v>PKWT</v>
          </cell>
          <cell r="D131" t="str">
            <v>Sertifikasi Perawat Sarana Kereta Berpenggerak dan Tanpa Penggerak</v>
          </cell>
          <cell r="E131">
            <v>0</v>
          </cell>
          <cell r="F131">
            <v>42877</v>
          </cell>
        </row>
        <row r="132">
          <cell r="B132" t="str">
            <v>DIONISIUS WIRATAMA</v>
          </cell>
          <cell r="C132" t="str">
            <v>IMSS</v>
          </cell>
          <cell r="D132" t="str">
            <v>Sertifikasi Perawat Sarana Kereta Berpenggerak dan Tanpa Penggerak</v>
          </cell>
          <cell r="E132">
            <v>0</v>
          </cell>
          <cell r="F132">
            <v>42877</v>
          </cell>
        </row>
        <row r="133">
          <cell r="B133" t="str">
            <v>TRI ANANG SUSANTO</v>
          </cell>
          <cell r="C133" t="str">
            <v>IMSS</v>
          </cell>
          <cell r="D133" t="str">
            <v>Sertifikasi Perawat Sarana Kereta Berpenggerak dan Tanpa Penggerak</v>
          </cell>
          <cell r="E133">
            <v>0</v>
          </cell>
          <cell r="F133">
            <v>42877</v>
          </cell>
        </row>
        <row r="134">
          <cell r="B134" t="str">
            <v>NUR CAHYONO</v>
          </cell>
          <cell r="C134" t="str">
            <v>IMSS</v>
          </cell>
          <cell r="D134" t="str">
            <v>Inhouse Training Pengoperasian Kereta K1 Dan K3</v>
          </cell>
          <cell r="E134">
            <v>0</v>
          </cell>
          <cell r="F134">
            <v>42921</v>
          </cell>
        </row>
        <row r="135">
          <cell r="B135" t="str">
            <v>BRIANTO CAHYO NUGROHO</v>
          </cell>
          <cell r="C135" t="str">
            <v>IMSS</v>
          </cell>
          <cell r="D135" t="str">
            <v>Perawatan Internal Perawatan Kereta Railbus Solo</v>
          </cell>
          <cell r="E135">
            <v>0</v>
          </cell>
          <cell r="F135">
            <v>42933</v>
          </cell>
        </row>
        <row r="136">
          <cell r="B136" t="str">
            <v>IMAM AGUS ASFARORI</v>
          </cell>
          <cell r="C136" t="str">
            <v>IMSS</v>
          </cell>
          <cell r="D136" t="str">
            <v>Aplikasi Perkantoran (Ms Office)</v>
          </cell>
          <cell r="E136">
            <v>0</v>
          </cell>
          <cell r="F136">
            <v>42955</v>
          </cell>
        </row>
        <row r="137">
          <cell r="B137" t="str">
            <v>SUGIYANTO</v>
          </cell>
          <cell r="C137" t="str">
            <v>PKWT</v>
          </cell>
          <cell r="D137" t="str">
            <v>Inhouse Training Perawatan Kereta Inspeksi</v>
          </cell>
          <cell r="E137">
            <v>0</v>
          </cell>
          <cell r="F137">
            <v>42982</v>
          </cell>
        </row>
        <row r="138">
          <cell r="B138" t="str">
            <v>ARDANIL</v>
          </cell>
          <cell r="C138" t="str">
            <v>IMSS</v>
          </cell>
          <cell r="D138" t="str">
            <v>Inhouse Training Perawatan Kereta Railbus Padang</v>
          </cell>
          <cell r="E138">
            <v>0</v>
          </cell>
          <cell r="F138">
            <v>42996</v>
          </cell>
        </row>
        <row r="139">
          <cell r="B139" t="str">
            <v>AZWAR</v>
          </cell>
          <cell r="C139" t="str">
            <v>PKWT</v>
          </cell>
          <cell r="D139" t="str">
            <v>Pelatihan Internal Perawatan Kereta Railbus Padang</v>
          </cell>
          <cell r="E139">
            <v>0</v>
          </cell>
          <cell r="F139">
            <v>42996</v>
          </cell>
        </row>
        <row r="140">
          <cell r="B140" t="str">
            <v>BUDI HARIANTO</v>
          </cell>
          <cell r="C140" t="str">
            <v>IMSS</v>
          </cell>
          <cell r="D140" t="str">
            <v>Inhouse Training Kereta Inspeksi</v>
          </cell>
          <cell r="E140">
            <v>0</v>
          </cell>
          <cell r="F140">
            <v>43004</v>
          </cell>
        </row>
        <row r="141">
          <cell r="B141" t="str">
            <v>MUHAMAD NURUL IRFAN</v>
          </cell>
          <cell r="C141" t="str">
            <v>IMSS</v>
          </cell>
          <cell r="D141" t="str">
            <v>Inhouse Training Pengoperasian Kereta Inspeksi</v>
          </cell>
          <cell r="E141">
            <v>0</v>
          </cell>
          <cell r="F141">
            <v>43004</v>
          </cell>
        </row>
        <row r="142">
          <cell r="B142" t="str">
            <v>BRIANTO CAHYO NUGROHO</v>
          </cell>
          <cell r="C142" t="str">
            <v>IMSS</v>
          </cell>
          <cell r="D142" t="str">
            <v>Training Pengoperasian Kereta Inspeksi</v>
          </cell>
          <cell r="E142">
            <v>0</v>
          </cell>
          <cell r="F142">
            <v>43004</v>
          </cell>
        </row>
        <row r="143">
          <cell r="B143" t="str">
            <v>BUDIONO</v>
          </cell>
          <cell r="C143" t="str">
            <v>IMSS</v>
          </cell>
          <cell r="D143" t="str">
            <v>Training Pengoperasian Kereta Inspeksi</v>
          </cell>
          <cell r="E143">
            <v>0</v>
          </cell>
          <cell r="F143">
            <v>43004</v>
          </cell>
        </row>
        <row r="144">
          <cell r="B144" t="str">
            <v>ARIF SUGIANTO</v>
          </cell>
          <cell r="C144" t="str">
            <v>PKWT</v>
          </cell>
          <cell r="D144" t="str">
            <v>Training Pengoperasian Kereta Inspeksi</v>
          </cell>
          <cell r="E144">
            <v>0</v>
          </cell>
          <cell r="F144">
            <v>43004</v>
          </cell>
        </row>
        <row r="145">
          <cell r="B145" t="str">
            <v>BANGKIT SANJAYA</v>
          </cell>
          <cell r="C145" t="str">
            <v>IMSS</v>
          </cell>
          <cell r="D145" t="str">
            <v>Inhouse Training Operator Alat Ukur</v>
          </cell>
          <cell r="E145">
            <v>0</v>
          </cell>
          <cell r="F145">
            <v>43016</v>
          </cell>
        </row>
        <row r="146">
          <cell r="B146" t="str">
            <v>NUR CAHYONO</v>
          </cell>
          <cell r="C146" t="str">
            <v>IMSS</v>
          </cell>
          <cell r="D146" t="str">
            <v>Inhouse Training Pengoperasian Railbus Padang</v>
          </cell>
          <cell r="E146">
            <v>0</v>
          </cell>
          <cell r="F146">
            <v>43042</v>
          </cell>
        </row>
        <row r="147">
          <cell r="B147" t="str">
            <v>BRIANTO CAHYO NUGROHO</v>
          </cell>
          <cell r="C147" t="str">
            <v>IMSS</v>
          </cell>
          <cell r="D147" t="str">
            <v>Pelatihan Internal Sistem Informasi</v>
          </cell>
          <cell r="E147">
            <v>0</v>
          </cell>
          <cell r="F147">
            <v>43045</v>
          </cell>
        </row>
        <row r="148">
          <cell r="B148" t="str">
            <v>ANDREA CAHYA PUTRA</v>
          </cell>
          <cell r="C148" t="str">
            <v>PKWT</v>
          </cell>
          <cell r="D148" t="str">
            <v>Training Pengoperasian Railbus Solo</v>
          </cell>
          <cell r="E148">
            <v>0</v>
          </cell>
          <cell r="F148">
            <v>43045</v>
          </cell>
        </row>
        <row r="149">
          <cell r="B149" t="str">
            <v>ARDANIL</v>
          </cell>
          <cell r="C149" t="str">
            <v>IMSS</v>
          </cell>
          <cell r="D149" t="str">
            <v>Inhouse Training Perawatan Loko CC DH 300</v>
          </cell>
          <cell r="E149">
            <v>0</v>
          </cell>
          <cell r="F149">
            <v>43052</v>
          </cell>
        </row>
        <row r="150">
          <cell r="B150" t="str">
            <v>GHOZIE NAFIIRI FATHUL ADHIM</v>
          </cell>
          <cell r="C150" t="str">
            <v>PKWT</v>
          </cell>
          <cell r="D150" t="str">
            <v>Training Tata Cara Pengoperasian KRL Bandara Soekarno Hatta</v>
          </cell>
          <cell r="E150">
            <v>0</v>
          </cell>
          <cell r="F150">
            <v>43080</v>
          </cell>
        </row>
        <row r="151">
          <cell r="B151" t="str">
            <v>NUR CAHYONO</v>
          </cell>
          <cell r="C151" t="str">
            <v>IMSS</v>
          </cell>
          <cell r="D151" t="str">
            <v>Inhouse Training Perawatan KRL Soetta</v>
          </cell>
          <cell r="E151">
            <v>0</v>
          </cell>
          <cell r="F151">
            <v>43102</v>
          </cell>
        </row>
        <row r="152">
          <cell r="B152" t="str">
            <v>DIDIK HENDRI SETYONO</v>
          </cell>
          <cell r="C152" t="str">
            <v>PKWT</v>
          </cell>
          <cell r="D152" t="str">
            <v>Pelatihan Sistem Penggerak Kereta Diesel Elektrik</v>
          </cell>
          <cell r="E152">
            <v>0</v>
          </cell>
          <cell r="F152">
            <v>43108</v>
          </cell>
        </row>
        <row r="153">
          <cell r="B153" t="str">
            <v>RAHMAN DAMANIK</v>
          </cell>
          <cell r="C153" t="str">
            <v>PKWT</v>
          </cell>
          <cell r="D153" t="str">
            <v>Pelatihan Sistem Penggerak Kereta Diesel Elektrik</v>
          </cell>
          <cell r="E153">
            <v>0</v>
          </cell>
          <cell r="F153">
            <v>43108</v>
          </cell>
        </row>
        <row r="154">
          <cell r="B154" t="str">
            <v>AMRIN KURNIADI</v>
          </cell>
          <cell r="C154" t="str">
            <v>PKWT</v>
          </cell>
          <cell r="D154" t="str">
            <v>Training Operasional Dan Perawatan Kereta K3 &amp; K1 Proyek 438</v>
          </cell>
          <cell r="E154">
            <v>0</v>
          </cell>
          <cell r="F154">
            <v>43116</v>
          </cell>
        </row>
        <row r="155">
          <cell r="B155" t="str">
            <v>ANIK HARI SAKSONO</v>
          </cell>
          <cell r="C155" t="str">
            <v>PKWT</v>
          </cell>
          <cell r="D155" t="str">
            <v>Training Operasional Dan Perawatan Kereta K3 &amp; K1 Proyek 438</v>
          </cell>
          <cell r="E155">
            <v>0</v>
          </cell>
          <cell r="F155">
            <v>43116</v>
          </cell>
        </row>
        <row r="156">
          <cell r="B156" t="str">
            <v>NUR CAHYONO</v>
          </cell>
          <cell r="C156" t="str">
            <v>IMSS</v>
          </cell>
          <cell r="D156" t="str">
            <v>Inhouse Training Perawatan KRL Soetta</v>
          </cell>
          <cell r="E156">
            <v>0</v>
          </cell>
          <cell r="F156">
            <v>43134</v>
          </cell>
        </row>
        <row r="157">
          <cell r="B157" t="str">
            <v>PUPUT WAHYUDHIANTO</v>
          </cell>
          <cell r="C157" t="str">
            <v>IMSS</v>
          </cell>
          <cell r="D157" t="str">
            <v>Inhouse Training Perawatan KRL Soetta</v>
          </cell>
          <cell r="E157">
            <v>0</v>
          </cell>
          <cell r="F157">
            <v>43134</v>
          </cell>
        </row>
        <row r="158">
          <cell r="B158" t="str">
            <v>UNGGUL WIDIYANTO</v>
          </cell>
          <cell r="C158" t="str">
            <v>IMSS</v>
          </cell>
          <cell r="D158" t="str">
            <v>Inhouse Training Perawatan KRL Soetta</v>
          </cell>
          <cell r="E158">
            <v>0</v>
          </cell>
          <cell r="F158">
            <v>43134</v>
          </cell>
        </row>
        <row r="159">
          <cell r="B159" t="str">
            <v>ALFI DIMAS SUGIANTO</v>
          </cell>
          <cell r="C159" t="str">
            <v>PKWT</v>
          </cell>
          <cell r="D159" t="str">
            <v>Inhouse Training Perawatan KRL Soetta</v>
          </cell>
          <cell r="E159">
            <v>0</v>
          </cell>
          <cell r="F159">
            <v>43134</v>
          </cell>
        </row>
        <row r="160">
          <cell r="B160" t="str">
            <v>AMRIN KURNIADI</v>
          </cell>
          <cell r="C160" t="str">
            <v>PKWT</v>
          </cell>
          <cell r="D160" t="str">
            <v>Inhouse Training Perawatan KRL Soetta</v>
          </cell>
          <cell r="E160">
            <v>0</v>
          </cell>
          <cell r="F160">
            <v>43134</v>
          </cell>
        </row>
        <row r="161">
          <cell r="B161" t="str">
            <v>BAYU DIMAS NURARIFIN</v>
          </cell>
          <cell r="C161" t="str">
            <v>PKWT</v>
          </cell>
          <cell r="D161" t="str">
            <v>Inhouse Training Perawatan KRL Soetta</v>
          </cell>
          <cell r="E161">
            <v>0</v>
          </cell>
          <cell r="F161">
            <v>43134</v>
          </cell>
        </row>
        <row r="162">
          <cell r="B162" t="str">
            <v>DEWANGGA SULUNG ADHI CAHYONO</v>
          </cell>
          <cell r="C162" t="str">
            <v>PKWT</v>
          </cell>
          <cell r="D162" t="str">
            <v>Inhouse Training Perawatan KRL Soetta</v>
          </cell>
          <cell r="E162">
            <v>0</v>
          </cell>
          <cell r="F162">
            <v>43134</v>
          </cell>
        </row>
        <row r="163">
          <cell r="B163" t="str">
            <v>DIMAS ENGGAR PAMBUDI</v>
          </cell>
          <cell r="C163" t="str">
            <v>PKWT</v>
          </cell>
          <cell r="D163" t="str">
            <v>Inhouse Training Perawatan KRL Soetta</v>
          </cell>
          <cell r="E163">
            <v>0</v>
          </cell>
          <cell r="F163">
            <v>43134</v>
          </cell>
        </row>
        <row r="164">
          <cell r="B164" t="str">
            <v>DIMAS MUCHSIN ARDIANSYAH</v>
          </cell>
          <cell r="C164" t="str">
            <v>PKWT</v>
          </cell>
          <cell r="D164" t="str">
            <v>Inhouse Training Perawatan KRL Soetta</v>
          </cell>
          <cell r="E164">
            <v>0</v>
          </cell>
          <cell r="F164">
            <v>43134</v>
          </cell>
        </row>
        <row r="165">
          <cell r="B165" t="str">
            <v>FIRDAUS KURNIA FIRMANSYAH</v>
          </cell>
          <cell r="C165" t="str">
            <v>PKWT</v>
          </cell>
          <cell r="D165" t="str">
            <v>Inhouse Training Perawatan KRL Soetta</v>
          </cell>
          <cell r="E165">
            <v>0</v>
          </cell>
          <cell r="F165">
            <v>43134</v>
          </cell>
        </row>
        <row r="166">
          <cell r="B166" t="str">
            <v>MEGA KARTIKA PUTRA HADI</v>
          </cell>
          <cell r="C166" t="str">
            <v>PKWT</v>
          </cell>
          <cell r="D166" t="str">
            <v>Inhouse Training Perawatan KRL Soetta</v>
          </cell>
          <cell r="E166">
            <v>0</v>
          </cell>
          <cell r="F166">
            <v>43134</v>
          </cell>
        </row>
        <row r="167">
          <cell r="B167" t="str">
            <v>NOVIANA HARIYANTO</v>
          </cell>
          <cell r="C167" t="str">
            <v>PKWT</v>
          </cell>
          <cell r="D167" t="str">
            <v>Inhouse Training Perawatan KRL Soetta</v>
          </cell>
          <cell r="E167">
            <v>0</v>
          </cell>
          <cell r="F167">
            <v>43134</v>
          </cell>
        </row>
        <row r="168">
          <cell r="B168" t="str">
            <v>SIGIT EKO SUSANTO</v>
          </cell>
          <cell r="C168" t="str">
            <v>PKWT</v>
          </cell>
          <cell r="D168" t="str">
            <v>Inhouse Training Perawatan KRL Soetta</v>
          </cell>
          <cell r="E168">
            <v>0</v>
          </cell>
          <cell r="F168">
            <v>43134</v>
          </cell>
        </row>
        <row r="169">
          <cell r="B169" t="str">
            <v>SIGIT USMANTO</v>
          </cell>
          <cell r="C169" t="str">
            <v>PKWT</v>
          </cell>
          <cell r="D169" t="str">
            <v>Inhouse Training Perawatan KRL Soetta</v>
          </cell>
          <cell r="E169">
            <v>0</v>
          </cell>
          <cell r="F169">
            <v>43134</v>
          </cell>
        </row>
        <row r="170">
          <cell r="B170" t="str">
            <v>SUWARDOYOK</v>
          </cell>
          <cell r="C170" t="str">
            <v>PKWT</v>
          </cell>
          <cell r="D170" t="str">
            <v>Inhouse Training Perawatan KRL Soetta</v>
          </cell>
          <cell r="E170">
            <v>0</v>
          </cell>
          <cell r="F170">
            <v>43134</v>
          </cell>
        </row>
        <row r="171">
          <cell r="B171" t="str">
            <v>ANDI SUSILO</v>
          </cell>
          <cell r="C171" t="str">
            <v>IMSS</v>
          </cell>
          <cell r="D171" t="str">
            <v>Sertifikasi Perawat Sarana Kereta Berpenggerak dan Tanpa Penggerak</v>
          </cell>
          <cell r="E171">
            <v>0</v>
          </cell>
          <cell r="F171">
            <v>43135</v>
          </cell>
        </row>
        <row r="172">
          <cell r="B172" t="str">
            <v>EKO PRASTYO</v>
          </cell>
          <cell r="C172" t="str">
            <v>IMSS</v>
          </cell>
          <cell r="D172" t="str">
            <v>Sertifikasi Perawat Sarana Kereta Berpenggerak dan Tanpa Penggerak</v>
          </cell>
          <cell r="E172">
            <v>0</v>
          </cell>
          <cell r="F172">
            <v>43135</v>
          </cell>
        </row>
        <row r="173">
          <cell r="B173" t="str">
            <v>JOKO SUTRISNO</v>
          </cell>
          <cell r="C173" t="str">
            <v>IMSS</v>
          </cell>
          <cell r="D173" t="str">
            <v>Sertifikasi Perawat Sarana Kereta Berpenggerak dan Tanpa Penggerak</v>
          </cell>
          <cell r="E173">
            <v>0</v>
          </cell>
          <cell r="F173">
            <v>43135</v>
          </cell>
        </row>
        <row r="174">
          <cell r="B174" t="str">
            <v>PUPUT WAHYUDHIANTO</v>
          </cell>
          <cell r="C174" t="str">
            <v>IMSS</v>
          </cell>
          <cell r="D174" t="str">
            <v>Sertifikasi Perawat Sarana Kereta Berpenggerak dan Tanpa Penggerak</v>
          </cell>
          <cell r="E174">
            <v>0</v>
          </cell>
          <cell r="F174">
            <v>43135</v>
          </cell>
        </row>
        <row r="175">
          <cell r="B175" t="str">
            <v>DIDIK HENDRI SETYONO</v>
          </cell>
          <cell r="C175" t="str">
            <v>PKWT</v>
          </cell>
          <cell r="D175" t="str">
            <v>Sertifikasi Perawat Sarana Kereta Berpenggerak dan Tanpa Penggerak</v>
          </cell>
          <cell r="E175">
            <v>0</v>
          </cell>
          <cell r="F175">
            <v>43135</v>
          </cell>
        </row>
        <row r="176">
          <cell r="B176" t="str">
            <v>ICHSANUDIN</v>
          </cell>
          <cell r="C176" t="str">
            <v>PKWT</v>
          </cell>
          <cell r="D176" t="str">
            <v>Sertifikasi Perawat Sarana Kereta Berpenggerak dan Tanpa Penggerak</v>
          </cell>
          <cell r="E176">
            <v>0</v>
          </cell>
          <cell r="F176">
            <v>43135</v>
          </cell>
        </row>
        <row r="177">
          <cell r="B177" t="str">
            <v>PUTRA SATRIA BINTANG PAMUNGKAS</v>
          </cell>
          <cell r="C177" t="str">
            <v>PKWT</v>
          </cell>
          <cell r="D177" t="str">
            <v>Sertifikasi Perawat Sarana Kereta Berpenggerak dan Tanpa Penggerak</v>
          </cell>
          <cell r="E177">
            <v>0</v>
          </cell>
          <cell r="F177">
            <v>43135</v>
          </cell>
        </row>
        <row r="178">
          <cell r="B178" t="str">
            <v>SUTRISNO</v>
          </cell>
          <cell r="C178" t="str">
            <v>IMSS</v>
          </cell>
          <cell r="D178" t="str">
            <v>Sertifikasi Perawat Sarana Kereta Berpenggerak dan Tanpa Penggerak</v>
          </cell>
          <cell r="E178">
            <v>0</v>
          </cell>
          <cell r="F178">
            <v>43135</v>
          </cell>
        </row>
        <row r="179">
          <cell r="B179" t="str">
            <v>DEWANGGA SULUNG ADHI CAHYONO</v>
          </cell>
          <cell r="C179" t="str">
            <v>PKWT</v>
          </cell>
          <cell r="D179" t="str">
            <v>Inhouse Training Perawatan Railbus Palembang</v>
          </cell>
          <cell r="E179">
            <v>0</v>
          </cell>
          <cell r="F179">
            <v>43135</v>
          </cell>
        </row>
        <row r="180">
          <cell r="B180" t="str">
            <v>DIDIK HENDRI SETYONO</v>
          </cell>
          <cell r="C180" t="str">
            <v>PKWT</v>
          </cell>
          <cell r="D180" t="str">
            <v>Inhouse Training Perawatan Railbus Palembang</v>
          </cell>
          <cell r="E180">
            <v>0</v>
          </cell>
          <cell r="F180">
            <v>43135</v>
          </cell>
        </row>
        <row r="181">
          <cell r="B181" t="str">
            <v>NOVIANA HARIYANTO</v>
          </cell>
          <cell r="C181" t="str">
            <v>PKWT</v>
          </cell>
          <cell r="D181" t="str">
            <v>Inhouse Training Perawatan Railbus Palembang</v>
          </cell>
          <cell r="E181">
            <v>0</v>
          </cell>
          <cell r="F181">
            <v>43135</v>
          </cell>
        </row>
        <row r="182">
          <cell r="B182" t="str">
            <v>NURSAMSI</v>
          </cell>
          <cell r="C182" t="str">
            <v>PKWT</v>
          </cell>
          <cell r="D182" t="str">
            <v>Inhouse Training Perawatan Railbus Palembang</v>
          </cell>
          <cell r="E182">
            <v>0</v>
          </cell>
          <cell r="F182">
            <v>43135</v>
          </cell>
        </row>
        <row r="183">
          <cell r="B183" t="str">
            <v>SIGIT EKO SUSANTO</v>
          </cell>
          <cell r="C183" t="str">
            <v>PKWT</v>
          </cell>
          <cell r="D183" t="str">
            <v>Inhouse Training Perawatan Railbus Palembang</v>
          </cell>
          <cell r="E183">
            <v>0</v>
          </cell>
          <cell r="F183">
            <v>43135</v>
          </cell>
        </row>
        <row r="184">
          <cell r="B184" t="str">
            <v>SUWARDOYOK</v>
          </cell>
          <cell r="C184" t="str">
            <v>PKWT</v>
          </cell>
          <cell r="D184" t="str">
            <v>Inhouse Training Perawatan Railbus Palembang</v>
          </cell>
          <cell r="E184">
            <v>0</v>
          </cell>
          <cell r="F184">
            <v>43135</v>
          </cell>
        </row>
        <row r="185">
          <cell r="B185" t="str">
            <v xml:space="preserve">BAGUS DWI CAHYONO </v>
          </cell>
          <cell r="C185" t="str">
            <v>IMSS</v>
          </cell>
          <cell r="D185" t="str">
            <v>Inhouse Training Perawatan KRL Soetta</v>
          </cell>
          <cell r="E185">
            <v>0</v>
          </cell>
          <cell r="F185">
            <v>43136</v>
          </cell>
        </row>
        <row r="186">
          <cell r="B186" t="str">
            <v>BUDIONO</v>
          </cell>
          <cell r="C186" t="str">
            <v>IMSS</v>
          </cell>
          <cell r="D186" t="str">
            <v>Inhouse Training Perawatan KRL Soetta</v>
          </cell>
          <cell r="E186">
            <v>0</v>
          </cell>
          <cell r="F186">
            <v>43136</v>
          </cell>
        </row>
        <row r="187">
          <cell r="B187" t="str">
            <v>SUGIYANTO</v>
          </cell>
          <cell r="C187" t="str">
            <v>PKWT</v>
          </cell>
          <cell r="D187" t="str">
            <v>Pembicara Pelatihan Internal Perawatan Kereta KRL Bandara Soetta</v>
          </cell>
          <cell r="E187">
            <v>0</v>
          </cell>
          <cell r="F187">
            <v>43136</v>
          </cell>
        </row>
        <row r="188">
          <cell r="B188" t="str">
            <v>SUGIYANTO</v>
          </cell>
          <cell r="C188" t="str">
            <v>PKWT</v>
          </cell>
          <cell r="D188" t="str">
            <v>Inhouse Training Perawatan Kereta Bandara Minangkabau</v>
          </cell>
          <cell r="E188">
            <v>0</v>
          </cell>
          <cell r="F188">
            <v>43142</v>
          </cell>
        </row>
        <row r="189">
          <cell r="B189" t="str">
            <v>DIMAS SUHARDIYONO</v>
          </cell>
          <cell r="C189" t="str">
            <v>IMSS</v>
          </cell>
          <cell r="D189" t="str">
            <v>Pelatihan Internal Perawatan Kereta LRT Palembang</v>
          </cell>
          <cell r="E189">
            <v>0</v>
          </cell>
          <cell r="F189">
            <v>43143</v>
          </cell>
        </row>
        <row r="190">
          <cell r="B190" t="str">
            <v>AMRON BAITARRIZAQ</v>
          </cell>
          <cell r="C190" t="str">
            <v>Organik</v>
          </cell>
          <cell r="D190" t="str">
            <v>Pelatihan Internal Perawatan Kereta LRT Palembang</v>
          </cell>
          <cell r="E190">
            <v>0</v>
          </cell>
          <cell r="F190">
            <v>43143</v>
          </cell>
        </row>
        <row r="191">
          <cell r="B191" t="str">
            <v>AZWAR</v>
          </cell>
          <cell r="C191" t="str">
            <v>PKWT</v>
          </cell>
          <cell r="D191" t="str">
            <v>Pelatihan Internal Perawatan Kereta LRT Palembang</v>
          </cell>
          <cell r="E191">
            <v>0</v>
          </cell>
          <cell r="F191">
            <v>43143</v>
          </cell>
        </row>
        <row r="192">
          <cell r="B192" t="str">
            <v>AGIL ARDIANSAH</v>
          </cell>
          <cell r="C192" t="str">
            <v>PKWT</v>
          </cell>
          <cell r="D192" t="str">
            <v>Inhouse Training Perawatan Kereta Railbus Solo</v>
          </cell>
          <cell r="E192">
            <v>0</v>
          </cell>
          <cell r="F192">
            <v>43144</v>
          </cell>
        </row>
        <row r="193">
          <cell r="B193" t="str">
            <v>GHOZIE NAFIIRI FATHUL ADHIM</v>
          </cell>
          <cell r="C193" t="str">
            <v>PKWT</v>
          </cell>
          <cell r="D193" t="str">
            <v>Inhouse Training Perawatan Kereta Railbus Solo</v>
          </cell>
          <cell r="E193">
            <v>0</v>
          </cell>
          <cell r="F193">
            <v>43144</v>
          </cell>
        </row>
        <row r="194">
          <cell r="B194" t="str">
            <v>MUHAMMAD VINANDO WISNUSETIAWAN</v>
          </cell>
          <cell r="C194" t="str">
            <v>PKWT</v>
          </cell>
          <cell r="D194" t="str">
            <v>Inhouse Training Perawatan Kereta Railbus Solo</v>
          </cell>
          <cell r="E194">
            <v>0</v>
          </cell>
          <cell r="F194">
            <v>43144</v>
          </cell>
        </row>
        <row r="195">
          <cell r="B195" t="str">
            <v>YUDI HANTORO</v>
          </cell>
          <cell r="C195" t="str">
            <v>PKWT</v>
          </cell>
          <cell r="D195" t="str">
            <v>Inhouse Training Perawatan Kereta Railbus Solo</v>
          </cell>
          <cell r="E195">
            <v>0</v>
          </cell>
          <cell r="F195">
            <v>43144</v>
          </cell>
        </row>
        <row r="196">
          <cell r="B196" t="str">
            <v>SUGIYANTO</v>
          </cell>
          <cell r="C196" t="str">
            <v>PKWT</v>
          </cell>
          <cell r="D196" t="str">
            <v>Inhouse Training Perawatan KRL Soetta</v>
          </cell>
          <cell r="E196">
            <v>0</v>
          </cell>
          <cell r="F196">
            <v>43149</v>
          </cell>
        </row>
        <row r="197">
          <cell r="B197" t="str">
            <v>RIAN PRATAMA</v>
          </cell>
          <cell r="C197" t="str">
            <v>PKWT</v>
          </cell>
          <cell r="D197" t="str">
            <v>Pelatihan Praktik Pengoperasian K3 Premium 2017</v>
          </cell>
          <cell r="E197">
            <v>0</v>
          </cell>
          <cell r="F197">
            <v>43165</v>
          </cell>
        </row>
        <row r="198">
          <cell r="B198" t="str">
            <v>SAHBAN ARIF</v>
          </cell>
          <cell r="C198" t="str">
            <v>PKWT</v>
          </cell>
          <cell r="D198" t="str">
            <v>Pelatihan Praktik Pengoperasian K3 Premium 2017</v>
          </cell>
          <cell r="E198">
            <v>0</v>
          </cell>
          <cell r="F198">
            <v>43165</v>
          </cell>
        </row>
        <row r="199">
          <cell r="B199" t="str">
            <v>DODIK PANCA PRASETYAWAN</v>
          </cell>
          <cell r="C199" t="str">
            <v>PKWT</v>
          </cell>
          <cell r="D199" t="str">
            <v>Pelatihan Praktik Pengoperasian K3 Premium 2017</v>
          </cell>
          <cell r="E199">
            <v>0</v>
          </cell>
          <cell r="F199">
            <v>43166</v>
          </cell>
        </row>
        <row r="200">
          <cell r="B200" t="str">
            <v>ONGKY YUSFIANTARA PRADANA</v>
          </cell>
          <cell r="C200" t="str">
            <v>IMSS</v>
          </cell>
          <cell r="D200" t="str">
            <v>Inhouse Training Perawatan Railbus Padang</v>
          </cell>
          <cell r="E200">
            <v>0</v>
          </cell>
          <cell r="F200">
            <v>43171</v>
          </cell>
        </row>
        <row r="201">
          <cell r="B201" t="str">
            <v>DIDIK HENDRI SETYONO</v>
          </cell>
          <cell r="C201" t="str">
            <v>PKWT</v>
          </cell>
          <cell r="D201" t="str">
            <v>Inhouse Training Perawatan Railbus Padang</v>
          </cell>
          <cell r="E201">
            <v>0</v>
          </cell>
          <cell r="F201">
            <v>43171</v>
          </cell>
        </row>
        <row r="202">
          <cell r="B202" t="str">
            <v>NANANG ADI SAPUTRA</v>
          </cell>
          <cell r="C202" t="str">
            <v>PKWT</v>
          </cell>
          <cell r="D202" t="str">
            <v>Inhouse Training Perawatan Railbus Padang</v>
          </cell>
          <cell r="E202">
            <v>0</v>
          </cell>
          <cell r="F202">
            <v>43171</v>
          </cell>
        </row>
        <row r="203">
          <cell r="B203" t="str">
            <v>ANDI SUSILO</v>
          </cell>
          <cell r="C203" t="str">
            <v>IMSS</v>
          </cell>
          <cell r="D203" t="str">
            <v>Inhouse Training Kereta LRT Palembang</v>
          </cell>
          <cell r="E203">
            <v>0</v>
          </cell>
          <cell r="F203">
            <v>43197</v>
          </cell>
        </row>
        <row r="204">
          <cell r="B204" t="str">
            <v>EKO PRASTYO</v>
          </cell>
          <cell r="C204" t="str">
            <v>IMSS</v>
          </cell>
          <cell r="D204" t="str">
            <v>Inhouse Training Kereta LRT Palembang</v>
          </cell>
          <cell r="E204">
            <v>0</v>
          </cell>
          <cell r="F204">
            <v>43197</v>
          </cell>
        </row>
        <row r="205">
          <cell r="B205" t="str">
            <v>ANDY DWY BASTIAN</v>
          </cell>
          <cell r="C205" t="str">
            <v>PKWT</v>
          </cell>
          <cell r="D205" t="str">
            <v>Inhouse Training Kereta LRT Palembang</v>
          </cell>
          <cell r="E205">
            <v>0</v>
          </cell>
          <cell r="F205">
            <v>43197</v>
          </cell>
        </row>
        <row r="206">
          <cell r="B206" t="str">
            <v>KHOHAR LEO KURNIAWAN</v>
          </cell>
          <cell r="C206" t="str">
            <v>PKWT</v>
          </cell>
          <cell r="D206" t="str">
            <v>Inhouse Training Kereta LRT Palembang</v>
          </cell>
          <cell r="E206">
            <v>0</v>
          </cell>
          <cell r="F206">
            <v>43197</v>
          </cell>
        </row>
        <row r="207">
          <cell r="B207" t="str">
            <v>MUHAMMAD VINANDO WISNUSETIAWAN</v>
          </cell>
          <cell r="C207" t="str">
            <v>PKWT</v>
          </cell>
          <cell r="D207" t="str">
            <v>Inhouse Training Kereta LRT Palembang</v>
          </cell>
          <cell r="E207">
            <v>0</v>
          </cell>
          <cell r="F207">
            <v>43197</v>
          </cell>
        </row>
        <row r="208">
          <cell r="B208" t="str">
            <v>FEBRI PRASTYO</v>
          </cell>
          <cell r="C208" t="str">
            <v>PKWT</v>
          </cell>
          <cell r="D208" t="str">
            <v>Inhouse Training Perawatan Kereta Kedinasan</v>
          </cell>
          <cell r="E208">
            <v>0</v>
          </cell>
          <cell r="F208">
            <v>43222</v>
          </cell>
        </row>
        <row r="209">
          <cell r="B209" t="str">
            <v>KHOHAR LEO KURNIAWAN</v>
          </cell>
          <cell r="C209" t="str">
            <v>PKWT</v>
          </cell>
          <cell r="D209" t="str">
            <v xml:space="preserve">Inhouse Training Perawatan Loko CC DH 300 </v>
          </cell>
          <cell r="E209">
            <v>0</v>
          </cell>
          <cell r="F209">
            <v>43233</v>
          </cell>
        </row>
        <row r="210">
          <cell r="B210" t="str">
            <v>LAURENTIUS YHOAN KRISMANTARA</v>
          </cell>
          <cell r="C210" t="str">
            <v>PKWT</v>
          </cell>
          <cell r="D210" t="str">
            <v xml:space="preserve">Inhouse Training Perawatan Loko CC DH 300 </v>
          </cell>
          <cell r="E210">
            <v>0</v>
          </cell>
          <cell r="F210">
            <v>43233</v>
          </cell>
        </row>
        <row r="211">
          <cell r="B211" t="str">
            <v>FAILLA DZUL LUTHFI</v>
          </cell>
          <cell r="C211" t="str">
            <v>IMSS</v>
          </cell>
          <cell r="D211" t="str">
            <v>Workshop Upgrading IS0 9001:2015 Quality Management System</v>
          </cell>
          <cell r="E211">
            <v>0</v>
          </cell>
          <cell r="F211">
            <v>43234</v>
          </cell>
        </row>
        <row r="212">
          <cell r="B212" t="str">
            <v>RUDY SUSANTO</v>
          </cell>
          <cell r="C212" t="str">
            <v>IMSS</v>
          </cell>
          <cell r="D212" t="str">
            <v>Workshop Upgrading IS0 9001:2015 Quality Management System</v>
          </cell>
          <cell r="E212">
            <v>0</v>
          </cell>
          <cell r="F212">
            <v>43234</v>
          </cell>
        </row>
        <row r="213">
          <cell r="B213" t="str">
            <v>ANDI SUSILO</v>
          </cell>
          <cell r="C213" t="str">
            <v>IMSS</v>
          </cell>
          <cell r="D213" t="str">
            <v>Inhouse Training Perawatan Kereta Kedinasan</v>
          </cell>
          <cell r="E213">
            <v>0</v>
          </cell>
          <cell r="F213">
            <v>43241</v>
          </cell>
        </row>
        <row r="214">
          <cell r="B214" t="str">
            <v>AMRIN KURNIADI</v>
          </cell>
          <cell r="C214" t="str">
            <v>PKWT</v>
          </cell>
          <cell r="D214" t="str">
            <v>Inhouse Training Perawatan Kereta Kedinasan</v>
          </cell>
          <cell r="E214">
            <v>0</v>
          </cell>
          <cell r="F214">
            <v>43241</v>
          </cell>
        </row>
        <row r="215">
          <cell r="B215" t="str">
            <v>LAURENTIUS YHOAN KRISMANTARA</v>
          </cell>
          <cell r="C215" t="str">
            <v>PKWT</v>
          </cell>
          <cell r="D215" t="str">
            <v>Inhouse Training Perawatan Kereta Kedinasan</v>
          </cell>
          <cell r="E215">
            <v>0</v>
          </cell>
          <cell r="F215">
            <v>43241</v>
          </cell>
        </row>
        <row r="216">
          <cell r="B216" t="str">
            <v>SUWARDOYOK</v>
          </cell>
          <cell r="C216" t="str">
            <v>PKWT</v>
          </cell>
          <cell r="D216" t="str">
            <v>Inhouse Training Perawatan Kereta Kedinasan</v>
          </cell>
          <cell r="E216">
            <v>0</v>
          </cell>
          <cell r="F216">
            <v>43241</v>
          </cell>
        </row>
        <row r="217">
          <cell r="B217" t="str">
            <v>FEBRI PRASTYO</v>
          </cell>
          <cell r="C217" t="str">
            <v>PKWT</v>
          </cell>
          <cell r="D217" t="str">
            <v>Inhouse Training Perawatan Kereta Inspeksi</v>
          </cell>
          <cell r="E217">
            <v>0</v>
          </cell>
          <cell r="F217">
            <v>43271</v>
          </cell>
        </row>
        <row r="218">
          <cell r="B218" t="str">
            <v>NUR CAHYONO</v>
          </cell>
          <cell r="C218" t="str">
            <v>IMSS</v>
          </cell>
          <cell r="D218" t="str">
            <v>Inhouse Training Perawatan Kereta Inspeksi</v>
          </cell>
          <cell r="E218">
            <v>0</v>
          </cell>
          <cell r="F218">
            <v>43275</v>
          </cell>
        </row>
        <row r="219">
          <cell r="B219" t="str">
            <v>YUDI HANTORO</v>
          </cell>
          <cell r="C219" t="str">
            <v>PKWT</v>
          </cell>
          <cell r="D219" t="str">
            <v>Inhouse Training Perawatan Kereta Jenggala</v>
          </cell>
          <cell r="E219">
            <v>0</v>
          </cell>
          <cell r="F219">
            <v>43283</v>
          </cell>
        </row>
        <row r="220">
          <cell r="B220" t="str">
            <v>EKO PRASTYO</v>
          </cell>
          <cell r="C220" t="str">
            <v>IMSS</v>
          </cell>
          <cell r="D220" t="str">
            <v>Training Pengoperasian Dan Perawatan Light Rail (LRT) Palembang</v>
          </cell>
          <cell r="E220">
            <v>0</v>
          </cell>
          <cell r="F220">
            <v>43290</v>
          </cell>
        </row>
        <row r="221">
          <cell r="B221" t="str">
            <v>ANDY DWY BASTIAN</v>
          </cell>
          <cell r="C221" t="str">
            <v>PKWT</v>
          </cell>
          <cell r="D221" t="str">
            <v>Training Pengoperasian Dan Perawatan Light Rail (LRT) Palembang</v>
          </cell>
          <cell r="E221">
            <v>0</v>
          </cell>
          <cell r="F221">
            <v>43290</v>
          </cell>
        </row>
        <row r="222">
          <cell r="B222" t="str">
            <v>DWI ARI WIBOWO</v>
          </cell>
          <cell r="C222" t="str">
            <v>PKWT</v>
          </cell>
          <cell r="D222" t="str">
            <v>Training Pengoperasian Dan Perawatan Light Rail (LRT) Palembang</v>
          </cell>
          <cell r="E222">
            <v>0</v>
          </cell>
          <cell r="F222">
            <v>43290</v>
          </cell>
        </row>
        <row r="223">
          <cell r="B223" t="str">
            <v>SUDARMAWAN</v>
          </cell>
          <cell r="C223" t="str">
            <v>PKWT</v>
          </cell>
          <cell r="D223" t="str">
            <v>Training Pengoperasian Dan Perawatan Light Rail (LRT) Palembang</v>
          </cell>
          <cell r="E223">
            <v>0</v>
          </cell>
          <cell r="F223">
            <v>43290</v>
          </cell>
        </row>
        <row r="224">
          <cell r="B224" t="str">
            <v>MUHAMMAD VINANDO WISNUSETIAWAN</v>
          </cell>
          <cell r="C224" t="str">
            <v>PKWT</v>
          </cell>
          <cell r="D224" t="str">
            <v>Inhouse Training Perawatan ZZOW</v>
          </cell>
          <cell r="E224">
            <v>0</v>
          </cell>
          <cell r="F224">
            <v>43292</v>
          </cell>
        </row>
        <row r="225">
          <cell r="B225" t="str">
            <v>R. PRAJA KUSUMA NUGRAHA</v>
          </cell>
          <cell r="C225" t="str">
            <v>IMSS</v>
          </cell>
          <cell r="D225" t="str">
            <v>Sertifikasi Ahli Elektrikal</v>
          </cell>
          <cell r="E225">
            <v>0</v>
          </cell>
          <cell r="F225">
            <v>43294</v>
          </cell>
        </row>
        <row r="226">
          <cell r="B226" t="str">
            <v>BUDIONO</v>
          </cell>
          <cell r="C226" t="str">
            <v>IMSS</v>
          </cell>
          <cell r="D226" t="str">
            <v>Pelatihan Internal Perawatan Kereta Railbus Solo</v>
          </cell>
          <cell r="E226">
            <v>0</v>
          </cell>
          <cell r="F226">
            <v>43298</v>
          </cell>
        </row>
        <row r="227">
          <cell r="B227" t="str">
            <v>DWI ANNA ANDIK PRASETYO</v>
          </cell>
          <cell r="C227" t="str">
            <v>IMSS</v>
          </cell>
          <cell r="D227" t="str">
            <v>Sertifikasi Ahli Pemeliharaan dan Perawatan Gedung</v>
          </cell>
          <cell r="E227">
            <v>0</v>
          </cell>
          <cell r="F227">
            <v>43307</v>
          </cell>
        </row>
        <row r="228">
          <cell r="B228" t="str">
            <v>SUGIYANTO</v>
          </cell>
          <cell r="C228" t="str">
            <v>PKWT</v>
          </cell>
          <cell r="D228" t="str">
            <v>Training Tata Cara Pengoperasian KRL Bandara Soekarno Hatta</v>
          </cell>
          <cell r="E228">
            <v>0</v>
          </cell>
          <cell r="F228">
            <v>43307</v>
          </cell>
        </row>
        <row r="229">
          <cell r="B229" t="str">
            <v>RIZKY MAULANA INDROSAPUTRO</v>
          </cell>
          <cell r="C229" t="str">
            <v>PKWT</v>
          </cell>
          <cell r="D229" t="str">
            <v>Aplikasi Perkantoran (Ms Office)</v>
          </cell>
          <cell r="E229">
            <v>0</v>
          </cell>
          <cell r="F229">
            <v>43324</v>
          </cell>
        </row>
        <row r="230">
          <cell r="B230" t="str">
            <v>DODIK PANCA PRASETYAWAN</v>
          </cell>
          <cell r="C230" t="str">
            <v>PKWT</v>
          </cell>
          <cell r="D230" t="str">
            <v>Training Tata Cara Pengoperasian KRL Bandara Soekarno Hatta</v>
          </cell>
          <cell r="E230">
            <v>0</v>
          </cell>
          <cell r="F230">
            <v>43502</v>
          </cell>
        </row>
        <row r="231">
          <cell r="B231" t="str">
            <v>RIAN PRATAMA</v>
          </cell>
          <cell r="C231" t="str">
            <v>PKWT</v>
          </cell>
          <cell r="D231" t="str">
            <v>Training Tata Cara Pengoperasian KRL Bandara Soekarno Hatta</v>
          </cell>
          <cell r="E231">
            <v>0</v>
          </cell>
          <cell r="F231">
            <v>43502</v>
          </cell>
        </row>
        <row r="232">
          <cell r="B232" t="str">
            <v>SAHBAN ARIF</v>
          </cell>
          <cell r="C232" t="str">
            <v>PKWT</v>
          </cell>
          <cell r="D232" t="str">
            <v>Training Tata Cara Pengoperasian KRL Bandara Soekarno Hatta</v>
          </cell>
          <cell r="E232">
            <v>0</v>
          </cell>
          <cell r="F232">
            <v>43502</v>
          </cell>
        </row>
        <row r="233">
          <cell r="B233" t="str">
            <v xml:space="preserve">DERIZA DEBY DWIANTO </v>
          </cell>
          <cell r="C233" t="str">
            <v>IMSS</v>
          </cell>
          <cell r="D233" t="str">
            <v>Bimtek Keselamatan, Kesehatan Kerja Dan Pelatihan Pemadam Kebakaran</v>
          </cell>
          <cell r="E233">
            <v>0</v>
          </cell>
          <cell r="F233">
            <v>43523</v>
          </cell>
        </row>
        <row r="234">
          <cell r="B234" t="str">
            <v>IMRON ABIDIN</v>
          </cell>
          <cell r="C234" t="str">
            <v>IMSS</v>
          </cell>
          <cell r="D234" t="str">
            <v>Bimtek Keselamatan, Kesehatan Kerja Dan Pelatihan Pemadam Kebakaran</v>
          </cell>
          <cell r="E234">
            <v>0</v>
          </cell>
          <cell r="F234">
            <v>43523</v>
          </cell>
        </row>
        <row r="235">
          <cell r="B235" t="str">
            <v>MUHAMMAD YUNIAR FIJRIANTORO</v>
          </cell>
          <cell r="C235" t="str">
            <v>IMSS</v>
          </cell>
          <cell r="D235" t="str">
            <v>Inhouse Training Interpretasi Kriteria Penilaian Kinerja Unggul BUMN</v>
          </cell>
          <cell r="E235">
            <v>0</v>
          </cell>
          <cell r="F235">
            <v>43528</v>
          </cell>
        </row>
        <row r="236">
          <cell r="B236" t="str">
            <v>BUDIONO</v>
          </cell>
          <cell r="C236" t="str">
            <v>IMSS</v>
          </cell>
          <cell r="D236" t="str">
            <v>Aplikasi Perkantoran (Ms Office)</v>
          </cell>
          <cell r="E236">
            <v>0</v>
          </cell>
          <cell r="F236">
            <v>43556</v>
          </cell>
        </row>
        <row r="237">
          <cell r="B237" t="str">
            <v>R. PRAJA KUSUMA NUGRAHA</v>
          </cell>
          <cell r="C237" t="str">
            <v>IMSS</v>
          </cell>
          <cell r="D237" t="str">
            <v>Aplikasi Perkantoran (Ms Office)</v>
          </cell>
          <cell r="E237">
            <v>0</v>
          </cell>
          <cell r="F237">
            <v>43556</v>
          </cell>
        </row>
        <row r="238">
          <cell r="B238" t="str">
            <v>SATRIA GUSTIANA RAHARDI</v>
          </cell>
          <cell r="C238" t="str">
            <v>IMSS</v>
          </cell>
          <cell r="D238" t="str">
            <v>Aplikasi Perkantoran (Ms Office)</v>
          </cell>
          <cell r="E238">
            <v>0</v>
          </cell>
          <cell r="F238">
            <v>43556</v>
          </cell>
        </row>
        <row r="239">
          <cell r="B239" t="str">
            <v>FEBRI PRASTYO</v>
          </cell>
          <cell r="C239" t="str">
            <v>PKWT</v>
          </cell>
          <cell r="D239" t="str">
            <v>Aplikasi Perkantoran (Ms Office)</v>
          </cell>
          <cell r="E239">
            <v>0</v>
          </cell>
          <cell r="F239">
            <v>43556</v>
          </cell>
        </row>
        <row r="240">
          <cell r="B240" t="str">
            <v>DIMAS SUHARDIYONO</v>
          </cell>
          <cell r="C240" t="str">
            <v>IMSS</v>
          </cell>
          <cell r="D240" t="str">
            <v>Aplikasi Perkantoran (Ms Office)</v>
          </cell>
          <cell r="E240">
            <v>0</v>
          </cell>
          <cell r="F240">
            <v>43556</v>
          </cell>
        </row>
        <row r="241">
          <cell r="B241" t="str">
            <v>DEDE SUHENDRA</v>
          </cell>
          <cell r="C241" t="str">
            <v>PKWT</v>
          </cell>
          <cell r="D241" t="str">
            <v>Maintenance For Bangladesh Passenger Car</v>
          </cell>
          <cell r="E241">
            <v>0</v>
          </cell>
          <cell r="F241">
            <v>43591</v>
          </cell>
        </row>
        <row r="242">
          <cell r="B242" t="str">
            <v>HATMOKO HADI SAPUTRO</v>
          </cell>
          <cell r="C242" t="str">
            <v>PKWT</v>
          </cell>
          <cell r="D242" t="str">
            <v>Maintenance For Bangladesh Passenger Car</v>
          </cell>
          <cell r="E242">
            <v>0</v>
          </cell>
          <cell r="F242">
            <v>43591</v>
          </cell>
        </row>
        <row r="243">
          <cell r="B243" t="str">
            <v>MUHAMMAD RIKI HAMDANI</v>
          </cell>
          <cell r="C243" t="str">
            <v>PKWT</v>
          </cell>
          <cell r="D243" t="str">
            <v>Maintenance For Bangladesh Passenger Car</v>
          </cell>
          <cell r="E243">
            <v>0</v>
          </cell>
          <cell r="F243">
            <v>43591</v>
          </cell>
        </row>
        <row r="244">
          <cell r="B244" t="str">
            <v>RIYAN ANDIKA</v>
          </cell>
          <cell r="C244" t="str">
            <v>PKWT</v>
          </cell>
          <cell r="D244" t="str">
            <v>Maintenance For Bangladesh Passenger Car</v>
          </cell>
          <cell r="E244">
            <v>0</v>
          </cell>
          <cell r="F244">
            <v>43591</v>
          </cell>
        </row>
        <row r="245">
          <cell r="B245" t="str">
            <v>AGUNG DWI PRABOWO</v>
          </cell>
          <cell r="C245" t="str">
            <v>IMSS</v>
          </cell>
          <cell r="D245" t="str">
            <v>Sertifikasi Perawat Sarana Kereta Berpenggerak Non Listrik</v>
          </cell>
          <cell r="E245">
            <v>0</v>
          </cell>
          <cell r="F245">
            <v>43675</v>
          </cell>
        </row>
        <row r="246">
          <cell r="B246" t="str">
            <v>BRIANTO CAHYO NUGROHO</v>
          </cell>
          <cell r="C246" t="str">
            <v>IMSS</v>
          </cell>
          <cell r="D246" t="str">
            <v>Sertifikasi Perawat Sarana Kereta Berpenggerak Non Listrik</v>
          </cell>
          <cell r="E246">
            <v>0</v>
          </cell>
          <cell r="F246">
            <v>43675</v>
          </cell>
        </row>
        <row r="247">
          <cell r="B247" t="str">
            <v>UNGGUL WIDIYANTO</v>
          </cell>
          <cell r="C247" t="str">
            <v>IMSS</v>
          </cell>
          <cell r="D247" t="str">
            <v>Sertifikasi Perawat Sarana Kereta Berpenggerak Non Listrik</v>
          </cell>
          <cell r="E247">
            <v>0</v>
          </cell>
          <cell r="F247">
            <v>43675</v>
          </cell>
        </row>
        <row r="248">
          <cell r="B248" t="str">
            <v>AGIL ARDIANSAH</v>
          </cell>
          <cell r="C248" t="str">
            <v>PKWT</v>
          </cell>
          <cell r="D248" t="str">
            <v>Sertifikasi Perawat Sarana Kereta Berpenggerak Non Listrik</v>
          </cell>
          <cell r="E248">
            <v>0</v>
          </cell>
          <cell r="F248">
            <v>43675</v>
          </cell>
        </row>
        <row r="249">
          <cell r="B249" t="str">
            <v>ARIFIN PURNAWIRAWAN</v>
          </cell>
          <cell r="C249" t="str">
            <v>PKWT</v>
          </cell>
          <cell r="D249" t="str">
            <v>Sertifikasi Perawat Sarana Kereta Berpenggerak Non Listrik</v>
          </cell>
          <cell r="E249">
            <v>0</v>
          </cell>
          <cell r="F249">
            <v>43675</v>
          </cell>
        </row>
        <row r="250">
          <cell r="B250" t="str">
            <v>AZIZ MAHMUDI</v>
          </cell>
          <cell r="C250" t="str">
            <v>PKWT</v>
          </cell>
          <cell r="D250" t="str">
            <v>Sertifikasi Perawat Sarana Kereta Berpenggerak Non Listrik</v>
          </cell>
          <cell r="E250">
            <v>0</v>
          </cell>
          <cell r="F250">
            <v>43675</v>
          </cell>
        </row>
        <row r="251">
          <cell r="B251" t="str">
            <v>DIDI SETIAWAN</v>
          </cell>
          <cell r="C251" t="str">
            <v>PKWT</v>
          </cell>
          <cell r="D251" t="str">
            <v>Sertifikasi Perawat Sarana Kereta Berpenggerak Non Listrik</v>
          </cell>
          <cell r="E251">
            <v>0</v>
          </cell>
          <cell r="F251">
            <v>43675</v>
          </cell>
        </row>
        <row r="252">
          <cell r="B252" t="str">
            <v>SUGIYANTO</v>
          </cell>
          <cell r="C252" t="str">
            <v>PKWT</v>
          </cell>
          <cell r="D252" t="str">
            <v>Sertifikasi Perawat Sarana Kereta Berpenggerak Non Listrik</v>
          </cell>
          <cell r="E252">
            <v>0</v>
          </cell>
          <cell r="F252">
            <v>43675</v>
          </cell>
        </row>
        <row r="253">
          <cell r="B253" t="str">
            <v>SURYAT DWI PRAMONO</v>
          </cell>
          <cell r="C253" t="str">
            <v>PKWT</v>
          </cell>
          <cell r="D253" t="str">
            <v>Sertifikasi Perawat Sarana Kereta Berpenggerak Non Listrik</v>
          </cell>
          <cell r="E253">
            <v>0</v>
          </cell>
          <cell r="F253">
            <v>43675</v>
          </cell>
        </row>
        <row r="254">
          <cell r="B254" t="str">
            <v>VERRY CHRISDIANTORO RUBBIS</v>
          </cell>
          <cell r="C254" t="str">
            <v>PKWT</v>
          </cell>
          <cell r="D254" t="str">
            <v>Sertifikasi Perawat Sarana Kereta Berpenggerak Non Listrik</v>
          </cell>
          <cell r="E254">
            <v>0</v>
          </cell>
          <cell r="F254">
            <v>43675</v>
          </cell>
        </row>
        <row r="255">
          <cell r="B255" t="str">
            <v>ANDIKA SETYAWAN</v>
          </cell>
          <cell r="C255" t="str">
            <v>IMSS</v>
          </cell>
          <cell r="D255" t="str">
            <v>Sertifikasi Perawat Sarana Kereta Berpenggerak Non Listrik</v>
          </cell>
          <cell r="E255">
            <v>0</v>
          </cell>
          <cell r="F255">
            <v>43675</v>
          </cell>
        </row>
        <row r="256">
          <cell r="B256" t="str">
            <v>HERBIT DWI SAPUTRO</v>
          </cell>
          <cell r="C256" t="str">
            <v>IMSS</v>
          </cell>
          <cell r="D256" t="str">
            <v>Sertifikasi Perawat Sarana Kereta Berpenggerak Non Listrik</v>
          </cell>
          <cell r="E256">
            <v>0</v>
          </cell>
          <cell r="F256">
            <v>43675</v>
          </cell>
        </row>
        <row r="257">
          <cell r="B257" t="str">
            <v>AFFAN MISBAHUL MUKHLISON</v>
          </cell>
          <cell r="C257" t="str">
            <v>PKWT</v>
          </cell>
          <cell r="D257" t="str">
            <v xml:space="preserve">Pelatihan Pengoperasian Dan Perawatan LRT Jabodebek </v>
          </cell>
          <cell r="E257">
            <v>0</v>
          </cell>
          <cell r="F257">
            <v>43710</v>
          </cell>
        </row>
        <row r="258">
          <cell r="B258" t="str">
            <v>AGUS MAKMUN</v>
          </cell>
          <cell r="C258" t="str">
            <v>PKWT</v>
          </cell>
          <cell r="D258" t="str">
            <v xml:space="preserve">Pelatihan Pengoperasian Dan Perawatan LRT Jabodebek </v>
          </cell>
          <cell r="E258">
            <v>0</v>
          </cell>
          <cell r="F258">
            <v>43710</v>
          </cell>
        </row>
        <row r="259">
          <cell r="B259" t="str">
            <v>ARI SIHWANTO</v>
          </cell>
          <cell r="C259" t="str">
            <v>PKWT</v>
          </cell>
          <cell r="D259" t="str">
            <v xml:space="preserve">Pelatihan Pengoperasian Dan Perawatan LRT Jabodebek </v>
          </cell>
          <cell r="E259">
            <v>0</v>
          </cell>
          <cell r="F259">
            <v>43710</v>
          </cell>
        </row>
        <row r="260">
          <cell r="B260" t="str">
            <v>EDI PRASETIYAWAN</v>
          </cell>
          <cell r="C260" t="str">
            <v>PKWT</v>
          </cell>
          <cell r="D260" t="str">
            <v xml:space="preserve">Pelatihan Pengoperasian Dan Perawatan LRT Jabodebek </v>
          </cell>
          <cell r="E260">
            <v>0</v>
          </cell>
          <cell r="F260">
            <v>43710</v>
          </cell>
        </row>
        <row r="261">
          <cell r="B261" t="str">
            <v>RIFQI TEGAR LAKSONO</v>
          </cell>
          <cell r="C261" t="str">
            <v>IMSS</v>
          </cell>
          <cell r="D261" t="str">
            <v>Ppl Workshop Mengkaji Lebih Dalam Dampak Penerapan Psak 71, 72, Dan 73 Dalam Penyusunan Laporan Keuangan</v>
          </cell>
          <cell r="E261">
            <v>0</v>
          </cell>
          <cell r="F261">
            <v>43783</v>
          </cell>
        </row>
        <row r="262">
          <cell r="B262" t="str">
            <v>ANDI BAYU SAPUTRA</v>
          </cell>
          <cell r="C262" t="str">
            <v>PKWT</v>
          </cell>
          <cell r="D262" t="str">
            <v>Sertifikasi Pengelasan</v>
          </cell>
          <cell r="E262">
            <v>0</v>
          </cell>
          <cell r="F262">
            <v>43805</v>
          </cell>
        </row>
        <row r="263">
          <cell r="B263" t="str">
            <v>JULIUS DEBBY KRISTIYANTO</v>
          </cell>
          <cell r="C263" t="str">
            <v>IMSS</v>
          </cell>
          <cell r="D263" t="str">
            <v>Sertifikat Peranserta Bimbingan Teknis Sertifikasi Insinyur Profesional</v>
          </cell>
          <cell r="E263">
            <v>0</v>
          </cell>
          <cell r="F263">
            <v>44109</v>
          </cell>
        </row>
        <row r="264">
          <cell r="B264" t="str">
            <v>R. PRAJA KUSUMA NUGRAHA</v>
          </cell>
          <cell r="C264" t="str">
            <v>IMSS</v>
          </cell>
          <cell r="D264" t="str">
            <v>Sertifikat Peranserta Bimbingan Teknis Sertifikasi Insinyur Profesional</v>
          </cell>
          <cell r="E264">
            <v>0</v>
          </cell>
          <cell r="F264">
            <v>44109</v>
          </cell>
        </row>
        <row r="265">
          <cell r="B265" t="str">
            <v>BUDIONO</v>
          </cell>
          <cell r="C265" t="str">
            <v>IMSS</v>
          </cell>
          <cell r="D265" t="str">
            <v>Sertifikat Peranserta Bimbingan Teknis Sertifikasi Insinyur Profesional</v>
          </cell>
          <cell r="E265">
            <v>0</v>
          </cell>
          <cell r="F265">
            <v>44109</v>
          </cell>
        </row>
        <row r="266">
          <cell r="B266" t="str">
            <v>HARI SUBEKTI</v>
          </cell>
          <cell r="C266" t="str">
            <v>Organik</v>
          </cell>
          <cell r="D266" t="str">
            <v>Pelatihan Pengoperasian Dan Perawatan Lokomotif DH CC 300</v>
          </cell>
          <cell r="E266">
            <v>0</v>
          </cell>
          <cell r="F266">
            <v>44172</v>
          </cell>
        </row>
        <row r="267">
          <cell r="B267" t="str">
            <v>FEBRI HERDIAN</v>
          </cell>
          <cell r="C267" t="str">
            <v>PKWT</v>
          </cell>
          <cell r="D267" t="str">
            <v>Pelatihan Pengoperasian Dan Perawatan Lokomotif DH CC 300</v>
          </cell>
          <cell r="E267">
            <v>0</v>
          </cell>
          <cell r="F267">
            <v>44172</v>
          </cell>
        </row>
        <row r="268">
          <cell r="B268" t="str">
            <v>MUHTAROM</v>
          </cell>
          <cell r="C268" t="str">
            <v>PKWT</v>
          </cell>
          <cell r="D268" t="str">
            <v>Pelatihan Pengoperasian Dan Perawatan Lokomotif DH CC 300</v>
          </cell>
          <cell r="E268">
            <v>0</v>
          </cell>
          <cell r="F268">
            <v>44172</v>
          </cell>
        </row>
        <row r="269">
          <cell r="B269" t="str">
            <v>JULIUS DEBBY KRISTIYANTO</v>
          </cell>
          <cell r="C269" t="str">
            <v>IMSS</v>
          </cell>
          <cell r="D269" t="str">
            <v>Surat Tanda Registrasi Insinyur Pratama</v>
          </cell>
          <cell r="E269">
            <v>0</v>
          </cell>
          <cell r="F269">
            <v>44182</v>
          </cell>
        </row>
        <row r="270">
          <cell r="B270" t="str">
            <v>IMAM AGUS ASFARORI</v>
          </cell>
          <cell r="C270" t="str">
            <v>IMSS</v>
          </cell>
          <cell r="D270" t="str">
            <v>Pembinaan Dan Sertifikasi Calon Ahli K3 Umum</v>
          </cell>
          <cell r="E270">
            <v>0</v>
          </cell>
          <cell r="F270">
            <v>44298</v>
          </cell>
        </row>
        <row r="271">
          <cell r="B271" t="str">
            <v>SUTRISNO</v>
          </cell>
          <cell r="C271" t="str">
            <v>IMSS</v>
          </cell>
          <cell r="D271" t="str">
            <v>Pembinaan Dan Sertifikasi Calon Ahli K3 Umum</v>
          </cell>
          <cell r="E271">
            <v>0</v>
          </cell>
          <cell r="F271">
            <v>44298</v>
          </cell>
        </row>
        <row r="272">
          <cell r="B272" t="str">
            <v>BRIANTO CAHYO NUGROHO</v>
          </cell>
          <cell r="C272" t="str">
            <v>IMSS</v>
          </cell>
          <cell r="D272" t="str">
            <v>Pembinaan Dan Sertifikasi Calon Ahli K3 Umum</v>
          </cell>
          <cell r="E272">
            <v>0</v>
          </cell>
          <cell r="F272">
            <v>44634</v>
          </cell>
        </row>
        <row r="273">
          <cell r="B273" t="str">
            <v>R. PRAJA KUSUMA NUGRAHA</v>
          </cell>
          <cell r="C273" t="str">
            <v>IMSS</v>
          </cell>
          <cell r="D273" t="str">
            <v>Pembinaan Dan Sertifikasi Calon Ahli K3 Umum</v>
          </cell>
          <cell r="E273">
            <v>0</v>
          </cell>
          <cell r="F273">
            <v>44634</v>
          </cell>
        </row>
        <row r="274">
          <cell r="B274" t="str">
            <v>BUDIONO</v>
          </cell>
          <cell r="C274" t="str">
            <v>IMSS</v>
          </cell>
          <cell r="D274" t="str">
            <v>Pembinaan Dan Sertifikasi Calon Ahli K3 Umum</v>
          </cell>
          <cell r="E274">
            <v>0</v>
          </cell>
          <cell r="F274">
            <v>44634</v>
          </cell>
        </row>
        <row r="275">
          <cell r="B275" t="str">
            <v>ACHMAD IRFAN</v>
          </cell>
          <cell r="C275" t="str">
            <v>PKWT</v>
          </cell>
          <cell r="D275" t="str">
            <v>Pelatihan Perawatan KRL KfW</v>
          </cell>
          <cell r="E275">
            <v>0</v>
          </cell>
          <cell r="F275">
            <v>44802</v>
          </cell>
        </row>
        <row r="276">
          <cell r="B276" t="str">
            <v>AFFAN MISBAHUL MUKHLISON</v>
          </cell>
          <cell r="C276" t="str">
            <v>PKWT</v>
          </cell>
          <cell r="D276" t="str">
            <v>Pelatihan Perawatan KRL KfW</v>
          </cell>
          <cell r="E276">
            <v>0</v>
          </cell>
          <cell r="F276">
            <v>44802</v>
          </cell>
        </row>
        <row r="277">
          <cell r="B277" t="str">
            <v>AGUS WURYANTO</v>
          </cell>
          <cell r="C277" t="str">
            <v>Organik</v>
          </cell>
          <cell r="D277" t="str">
            <v>Pelatihan Perawatan KRL KfW</v>
          </cell>
          <cell r="E277">
            <v>0</v>
          </cell>
          <cell r="F277">
            <v>44802</v>
          </cell>
        </row>
        <row r="278">
          <cell r="B278" t="str">
            <v xml:space="preserve">ALFIAN NOER CRISTANTO </v>
          </cell>
          <cell r="C278" t="str">
            <v>PKWT</v>
          </cell>
          <cell r="D278" t="str">
            <v>Pelatihan Perawatan KRL KfW</v>
          </cell>
          <cell r="E278">
            <v>0</v>
          </cell>
          <cell r="F278">
            <v>44802</v>
          </cell>
        </row>
        <row r="279">
          <cell r="B279" t="str">
            <v xml:space="preserve">ANGGUN SETIO MITUHU </v>
          </cell>
          <cell r="C279" t="str">
            <v>PKWT</v>
          </cell>
          <cell r="D279" t="str">
            <v>Pelatihan Perawatan KRL KfW</v>
          </cell>
          <cell r="E279">
            <v>0</v>
          </cell>
          <cell r="F279">
            <v>44802</v>
          </cell>
        </row>
        <row r="280">
          <cell r="B280" t="str">
            <v>ARIF SUGIANTO</v>
          </cell>
          <cell r="C280" t="str">
            <v>PKWT</v>
          </cell>
          <cell r="D280" t="str">
            <v>Pelatihan Perawatan KRL KfW</v>
          </cell>
          <cell r="E280">
            <v>0</v>
          </cell>
          <cell r="F280">
            <v>44802</v>
          </cell>
        </row>
        <row r="281">
          <cell r="B281" t="str">
            <v>BAYU PRASETYO</v>
          </cell>
          <cell r="C281" t="str">
            <v>PKWT</v>
          </cell>
          <cell r="D281" t="str">
            <v>Pelatihan Perawatan KRL KfW</v>
          </cell>
          <cell r="E281">
            <v>0</v>
          </cell>
          <cell r="F281">
            <v>44802</v>
          </cell>
        </row>
        <row r="282">
          <cell r="B282" t="str">
            <v>DONI NUR ANGGI PRASETYO</v>
          </cell>
          <cell r="C282" t="str">
            <v>PKWT</v>
          </cell>
          <cell r="D282" t="str">
            <v>Pelatihan Perawatan KRL KfW</v>
          </cell>
          <cell r="E282">
            <v>0</v>
          </cell>
          <cell r="F282">
            <v>44802</v>
          </cell>
        </row>
        <row r="283">
          <cell r="B283" t="str">
            <v>FEBRI PRASTYO</v>
          </cell>
          <cell r="C283" t="str">
            <v>PKWT</v>
          </cell>
          <cell r="D283" t="str">
            <v>Pelatihan Perawatan KRL KfW</v>
          </cell>
          <cell r="E283">
            <v>0</v>
          </cell>
          <cell r="F283">
            <v>44802</v>
          </cell>
        </row>
        <row r="284">
          <cell r="B284" t="str">
            <v>HUDA BARANTO</v>
          </cell>
          <cell r="C284" t="str">
            <v>Organik</v>
          </cell>
          <cell r="D284" t="str">
            <v>Pelatihan Perawatan KRL KfW</v>
          </cell>
          <cell r="E284">
            <v>0</v>
          </cell>
          <cell r="F284">
            <v>44802</v>
          </cell>
        </row>
        <row r="285">
          <cell r="B285" t="str">
            <v>INGGIT WAHYU AFRIAN</v>
          </cell>
          <cell r="C285" t="str">
            <v>PKWT</v>
          </cell>
          <cell r="D285" t="str">
            <v>Pelatihan Perawatan KRL KfW</v>
          </cell>
          <cell r="E285">
            <v>0</v>
          </cell>
          <cell r="F285">
            <v>44802</v>
          </cell>
        </row>
        <row r="286">
          <cell r="B286" t="str">
            <v>JULIUS DEBBY KRISTIYANTO</v>
          </cell>
          <cell r="C286" t="str">
            <v>IMSS</v>
          </cell>
          <cell r="D286" t="str">
            <v>Pelatihan Perawatan KRL KfW</v>
          </cell>
          <cell r="E286">
            <v>0</v>
          </cell>
          <cell r="F286">
            <v>44802</v>
          </cell>
        </row>
        <row r="287">
          <cell r="B287" t="str">
            <v>NURUL ROCHMAN</v>
          </cell>
          <cell r="C287" t="str">
            <v>PKWT</v>
          </cell>
          <cell r="D287" t="str">
            <v>Pelatihan Perawatan KRL KfW</v>
          </cell>
          <cell r="E287">
            <v>0</v>
          </cell>
          <cell r="F287">
            <v>44802</v>
          </cell>
        </row>
        <row r="288">
          <cell r="B288" t="str">
            <v>PAMUNGKAS SASANGKA</v>
          </cell>
          <cell r="C288" t="str">
            <v>PKWT</v>
          </cell>
          <cell r="D288" t="str">
            <v>Pelatihan Perawatan KRL KfW</v>
          </cell>
          <cell r="E288">
            <v>0</v>
          </cell>
          <cell r="F288">
            <v>44802</v>
          </cell>
        </row>
        <row r="289">
          <cell r="B289" t="str">
            <v>PRIMA LESTIAN HERLAMBANG</v>
          </cell>
          <cell r="C289" t="str">
            <v>PKWT</v>
          </cell>
          <cell r="D289" t="str">
            <v>Pelatihan Perawatan KRL KfW</v>
          </cell>
          <cell r="E289">
            <v>0</v>
          </cell>
          <cell r="F289">
            <v>44802</v>
          </cell>
        </row>
        <row r="290">
          <cell r="B290" t="str">
            <v>RUDY SUSANTO</v>
          </cell>
          <cell r="C290" t="str">
            <v>IMSS</v>
          </cell>
          <cell r="D290" t="str">
            <v>Pelatihan Perawatan KRL KfW</v>
          </cell>
          <cell r="E290">
            <v>0</v>
          </cell>
          <cell r="F290">
            <v>44802</v>
          </cell>
        </row>
        <row r="291">
          <cell r="B291" t="str">
            <v>SUDARMAWAN</v>
          </cell>
          <cell r="C291" t="str">
            <v>PKWT</v>
          </cell>
          <cell r="D291" t="str">
            <v>Pelatihan Perawatan KRL KfW</v>
          </cell>
          <cell r="E291">
            <v>0</v>
          </cell>
          <cell r="F291">
            <v>44802</v>
          </cell>
        </row>
        <row r="292">
          <cell r="B292" t="str">
            <v>SUTRISNO</v>
          </cell>
          <cell r="C292" t="str">
            <v>PKWT</v>
          </cell>
          <cell r="D292" t="str">
            <v>Pelatihan Perawatan KRL KfW</v>
          </cell>
          <cell r="E292">
            <v>0</v>
          </cell>
          <cell r="F292">
            <v>44802</v>
          </cell>
        </row>
        <row r="293">
          <cell r="B293" t="str">
            <v xml:space="preserve">WIDHI MUSLIQIM SETYO PANGUDI </v>
          </cell>
          <cell r="C293" t="str">
            <v>PKWT</v>
          </cell>
          <cell r="D293" t="str">
            <v>Pelatihan Perawatan KRL KfW</v>
          </cell>
          <cell r="E293">
            <v>0</v>
          </cell>
          <cell r="F293">
            <v>44802</v>
          </cell>
        </row>
        <row r="294">
          <cell r="B294" t="str">
            <v>YULIANTORO</v>
          </cell>
          <cell r="C294" t="str">
            <v>PKWT</v>
          </cell>
          <cell r="D294" t="str">
            <v>Pelatihan Perawatan KRL KfW</v>
          </cell>
          <cell r="E294">
            <v>0</v>
          </cell>
          <cell r="F294">
            <v>44802</v>
          </cell>
        </row>
        <row r="295">
          <cell r="B295" t="str">
            <v>ALI OKTAVIAN HANDOKO</v>
          </cell>
          <cell r="C295" t="str">
            <v>PKWT</v>
          </cell>
          <cell r="D295" t="str">
            <v>Pembinaan Dan Sertifikasi Calon Ahli K3 Umum</v>
          </cell>
          <cell r="E295">
            <v>0</v>
          </cell>
          <cell r="F295">
            <v>44818</v>
          </cell>
        </row>
        <row r="296">
          <cell r="B296" t="str">
            <v>MOHAMAD SUKRON</v>
          </cell>
          <cell r="C296" t="str">
            <v>PKWT</v>
          </cell>
          <cell r="D296" t="str">
            <v>Sertifikasi Perawat Sarana Kereta Berpenggerak Listrik</v>
          </cell>
          <cell r="E296">
            <v>0</v>
          </cell>
          <cell r="F296">
            <v>44826</v>
          </cell>
        </row>
        <row r="297">
          <cell r="B297" t="str">
            <v>KURNIAWAN BUDIMULYA</v>
          </cell>
          <cell r="C297" t="str">
            <v>PKWT</v>
          </cell>
          <cell r="D297" t="str">
            <v>Sertifikasi Perawat Sarana Kereta Berpenggerak Listrik</v>
          </cell>
          <cell r="E297">
            <v>0</v>
          </cell>
          <cell r="F297">
            <v>44826</v>
          </cell>
        </row>
        <row r="298">
          <cell r="B298" t="str">
            <v>OSKAR ANGGARA</v>
          </cell>
          <cell r="C298" t="str">
            <v>PKWT</v>
          </cell>
          <cell r="D298" t="str">
            <v>Sertifikasi Perawat Sarana Kereta Berpenggerak Listrik</v>
          </cell>
          <cell r="E298">
            <v>0</v>
          </cell>
          <cell r="F298">
            <v>44826</v>
          </cell>
        </row>
        <row r="299">
          <cell r="B299" t="str">
            <v>DIAN WIRAWAN</v>
          </cell>
          <cell r="C299" t="str">
            <v>PKWT</v>
          </cell>
          <cell r="D299" t="str">
            <v>Sertifikasi Perawat Sarana Kereta Berpenggerak Listrik</v>
          </cell>
          <cell r="E299">
            <v>0</v>
          </cell>
          <cell r="F299">
            <v>44826</v>
          </cell>
        </row>
        <row r="300">
          <cell r="B300" t="str">
            <v>HEPI PUTRA RAHARJA</v>
          </cell>
          <cell r="C300" t="str">
            <v>PKWT</v>
          </cell>
          <cell r="D300" t="str">
            <v>Sertifikasi Perawat Sarana Kereta Berpenggerak Listrik</v>
          </cell>
          <cell r="E300">
            <v>0</v>
          </cell>
          <cell r="F300">
            <v>44826</v>
          </cell>
        </row>
        <row r="301">
          <cell r="B301" t="str">
            <v>AHMAD RIZAL</v>
          </cell>
          <cell r="C301" t="str">
            <v>PKWT</v>
          </cell>
          <cell r="D301" t="str">
            <v>Sertifikasi Perawat Sarana Kereta Berpenggerak Listrik</v>
          </cell>
          <cell r="E301">
            <v>0</v>
          </cell>
          <cell r="F301">
            <v>44826</v>
          </cell>
        </row>
        <row r="302">
          <cell r="B302" t="str">
            <v>ARI SIHWANTO</v>
          </cell>
          <cell r="C302" t="str">
            <v>PKWT</v>
          </cell>
          <cell r="D302" t="str">
            <v>Sertifikasi Perawat Sarana Kereta Berpenggerak Listrik</v>
          </cell>
          <cell r="E302">
            <v>0</v>
          </cell>
          <cell r="F302">
            <v>44826</v>
          </cell>
        </row>
        <row r="303">
          <cell r="B303" t="str">
            <v>AHMAD SYAIFUL ANWAR</v>
          </cell>
          <cell r="C303" t="str">
            <v>PKWT</v>
          </cell>
          <cell r="D303" t="str">
            <v>Sertifikasi Perawat Sarana Kereta Berpenggerak Listrik</v>
          </cell>
          <cell r="E303">
            <v>0</v>
          </cell>
          <cell r="F303">
            <v>44826</v>
          </cell>
        </row>
        <row r="304">
          <cell r="B304" t="str">
            <v>ARHANUL FARIZ</v>
          </cell>
          <cell r="C304" t="str">
            <v>PKWT</v>
          </cell>
          <cell r="D304" t="str">
            <v>Sertifikasi Perawat Sarana Kereta Berpenggerak Listrik</v>
          </cell>
          <cell r="E304">
            <v>0</v>
          </cell>
          <cell r="F304">
            <v>44826</v>
          </cell>
        </row>
        <row r="305">
          <cell r="B305" t="str">
            <v>BAGUS ISTIANDARU</v>
          </cell>
          <cell r="C305" t="str">
            <v>PKWT</v>
          </cell>
          <cell r="D305" t="str">
            <v>Sertifikasi Perawat Sarana Kereta Berpenggerak Listrik</v>
          </cell>
          <cell r="E305">
            <v>0</v>
          </cell>
          <cell r="F305">
            <v>44826</v>
          </cell>
        </row>
        <row r="306">
          <cell r="B306" t="str">
            <v>DONY PRAMONO</v>
          </cell>
          <cell r="C306" t="str">
            <v>PKWT</v>
          </cell>
          <cell r="D306" t="str">
            <v>Sertifikasi Perawat Sarana Kereta Berpenggerak Listrik</v>
          </cell>
          <cell r="E306">
            <v>0</v>
          </cell>
          <cell r="F306">
            <v>44826</v>
          </cell>
        </row>
        <row r="307">
          <cell r="B307" t="str">
            <v>MUHAMAD PRABOWO</v>
          </cell>
          <cell r="C307" t="str">
            <v>PKWT</v>
          </cell>
          <cell r="D307" t="str">
            <v>Sertifikasi Perawat Sarana Kereta Berpenggerak Listrik</v>
          </cell>
          <cell r="E307">
            <v>0</v>
          </cell>
          <cell r="F307">
            <v>44826</v>
          </cell>
        </row>
        <row r="308">
          <cell r="B308" t="str">
            <v>AGUS MAKMUN</v>
          </cell>
          <cell r="C308" t="str">
            <v>PKWT</v>
          </cell>
          <cell r="D308" t="str">
            <v>Sertifikasi Perawat Sarana Kereta Berpenggerak Listrik</v>
          </cell>
          <cell r="E308">
            <v>0</v>
          </cell>
          <cell r="F308">
            <v>44826</v>
          </cell>
        </row>
        <row r="309">
          <cell r="B309" t="str">
            <v>HATMOKO HADI SAPUTRO</v>
          </cell>
          <cell r="C309" t="str">
            <v>PKWT</v>
          </cell>
          <cell r="D309" t="str">
            <v>Sertifikasi Perawat Sarana Kereta Berpenggerak Listrik</v>
          </cell>
          <cell r="E309">
            <v>0</v>
          </cell>
          <cell r="F309">
            <v>44826</v>
          </cell>
        </row>
        <row r="310">
          <cell r="B310" t="str">
            <v>ABDUL MUJIB</v>
          </cell>
          <cell r="C310" t="str">
            <v>PKWT</v>
          </cell>
          <cell r="D310" t="str">
            <v>Sertifikasi Perawat Sarana Kereta Berpenggerak Listrik</v>
          </cell>
          <cell r="E310">
            <v>0</v>
          </cell>
          <cell r="F310">
            <v>44826</v>
          </cell>
        </row>
        <row r="311">
          <cell r="B311" t="str">
            <v>BERRY HARTANTO</v>
          </cell>
          <cell r="C311" t="str">
            <v>PKWT</v>
          </cell>
          <cell r="D311" t="str">
            <v>Sertifikasi Perawat Sarana Kereta Berpenggerak Listrik</v>
          </cell>
          <cell r="E311">
            <v>0</v>
          </cell>
          <cell r="F311">
            <v>44826</v>
          </cell>
        </row>
        <row r="312">
          <cell r="B312" t="str">
            <v>FEBRIANSYAH</v>
          </cell>
          <cell r="C312" t="str">
            <v>PKWT</v>
          </cell>
          <cell r="D312" t="str">
            <v>Sertifikasi Perawat Sarana Kereta Berpenggerak Listrik</v>
          </cell>
          <cell r="E312">
            <v>0</v>
          </cell>
          <cell r="F312">
            <v>44826</v>
          </cell>
        </row>
        <row r="313">
          <cell r="B313" t="str">
            <v>MUHAMMAD IQBAL</v>
          </cell>
          <cell r="C313" t="str">
            <v>PKWT</v>
          </cell>
          <cell r="D313" t="str">
            <v>Sertifikasi Perawat Sarana Kereta Berpenggerak Listrik</v>
          </cell>
          <cell r="E313">
            <v>0</v>
          </cell>
          <cell r="F313">
            <v>44826</v>
          </cell>
        </row>
        <row r="314">
          <cell r="B314" t="str">
            <v>RENDHY EKO NUR CAHYO</v>
          </cell>
          <cell r="C314" t="str">
            <v>PKWT</v>
          </cell>
          <cell r="D314" t="str">
            <v>Sertifikasi Perawat Sarana Kereta Berpenggerak Listrik</v>
          </cell>
          <cell r="E314">
            <v>0</v>
          </cell>
          <cell r="F314">
            <v>44826</v>
          </cell>
        </row>
        <row r="315">
          <cell r="B315" t="str">
            <v>ADHIP WIDODO</v>
          </cell>
          <cell r="C315" t="str">
            <v>PKWT</v>
          </cell>
          <cell r="D315" t="str">
            <v>Sertifikasi Perawat Sarana Kereta Berpenggerak Listrik</v>
          </cell>
          <cell r="E315">
            <v>0</v>
          </cell>
          <cell r="F315">
            <v>44826</v>
          </cell>
        </row>
        <row r="316">
          <cell r="B316" t="str">
            <v>YOLANDHA ERHASYA TALITAFANI</v>
          </cell>
          <cell r="C316" t="str">
            <v>PKWT</v>
          </cell>
          <cell r="D316" t="str">
            <v>Pembinaan Dan Sertifikasi Calon Ahli K3 Umum</v>
          </cell>
          <cell r="E316">
            <v>0</v>
          </cell>
          <cell r="F316">
            <v>44866</v>
          </cell>
        </row>
        <row r="317">
          <cell r="B317" t="str">
            <v>DONI NUR ANGGI PRASETYO</v>
          </cell>
          <cell r="C317" t="str">
            <v>PKWT</v>
          </cell>
          <cell r="D317" t="str">
            <v>Pembinaan Dan Sertifikasi Calon Ahli K3 Umum</v>
          </cell>
          <cell r="E317">
            <v>0</v>
          </cell>
          <cell r="F317">
            <v>44953</v>
          </cell>
        </row>
        <row r="318">
          <cell r="B318" t="str">
            <v>FALLAH DZUNURAINI</v>
          </cell>
          <cell r="C318" t="str">
            <v>Resign</v>
          </cell>
          <cell r="D318" t="str">
            <v>Pembinaan Dan Sertifikasi Calon Ahli K3 Umum</v>
          </cell>
          <cell r="E318">
            <v>0</v>
          </cell>
          <cell r="F318">
            <v>44953</v>
          </cell>
        </row>
        <row r="319">
          <cell r="B319" t="str">
            <v>M. AKHIRUL RAMADHAN</v>
          </cell>
          <cell r="C319" t="str">
            <v>PKWT</v>
          </cell>
          <cell r="D319" t="str">
            <v>Pembinaan Dan Sertifikasi Calon Ahli K3 Umum</v>
          </cell>
          <cell r="E319">
            <v>0</v>
          </cell>
          <cell r="F319">
            <v>44953</v>
          </cell>
        </row>
        <row r="320">
          <cell r="B320" t="str">
            <v>RANDI ARDIMAN</v>
          </cell>
          <cell r="C320" t="str">
            <v>PKWT</v>
          </cell>
          <cell r="D320" t="str">
            <v>Pembinaan Dan Sertifikasi Calon Ahli K3 Umum</v>
          </cell>
          <cell r="E320">
            <v>0</v>
          </cell>
          <cell r="F320">
            <v>44953</v>
          </cell>
        </row>
        <row r="321">
          <cell r="B321" t="str">
            <v>RIZKI NOVRIANSYAH</v>
          </cell>
          <cell r="C321" t="str">
            <v>PKWT</v>
          </cell>
          <cell r="D321" t="str">
            <v>Pembinaan Dan Sertifikasi Calon Ahli K3 Umum</v>
          </cell>
          <cell r="E321">
            <v>0</v>
          </cell>
          <cell r="F321">
            <v>44953</v>
          </cell>
        </row>
        <row r="322">
          <cell r="B322" t="str">
            <v>SHOFWAN MAHSYURDIN</v>
          </cell>
          <cell r="C322" t="str">
            <v>PKWT</v>
          </cell>
          <cell r="D322" t="str">
            <v>Pembinaan Dan Sertifikasi Calon Ahli K3 Umum</v>
          </cell>
          <cell r="E322">
            <v>0</v>
          </cell>
          <cell r="F322">
            <v>44953</v>
          </cell>
        </row>
        <row r="323">
          <cell r="B323" t="str">
            <v>FUAD AZIZ</v>
          </cell>
          <cell r="C323" t="str">
            <v>Organik</v>
          </cell>
          <cell r="D323" t="str">
            <v>Pelatihan Awareness dan Audit Internal ISO 45001:2018</v>
          </cell>
          <cell r="E323">
            <v>0</v>
          </cell>
          <cell r="F323">
            <v>44958</v>
          </cell>
        </row>
        <row r="324">
          <cell r="B324" t="str">
            <v xml:space="preserve">BAGUS DWI CAHYONO </v>
          </cell>
          <cell r="C324" t="str">
            <v>IMSS</v>
          </cell>
          <cell r="D324" t="str">
            <v>Pelatihan Pengendalian Kualitas, Manajemen Risiko dan Pengelolaan Persediaan</v>
          </cell>
          <cell r="E324">
            <v>0</v>
          </cell>
          <cell r="F324">
            <v>45056</v>
          </cell>
        </row>
        <row r="325">
          <cell r="B325" t="str">
            <v>R. PRAJA KUSUMA NUGRAHA</v>
          </cell>
          <cell r="C325" t="str">
            <v>IMSS</v>
          </cell>
          <cell r="D325" t="str">
            <v>Pelatihan Pengendalian Kualitas, Manajemen Risiko dan Pengelolaan Persediaan</v>
          </cell>
          <cell r="E325">
            <v>0</v>
          </cell>
          <cell r="F325">
            <v>45056</v>
          </cell>
        </row>
        <row r="326">
          <cell r="B326" t="str">
            <v>DEVIANA FATKULKHOIR</v>
          </cell>
          <cell r="C326" t="str">
            <v>PKWT</v>
          </cell>
          <cell r="D326" t="str">
            <v>Pelatihan Pengendalian Kualitas, Manajemen Risiko dan Pengelolaan Persediaan</v>
          </cell>
          <cell r="E326">
            <v>0</v>
          </cell>
          <cell r="F326">
            <v>45056</v>
          </cell>
        </row>
        <row r="327">
          <cell r="B327" t="str">
            <v>MOHAMMAD RIDWAN ISMAIL</v>
          </cell>
          <cell r="C327" t="str">
            <v>PKWT</v>
          </cell>
          <cell r="D327" t="str">
            <v>Sertifikasi Operator Forklift</v>
          </cell>
          <cell r="E327">
            <v>0</v>
          </cell>
          <cell r="F327">
            <v>45068</v>
          </cell>
        </row>
        <row r="328">
          <cell r="B328" t="str">
            <v>ROFINGI</v>
          </cell>
          <cell r="C328" t="str">
            <v>PKWT</v>
          </cell>
          <cell r="D328" t="str">
            <v>Sertifikasi Operator Forklift</v>
          </cell>
          <cell r="E328">
            <v>0</v>
          </cell>
          <cell r="F328">
            <v>45068</v>
          </cell>
        </row>
        <row r="329">
          <cell r="B329" t="str">
            <v>WAHAB</v>
          </cell>
          <cell r="C329" t="str">
            <v>PKWT</v>
          </cell>
          <cell r="D329" t="str">
            <v>Sertifikasi Operator Forklift</v>
          </cell>
          <cell r="E329">
            <v>0</v>
          </cell>
          <cell r="F329">
            <v>45068</v>
          </cell>
        </row>
        <row r="330">
          <cell r="B330" t="str">
            <v>AGUS PRASETYO</v>
          </cell>
          <cell r="C330" t="str">
            <v>PKWT</v>
          </cell>
          <cell r="D330" t="str">
            <v>Sertifikasi Operator Forklift</v>
          </cell>
          <cell r="E330">
            <v>0</v>
          </cell>
          <cell r="F330">
            <v>45068</v>
          </cell>
        </row>
        <row r="331">
          <cell r="B331" t="str">
            <v>EKO NUR CAHYO PUTRO</v>
          </cell>
          <cell r="C331" t="str">
            <v>PKWT</v>
          </cell>
          <cell r="D331" t="str">
            <v>Sertifikasi Operator Forklift</v>
          </cell>
          <cell r="E331">
            <v>0</v>
          </cell>
          <cell r="F331">
            <v>45068</v>
          </cell>
        </row>
        <row r="332">
          <cell r="B332" t="str">
            <v>QHOIRUL WAFIUDDIN</v>
          </cell>
          <cell r="C332" t="str">
            <v>PKWT</v>
          </cell>
          <cell r="D332" t="str">
            <v>Sertifikasi Operator Forklift</v>
          </cell>
          <cell r="E332">
            <v>0</v>
          </cell>
          <cell r="F332">
            <v>45068</v>
          </cell>
        </row>
        <row r="333">
          <cell r="B333" t="str">
            <v>KHOIRI BAYU SETIAWAN</v>
          </cell>
          <cell r="C333" t="str">
            <v>PKWT</v>
          </cell>
          <cell r="D333" t="str">
            <v>Sertifikasi Operator Forklift</v>
          </cell>
          <cell r="E333">
            <v>0</v>
          </cell>
          <cell r="F333">
            <v>45068</v>
          </cell>
        </row>
        <row r="334">
          <cell r="B334" t="str">
            <v>KOMARUZZAMAN</v>
          </cell>
          <cell r="C334" t="str">
            <v>PKWT</v>
          </cell>
          <cell r="D334" t="str">
            <v>Sertifikasi Operator Forklift</v>
          </cell>
          <cell r="E334">
            <v>0</v>
          </cell>
          <cell r="F334">
            <v>45068</v>
          </cell>
        </row>
        <row r="335">
          <cell r="B335" t="str">
            <v>LAURENTIUS YHOAN KRISMANTARA</v>
          </cell>
          <cell r="C335" t="str">
            <v>PKWT</v>
          </cell>
          <cell r="D335" t="str">
            <v>Sertifikasi Operator Forklift</v>
          </cell>
          <cell r="E335">
            <v>0</v>
          </cell>
          <cell r="F335">
            <v>45068</v>
          </cell>
        </row>
        <row r="336">
          <cell r="B336" t="str">
            <v>SIGIT WAHYU PRASTYO</v>
          </cell>
          <cell r="C336" t="str">
            <v>PKWT</v>
          </cell>
          <cell r="D336" t="str">
            <v>Sertifikasi Operator Crane</v>
          </cell>
          <cell r="E336">
            <v>0</v>
          </cell>
          <cell r="F336">
            <v>45068</v>
          </cell>
        </row>
        <row r="337">
          <cell r="B337" t="str">
            <v>TRI BAGUS RIDHO KURNIAWAN</v>
          </cell>
          <cell r="C337" t="str">
            <v>PKWT</v>
          </cell>
          <cell r="D337" t="str">
            <v>Sertifikasi Operator Crane</v>
          </cell>
          <cell r="E337">
            <v>0</v>
          </cell>
          <cell r="F337">
            <v>45068</v>
          </cell>
        </row>
        <row r="338">
          <cell r="B338" t="str">
            <v>FERRY APRIANTO</v>
          </cell>
          <cell r="C338" t="str">
            <v>PKWT</v>
          </cell>
          <cell r="D338" t="str">
            <v>Sertifikasi Operator Crane</v>
          </cell>
          <cell r="E338">
            <v>0</v>
          </cell>
          <cell r="F338">
            <v>45068</v>
          </cell>
        </row>
        <row r="339">
          <cell r="B339" t="str">
            <v>RIKO SANJAYA</v>
          </cell>
          <cell r="C339" t="str">
            <v>PKWT</v>
          </cell>
          <cell r="D339" t="str">
            <v>Sertifikasi Operator Crane</v>
          </cell>
          <cell r="E339">
            <v>0</v>
          </cell>
          <cell r="F339">
            <v>45068</v>
          </cell>
        </row>
        <row r="340">
          <cell r="B340" t="str">
            <v>HARIANTO</v>
          </cell>
          <cell r="C340" t="str">
            <v>PKWT</v>
          </cell>
          <cell r="D340" t="str">
            <v>Sertifikasi Operator Crane</v>
          </cell>
          <cell r="E340">
            <v>0</v>
          </cell>
          <cell r="F340">
            <v>45068</v>
          </cell>
        </row>
        <row r="341">
          <cell r="B341" t="str">
            <v>ZA'IM NAUFAL HABIB</v>
          </cell>
          <cell r="C341" t="str">
            <v>PKWT</v>
          </cell>
          <cell r="D341" t="str">
            <v>Pembinaan Dan Sertifikasi Calon Ahli K3 Umum</v>
          </cell>
          <cell r="E341">
            <v>0</v>
          </cell>
          <cell r="F341">
            <v>44756</v>
          </cell>
        </row>
        <row r="342">
          <cell r="B342" t="str">
            <v>ARI IRAWAN</v>
          </cell>
          <cell r="C342" t="str">
            <v>PKWT</v>
          </cell>
          <cell r="D342" t="str">
            <v>Pembinaan Dan Sertifikasi Calon Ahli K3 Umum</v>
          </cell>
          <cell r="E342">
            <v>0</v>
          </cell>
          <cell r="F342">
            <v>44763</v>
          </cell>
        </row>
        <row r="343">
          <cell r="B343" t="str">
            <v>ASEP SAEPUL MUGNI</v>
          </cell>
          <cell r="C343" t="str">
            <v>PKWT</v>
          </cell>
          <cell r="D343" t="str">
            <v>Pembinaan Dan Sertifikasi Calon Ahli K3 Umum</v>
          </cell>
          <cell r="E343">
            <v>0</v>
          </cell>
          <cell r="F343">
            <v>44558</v>
          </cell>
        </row>
        <row r="344">
          <cell r="B344" t="str">
            <v>AGIL ARDIANSAH</v>
          </cell>
          <cell r="C344" t="str">
            <v>PKWT</v>
          </cell>
          <cell r="D344" t="str">
            <v>Sertifikasi Awak Sarana Perkeretaapian Otomatis</v>
          </cell>
          <cell r="E344">
            <v>0</v>
          </cell>
          <cell r="F344">
            <v>44559</v>
          </cell>
        </row>
        <row r="345">
          <cell r="B345" t="str">
            <v>GHOZIE NAFIIRI FATHUL ADHIM</v>
          </cell>
          <cell r="C345" t="str">
            <v>PKWT</v>
          </cell>
          <cell r="D345" t="str">
            <v>Sertifikasi Awak Sarana Perkeretaapian Otomatis</v>
          </cell>
          <cell r="E345">
            <v>0</v>
          </cell>
          <cell r="F345">
            <v>44559</v>
          </cell>
        </row>
        <row r="346">
          <cell r="B346" t="str">
            <v>DIMAS MUCHSIN ARDIANSYAH</v>
          </cell>
          <cell r="C346" t="str">
            <v>PKWT</v>
          </cell>
          <cell r="D346" t="str">
            <v>Sertifikasi Awak Sarana Perkeretaapian Otomatis</v>
          </cell>
          <cell r="E346">
            <v>0</v>
          </cell>
          <cell r="F346">
            <v>44559</v>
          </cell>
        </row>
        <row r="347">
          <cell r="B347" t="str">
            <v>DIMAS ENGGAR PAMBUDI</v>
          </cell>
          <cell r="C347" t="str">
            <v>PKWT</v>
          </cell>
          <cell r="D347" t="str">
            <v>Sertifikasi Awak Sarana Perkeretaapian Otomatis</v>
          </cell>
          <cell r="E347">
            <v>0</v>
          </cell>
          <cell r="F347">
            <v>44559</v>
          </cell>
        </row>
        <row r="348">
          <cell r="B348" t="str">
            <v>CATUR BUMI LAKSANA</v>
          </cell>
          <cell r="C348" t="str">
            <v>PKWT</v>
          </cell>
          <cell r="D348" t="str">
            <v>Sertifikasi Awak Sarana Perkeretaapian Otomatis</v>
          </cell>
          <cell r="E348">
            <v>0</v>
          </cell>
          <cell r="F348">
            <v>44559</v>
          </cell>
        </row>
        <row r="349">
          <cell r="B349" t="str">
            <v>AHMAD ZAJULI</v>
          </cell>
          <cell r="C349" t="str">
            <v>PKWT</v>
          </cell>
          <cell r="D349" t="str">
            <v>Sertifikasi Awak Sarana Perkeretaapian Otomatis</v>
          </cell>
          <cell r="E349">
            <v>0</v>
          </cell>
          <cell r="F349">
            <v>44559</v>
          </cell>
        </row>
        <row r="350">
          <cell r="B350" t="str">
            <v>FUAD AZIZ</v>
          </cell>
          <cell r="C350" t="str">
            <v>Organik</v>
          </cell>
          <cell r="D350" t="str">
            <v>Pembinaan Dan Sertifikasi Calon Ahli K3 Umum</v>
          </cell>
          <cell r="E350">
            <v>0</v>
          </cell>
          <cell r="F350">
            <v>45113</v>
          </cell>
        </row>
        <row r="351">
          <cell r="B351" t="str">
            <v>RAHARDIAN INDRA MAYURIIDZ</v>
          </cell>
          <cell r="C351" t="str">
            <v>Organik</v>
          </cell>
          <cell r="D351" t="str">
            <v>Pembianaan dan Sertifikasi Pemadam Kebakaran Kelas D</v>
          </cell>
          <cell r="E351">
            <v>0</v>
          </cell>
          <cell r="F351">
            <v>45264</v>
          </cell>
        </row>
        <row r="352">
          <cell r="B352" t="str">
            <v>ADRIAN JUNIOR SETYAWAN</v>
          </cell>
          <cell r="C352" t="str">
            <v>PKWT</v>
          </cell>
          <cell r="D352" t="str">
            <v>Sertifikasi Perawat Sarana Kereta Berpenggerak Listrik</v>
          </cell>
          <cell r="E352">
            <v>0</v>
          </cell>
          <cell r="F352">
            <v>45222</v>
          </cell>
        </row>
        <row r="353">
          <cell r="B353" t="str">
            <v>ALFI DIMAS SUGIANTO</v>
          </cell>
          <cell r="C353" t="str">
            <v>PKWT</v>
          </cell>
          <cell r="D353" t="str">
            <v>Sertifikasi Perawat Sarana Kereta Berpenggerak Listrik</v>
          </cell>
          <cell r="E353">
            <v>0</v>
          </cell>
          <cell r="F353">
            <v>45222</v>
          </cell>
        </row>
        <row r="354">
          <cell r="B354" t="str">
            <v>HARSY AJIESEFTIAN</v>
          </cell>
          <cell r="C354" t="str">
            <v>Resign</v>
          </cell>
          <cell r="D354" t="str">
            <v>Sertifikasi Perawat Sarana Kereta Berpenggerak Listrik</v>
          </cell>
          <cell r="E354">
            <v>0</v>
          </cell>
          <cell r="F354">
            <v>45222</v>
          </cell>
        </row>
        <row r="355">
          <cell r="B355" t="str">
            <v>ISMAIL</v>
          </cell>
          <cell r="C355" t="str">
            <v>PKWT</v>
          </cell>
          <cell r="D355" t="str">
            <v>Sertifikasi Perawat Sarana Kereta Berpenggerak Listrik</v>
          </cell>
          <cell r="E355">
            <v>0</v>
          </cell>
          <cell r="F355">
            <v>45222</v>
          </cell>
        </row>
        <row r="356">
          <cell r="B356" t="str">
            <v>MOCHAMAD SANDI NUR RAMADAN</v>
          </cell>
          <cell r="C356" t="str">
            <v>PKWT</v>
          </cell>
          <cell r="D356" t="str">
            <v>Sertifikasi Perawat Sarana Kereta Berpenggerak Listrik</v>
          </cell>
          <cell r="E356">
            <v>0</v>
          </cell>
          <cell r="F356">
            <v>45222</v>
          </cell>
        </row>
        <row r="357">
          <cell r="B357" t="str">
            <v>MUHAMAD NURUL IRFAN</v>
          </cell>
          <cell r="C357" t="str">
            <v>PKWT</v>
          </cell>
          <cell r="D357" t="str">
            <v>Sertifikasi Perawat Sarana Kereta Berpenggerak Listrik</v>
          </cell>
          <cell r="E357">
            <v>0</v>
          </cell>
          <cell r="F357">
            <v>45222</v>
          </cell>
        </row>
        <row r="358">
          <cell r="B358" t="str">
            <v>AFFAN MISBAHUL MUKHLISON</v>
          </cell>
          <cell r="C358" t="str">
            <v>PKWT</v>
          </cell>
          <cell r="D358" t="str">
            <v>Sertifikasi Perawat Sarana Kereta Berpenggerak Listrik</v>
          </cell>
          <cell r="E358">
            <v>0</v>
          </cell>
          <cell r="F358">
            <v>45222</v>
          </cell>
        </row>
        <row r="359">
          <cell r="B359" t="str">
            <v>ARIF SUGIANTO</v>
          </cell>
          <cell r="C359" t="str">
            <v>PKWT</v>
          </cell>
          <cell r="D359" t="str">
            <v>Sertifikasi Perawat Sarana Kereta Berpenggerak Listrik</v>
          </cell>
          <cell r="E359">
            <v>0</v>
          </cell>
          <cell r="F359">
            <v>45222</v>
          </cell>
        </row>
        <row r="360">
          <cell r="B360" t="str">
            <v>MUHAMMAD VINANDO WISNUSETIAWAN</v>
          </cell>
          <cell r="C360" t="str">
            <v>PKWT</v>
          </cell>
          <cell r="D360" t="str">
            <v>Sertifikasi Perawat Sarana Kereta Berpenggerak Listrik</v>
          </cell>
          <cell r="E360">
            <v>0</v>
          </cell>
          <cell r="F360">
            <v>45222</v>
          </cell>
        </row>
        <row r="361">
          <cell r="B361" t="str">
            <v>SUDARMAWAN</v>
          </cell>
          <cell r="C361" t="str">
            <v>PKWT</v>
          </cell>
          <cell r="D361" t="str">
            <v>Sertifikasi Perawat Sarana Kereta Berpenggerak Listrik</v>
          </cell>
          <cell r="E361">
            <v>0</v>
          </cell>
          <cell r="F361">
            <v>45222</v>
          </cell>
        </row>
        <row r="362">
          <cell r="B362" t="str">
            <v>TOMI SUHARTO</v>
          </cell>
          <cell r="C362" t="str">
            <v>PKWT</v>
          </cell>
          <cell r="D362" t="str">
            <v>Sertifikasi Perawat Sarana Kereta Berpenggerak Listrik</v>
          </cell>
          <cell r="E362">
            <v>0</v>
          </cell>
          <cell r="F362">
            <v>45222</v>
          </cell>
        </row>
        <row r="363">
          <cell r="B363" t="str">
            <v>YULIANTORO</v>
          </cell>
          <cell r="C363" t="str">
            <v>PKWT</v>
          </cell>
          <cell r="D363" t="str">
            <v>Sertifikasi Perawat Sarana Kereta Berpenggerak Listrik</v>
          </cell>
          <cell r="E363">
            <v>0</v>
          </cell>
          <cell r="F363">
            <v>45222</v>
          </cell>
        </row>
        <row r="364">
          <cell r="B364" t="str">
            <v>ADE SETYA PURNAMA</v>
          </cell>
          <cell r="C364" t="str">
            <v>PKWT</v>
          </cell>
          <cell r="D364" t="str">
            <v>Sertifikasi Perawat Sarana Kereta Berpenggerak Listrik</v>
          </cell>
          <cell r="E364">
            <v>0</v>
          </cell>
          <cell r="F364">
            <v>45222</v>
          </cell>
        </row>
        <row r="365">
          <cell r="B365" t="str">
            <v>BAYU DIMAS NURARIFIN</v>
          </cell>
          <cell r="C365" t="str">
            <v>PKWT</v>
          </cell>
          <cell r="D365" t="str">
            <v>Sertifikasi Perawat Sarana Kereta Berpenggerak Listrik</v>
          </cell>
          <cell r="E365">
            <v>0</v>
          </cell>
          <cell r="F365">
            <v>45222</v>
          </cell>
        </row>
        <row r="366">
          <cell r="B366" t="str">
            <v>ENDRAWAN</v>
          </cell>
          <cell r="C366" t="str">
            <v>PKWT</v>
          </cell>
          <cell r="D366" t="str">
            <v>Sertifikasi Perawat Sarana Kereta Berpenggerak Listrik</v>
          </cell>
          <cell r="E366">
            <v>0</v>
          </cell>
          <cell r="F366">
            <v>45222</v>
          </cell>
        </row>
        <row r="367">
          <cell r="B367" t="str">
            <v>GILANG AKBAR WICAKSONO</v>
          </cell>
          <cell r="C367" t="str">
            <v>PKWT</v>
          </cell>
          <cell r="D367" t="str">
            <v>Sertifikasi Perawat Sarana Kereta Berpenggerak Listrik</v>
          </cell>
          <cell r="E367">
            <v>0</v>
          </cell>
          <cell r="F367">
            <v>45222</v>
          </cell>
        </row>
        <row r="368">
          <cell r="B368" t="str">
            <v>KHOHAR LEO KURNIAWAN</v>
          </cell>
          <cell r="C368" t="str">
            <v>PKWT</v>
          </cell>
          <cell r="D368" t="str">
            <v>Sertifikasi Perawat Sarana Kereta Berpenggerak Listrik</v>
          </cell>
          <cell r="E368">
            <v>0</v>
          </cell>
          <cell r="F368">
            <v>45222</v>
          </cell>
        </row>
        <row r="369">
          <cell r="B369" t="str">
            <v>MEGA KARTIKA PUTRA HADI</v>
          </cell>
          <cell r="C369" t="str">
            <v>PKWT</v>
          </cell>
          <cell r="D369" t="str">
            <v>Sertifikasi Perawat Sarana Kereta Berpenggerak Listrik</v>
          </cell>
          <cell r="E369">
            <v>0</v>
          </cell>
          <cell r="F369">
            <v>45222</v>
          </cell>
        </row>
        <row r="370">
          <cell r="B370" t="str">
            <v>ONGKY YUSFIANTARA PRADANA</v>
          </cell>
          <cell r="C370" t="str">
            <v>PKWT</v>
          </cell>
          <cell r="D370" t="str">
            <v>Sertifikasi Perawat Sarana Kereta Berpenggerak Listrik</v>
          </cell>
          <cell r="E370">
            <v>0</v>
          </cell>
          <cell r="F370">
            <v>45222</v>
          </cell>
        </row>
        <row r="371">
          <cell r="B371" t="str">
            <v>RUDIK HARYANTO</v>
          </cell>
          <cell r="C371" t="str">
            <v>PKWT</v>
          </cell>
          <cell r="D371" t="str">
            <v>Sertifikasi Perawat Sarana Kereta Berpenggerak Listrik</v>
          </cell>
          <cell r="E371">
            <v>0</v>
          </cell>
          <cell r="F371">
            <v>45222</v>
          </cell>
        </row>
        <row r="372">
          <cell r="B372" t="str">
            <v>ADE SAPUTRA</v>
          </cell>
          <cell r="C372" t="str">
            <v>PKWT</v>
          </cell>
          <cell r="D372" t="str">
            <v>Sertifikasi Perawat Sarana Kereta Berpenggerak Listrik</v>
          </cell>
          <cell r="E372">
            <v>0</v>
          </cell>
          <cell r="F372">
            <v>45222</v>
          </cell>
        </row>
        <row r="373">
          <cell r="B373" t="str">
            <v>ANDY DWY BASTIAN</v>
          </cell>
          <cell r="C373" t="str">
            <v>PKWT</v>
          </cell>
          <cell r="D373" t="str">
            <v>Sertifikasi Perawat Sarana Kereta Berpenggerak Listrik</v>
          </cell>
          <cell r="E373">
            <v>0</v>
          </cell>
          <cell r="F373">
            <v>45222</v>
          </cell>
        </row>
        <row r="374">
          <cell r="B374" t="str">
            <v>ARDANIL</v>
          </cell>
          <cell r="C374" t="str">
            <v>PKWT</v>
          </cell>
          <cell r="D374" t="str">
            <v>Sertifikasi Perawat Sarana Kereta Berpenggerak Listrik</v>
          </cell>
          <cell r="E374">
            <v>0</v>
          </cell>
          <cell r="F374">
            <v>45222</v>
          </cell>
        </row>
        <row r="375">
          <cell r="B375" t="str">
            <v>AVIN ROMADHONA</v>
          </cell>
          <cell r="C375" t="str">
            <v>PKWT</v>
          </cell>
          <cell r="D375" t="str">
            <v>Sertifikasi Perawat Sarana Kereta Berpenggerak Listrik</v>
          </cell>
          <cell r="E375">
            <v>0</v>
          </cell>
          <cell r="F375">
            <v>45222</v>
          </cell>
        </row>
        <row r="376">
          <cell r="B376" t="str">
            <v>BEKTI TRI WIBOWO</v>
          </cell>
          <cell r="C376" t="str">
            <v>PKWT</v>
          </cell>
          <cell r="D376" t="str">
            <v>Sertifikasi Perawat Sarana Kereta Berpenggerak Listrik</v>
          </cell>
          <cell r="E376">
            <v>0</v>
          </cell>
          <cell r="F376">
            <v>45222</v>
          </cell>
        </row>
        <row r="377">
          <cell r="B377" t="str">
            <v>ZA'IM NAUFAL HABIB</v>
          </cell>
          <cell r="C377" t="str">
            <v>PKWT</v>
          </cell>
          <cell r="D377" t="str">
            <v>Sertifikasi Pemeriksa Prasarana</v>
          </cell>
          <cell r="E377">
            <v>0</v>
          </cell>
          <cell r="F377">
            <v>0</v>
          </cell>
        </row>
        <row r="378">
          <cell r="B378" t="str">
            <v>AKBAR WILDHAN PRIBADI</v>
          </cell>
          <cell r="C378" t="str">
            <v>PKWT</v>
          </cell>
          <cell r="D378" t="str">
            <v>Sertifikasi Pemeriksa Sarana Kereta Api</v>
          </cell>
          <cell r="E378">
            <v>0</v>
          </cell>
          <cell r="F378">
            <v>0</v>
          </cell>
        </row>
        <row r="379">
          <cell r="B379" t="str">
            <v>ALFIAN NOER CRISTANTO</v>
          </cell>
          <cell r="C379" t="str">
            <v>PKWT</v>
          </cell>
          <cell r="D379" t="str">
            <v>Sertifikasi Pemeriksa Sarana Kereta Api</v>
          </cell>
          <cell r="E379">
            <v>0</v>
          </cell>
          <cell r="F379">
            <v>0</v>
          </cell>
        </row>
        <row r="380">
          <cell r="B380" t="str">
            <v>ALFIAN NOER CRISTANTO</v>
          </cell>
          <cell r="C380" t="str">
            <v>PKWT</v>
          </cell>
          <cell r="D380" t="str">
            <v>Sertifikasi Perawat Sarana Kereta Api</v>
          </cell>
          <cell r="E380">
            <v>0</v>
          </cell>
          <cell r="F380">
            <v>0</v>
          </cell>
        </row>
        <row r="381">
          <cell r="B381" t="str">
            <v>ANGGITANA SUSIACCA PRIMA PUTRA</v>
          </cell>
          <cell r="C381" t="str">
            <v>PKWT</v>
          </cell>
          <cell r="D381" t="str">
            <v>Sertifikasi Pemeriksa Sarana Kereta Api</v>
          </cell>
          <cell r="E381">
            <v>0</v>
          </cell>
          <cell r="F381">
            <v>0</v>
          </cell>
        </row>
        <row r="382">
          <cell r="B382" t="str">
            <v>ANGGITANA SUSIACCA PRIMA PUTRA</v>
          </cell>
          <cell r="C382" t="str">
            <v>PKWT</v>
          </cell>
          <cell r="D382" t="str">
            <v>Sertifikasi Perawat Sarana Kereta Api</v>
          </cell>
          <cell r="E382">
            <v>0</v>
          </cell>
          <cell r="F382">
            <v>0</v>
          </cell>
        </row>
        <row r="383">
          <cell r="B383" t="str">
            <v>DAFFA' ALIFFYANSYAH</v>
          </cell>
          <cell r="C383" t="str">
            <v>PKWT</v>
          </cell>
          <cell r="D383" t="str">
            <v>Sertifikasi Perawat Sarana Kereta Api</v>
          </cell>
          <cell r="E383">
            <v>0</v>
          </cell>
          <cell r="F383">
            <v>0</v>
          </cell>
        </row>
        <row r="384">
          <cell r="B384" t="str">
            <v>DIAZ PRABA YUDISTIRA</v>
          </cell>
          <cell r="C384" t="str">
            <v>PKWT</v>
          </cell>
          <cell r="D384" t="str">
            <v>Sertifikasi Pemeriksa Sarana Kereta Api</v>
          </cell>
          <cell r="E384">
            <v>0</v>
          </cell>
          <cell r="F384">
            <v>0</v>
          </cell>
        </row>
        <row r="385">
          <cell r="B385" t="str">
            <v>DONI IGO MURTI WARDANA</v>
          </cell>
          <cell r="C385" t="str">
            <v>PKWT</v>
          </cell>
          <cell r="D385" t="str">
            <v>Sertifikasi Perawat Sarana Kereta Api</v>
          </cell>
          <cell r="E385">
            <v>0</v>
          </cell>
          <cell r="F385">
            <v>0</v>
          </cell>
        </row>
        <row r="386">
          <cell r="B386" t="str">
            <v>DONI IGO MURTI WARDANA</v>
          </cell>
          <cell r="C386" t="str">
            <v>PKWT</v>
          </cell>
          <cell r="D386" t="str">
            <v>Sertifikasi Pemeriksa Sarana Kereta Api</v>
          </cell>
          <cell r="E386">
            <v>0</v>
          </cell>
          <cell r="F386">
            <v>0</v>
          </cell>
        </row>
        <row r="387">
          <cell r="B387" t="str">
            <v>DWI WAHYU PUJIANTO</v>
          </cell>
          <cell r="C387" t="str">
            <v>PKWT</v>
          </cell>
          <cell r="D387" t="str">
            <v>Sertifikasi Awak Sarana Perkeretaapian</v>
          </cell>
          <cell r="E387">
            <v>0</v>
          </cell>
          <cell r="F387">
            <v>0</v>
          </cell>
        </row>
        <row r="388">
          <cell r="B388" t="str">
            <v>FIGO MUHAMMAD HERNATIAS</v>
          </cell>
          <cell r="C388" t="str">
            <v>PKWT</v>
          </cell>
          <cell r="D388" t="str">
            <v>Sertifikasi Pemeriksa Sarana Kereta Api</v>
          </cell>
          <cell r="E388">
            <v>0</v>
          </cell>
          <cell r="F388">
            <v>0</v>
          </cell>
        </row>
        <row r="389">
          <cell r="B389" t="str">
            <v>GIGIH CAHYO PAMUNGKAS</v>
          </cell>
          <cell r="C389" t="str">
            <v>PKWT</v>
          </cell>
          <cell r="D389" t="str">
            <v>Pembinaan Dan Sertifikasi Calon Ahli K3 Umum</v>
          </cell>
          <cell r="E389">
            <v>0</v>
          </cell>
          <cell r="F389">
            <v>0</v>
          </cell>
        </row>
        <row r="390">
          <cell r="B390" t="str">
            <v>IKHSAL YUDA PRADANA</v>
          </cell>
          <cell r="C390" t="str">
            <v>PKWT</v>
          </cell>
          <cell r="D390" t="str">
            <v>Sertifikasi Perawat Jalur dan Bangunan Kereta Api</v>
          </cell>
          <cell r="E390">
            <v>0</v>
          </cell>
          <cell r="F390">
            <v>0</v>
          </cell>
        </row>
        <row r="391">
          <cell r="B391" t="str">
            <v>ILHAM YUSUF TRIHARDIAN</v>
          </cell>
          <cell r="C391" t="str">
            <v>PKWT</v>
          </cell>
          <cell r="D391" t="str">
            <v>Sertifikasi Pemeriksa Sarana Kereta Api</v>
          </cell>
          <cell r="E391">
            <v>0</v>
          </cell>
          <cell r="F391">
            <v>0</v>
          </cell>
        </row>
        <row r="392">
          <cell r="B392" t="str">
            <v>KHODIRIS SALAM</v>
          </cell>
          <cell r="C392" t="str">
            <v>PKWT</v>
          </cell>
          <cell r="D392" t="str">
            <v>Sertifikasi Perawat Sarana Kereta Api</v>
          </cell>
          <cell r="E392">
            <v>0</v>
          </cell>
          <cell r="F392">
            <v>0</v>
          </cell>
        </row>
        <row r="393">
          <cell r="B393" t="str">
            <v>KHODIRIS SALAM</v>
          </cell>
          <cell r="C393" t="str">
            <v>PKWT</v>
          </cell>
          <cell r="D393" t="str">
            <v>Sertifikasi Pemeriksa Sarana Kereta Api</v>
          </cell>
          <cell r="E393">
            <v>0</v>
          </cell>
          <cell r="F393">
            <v>0</v>
          </cell>
        </row>
        <row r="394">
          <cell r="B394" t="str">
            <v>MAULANA JIHAN ALFANA</v>
          </cell>
          <cell r="C394" t="str">
            <v>PKWT</v>
          </cell>
          <cell r="D394" t="str">
            <v>Sertifikasi Perawat Sarana Kereta Api</v>
          </cell>
          <cell r="E394">
            <v>0</v>
          </cell>
          <cell r="F394">
            <v>0</v>
          </cell>
        </row>
        <row r="395">
          <cell r="B395" t="str">
            <v>MOHAMMAD RIZQI</v>
          </cell>
          <cell r="C395" t="str">
            <v>Resign</v>
          </cell>
          <cell r="D395" t="str">
            <v>Sertifikasi Pemeriksa Sarana Kereta Api</v>
          </cell>
          <cell r="E395">
            <v>0</v>
          </cell>
          <cell r="F395">
            <v>0</v>
          </cell>
        </row>
        <row r="396">
          <cell r="B396" t="str">
            <v>MOHAMMAD RIZQI</v>
          </cell>
          <cell r="C396" t="str">
            <v>Resign</v>
          </cell>
          <cell r="D396" t="str">
            <v>Sertifikasi Perawat Sarana Kereta Api</v>
          </cell>
          <cell r="E396">
            <v>0</v>
          </cell>
          <cell r="F396">
            <v>0</v>
          </cell>
        </row>
        <row r="397">
          <cell r="B397" t="str">
            <v>MUHAMMAD IQBAL AL-BANJARI</v>
          </cell>
          <cell r="C397" t="str">
            <v>Resign</v>
          </cell>
          <cell r="D397" t="str">
            <v>Sertifikasi Pemeriksa Sarana Kereta Api</v>
          </cell>
          <cell r="E397">
            <v>0</v>
          </cell>
          <cell r="F397">
            <v>0</v>
          </cell>
        </row>
        <row r="398">
          <cell r="B398" t="str">
            <v>MUHAMMAD IQBAL AL-BANJARI</v>
          </cell>
          <cell r="C398" t="str">
            <v>Resign</v>
          </cell>
          <cell r="D398" t="str">
            <v>Sertifikasi Perawat Sarana Kereta Api</v>
          </cell>
          <cell r="E398">
            <v>0</v>
          </cell>
          <cell r="F398">
            <v>0</v>
          </cell>
        </row>
        <row r="399">
          <cell r="B399" t="str">
            <v>MUHAMMAD LINTANG A'RAFI ICHSAN</v>
          </cell>
          <cell r="C399" t="str">
            <v>PKWT</v>
          </cell>
          <cell r="D399" t="str">
            <v>Sertifikasi Pemeriksa Sarana Kereta Api</v>
          </cell>
          <cell r="E399">
            <v>0</v>
          </cell>
          <cell r="F399">
            <v>0</v>
          </cell>
        </row>
        <row r="400">
          <cell r="B400" t="str">
            <v>MUHAMMAD LINTANG A'RAFI ICHSAN</v>
          </cell>
          <cell r="C400" t="str">
            <v>PKWT</v>
          </cell>
          <cell r="D400" t="str">
            <v>Sertifikasi Perawat Sarana Kereta Api</v>
          </cell>
          <cell r="E400">
            <v>0</v>
          </cell>
          <cell r="F400">
            <v>0</v>
          </cell>
        </row>
        <row r="401">
          <cell r="B401" t="str">
            <v>PUTRA KALIH BAGASKARA</v>
          </cell>
          <cell r="C401" t="str">
            <v>PKWT</v>
          </cell>
          <cell r="D401" t="str">
            <v>Sertifikasi Perawat Jalur dan Bangunan Kereta Api</v>
          </cell>
          <cell r="E401">
            <v>0</v>
          </cell>
          <cell r="F401">
            <v>0</v>
          </cell>
        </row>
        <row r="402">
          <cell r="B402" t="str">
            <v>REKA PATRIA RAFLYLIANTO</v>
          </cell>
          <cell r="C402" t="str">
            <v>PKWT</v>
          </cell>
          <cell r="D402" t="str">
            <v>Sertifikasi Pemeriksa Sarana Kereta Api</v>
          </cell>
          <cell r="E402">
            <v>0</v>
          </cell>
          <cell r="F402">
            <v>0</v>
          </cell>
        </row>
        <row r="403">
          <cell r="B403" t="str">
            <v>ROMDIDI ANDIKA PAMBUDI</v>
          </cell>
          <cell r="C403" t="str">
            <v>PKWT</v>
          </cell>
          <cell r="D403" t="str">
            <v>Sertifikasi Perawat Jalur dan Bangunan Kereta Api</v>
          </cell>
          <cell r="E403">
            <v>0</v>
          </cell>
          <cell r="F403">
            <v>0</v>
          </cell>
        </row>
        <row r="404">
          <cell r="B404" t="str">
            <v>TITO PETRICK</v>
          </cell>
          <cell r="C404" t="str">
            <v>PKWT</v>
          </cell>
          <cell r="D404" t="str">
            <v>Sertifikasi Pemeriksa Sarana Kereta Api</v>
          </cell>
          <cell r="E404">
            <v>0</v>
          </cell>
          <cell r="F404">
            <v>0</v>
          </cell>
        </row>
        <row r="405">
          <cell r="B405" t="str">
            <v>TITO PETRICK</v>
          </cell>
          <cell r="C405" t="str">
            <v>PKWT</v>
          </cell>
          <cell r="D405" t="str">
            <v>Sertifikasi Perawat Sarana Kereta Api</v>
          </cell>
          <cell r="E405">
            <v>0</v>
          </cell>
          <cell r="F405">
            <v>0</v>
          </cell>
        </row>
        <row r="406">
          <cell r="B406" t="str">
            <v>YOGA WICAKSANA</v>
          </cell>
          <cell r="C406" t="str">
            <v>PKWT</v>
          </cell>
          <cell r="D406" t="str">
            <v>Sertifikasi Pemeriksa Sarana Kereta Api</v>
          </cell>
          <cell r="E406">
            <v>0</v>
          </cell>
          <cell r="F406">
            <v>0</v>
          </cell>
        </row>
        <row r="407">
          <cell r="B407" t="str">
            <v>ALFIRINA ARDYASTUTIK</v>
          </cell>
          <cell r="C407" t="str">
            <v>IMSS</v>
          </cell>
          <cell r="D407" t="str">
            <v>Pelatihan Pemahaman ISO 37001:2016 dan Audit Internal</v>
          </cell>
          <cell r="E407">
            <v>0</v>
          </cell>
          <cell r="F407">
            <v>45420</v>
          </cell>
        </row>
        <row r="408">
          <cell r="B408" t="str">
            <v>SULTAN ALFIANTSYAH</v>
          </cell>
          <cell r="C408" t="str">
            <v>PKWT</v>
          </cell>
          <cell r="D408" t="str">
            <v>Pelatihan Pemahaman ISO 37001:2016 dan Audit Internal</v>
          </cell>
          <cell r="E408">
            <v>0</v>
          </cell>
          <cell r="F408">
            <v>45420</v>
          </cell>
        </row>
        <row r="409">
          <cell r="B409" t="str">
            <v>OKTA SETYANIDA</v>
          </cell>
          <cell r="C409" t="str">
            <v>IMSS</v>
          </cell>
          <cell r="D409" t="str">
            <v>Aplikasi Perkantoran (Ms Office)</v>
          </cell>
          <cell r="E409">
            <v>0</v>
          </cell>
          <cell r="F409">
            <v>42755</v>
          </cell>
        </row>
        <row r="410">
          <cell r="B410" t="str">
            <v>OKTARI AYU WANDIRA</v>
          </cell>
          <cell r="C410" t="str">
            <v>PKWT</v>
          </cell>
          <cell r="D410" t="str">
            <v>Aplikasi Perkantoran (Ms Office)</v>
          </cell>
          <cell r="E410">
            <v>0</v>
          </cell>
          <cell r="F410">
            <v>43658</v>
          </cell>
        </row>
        <row r="411">
          <cell r="B411" t="str">
            <v>OKTARI AYU WANDIRA</v>
          </cell>
          <cell r="C411" t="str">
            <v>PKWT</v>
          </cell>
          <cell r="D411" t="str">
            <v>Sistem Administasi dan Pelaporan MSA</v>
          </cell>
          <cell r="E411">
            <v>0</v>
          </cell>
          <cell r="F411">
            <v>43313</v>
          </cell>
        </row>
        <row r="412">
          <cell r="B412" t="str">
            <v>ASEP SAEPUL MUGNI</v>
          </cell>
          <cell r="C412" t="str">
            <v>PKWT</v>
          </cell>
          <cell r="D412" t="str">
            <v>Pembinaan Pengawasan Norma Keselamatan dan Kesehatan Kerja</v>
          </cell>
          <cell r="E412">
            <v>0</v>
          </cell>
          <cell r="F412">
            <v>42506</v>
          </cell>
        </row>
        <row r="413">
          <cell r="B413" t="str">
            <v>UNGGUL WIDIYANTO</v>
          </cell>
          <cell r="C413" t="str">
            <v>IMSS</v>
          </cell>
          <cell r="D413" t="str">
            <v>Pembinaan Dan Sertifikasi Calon Ahli K3 Umum</v>
          </cell>
          <cell r="E413">
            <v>0</v>
          </cell>
          <cell r="F413">
            <v>44298</v>
          </cell>
        </row>
        <row r="414">
          <cell r="B414" t="str">
            <v>RUDY SUSANTO</v>
          </cell>
          <cell r="C414" t="str">
            <v>IMSS</v>
          </cell>
          <cell r="D414" t="str">
            <v>Sertifikasi Ahli Plambing dan Pompa Mekanik-Madya</v>
          </cell>
          <cell r="E414">
            <v>0</v>
          </cell>
          <cell r="F414">
            <v>42332</v>
          </cell>
        </row>
        <row r="415">
          <cell r="B415" t="str">
            <v>DENDI HERMAWAN</v>
          </cell>
          <cell r="C415" t="str">
            <v>PKWT</v>
          </cell>
          <cell r="D415" t="str">
            <v>Sertifikasi Awak Sarana Perkeretaapian Otomatis</v>
          </cell>
          <cell r="E415">
            <v>0</v>
          </cell>
          <cell r="F415">
            <v>44559</v>
          </cell>
        </row>
        <row r="416">
          <cell r="B416" t="str">
            <v>RIANT ADZANDY</v>
          </cell>
          <cell r="C416" t="str">
            <v>Resign</v>
          </cell>
          <cell r="D416" t="str">
            <v>Design &amp; Engineering Infineon Tech Day</v>
          </cell>
          <cell r="E416">
            <v>0</v>
          </cell>
          <cell r="F416">
            <v>43640</v>
          </cell>
        </row>
        <row r="417">
          <cell r="B417" t="str">
            <v>RIANT ADZANDY</v>
          </cell>
          <cell r="C417" t="str">
            <v>Resign</v>
          </cell>
          <cell r="D417" t="str">
            <v>Emergency Response Plan (Fire Drill)</v>
          </cell>
          <cell r="E417">
            <v>0</v>
          </cell>
          <cell r="F417">
            <v>43173</v>
          </cell>
        </row>
        <row r="418">
          <cell r="B418" t="str">
            <v>DIMAS SUHARDIYONO</v>
          </cell>
          <cell r="C418" t="str">
            <v>IMSS</v>
          </cell>
          <cell r="D418" t="str">
            <v>Pelatihan Penyusunan Harga Perkiraan Sendiri</v>
          </cell>
          <cell r="E418">
            <v>0</v>
          </cell>
          <cell r="F418">
            <v>44727</v>
          </cell>
        </row>
        <row r="419">
          <cell r="B419" t="str">
            <v>HARLISTA DWI OKTYASWORO</v>
          </cell>
          <cell r="C419" t="str">
            <v>IMSS</v>
          </cell>
          <cell r="D419" t="str">
            <v>Pelatihan Penyusunan Harga Perkiraan Sendiri</v>
          </cell>
          <cell r="E419">
            <v>0</v>
          </cell>
          <cell r="F419">
            <v>43556</v>
          </cell>
        </row>
        <row r="420">
          <cell r="B420" t="str">
            <v>CHRISTOPER BAGAS WIRAWAN</v>
          </cell>
          <cell r="C420" t="str">
            <v>IMSS</v>
          </cell>
          <cell r="D420" t="str">
            <v>HR Fundamental Program</v>
          </cell>
          <cell r="E420">
            <v>0</v>
          </cell>
          <cell r="F420">
            <v>44686</v>
          </cell>
        </row>
        <row r="421">
          <cell r="B421" t="str">
            <v>SATRIA GUSTIANA RAHARDI</v>
          </cell>
          <cell r="C421" t="str">
            <v>IMSS</v>
          </cell>
          <cell r="D421" t="str">
            <v>HR Fundamental Program</v>
          </cell>
          <cell r="E421">
            <v>0</v>
          </cell>
          <cell r="F421">
            <v>44686</v>
          </cell>
        </row>
        <row r="422">
          <cell r="B422" t="str">
            <v>ALBERIL ADITYA WIJAYA</v>
          </cell>
          <cell r="C422" t="str">
            <v>PKWT</v>
          </cell>
          <cell r="D422" t="str">
            <v>Pelatihan Perawatan KRL KfW</v>
          </cell>
          <cell r="E422">
            <v>0</v>
          </cell>
          <cell r="F422">
            <v>45293</v>
          </cell>
        </row>
        <row r="423">
          <cell r="B423" t="str">
            <v>DENI SAPTO NUGROHO</v>
          </cell>
          <cell r="C423" t="str">
            <v>PKWT</v>
          </cell>
          <cell r="D423" t="str">
            <v>Pelatihan Perawatan KRL KfW</v>
          </cell>
          <cell r="E423">
            <v>0</v>
          </cell>
          <cell r="F423">
            <v>45293</v>
          </cell>
        </row>
        <row r="424">
          <cell r="B424" t="str">
            <v>DEO FAJAR SAPUTRA</v>
          </cell>
          <cell r="C424" t="str">
            <v>PKWT</v>
          </cell>
          <cell r="D424" t="str">
            <v>Pelatihan Perawatan KRL KfW</v>
          </cell>
          <cell r="E424">
            <v>0</v>
          </cell>
          <cell r="F424">
            <v>45293</v>
          </cell>
        </row>
        <row r="425">
          <cell r="B425" t="str">
            <v>EKA NOVA AGFI PUTERA</v>
          </cell>
          <cell r="C425" t="str">
            <v>PKWT</v>
          </cell>
          <cell r="D425" t="str">
            <v>Pelatihan Perawatan KRL KfW</v>
          </cell>
          <cell r="E425">
            <v>0</v>
          </cell>
          <cell r="F425">
            <v>45293</v>
          </cell>
        </row>
        <row r="426">
          <cell r="B426" t="str">
            <v>JOHAN ADHITYA</v>
          </cell>
          <cell r="C426" t="str">
            <v>PKWT</v>
          </cell>
          <cell r="D426" t="str">
            <v>Pelatihan Perawatan KRL KfW</v>
          </cell>
          <cell r="E426">
            <v>0</v>
          </cell>
          <cell r="F426">
            <v>45293</v>
          </cell>
        </row>
        <row r="427">
          <cell r="B427" t="str">
            <v>ARDHIKA WIRATAMA</v>
          </cell>
          <cell r="C427" t="str">
            <v>PKWT</v>
          </cell>
          <cell r="D427" t="str">
            <v>Pelatihan Perawatan KRL KfW</v>
          </cell>
          <cell r="E427">
            <v>0</v>
          </cell>
          <cell r="F427">
            <v>45293</v>
          </cell>
        </row>
        <row r="428">
          <cell r="B428" t="str">
            <v>MUHAMMAD FIRMAN LAZUARDI</v>
          </cell>
          <cell r="C428" t="str">
            <v>PKWT</v>
          </cell>
          <cell r="D428" t="str">
            <v>Pelatihan Perawatan KRL KfW</v>
          </cell>
          <cell r="E428">
            <v>0</v>
          </cell>
          <cell r="F428">
            <v>45293</v>
          </cell>
        </row>
        <row r="429">
          <cell r="B429" t="str">
            <v>ANGGORO DAFFA MAULANA SUKARNO</v>
          </cell>
          <cell r="C429" t="str">
            <v>PKWT</v>
          </cell>
          <cell r="D429" t="str">
            <v>Pelatihan Perawatan KRL KfW</v>
          </cell>
          <cell r="E429">
            <v>0</v>
          </cell>
          <cell r="F429">
            <v>45293</v>
          </cell>
        </row>
        <row r="430">
          <cell r="B430" t="str">
            <v>BIMO TRI PRAKOSO</v>
          </cell>
          <cell r="C430" t="str">
            <v>PKWT</v>
          </cell>
          <cell r="D430" t="str">
            <v>Pelatihan Perawatan KRL KfW</v>
          </cell>
          <cell r="E430">
            <v>0</v>
          </cell>
          <cell r="F430">
            <v>44802</v>
          </cell>
        </row>
        <row r="431">
          <cell r="B431" t="str">
            <v>DONI AHMAT RAIS</v>
          </cell>
          <cell r="C431" t="str">
            <v>PKWT</v>
          </cell>
          <cell r="D431" t="str">
            <v>Pelatihan Perawatan KRL KfW</v>
          </cell>
          <cell r="E431">
            <v>0</v>
          </cell>
          <cell r="F431">
            <v>44802</v>
          </cell>
        </row>
        <row r="432">
          <cell r="B432" t="str">
            <v>MARSELO DWI LAKSONO</v>
          </cell>
          <cell r="C432" t="str">
            <v>PKWT</v>
          </cell>
          <cell r="D432" t="str">
            <v>Pelatihan Perawatan KRL KfW</v>
          </cell>
          <cell r="E432">
            <v>0</v>
          </cell>
          <cell r="F432">
            <v>44802</v>
          </cell>
        </row>
        <row r="433">
          <cell r="B433" t="str">
            <v>MAULANA ZAKARIA</v>
          </cell>
          <cell r="C433" t="str">
            <v>PKWT</v>
          </cell>
          <cell r="D433" t="str">
            <v>Pelatihan Perawatan KRL KfW</v>
          </cell>
          <cell r="E433">
            <v>0</v>
          </cell>
          <cell r="F433">
            <v>44802</v>
          </cell>
        </row>
        <row r="434">
          <cell r="B434" t="str">
            <v>REZALDHY ERLANGGA</v>
          </cell>
          <cell r="C434" t="str">
            <v>PKWT</v>
          </cell>
          <cell r="D434" t="str">
            <v>Pelatihan Perawatan KRL KfW</v>
          </cell>
          <cell r="E434">
            <v>0</v>
          </cell>
          <cell r="F434">
            <v>44802</v>
          </cell>
        </row>
        <row r="435">
          <cell r="B435" t="str">
            <v>YUSUP ZAKARIA</v>
          </cell>
          <cell r="C435" t="str">
            <v>PKWT</v>
          </cell>
          <cell r="D435" t="str">
            <v>Pelatihan Perawatan KRL KfW</v>
          </cell>
          <cell r="E435">
            <v>0</v>
          </cell>
          <cell r="F435">
            <v>44802</v>
          </cell>
        </row>
        <row r="436">
          <cell r="B436" t="str">
            <v>YUSUF BAKTIAR</v>
          </cell>
          <cell r="C436" t="str">
            <v>PKWT</v>
          </cell>
          <cell r="D436" t="str">
            <v>Pelatihan Perawatan KRL KfW</v>
          </cell>
          <cell r="E436">
            <v>0</v>
          </cell>
          <cell r="F436">
            <v>44802</v>
          </cell>
        </row>
        <row r="437">
          <cell r="B437" t="str">
            <v>ALFIRINA ARDYASTUTIK</v>
          </cell>
          <cell r="C437" t="str">
            <v>IMSS</v>
          </cell>
          <cell r="D437" t="str">
            <v>Risk Management Effectiveness Evaluation</v>
          </cell>
          <cell r="E437">
            <v>0</v>
          </cell>
          <cell r="F437">
            <v>45176</v>
          </cell>
        </row>
        <row r="438">
          <cell r="B438" t="str">
            <v>ARIF MUHAIMIN</v>
          </cell>
          <cell r="C438" t="str">
            <v>Organik</v>
          </cell>
          <cell r="D438" t="str">
            <v>Risk Management Effectiveness Evaluation</v>
          </cell>
          <cell r="E438">
            <v>0</v>
          </cell>
          <cell r="F438">
            <v>45176</v>
          </cell>
        </row>
        <row r="439">
          <cell r="B439" t="str">
            <v>YULIA WHIRDAWATI</v>
          </cell>
          <cell r="C439" t="str">
            <v>Organik</v>
          </cell>
          <cell r="D439" t="str">
            <v>Risk Management Effectiveness Evaluation</v>
          </cell>
          <cell r="E439">
            <v>0</v>
          </cell>
          <cell r="F439">
            <v>45176</v>
          </cell>
        </row>
        <row r="440">
          <cell r="B440" t="str">
            <v>DEVIANA FATKULKHOIR</v>
          </cell>
          <cell r="C440" t="str">
            <v>PKWT</v>
          </cell>
          <cell r="D440" t="str">
            <v>Risk Management Effectiveness Evaluation</v>
          </cell>
          <cell r="E440">
            <v>0</v>
          </cell>
          <cell r="F440">
            <v>45176</v>
          </cell>
        </row>
        <row r="441">
          <cell r="B441" t="str">
            <v>ASEP SAEPUL MUGNI</v>
          </cell>
          <cell r="C441" t="str">
            <v>PKWT</v>
          </cell>
          <cell r="D441" t="str">
            <v>Metodologi Instruktur</v>
          </cell>
          <cell r="E441">
            <v>0</v>
          </cell>
          <cell r="F441">
            <v>44407</v>
          </cell>
        </row>
        <row r="442">
          <cell r="B442" t="str">
            <v>ASEP SAEPUL MUGNI</v>
          </cell>
          <cell r="C442" t="str">
            <v>PKWT</v>
          </cell>
          <cell r="D442" t="str">
            <v>Pembinaan Keselamatan dan Kesehatan Kerja (K3) di Bidang Pertolongan Pertama pada Kecelakaan di Tempat Kerja</v>
          </cell>
          <cell r="E442">
            <v>0</v>
          </cell>
          <cell r="F442">
            <v>44558</v>
          </cell>
        </row>
        <row r="443">
          <cell r="B443" t="str">
            <v>ACHMAD IRFAN</v>
          </cell>
          <cell r="C443" t="str">
            <v>PKWT</v>
          </cell>
          <cell r="D443" t="str">
            <v>Inhouse Training Perawatan Kereta TMC</v>
          </cell>
          <cell r="E443">
            <v>0</v>
          </cell>
          <cell r="F443">
            <v>43494</v>
          </cell>
        </row>
        <row r="444">
          <cell r="B444" t="str">
            <v>ADHE NUGRAHA</v>
          </cell>
          <cell r="C444" t="str">
            <v>PKWT</v>
          </cell>
          <cell r="D444" t="str">
            <v>Inhouse Training Perawatan Kereta Inspeksi</v>
          </cell>
          <cell r="E444">
            <v>0</v>
          </cell>
          <cell r="F444">
            <v>43696</v>
          </cell>
        </row>
        <row r="445">
          <cell r="B445" t="str">
            <v>DENDEN AGUNG PRASTYA</v>
          </cell>
          <cell r="C445" t="str">
            <v>PKWT</v>
          </cell>
          <cell r="D445" t="str">
            <v>Inhouse Training Perawatan Kereta Inspeksi</v>
          </cell>
          <cell r="E445">
            <v>0</v>
          </cell>
          <cell r="F445">
            <v>44718</v>
          </cell>
        </row>
        <row r="446">
          <cell r="B446" t="str">
            <v>DICKY ALDI PRATAMA</v>
          </cell>
          <cell r="C446" t="str">
            <v>PKWT</v>
          </cell>
          <cell r="D446" t="str">
            <v>Inhouse Training Perawatan Kereta TMC</v>
          </cell>
          <cell r="E446">
            <v>0</v>
          </cell>
          <cell r="F446">
            <v>43496</v>
          </cell>
        </row>
        <row r="447">
          <cell r="B447" t="str">
            <v>ERWIN BAGUS SAPUTRO</v>
          </cell>
          <cell r="C447" t="str">
            <v>PKWT</v>
          </cell>
          <cell r="D447" t="str">
            <v>Inhouse Training Perawatan Kereta Inspeksi</v>
          </cell>
          <cell r="E447">
            <v>0</v>
          </cell>
          <cell r="F447">
            <v>44718</v>
          </cell>
        </row>
        <row r="448">
          <cell r="B448" t="str">
            <v>JERI APDI SAPUTRA</v>
          </cell>
          <cell r="C448" t="str">
            <v>PKWT</v>
          </cell>
          <cell r="D448" t="str">
            <v>Inhouse Training Perawatan Kereta TMC</v>
          </cell>
          <cell r="E448">
            <v>0</v>
          </cell>
          <cell r="F448">
            <v>43496</v>
          </cell>
        </row>
        <row r="449">
          <cell r="B449" t="str">
            <v>JIMI ANGEL</v>
          </cell>
          <cell r="C449" t="str">
            <v>PKWT</v>
          </cell>
          <cell r="D449" t="str">
            <v>Inhouse Training Perawatan Kereta Inspeksi</v>
          </cell>
          <cell r="E449">
            <v>0</v>
          </cell>
          <cell r="F449">
            <v>43200</v>
          </cell>
        </row>
        <row r="450">
          <cell r="B450" t="str">
            <v>NORFI JANOKO SAKTI</v>
          </cell>
          <cell r="C450" t="str">
            <v>PKWT</v>
          </cell>
          <cell r="D450" t="str">
            <v>Inhouse Training Perawatan Kereta TMC</v>
          </cell>
          <cell r="E450">
            <v>0</v>
          </cell>
          <cell r="F450">
            <v>43496</v>
          </cell>
        </row>
        <row r="451">
          <cell r="B451" t="str">
            <v>SUGIYANTO</v>
          </cell>
          <cell r="C451" t="str">
            <v>PKWT</v>
          </cell>
          <cell r="D451" t="str">
            <v>Training Safety Inspector</v>
          </cell>
          <cell r="E451">
            <v>0</v>
          </cell>
          <cell r="F451">
            <v>44523</v>
          </cell>
        </row>
        <row r="452">
          <cell r="B452" t="str">
            <v>SUWARDOYOK</v>
          </cell>
          <cell r="C452" t="str">
            <v>PKWT</v>
          </cell>
          <cell r="D452" t="str">
            <v>Training Safety Inspector</v>
          </cell>
          <cell r="E452">
            <v>0</v>
          </cell>
          <cell r="F452">
            <v>44523</v>
          </cell>
        </row>
        <row r="453">
          <cell r="B453" t="str">
            <v>SYAHRIZAL ROHMATUL NUGROHO</v>
          </cell>
          <cell r="C453" t="str">
            <v>PKWT</v>
          </cell>
          <cell r="D453" t="str">
            <v>Junior Engineer Otomasi Industri</v>
          </cell>
          <cell r="E453">
            <v>0</v>
          </cell>
          <cell r="F453">
            <v>44784</v>
          </cell>
        </row>
        <row r="454">
          <cell r="B454" t="str">
            <v>HENDRA HERMANTO</v>
          </cell>
          <cell r="C454" t="str">
            <v>PKWT</v>
          </cell>
          <cell r="D454" t="str">
            <v>Sertifikasi Awak Sarana Perkeretaapian</v>
          </cell>
          <cell r="E454">
            <v>0</v>
          </cell>
          <cell r="F454">
            <v>39947</v>
          </cell>
        </row>
        <row r="455">
          <cell r="B455" t="str">
            <v>ANGGER BAYU AJI</v>
          </cell>
          <cell r="C455" t="str">
            <v>PKWT</v>
          </cell>
          <cell r="D455" t="str">
            <v>Pelatihan Modul Pendalaman Teknik dan Pengoperasian KRL Seri JR 205</v>
          </cell>
          <cell r="E455">
            <v>0</v>
          </cell>
          <cell r="F455">
            <v>41676</v>
          </cell>
        </row>
        <row r="456">
          <cell r="B456" t="str">
            <v>ANGGER BAYU AJI</v>
          </cell>
          <cell r="C456" t="str">
            <v>PKWT</v>
          </cell>
          <cell r="D456" t="str">
            <v>Pelatihan Modul Pendalaman Teknik dan Pengoperasian KRL Seri 05</v>
          </cell>
          <cell r="E456">
            <v>0</v>
          </cell>
          <cell r="F456">
            <v>41258</v>
          </cell>
        </row>
        <row r="457">
          <cell r="B457" t="str">
            <v>ANGGER BAYU AJI</v>
          </cell>
          <cell r="C457" t="str">
            <v>PKWT</v>
          </cell>
          <cell r="D457" t="str">
            <v>Pelatihan Modul Pendalaman Teknik dan Pengoperasian KRL Seri 6000</v>
          </cell>
          <cell r="E457">
            <v>0</v>
          </cell>
          <cell r="F457">
            <v>41954</v>
          </cell>
        </row>
        <row r="458">
          <cell r="B458" t="str">
            <v>ANGGER BAYU AJI</v>
          </cell>
          <cell r="C458" t="str">
            <v>PKWT</v>
          </cell>
          <cell r="D458" t="str">
            <v>Pelatihan Penyelia Awak Sarana Perkeretaapian dengan Penggerak Listrik</v>
          </cell>
          <cell r="E458">
            <v>0</v>
          </cell>
          <cell r="F458">
            <v>41922</v>
          </cell>
        </row>
        <row r="459">
          <cell r="B459" t="str">
            <v>DIMAS SUHARDIYONO</v>
          </cell>
          <cell r="C459" t="str">
            <v>Organik</v>
          </cell>
          <cell r="D459" t="str">
            <v>Pelatihan Kompetensi Human Capital Staff</v>
          </cell>
          <cell r="E459">
            <v>0</v>
          </cell>
          <cell r="F459">
            <v>45442</v>
          </cell>
        </row>
        <row r="460">
          <cell r="B460" t="str">
            <v>YANTI SAFITRI</v>
          </cell>
          <cell r="C460" t="str">
            <v>Organik</v>
          </cell>
          <cell r="D460" t="str">
            <v>Pelatihan Kompetensi Human Capital Staff</v>
          </cell>
          <cell r="E460">
            <v>0</v>
          </cell>
          <cell r="F460">
            <v>45442</v>
          </cell>
        </row>
        <row r="461">
          <cell r="B461" t="str">
            <v>IDA BAGUS PUTU EKAPUTRA DHARMA</v>
          </cell>
          <cell r="C461" t="str">
            <v>PKWT</v>
          </cell>
          <cell r="D461" t="str">
            <v>Pembianaan dan Sertifikasi Pemadam Kebakaran Kelas D</v>
          </cell>
          <cell r="E461">
            <v>0</v>
          </cell>
          <cell r="F461">
            <v>45516</v>
          </cell>
        </row>
        <row r="462">
          <cell r="B462" t="str">
            <v>SATRIA GUSTIANA RAHARDI</v>
          </cell>
          <cell r="C462" t="str">
            <v>IMSS</v>
          </cell>
          <cell r="D462" t="str">
            <v>Pembianaan dan Sertifikasi Pemadam Kebakaran Kelas D</v>
          </cell>
          <cell r="E462">
            <v>0</v>
          </cell>
          <cell r="F462">
            <v>45516</v>
          </cell>
        </row>
        <row r="463">
          <cell r="B463" t="str">
            <v>TRI BAGUS RIDHO KURNIAWAN</v>
          </cell>
          <cell r="C463" t="str">
            <v>PKWT</v>
          </cell>
          <cell r="D463" t="str">
            <v>Training dan Commissioning Mesin Spot Welding</v>
          </cell>
          <cell r="E463">
            <v>0</v>
          </cell>
          <cell r="F463">
            <v>45509</v>
          </cell>
        </row>
        <row r="464">
          <cell r="B464" t="str">
            <v>WAHAB</v>
          </cell>
          <cell r="C464" t="str">
            <v>PKWT</v>
          </cell>
          <cell r="D464" t="str">
            <v>Training dan Commissioning Mesin Spot Welding</v>
          </cell>
          <cell r="E464">
            <v>0</v>
          </cell>
          <cell r="F464">
            <v>45509</v>
          </cell>
        </row>
        <row r="465">
          <cell r="B465" t="str">
            <v>FENDIK SISWANTO</v>
          </cell>
          <cell r="C465" t="str">
            <v>PKWT</v>
          </cell>
          <cell r="D465" t="str">
            <v>Training dan Commissioning Mesin Spot Welding</v>
          </cell>
          <cell r="E465">
            <v>0</v>
          </cell>
          <cell r="F465">
            <v>45509</v>
          </cell>
        </row>
        <row r="466">
          <cell r="B466" t="str">
            <v>FAISHOL RIJATUL TAMIMI</v>
          </cell>
          <cell r="C466" t="str">
            <v>PKWT</v>
          </cell>
          <cell r="D466" t="str">
            <v>Training dan Commissioning Mesin Spot Welding</v>
          </cell>
          <cell r="E466">
            <v>0</v>
          </cell>
          <cell r="F466">
            <v>45509</v>
          </cell>
        </row>
        <row r="467">
          <cell r="B467" t="str">
            <v>GHOZIE NAFIIRI FATHUL ADHIM</v>
          </cell>
          <cell r="C467" t="str">
            <v>PKWT</v>
          </cell>
          <cell r="D467" t="str">
            <v>Training Pengoperasian VM Kereta Ukur dan VM Kereta Derek LRT Jabodebek</v>
          </cell>
          <cell r="E467">
            <v>0</v>
          </cell>
          <cell r="F467">
            <v>45514</v>
          </cell>
        </row>
        <row r="468">
          <cell r="B468" t="str">
            <v>AGIL ARDIANSAH</v>
          </cell>
          <cell r="C468" t="str">
            <v>PKWT</v>
          </cell>
          <cell r="D468" t="str">
            <v>Training Pengoperasian VM Kereta Ukur dan VM Kereta Derek LRT Jabodebek</v>
          </cell>
          <cell r="E468">
            <v>0</v>
          </cell>
          <cell r="F468">
            <v>45514</v>
          </cell>
        </row>
        <row r="469">
          <cell r="B469" t="str">
            <v>AHMAD ZAJULI</v>
          </cell>
          <cell r="C469" t="str">
            <v>PKWT</v>
          </cell>
          <cell r="D469" t="str">
            <v>Training Pengoperasian VM Kereta Ukur dan VM Kereta Derek LRT Jabodebek</v>
          </cell>
          <cell r="E469">
            <v>0</v>
          </cell>
          <cell r="F469">
            <v>45514</v>
          </cell>
        </row>
        <row r="470">
          <cell r="B470" t="str">
            <v>DIMAS ENGGAR PAMBUDI</v>
          </cell>
          <cell r="C470" t="str">
            <v>PKWT</v>
          </cell>
          <cell r="D470" t="str">
            <v>Training Pengoperasian VM Kereta Ukur dan VM Kereta Derek LRT Jabodebek</v>
          </cell>
          <cell r="E470">
            <v>0</v>
          </cell>
          <cell r="F470">
            <v>45514</v>
          </cell>
        </row>
        <row r="471">
          <cell r="B471" t="str">
            <v>DIMAS MUCHSIN ARDIANSYAH</v>
          </cell>
          <cell r="C471" t="str">
            <v>PKWT</v>
          </cell>
          <cell r="D471" t="str">
            <v>Training Pengoperasian VM Kereta Ukur dan VM Kereta Derek LRT Jabodebek</v>
          </cell>
          <cell r="E471">
            <v>0</v>
          </cell>
          <cell r="F471">
            <v>45514</v>
          </cell>
        </row>
        <row r="472">
          <cell r="B472" t="str">
            <v>DENDI HERMAWAN</v>
          </cell>
          <cell r="C472" t="str">
            <v>PKWT</v>
          </cell>
          <cell r="D472" t="str">
            <v>Training Pengoperasian VM Kereta Ukur dan VM Kereta Derek LRT Jabodebek</v>
          </cell>
          <cell r="E472">
            <v>0</v>
          </cell>
          <cell r="F472">
            <v>45514</v>
          </cell>
        </row>
        <row r="473">
          <cell r="B473" t="str">
            <v>ANGGER BAYU AJI</v>
          </cell>
          <cell r="C473" t="str">
            <v>PKWT</v>
          </cell>
          <cell r="D473" t="str">
            <v>Training Pengoperasian VM Kereta Ukur dan VM Kereta Derek LRT Jabodebek</v>
          </cell>
          <cell r="E473">
            <v>0</v>
          </cell>
          <cell r="F473">
            <v>45514</v>
          </cell>
        </row>
        <row r="474">
          <cell r="B474" t="str">
            <v>FAIZIN</v>
          </cell>
          <cell r="C474" t="str">
            <v>PKWT</v>
          </cell>
          <cell r="D474" t="str">
            <v>Training Pengoperasian VM Kereta Ukur dan VM Kereta Derek LRT Jabodebek</v>
          </cell>
          <cell r="E474">
            <v>0</v>
          </cell>
          <cell r="F474">
            <v>45514</v>
          </cell>
        </row>
        <row r="475">
          <cell r="B475" t="str">
            <v>TRI BAGUS RIDHO KURNIAWAN</v>
          </cell>
          <cell r="C475" t="str">
            <v>PKWT</v>
          </cell>
          <cell r="D475" t="str">
            <v>Training dan Commissioning Mesin Laser Cutting</v>
          </cell>
          <cell r="E475">
            <v>0</v>
          </cell>
          <cell r="F475">
            <v>45516</v>
          </cell>
        </row>
        <row r="476">
          <cell r="B476" t="str">
            <v>WAHAB</v>
          </cell>
          <cell r="C476" t="str">
            <v>PKWT</v>
          </cell>
          <cell r="D476" t="str">
            <v>Training dan Commissioning Mesin Laser Cutting</v>
          </cell>
          <cell r="E476">
            <v>0</v>
          </cell>
          <cell r="F476">
            <v>45516</v>
          </cell>
        </row>
        <row r="477">
          <cell r="B477" t="str">
            <v>FENDIK SISWANTO</v>
          </cell>
          <cell r="C477" t="str">
            <v>PKWT</v>
          </cell>
          <cell r="D477" t="str">
            <v>Training dan Commissioning Mesin Laser Cutting</v>
          </cell>
          <cell r="E477">
            <v>0</v>
          </cell>
          <cell r="F477">
            <v>45516</v>
          </cell>
        </row>
        <row r="478">
          <cell r="B478" t="str">
            <v>FAISHOL RIJATUL TAMIMI</v>
          </cell>
          <cell r="C478" t="str">
            <v>PKWT</v>
          </cell>
          <cell r="D478" t="str">
            <v>Training dan Commissioning Mesin Laser Cutting</v>
          </cell>
          <cell r="E478">
            <v>0</v>
          </cell>
          <cell r="F478">
            <v>45516</v>
          </cell>
        </row>
        <row r="479">
          <cell r="B479" t="str">
            <v>SARAH AYU JUNIA KURNIASIH</v>
          </cell>
          <cell r="C479" t="str">
            <v>PKWT</v>
          </cell>
          <cell r="D479" t="str">
            <v>Training Refreshment SAP</v>
          </cell>
          <cell r="E479">
            <v>0</v>
          </cell>
          <cell r="F479">
            <v>45541</v>
          </cell>
        </row>
        <row r="480">
          <cell r="B480" t="str">
            <v>FENDIK SISWANTO</v>
          </cell>
          <cell r="C480" t="str">
            <v>PKWT</v>
          </cell>
          <cell r="D480" t="str">
            <v>Training Mesin Pipe Treading</v>
          </cell>
          <cell r="E480">
            <v>0</v>
          </cell>
          <cell r="F480">
            <v>45548</v>
          </cell>
        </row>
        <row r="481">
          <cell r="B481" t="str">
            <v>FENDIK SISWANTO</v>
          </cell>
          <cell r="C481" t="str">
            <v>PKWT</v>
          </cell>
          <cell r="D481" t="str">
            <v>Training Mesin Hidraulik Press</v>
          </cell>
          <cell r="E481">
            <v>0</v>
          </cell>
          <cell r="F481">
            <v>45548</v>
          </cell>
        </row>
        <row r="482">
          <cell r="B482" t="str">
            <v>WAHAB</v>
          </cell>
          <cell r="C482" t="str">
            <v>PKWT</v>
          </cell>
          <cell r="D482" t="str">
            <v>Training Mesin Hidraulik Press</v>
          </cell>
          <cell r="E482">
            <v>0</v>
          </cell>
          <cell r="F482">
            <v>45548</v>
          </cell>
        </row>
        <row r="483">
          <cell r="B483" t="str">
            <v>YULIA WHIRDAWATI</v>
          </cell>
          <cell r="C483" t="str">
            <v>Organik</v>
          </cell>
          <cell r="D483" t="str">
            <v>Peningkatan Pemahaman Gratifikasi</v>
          </cell>
          <cell r="E483">
            <v>0</v>
          </cell>
          <cell r="F483">
            <v>45554</v>
          </cell>
        </row>
        <row r="484">
          <cell r="B484" t="str">
            <v>AHMAD YUDHA FITRIANTO</v>
          </cell>
          <cell r="C484" t="str">
            <v>IMSS</v>
          </cell>
          <cell r="D484" t="str">
            <v>Peningkatan Pemahaman Gratifikasi</v>
          </cell>
          <cell r="E484">
            <v>0</v>
          </cell>
          <cell r="F484">
            <v>45554</v>
          </cell>
        </row>
        <row r="485">
          <cell r="B485" t="str">
            <v>RUDY SUSANTO</v>
          </cell>
          <cell r="C485" t="str">
            <v>IMSS</v>
          </cell>
          <cell r="D485" t="str">
            <v>Peningkatan Pemahaman Gratifikasi</v>
          </cell>
          <cell r="E485">
            <v>0</v>
          </cell>
          <cell r="F485">
            <v>45554</v>
          </cell>
        </row>
        <row r="486">
          <cell r="B486" t="str">
            <v>YANTI SAFITRI</v>
          </cell>
          <cell r="C486" t="str">
            <v>IMSS</v>
          </cell>
          <cell r="D486" t="str">
            <v>Peningkatan Pemahaman Gratifikasi</v>
          </cell>
          <cell r="E486">
            <v>0</v>
          </cell>
          <cell r="F486">
            <v>45554</v>
          </cell>
        </row>
        <row r="487">
          <cell r="B487" t="str">
            <v>ALVIN DEVOTE AZARIA ARDANA</v>
          </cell>
          <cell r="C487" t="str">
            <v>PKWT</v>
          </cell>
          <cell r="D487" t="str">
            <v>Pelatihan Penilaian/Asesmen Penerapan Tata Kelola Perusahaan yang Baik dengan Parameter ACGS</v>
          </cell>
          <cell r="E487">
            <v>0</v>
          </cell>
          <cell r="F487">
            <v>0</v>
          </cell>
        </row>
        <row r="488">
          <cell r="B488" t="str">
            <v>SULTAN ALFIANTSYAH</v>
          </cell>
          <cell r="C488" t="str">
            <v>PKWT</v>
          </cell>
          <cell r="D488" t="str">
            <v>Pelatihan Penilaian/Asesmen Penerapan Tata Kelola Perusahaan yang Baik dengan Parameter ACGS</v>
          </cell>
          <cell r="E488">
            <v>0</v>
          </cell>
          <cell r="F488">
            <v>0</v>
          </cell>
        </row>
        <row r="489">
          <cell r="B489" t="str">
            <v>ALFIRINA ARDYASTUTIK</v>
          </cell>
          <cell r="C489" t="str">
            <v>IMSS</v>
          </cell>
          <cell r="D489" t="str">
            <v>Workshop Alasan Penghapus Pidana dan Perlindungan Hukum Untuk Direksi/Komisaris BUMN dalam Corporate Action</v>
          </cell>
          <cell r="E489">
            <v>0</v>
          </cell>
          <cell r="F489">
            <v>0</v>
          </cell>
        </row>
        <row r="490">
          <cell r="B490" t="str">
            <v xml:space="preserve">BAGUS DWI CAHYONO </v>
          </cell>
          <cell r="C490" t="str">
            <v>IMSS</v>
          </cell>
          <cell r="D490" t="str">
            <v>Pelaksana Pemeliharaan Jalan</v>
          </cell>
          <cell r="E490">
            <v>0</v>
          </cell>
          <cell r="F490">
            <v>45616</v>
          </cell>
        </row>
        <row r="491">
          <cell r="B491" t="str">
            <v>DWI ANNA ANDIK PRASETYO</v>
          </cell>
          <cell r="C491" t="str">
            <v>IMSS</v>
          </cell>
          <cell r="D491" t="str">
            <v>Ahli Madya Teknik Jalan</v>
          </cell>
          <cell r="E491">
            <v>0</v>
          </cell>
          <cell r="F491">
            <v>45616</v>
          </cell>
        </row>
        <row r="492">
          <cell r="B492" t="str">
            <v>IRVAN BAGUS SAPUTRO</v>
          </cell>
          <cell r="C492" t="str">
            <v>PKWT</v>
          </cell>
          <cell r="D492" t="str">
            <v>Manajer Lapanganan Pekerjaan Gedung</v>
          </cell>
          <cell r="E492">
            <v>0</v>
          </cell>
          <cell r="F492">
            <v>45616</v>
          </cell>
        </row>
        <row r="493">
          <cell r="B493" t="str">
            <v>RIAN PRATAMA</v>
          </cell>
          <cell r="C493" t="str">
            <v>PKWT</v>
          </cell>
          <cell r="D493" t="str">
            <v>Ahli Muda Teknik Mekanikal</v>
          </cell>
          <cell r="E493">
            <v>0</v>
          </cell>
          <cell r="F493">
            <v>45616</v>
          </cell>
        </row>
        <row r="494">
          <cell r="B494" t="str">
            <v>YULIA WHIRDAWATI</v>
          </cell>
          <cell r="C494" t="str">
            <v>INKA</v>
          </cell>
          <cell r="D494" t="str">
            <v>Certified Practitioner Internal Bersertifikat</v>
          </cell>
          <cell r="E494">
            <v>0</v>
          </cell>
          <cell r="F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</row>
      </sheetData>
      <sheetData sheetId="2"/>
      <sheetData sheetId="3"/>
      <sheetData sheetId="4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IMS Service" refreshedDate="45674.683770601849" createdVersion="4" refreshedVersion="4" minRefreshableVersion="3" recordCount="424" xr:uid="{6A4D0744-5BD0-4743-B234-AA8A3D4971C2}">
  <cacheSource type="worksheet">
    <worksheetSource name="Table1"/>
  </cacheSource>
  <cacheFields count="82">
    <cacheField name="No" numFmtId="0">
      <sharedItems containsSemiMixedTypes="0" containsString="0" containsNumber="1" containsInteger="1"/>
    </cacheField>
    <cacheField name="KH hari" numFmtId="0">
      <sharedItems containsString="0" containsNumber="1" containsInteger="1"/>
    </cacheField>
    <cacheField name="Nama" numFmtId="0">
      <sharedItems containsString="0"/>
    </cacheField>
    <cacheField name="NIP Aktif" numFmtId="0">
      <sharedItems containsSemiMixedTypes="0" containsString="0" containsNumber="1" containsInteger="1"/>
    </cacheField>
    <cacheField name="Rekening Mandiri" numFmtId="0">
      <sharedItems containsString="0" containsNumber="1" containsInteger="1"/>
    </cacheField>
    <cacheField name="Rekening BSI" numFmtId="0">
      <sharedItems containsString="0" containsNumber="1" containsInteger="1"/>
    </cacheField>
    <cacheField name="Rekrutmen" numFmtId="0">
      <sharedItems containsString="0"/>
    </cacheField>
    <cacheField name="Domisili" numFmtId="0">
      <sharedItems containsString="0"/>
    </cacheField>
    <cacheField name="Tgl Masuk/ Mutasi" numFmtId="0">
      <sharedItems containsNonDate="0" containsDate="1" containsString="0"/>
    </cacheField>
    <cacheField name="Masa Kerja (Tahun)" numFmtId="0">
      <sharedItems containsString="0" containsNumber="1" containsInteger="1"/>
    </cacheField>
    <cacheField name="Masa Kerja (Bulan)" numFmtId="0">
      <sharedItems containsString="0" containsNumber="1" containsInteger="1"/>
    </cacheField>
    <cacheField name="Status Pegawai" numFmtId="0">
      <sharedItems containsBlank="1" count="6">
        <s v="ORGANIK INKA"/>
        <s v="ORGANIK IMSS"/>
        <s v="PKWT"/>
        <m/>
        <s v="Tetap" u="1"/>
        <s v="Organik" u="1"/>
      </sharedItems>
    </cacheField>
    <cacheField name="Karyawan" numFmtId="0">
      <sharedItems containsBlank="1" count="3">
        <s v="INKA"/>
        <s v="IMSS"/>
        <m/>
      </sharedItems>
    </cacheField>
    <cacheField name="SK Pengangkatan/ Mutasi/ No Kontrak" numFmtId="0">
      <sharedItems containsString="0"/>
    </cacheField>
    <cacheField name="Tgl. Pengangkatan/ Akhir Kontrak" numFmtId="0">
      <sharedItems containsNonDate="0" containsDate="1" containsString="0"/>
    </cacheField>
    <cacheField name="Jabatan INKA" numFmtId="0">
      <sharedItems containsString="0"/>
    </cacheField>
    <cacheField name="Jabatan IMSS" numFmtId="0">
      <sharedItems containsString="0"/>
    </cacheField>
    <cacheField name="Column2" numFmtId="0">
      <sharedItems containsBlank="1" count="6">
        <s v="BOD"/>
        <s v="BOD - 3"/>
        <s v="BOD - 2"/>
        <s v="BOD - 1"/>
        <s v="STAF"/>
        <m/>
      </sharedItems>
    </cacheField>
    <cacheField name="Administrasi/ Teknisi" numFmtId="0">
      <sharedItems containsString="0"/>
    </cacheField>
    <cacheField name="Kota/Lokasi Kerja" numFmtId="0">
      <sharedItems containsBlank="1" count="19">
        <s v="IMSS"/>
        <s v="INKA"/>
        <s v="Jakarta"/>
        <s v="Medan"/>
        <s v="Solo"/>
        <s v="Klaten"/>
        <s v="Aceh"/>
        <s v="Palembang"/>
        <s v="Makassar"/>
        <s v="Surabaya"/>
        <s v="Gudang"/>
        <s v="Purwodadi"/>
        <s v="Lampung"/>
        <s v="Bandung"/>
        <s v="Padang"/>
        <s v="Banyuwangi"/>
        <s v="Yogyakarta"/>
        <m/>
        <s v="PMU"/>
      </sharedItems>
    </cacheField>
    <cacheField name="Bagian / Proyek" numFmtId="0">
      <sharedItems containsString="0"/>
    </cacheField>
    <cacheField name="Departemen / Sub Proyek" numFmtId="0">
      <sharedItems containsString="0"/>
    </cacheField>
    <cacheField name="Divisi" numFmtId="0">
      <sharedItems containsBlank="1" count="15">
        <s v="Direksi"/>
        <s v="Wilayah I"/>
        <s v="Keuangan"/>
        <s v="Pemasaran"/>
        <s v="Wilayah II"/>
        <s v="SDM dan Umum"/>
        <s v="Pengelolaan dan Pengendalian Aset INKA"/>
        <s v="Sekper, Legal dan Tata Kelola"/>
        <s v="Teknik dan Logistik"/>
        <s v="SMK3"/>
        <s v="SPI"/>
        <s v="Staf Ahli Direktur Utama"/>
        <s v="Fasilitas Pemeliharaan dan Pemeliharaan Fasilitas Sipil"/>
        <s v="PT Periska Multi Usaha"/>
        <m/>
      </sharedItems>
    </cacheField>
    <cacheField name="Direktorat" numFmtId="0">
      <sharedItems containsString="0"/>
    </cacheField>
    <cacheField name="Sertifikat" numFmtId="0">
      <sharedItems containsString="0"/>
    </cacheField>
    <cacheField name="Surat Peringatan Terakhir" numFmtId="0">
      <sharedItems containsString="0"/>
    </cacheField>
    <cacheField name="Jenis Kelamin" numFmtId="0">
      <sharedItems containsBlank="1" count="3">
        <s v="Laki-Laki"/>
        <s v="Perempuan"/>
        <m/>
      </sharedItems>
    </cacheField>
    <cacheField name="Tempat Lahir" numFmtId="0">
      <sharedItems containsString="0"/>
    </cacheField>
    <cacheField name="Tgl Lahir" numFmtId="0">
      <sharedItems containsNonDate="0" containsDate="1" containsString="0"/>
    </cacheField>
    <cacheField name="Usia" numFmtId="0">
      <sharedItems containsString="0" containsBlank="1" containsNumber="1" containsInteger="1" minValue="18" maxValue="125" count="41">
        <n v="40"/>
        <n v="48"/>
        <n v="53"/>
        <n v="36"/>
        <n v="30"/>
        <n v="31"/>
        <n v="29"/>
        <n v="28"/>
        <n v="50"/>
        <n v="33"/>
        <n v="47"/>
        <n v="52"/>
        <n v="39"/>
        <n v="41"/>
        <n v="37"/>
        <n v="38"/>
        <n v="54"/>
        <n v="51"/>
        <n v="57"/>
        <n v="49"/>
        <n v="45"/>
        <n v="34"/>
        <n v="32"/>
        <n v="35"/>
        <n v="43"/>
        <n v="42"/>
        <n v="27"/>
        <n v="44"/>
        <n v="26"/>
        <n v="46"/>
        <n v="25"/>
        <n v="24"/>
        <n v="23"/>
        <n v="21"/>
        <n v="22"/>
        <n v="20"/>
        <n v="65"/>
        <n v="18"/>
        <n v="19"/>
        <m/>
        <n v="125" u="1"/>
      </sharedItems>
    </cacheField>
    <cacheField name="No. KTP" numFmtId="0">
      <sharedItems containsString="0"/>
    </cacheField>
    <cacheField name="Alamat" numFmtId="0">
      <sharedItems containsString="0"/>
    </cacheField>
    <cacheField name="No. HP" numFmtId="0">
      <sharedItems containsString="0" containsNumber="1" containsInteger="1"/>
    </cacheField>
    <cacheField name="No Whatsapp" numFmtId="0">
      <sharedItems containsString="0" containsNumber="1" containsInteger="1"/>
    </cacheField>
    <cacheField name="No Linkaja" numFmtId="0">
      <sharedItems containsString="0" containsNumber="1" containsInteger="1"/>
    </cacheField>
    <cacheField name="Email " numFmtId="0">
      <sharedItems containsString="0"/>
    </cacheField>
    <cacheField name="BPJS Kes" numFmtId="0">
      <sharedItems containsString="0"/>
    </cacheField>
    <cacheField name="BPJS TK" numFmtId="0">
      <sharedItems containsString="0" containsNumber="1" containsInteger="1"/>
    </cacheField>
    <cacheField name="Status Pernikahan" numFmtId="0">
      <sharedItems containsString="0"/>
    </cacheField>
    <cacheField name="Suami/Istri" numFmtId="0">
      <sharedItems containsString="0"/>
    </cacheField>
    <cacheField name="Anak 1" numFmtId="0">
      <sharedItems containsString="0"/>
    </cacheField>
    <cacheField name="Anak 2" numFmtId="0">
      <sharedItems containsString="0"/>
    </cacheField>
    <cacheField name="Anak 3" numFmtId="0">
      <sharedItems containsString="0"/>
    </cacheField>
    <cacheField name="Tambahan" numFmtId="0">
      <sharedItems containsString="0"/>
    </cacheField>
    <cacheField name="Ayah Kandung" numFmtId="0">
      <sharedItems containsString="0"/>
    </cacheField>
    <cacheField name="Ibu Kandung" numFmtId="0">
      <sharedItems containsString="0"/>
    </cacheField>
    <cacheField name="Ayah Mertua" numFmtId="0">
      <sharedItems containsString="0"/>
    </cacheField>
    <cacheField name="Ibu Mertua" numFmtId="0">
      <sharedItems containsString="0"/>
    </cacheField>
    <cacheField name="Jumlah Tanggungan" numFmtId="0">
      <sharedItems containsSemiMixedTypes="0" containsString="0" containsNumber="1" containsInteger="1"/>
    </cacheField>
    <cacheField name="Status Pajak" numFmtId="0">
      <sharedItems containsString="0"/>
    </cacheField>
    <cacheField name="Column1" numFmtId="0">
      <sharedItems containsString="0" containsNumber="1" containsInteger="1"/>
    </cacheField>
    <cacheField name="NPWP" numFmtId="0">
      <sharedItems containsString="0" containsNumber="1" containsInteger="1"/>
    </cacheField>
    <cacheField name="Agama" numFmtId="0">
      <sharedItems containsString="0"/>
    </cacheField>
    <cacheField name="Pend Diakui" numFmtId="0">
      <sharedItems containsBlank="1" count="11">
        <s v="S1"/>
        <s v="D3"/>
        <s v="S2"/>
        <s v="SMA"/>
        <s v="SMK"/>
        <s v="SMP"/>
        <s v="D4"/>
        <s v="SMK "/>
        <s v="D4 "/>
        <s v="D2"/>
        <m/>
      </sharedItems>
    </cacheField>
    <cacheField name="Jurusan" numFmtId="0">
      <sharedItems containsString="0"/>
    </cacheField>
    <cacheField name="Almamater" numFmtId="0">
      <sharedItems containsBlank="1" count="180">
        <s v="Institut Teknologi Sepuluh Nopember"/>
        <s v="Institut Teknologi Pembangunan Surabaya"/>
        <s v="SMA SEDERAJAT"/>
        <s v="Universitas Gadjah Mada"/>
        <s v="Universitas Islam Indonesia"/>
        <s v="Universitas Diponegoro"/>
        <s v="Universitas PGRI Madiun"/>
        <s v="Universitas Wisnuwardhana Malang"/>
        <s v="Universitas Sebelas Maret Surakarta"/>
        <s v="Universitas Negeri Jakarta"/>
        <s v="Universitas Brawijaya"/>
        <s v="Universitas Negeri Yogyakarta"/>
        <s v="Universitas Merdeka Madiun"/>
        <s v="SMK N 1 Madiun"/>
        <s v="SMK Gamaliel 1 Madiun"/>
        <s v="SMK Swasta PGRI Maospati"/>
        <s v="SMK Swasta 17 Mangunharjo "/>
        <s v="Paket C"/>
        <s v="SMK Cokroaminoto 2 Madiun"/>
        <s v="SMA N 1 Mojokerto"/>
        <s v="SMK N 2 Jiwan"/>
        <s v="MTS N Kota Madiun"/>
        <s v="Universitas Soerjo Ngawi"/>
        <s v="SMK Taman Siswa 2 Madiun"/>
        <s v="SMA N 1 Madiun"/>
        <s v="SMK YP 17-1"/>
        <s v="SMK PGRI Caruban"/>
        <s v="Politeknik Negeri Madiun"/>
        <s v="SMK PGRI 1 Mejayan"/>
        <s v="SMK Penerbangan Angkasa Maospati"/>
        <s v="SMA Taman Bakti Madiun"/>
        <s v="SMK N 2 Purwokerto"/>
        <s v="SMA N 2 Mangunharjo"/>
        <s v="SMK Sabilil Mutaqien Magetan"/>
        <s v="SMK PGRI 1 Madiun"/>
        <s v="SMK N 1 Kawedanan"/>
        <s v="SMP N 3 Kawedanan"/>
        <s v="SMK PGRI 1 Manguharjo"/>
        <s v="SMA N 1 Muara Batu"/>
        <s v="SMK PGRI 1 Magetan"/>
        <s v="SMK N 1 Takeran"/>
        <s v="SMK N 1 Kertosono"/>
        <s v="SMK N 1 Jiwan"/>
        <s v="SMK N 1 Wonoasri"/>
        <s v="SMK Bakti Ponorogo"/>
        <s v="SMA N 1 Jiwan"/>
        <s v="SMK PGRI 1 Mangunharjo"/>
        <s v="SMK PGRI 2 Ponorogo"/>
        <s v="SMK N Kare Madiun"/>
        <s v="SMK N 1 Lengkong"/>
        <s v="SMK Pertiwi Kuningan"/>
        <s v="Sekolah Tinggi Teknik PLN"/>
        <s v="Universitas Muhammadiyah Tangerang"/>
        <s v="SMK Swasta Pancasila 1 Wonogiri"/>
        <s v="SMK Pelita Persada"/>
        <s v="SMK N 1 Kebonsari"/>
        <s v="SMK N 1 Bendo"/>
        <s v="SMK N 1 Ngebel"/>
        <s v="SMK Perkapalan Sidoarjo"/>
        <s v="SMK N 1 Wates"/>
        <s v="SMK PSM 2 Takeran Magetan"/>
        <s v="SMK N 1 Kediri"/>
        <s v="SMK N 3 Surabaya"/>
        <s v="SMK PGRI Tanjung Raja"/>
        <s v="Universitas Sriwijaya"/>
        <s v="SMK N 4 Palembang"/>
        <s v="SMK N 2 Palembang"/>
        <s v="SMK Vinama 2 Bekasi"/>
        <s v="SMK Telenika Palembang"/>
        <s v="Universitas Muhammadiyah Palembang"/>
        <s v="Universitas Andalas"/>
        <s v="SMK Angkasa I"/>
        <s v="SMK Gajah Mada Palembang"/>
        <s v="SMK Negeri Sumatera Selatan"/>
        <s v="SMK Karya Pembangunan Jambe"/>
        <s v="SMK Pembangunan YPT Palembang"/>
        <s v="SMK N 7 Palembang"/>
        <s v="SMK Karya Padang Panjang"/>
        <s v="SMK Mandiri Depok"/>
        <s v="SMK Wiyatamandala Jakarta"/>
        <s v="SMK N 2 Wonosobo"/>
        <s v="SMK N 1 Gelumbang"/>
        <s v="SMK PGRI 2 Tangerang"/>
        <s v="SMK Negeri 2 Tanjung Balai"/>
        <s v="SMK N 1 Lahat"/>
        <s v="SMK N 3 Yogyakarta"/>
        <s v="SMK Leonardo Klaten"/>
        <s v="SMK Nasional Klaten"/>
        <s v="SMK YPS Prabumulih"/>
        <s v="SMK Swasta 2 Taman Ilmu Perlanaan"/>
        <s v="SMK Guna Bhakti 1 Bekasi"/>
        <s v="SMK N 2 Barru"/>
        <s v="SMK Maarif 1 Wates "/>
        <s v="SMK N 1 Kartoharjo Magetan"/>
        <s v="SMK N 1 Tonjong, Brebes"/>
        <s v="SMK Izzata Kota Depok"/>
        <s v="SMK Swasta Sinar Husni 2 Deli Serdang"/>
        <s v="SMK N 1 Bumijawa"/>
        <s v="SMK YPT 2 Purbalingga"/>
        <s v="SMK N 1 Muara Batu"/>
        <s v="SMK Budi Karya, Natar, Lampung Selatan"/>
        <s v="UIN Raden Fatah Palembang"/>
        <s v="SMK N 2 Palimanan"/>
        <s v="SMK PUI Jatibarang"/>
        <s v="SMK Swasta Putra Jaya Stabat"/>
        <s v="SMK Al Akhyar 2 Jakarta Timur"/>
        <s v="STM Taman Siswa Madiun"/>
        <s v="SMK N 26 Jakarta"/>
        <s v="SMK Taman Karya Bandar Lampung"/>
        <s v="SMK N 1 Jenangan"/>
        <s v="SMK N 2 Klaten"/>
        <s v="SMK N 1 Trucuk"/>
        <s v="SMK N 1 Adiwerna"/>
        <s v="SMA N 2 Kesuma Bangsa Muara Batu"/>
        <s v="SMA N Terbuka Kota Depok"/>
        <s v="SMK N 5 Jakarta"/>
        <s v="SMK N 4 Tangerang"/>
        <s v="SMK N 56 Jakarta"/>
        <s v="SMK Bunda Kandung "/>
        <s v="SMK N 36 Jakarta"/>
        <s v="SMK PGRI 1 Ngawi"/>
        <s v="SMK N 6 Tangerang"/>
        <s v="SMK N 1 Singosari Malang"/>
        <s v="SMK Kimia Mudda Madiun"/>
        <s v="Polteknik Negeri Sriwijaya"/>
        <s v="SMK N 1 Gantiwarno"/>
        <s v="SMK Penerbangan Iswahjudi"/>
        <s v="Politeknik Perkeretaapian Indonesia Madiun"/>
        <s v="SMK Yosonegoro Magetan"/>
        <s v="Politeknik Perkapalan Negeri Surabaya"/>
        <s v="SMK Mahardhika Batujajar"/>
        <s v="Universitas Lampung"/>
        <s v="SMA Sentosa Bakti Baturaja"/>
        <s v="Universitas Islam Asyafiiah"/>
        <s v="STMIK Bina Patria Magelang"/>
        <s v="SMK N 1  Purwosari"/>
        <s v="SMK 75 1 Purwokerto"/>
        <s v="SMA N 4 Madiun"/>
        <s v="SMK Dinamika Pembangunan 1 Jakarta"/>
        <s v="SMK N 1 Glagah"/>
        <s v="SMK N 1 Geneng"/>
        <s v="SMK Harapan"/>
        <s v="SMK N Kare"/>
        <s v="SMK Al Basyariyah Pilangkenceng"/>
        <s v="SMK Karya Guna 1 Bekasi"/>
        <s v="Universitas Muhammadiyah Ponorogo"/>
        <s v="Universitas Muhammadiyah Surakarta"/>
        <s v="SMA N 1 Kauman"/>
        <s v="SMP N 1 Ngebel"/>
        <s v="SMP N 2 Wungu"/>
        <s v="PKBM Nurul Karim"/>
        <s v="SMK Magetan 1 YKP"/>
        <s v="SMK Sabilil Muttaqien 2 Takeran"/>
        <s v="Universitas Pamulang"/>
        <s v="SMK Harapan Bangsa"/>
        <s v="SMK Pangudi Rahayu Jakarta"/>
        <s v="SMK N 8 Bandung"/>
        <s v="SMK Miftahul Hikmah"/>
        <s v="SMA Arena Siswa II Jakarta"/>
        <s v="SMK N 1 Geger"/>
        <s v="SMK Tamansiswa Madiun"/>
        <s v="SMK PGRI 1 Mejayan "/>
        <s v="Politeknik Negeri Madiun "/>
        <s v="Politeknik Perkeretaapian Indonesia "/>
        <s v="IKIP Budi Utomo Malang"/>
        <s v="Universitas Muhammadiyah Sidoarjo"/>
        <s v="SMK N 2 Madiun"/>
        <s v="Universitas Sanata Darma"/>
        <s v="Universitas Widya Mandala"/>
        <s v="SMA N 1 Dagangan"/>
        <s v="UPN Veteran Yogyakarta"/>
        <s v="Politeknik Negeri Malang"/>
        <s v="STM PGRI Madiun"/>
        <s v="SMK N 5 Madiun"/>
        <s v="Universitas Ma Chung Malang"/>
        <s v="Institut Teknologi Bandung"/>
        <s v="Universitas Negeri Malang"/>
        <s v="Universitas Negeri Semarang"/>
        <m/>
        <s v="STM Negeri 1 Madiun" u="1"/>
      </sharedItems>
    </cacheField>
    <cacheField name="Tahun Lulus" numFmtId="0">
      <sharedItems containsString="0" containsNumber="1" containsInteger="1"/>
    </cacheField>
    <cacheField name="Pend. Terakhir" numFmtId="0">
      <sharedItems containsString="0"/>
    </cacheField>
    <cacheField name="Jurusan Terakhir" numFmtId="0">
      <sharedItems containsString="0"/>
    </cacheField>
    <cacheField name="Almamater Terakhir" numFmtId="0">
      <sharedItems containsString="0"/>
    </cacheField>
    <cacheField name="Tahun Lulus2" numFmtId="0">
      <sharedItems containsString="0" containsNumber="1" containsInteger="1"/>
    </cacheField>
    <cacheField name="MPP" numFmtId="0">
      <sharedItems containsNonDate="0" containsDate="1" containsString="0"/>
    </cacheField>
    <cacheField name="Pensiun" numFmtId="0">
      <sharedItems containsDate="1" containsString="0"/>
    </cacheField>
    <cacheField name="Ukuran Baju (Huruf)" numFmtId="0">
      <sharedItems containsString="0" containsNumber="1" containsInteger="1"/>
    </cacheField>
    <cacheField name="Ukuran Celana (Huruf)" numFmtId="0">
      <sharedItems containsString="0" containsNumber="1" containsInteger="1"/>
    </cacheField>
    <cacheField name="Ukuran Sepatu (Angka)" numFmtId="0">
      <sharedItems containsString="0" containsNumber="1" containsInteger="1"/>
    </cacheField>
    <cacheField name="Vaksin I" numFmtId="0">
      <sharedItems containsDate="1" containsString="0"/>
    </cacheField>
    <cacheField name="Vaksin II" numFmtId="0">
      <sharedItems containsDate="1" containsString="0"/>
    </cacheField>
    <cacheField name="Vaksin III" numFmtId="0">
      <sharedItems containsNonDate="0" containsDate="1" containsString="0"/>
    </cacheField>
    <cacheField name="No Kontrak" numFmtId="0">
      <sharedItems containsNonDate="0" containsString="0"/>
    </cacheField>
    <cacheField name="Awal" numFmtId="0">
      <sharedItems containsString="0" containsNumber="1" containsInteger="1"/>
    </cacheField>
    <cacheField name="Akhir" numFmtId="0">
      <sharedItems containsString="0" containsNumber="1" containsInteger="1"/>
    </cacheField>
    <cacheField name="PB I" numFmtId="0">
      <sharedItems containsString="0"/>
    </cacheField>
    <cacheField name="No Kontrak2" numFmtId="0">
      <sharedItems containsString="0"/>
    </cacheField>
    <cacheField name="Awal2" numFmtId="0">
      <sharedItems containsNonDate="0" containsString="0"/>
    </cacheField>
    <cacheField name="Akhir2" numFmtId="0">
      <sharedItems containsNonDate="0" containsString="0"/>
    </cacheField>
    <cacheField name="PB II" numFmtId="0">
      <sharedItems containsNonDate="0" containsString="0"/>
    </cacheField>
    <cacheField name="No Kontrak3" numFmtId="0">
      <sharedItems containsNonDate="0" containsString="0"/>
    </cacheField>
    <cacheField name="Awal3" numFmtId="0">
      <sharedItems containsNonDate="0" containsString="0"/>
    </cacheField>
    <cacheField name="Akhir3" numFmtId="0">
      <sharedItems containsString="0"/>
    </cacheField>
    <cacheField name="PB III" numFmtId="0">
      <sharedItems containsNonDate="0" containsString="0"/>
    </cacheField>
    <cacheField name="Column3" numFmtId="0">
      <sharedItems containsDate="1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11.771314004633" createdVersion="4" refreshedVersion="4" minRefreshableVersion="3" recordCount="435" xr:uid="{554E3F61-6A93-49F5-9D0E-7B553E0802F7}">
  <cacheSource type="worksheet">
    <worksheetSource ref="AB4:AB439" sheet="Database"/>
  </cacheSource>
  <cacheFields count="1">
    <cacheField name="Jenis Kelamin" numFmtId="0">
      <sharedItems count="2">
        <s v="Laki-Laki"/>
        <s v="Perempua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11.771452546294" createdVersion="4" refreshedVersion="4" minRefreshableVersion="3" recordCount="435" xr:uid="{9FEB72C7-E2FD-4220-8250-F48B2A54BE8E}">
  <cacheSource type="worksheet">
    <worksheetSource ref="D4:M439" sheet="Database"/>
  </cacheSource>
  <cacheFields count="10">
    <cacheField name="Nama" numFmtId="0">
      <sharedItems/>
    </cacheField>
    <cacheField name="NIP Aktif" numFmtId="0">
      <sharedItems containsSemiMixedTypes="0" containsString="0" containsNumber="1" containsInteger="1" minValue="641702080" maxValue="999900117"/>
    </cacheField>
    <cacheField name="Rekening Mandiri" numFmtId="0">
      <sharedItems containsBlank="1" containsMixedTypes="1" containsNumber="1" containsInteger="1" minValue="60011446550" maxValue="9000027404640"/>
    </cacheField>
    <cacheField name="Rekening BSI" numFmtId="0">
      <sharedItems containsBlank="1" containsMixedTypes="1" containsNumber="1" containsInteger="1" minValue="1038639583" maxValue="7269212483"/>
    </cacheField>
    <cacheField name="Rekrutmen" numFmtId="0">
      <sharedItems/>
    </cacheField>
    <cacheField name="Domisili" numFmtId="0">
      <sharedItems/>
    </cacheField>
    <cacheField name="Tgl Masuk/ Mutasi" numFmtId="0">
      <sharedItems containsSemiMixedTypes="0" containsNonDate="0" containsDate="1" containsString="0" minDate="2014-09-02T00:00:00" maxDate="2025-02-13T00:00:00"/>
    </cacheField>
    <cacheField name="Masa Kerja (Tahun)" numFmtId="0">
      <sharedItems containsSemiMixedTypes="0" containsString="0" containsNumber="1" containsInteger="1" minValue="0" maxValue="10"/>
    </cacheField>
    <cacheField name="Masa Kerja (Bulan)" numFmtId="0">
      <sharedItems containsSemiMixedTypes="0" containsString="0" containsNumber="1" containsInteger="1" minValue="0" maxValue="11"/>
    </cacheField>
    <cacheField name="Status Pegawai" numFmtId="0">
      <sharedItems count="3">
        <s v="ORGANIK IMSS"/>
        <s v="PKWT"/>
        <s v="ORGANIK IN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s v="DWI ANNA ANDIK PRASETYO"/>
    <n v="971500002"/>
    <n v="1710003919928"/>
    <m/>
    <s v="Madiun"/>
    <s v="Madiun"/>
    <d v="2014-09-02T00:00:00"/>
    <n v="10"/>
    <n v="5"/>
    <x v="0"/>
  </r>
  <r>
    <s v="DENNY SAPTO NUGROHO"/>
    <n v="642401160"/>
    <m/>
    <n v="7261353363"/>
    <s v="Madiun"/>
    <s v="Sukoharjo"/>
    <d v="2024-01-01T00:00:00"/>
    <n v="1"/>
    <n v="1"/>
    <x v="1"/>
  </r>
  <r>
    <s v="RIKA KUSUMANING INDRATMOKO"/>
    <n v="971500003"/>
    <n v="1710003919779"/>
    <n v="7174445669"/>
    <s v="Madiun"/>
    <s v="Madiun"/>
    <d v="2015-01-01T00:00:00"/>
    <n v="10"/>
    <n v="1"/>
    <x v="0"/>
  </r>
  <r>
    <s v="IRWAN AHMADI"/>
    <n v="642001016"/>
    <n v="1710003988097"/>
    <m/>
    <s v="Madiun"/>
    <s v="Madiun"/>
    <d v="2015-01-01T00:00:00"/>
    <n v="10"/>
    <n v="1"/>
    <x v="1"/>
  </r>
  <r>
    <s v="AGUS SANTOSO"/>
    <n v="642001017"/>
    <n v="1710003988279"/>
    <m/>
    <s v="Madiun"/>
    <s v="Madiun"/>
    <d v="2015-01-01T00:00:00"/>
    <n v="10"/>
    <n v="1"/>
    <x v="1"/>
  </r>
  <r>
    <s v="ALFIRINA ARDYASTUTIK"/>
    <n v="971600004"/>
    <n v="1710003919894"/>
    <m/>
    <s v="Madiun"/>
    <s v="Ngawi"/>
    <d v="2015-03-02T00:00:00"/>
    <n v="9"/>
    <n v="11"/>
    <x v="0"/>
  </r>
  <r>
    <s v="IMAM AGUS ASFARORI"/>
    <n v="971800022"/>
    <n v="1710003919845"/>
    <m/>
    <s v="Madiun"/>
    <s v="Lamongan"/>
    <d v="2015-03-09T00:00:00"/>
    <n v="9"/>
    <n v="11"/>
    <x v="0"/>
  </r>
  <r>
    <s v="PUPUT WAHYUDHIANTO"/>
    <n v="971800026"/>
    <n v="1710003987677"/>
    <n v="2758116070"/>
    <s v="Madiun"/>
    <s v="Magetan"/>
    <d v="2015-04-01T00:00:00"/>
    <n v="9"/>
    <n v="10"/>
    <x v="0"/>
  </r>
  <r>
    <s v="SADIKUN"/>
    <n v="971700006"/>
    <n v="1710004029057"/>
    <n v="2507231480"/>
    <s v="Madiun"/>
    <s v="Magetan"/>
    <d v="2015-04-01T00:00:00"/>
    <n v="9"/>
    <n v="10"/>
    <x v="0"/>
  </r>
  <r>
    <s v="TRI ANANG SUSANTO"/>
    <n v="971700007"/>
    <n v="1710004029032"/>
    <m/>
    <s v="Madiun"/>
    <s v="Madiun"/>
    <d v="2015-04-01T00:00:00"/>
    <n v="9"/>
    <n v="10"/>
    <x v="0"/>
  </r>
  <r>
    <s v="JOKO SUTRISNO"/>
    <n v="971700005"/>
    <n v="1710003987289"/>
    <m/>
    <s v="Madiun"/>
    <s v="Madiun"/>
    <d v="2015-04-01T00:00:00"/>
    <n v="9"/>
    <n v="10"/>
    <x v="0"/>
  </r>
  <r>
    <s v="ANIK HARI SAKSONO"/>
    <n v="642001013"/>
    <n v="1710003987008"/>
    <m/>
    <s v="Madiun"/>
    <s v="Madiun"/>
    <d v="2015-04-01T00:00:00"/>
    <n v="9"/>
    <n v="10"/>
    <x v="1"/>
  </r>
  <r>
    <s v="AGUNG DWI PRABOWO"/>
    <n v="971900047"/>
    <n v="1710003987651"/>
    <n v="7177540034"/>
    <s v="Madiun"/>
    <s v="Ponorogo"/>
    <d v="2015-04-01T00:00:00"/>
    <n v="9"/>
    <n v="10"/>
    <x v="0"/>
  </r>
  <r>
    <s v="NUR CAHYONO"/>
    <n v="971900046"/>
    <n v="1440010154794"/>
    <m/>
    <s v="Madiun"/>
    <s v="Madiun"/>
    <d v="2015-04-01T00:00:00"/>
    <n v="9"/>
    <n v="10"/>
    <x v="0"/>
  </r>
  <r>
    <s v="DEDY CANDRA KRISTIANTO"/>
    <n v="971800023"/>
    <n v="1710003919829"/>
    <n v="4185707720"/>
    <s v="Madiun"/>
    <s v="Madiun"/>
    <d v="2015-04-02T00:00:00"/>
    <n v="9"/>
    <n v="10"/>
    <x v="0"/>
  </r>
  <r>
    <s v="A'AN TAUFIQ"/>
    <n v="971900031"/>
    <n v="1710003987842"/>
    <m/>
    <s v="Madiun"/>
    <s v="Solo"/>
    <d v="2015-05-01T00:00:00"/>
    <n v="9"/>
    <n v="9"/>
    <x v="0"/>
  </r>
  <r>
    <s v="JOKO PURNOMO"/>
    <n v="971700010"/>
    <n v="1710003988329"/>
    <m/>
    <s v="Madiun"/>
    <s v="Madiun"/>
    <d v="2015-05-01T00:00:00"/>
    <n v="9"/>
    <n v="9"/>
    <x v="0"/>
  </r>
  <r>
    <s v="UNGGUL WIDIYANTO"/>
    <n v="971700008"/>
    <n v="1710004040955"/>
    <m/>
    <s v="Madiun"/>
    <s v="Solo"/>
    <d v="2015-05-01T00:00:00"/>
    <n v="9"/>
    <n v="9"/>
    <x v="0"/>
  </r>
  <r>
    <s v="SUTRISNO"/>
    <n v="971900032"/>
    <n v="1710003988055"/>
    <m/>
    <s v="Madiun"/>
    <s v="Mojokerto"/>
    <d v="2015-05-01T00:00:00"/>
    <n v="9"/>
    <n v="9"/>
    <x v="0"/>
  </r>
  <r>
    <s v="LINGGA BEKTI KURNIANTO"/>
    <n v="972400063"/>
    <n v="1710004040864"/>
    <m/>
    <s v="Madiun"/>
    <s v="Madiun"/>
    <d v="2015-05-01T00:00:00"/>
    <n v="9"/>
    <n v="9"/>
    <x v="0"/>
  </r>
  <r>
    <s v="ICHSANNUDIN"/>
    <n v="642001004"/>
    <n v="1710004034461"/>
    <m/>
    <s v="Madiun"/>
    <s v="Ngawi"/>
    <d v="2015-05-01T00:00:00"/>
    <n v="9"/>
    <n v="9"/>
    <x v="1"/>
  </r>
  <r>
    <s v="DIDIK HENDRI SETYONO"/>
    <n v="642001005"/>
    <n v="1710003987818"/>
    <m/>
    <s v="Madiun"/>
    <s v="Madiun"/>
    <d v="2015-05-01T00:00:00"/>
    <n v="9"/>
    <n v="9"/>
    <x v="1"/>
  </r>
  <r>
    <s v="MOHAMMAD RIDWAN ISMAIL"/>
    <n v="642001015"/>
    <n v="1710003987974"/>
    <m/>
    <s v="Madiun"/>
    <s v="Madiun"/>
    <d v="2015-05-01T00:00:00"/>
    <n v="9"/>
    <n v="9"/>
    <x v="1"/>
  </r>
  <r>
    <s v="SIGIT EKO SUSANTO"/>
    <n v="642001011"/>
    <n v="1710003988089"/>
    <m/>
    <s v="Madiun"/>
    <s v="Bogor"/>
    <d v="2015-08-01T00:00:00"/>
    <n v="9"/>
    <n v="6"/>
    <x v="1"/>
  </r>
  <r>
    <s v="DIONISIUS WIRATAMA"/>
    <n v="642001012"/>
    <n v="1710003988030"/>
    <m/>
    <s v="Madiun"/>
    <s v="Madiun"/>
    <d v="2015-08-01T00:00:00"/>
    <n v="9"/>
    <n v="6"/>
    <x v="1"/>
  </r>
  <r>
    <s v="AGUS HARIONO"/>
    <n v="971900028"/>
    <n v="1710004029065"/>
    <m/>
    <s v="Madiun"/>
    <s v="Jombang"/>
    <d v="2015-09-01T00:00:00"/>
    <n v="9"/>
    <n v="5"/>
    <x v="0"/>
  </r>
  <r>
    <s v="SUWARDOYOK"/>
    <n v="972400066"/>
    <n v="1710004029602"/>
    <m/>
    <s v="Madiun"/>
    <s v="Madiun"/>
    <d v="2015-09-01T00:00:00"/>
    <n v="9"/>
    <n v="5"/>
    <x v="0"/>
  </r>
  <r>
    <s v="ANDI SUSILO"/>
    <n v="971900049"/>
    <n v="1710004040807"/>
    <m/>
    <s v="Madiun"/>
    <s v="Madiun"/>
    <d v="2015-09-01T00:00:00"/>
    <n v="9"/>
    <n v="5"/>
    <x v="0"/>
  </r>
  <r>
    <s v="AGIL ARDIANSAH"/>
    <n v="642001009"/>
    <n v="1710004045129"/>
    <m/>
    <s v="Madiun"/>
    <s v="Madiun"/>
    <d v="2015-10-01T00:00:00"/>
    <n v="9"/>
    <n v="4"/>
    <x v="1"/>
  </r>
  <r>
    <s v="EKO PRASTYO"/>
    <n v="971900030"/>
    <n v="1710003987594"/>
    <m/>
    <s v="Madiun"/>
    <s v="Madiun"/>
    <d v="2016-02-01T00:00:00"/>
    <n v="9"/>
    <n v="0"/>
    <x v="0"/>
  </r>
  <r>
    <s v="ADANG YONATA"/>
    <n v="971900033"/>
    <n v="1710003986927"/>
    <m/>
    <s v="Madiun"/>
    <s v="Ngawi"/>
    <d v="2016-02-01T00:00:00"/>
    <n v="9"/>
    <n v="0"/>
    <x v="0"/>
  </r>
  <r>
    <s v="HERBIT DWI SAPUTRO"/>
    <n v="972000056"/>
    <n v="1710003988014"/>
    <n v="7258155698"/>
    <s v="Madiun"/>
    <s v="Madiun"/>
    <d v="2016-02-01T00:00:00"/>
    <n v="9"/>
    <n v="0"/>
    <x v="0"/>
  </r>
  <r>
    <s v="NOVIANA HARIYANTO"/>
    <n v="642001008"/>
    <n v="1710003988105"/>
    <m/>
    <s v="Madiun"/>
    <s v="Madiun"/>
    <d v="2016-02-01T00:00:00"/>
    <n v="9"/>
    <n v="0"/>
    <x v="1"/>
  </r>
  <r>
    <s v="AMRIN KURNIADI"/>
    <n v="642001019"/>
    <n v="1710003987891"/>
    <m/>
    <s v="Madiun"/>
    <s v="Madiun"/>
    <d v="2016-02-01T00:00:00"/>
    <n v="9"/>
    <n v="0"/>
    <x v="1"/>
  </r>
  <r>
    <s v="SURYAT DWI PRAMONO"/>
    <n v="972400067"/>
    <n v="1710004029107"/>
    <m/>
    <s v="Madiun"/>
    <s v="Magetan"/>
    <d v="2016-02-01T00:00:00"/>
    <n v="9"/>
    <n v="0"/>
    <x v="0"/>
  </r>
  <r>
    <s v="KHOIRI BAYU SETIAWAN"/>
    <n v="642001014"/>
    <n v="1710003987925"/>
    <m/>
    <s v="Madiun"/>
    <s v="Magetan"/>
    <d v="2016-02-01T00:00:00"/>
    <n v="9"/>
    <n v="0"/>
    <x v="1"/>
  </r>
  <r>
    <s v="RATIH WIDIASTUTI"/>
    <n v="971700011"/>
    <n v="1710003919886"/>
    <n v="7206019314"/>
    <s v="Madiun"/>
    <s v="Magetan"/>
    <d v="2016-02-01T00:00:00"/>
    <n v="9"/>
    <n v="0"/>
    <x v="0"/>
  </r>
  <r>
    <s v="RIKO SANJAYA"/>
    <n v="642001068"/>
    <n v="1710003987552"/>
    <m/>
    <s v="Madiun"/>
    <s v="Madiun"/>
    <d v="2016-03-01T00:00:00"/>
    <n v="8"/>
    <n v="11"/>
    <x v="1"/>
  </r>
  <r>
    <s v="DIDI SETIAWAN"/>
    <n v="642001069"/>
    <n v="1710004034404"/>
    <m/>
    <s v="Madiun"/>
    <s v="Banyumas"/>
    <d v="2016-03-01T00:00:00"/>
    <n v="8"/>
    <n v="11"/>
    <x v="1"/>
  </r>
  <r>
    <s v="REVAN PRADIPTA"/>
    <n v="642001067"/>
    <n v="1710003988436"/>
    <m/>
    <s v="Madiun"/>
    <s v="Madiun"/>
    <d v="2016-03-01T00:00:00"/>
    <n v="8"/>
    <n v="11"/>
    <x v="1"/>
  </r>
  <r>
    <s v="PUTRA SATRIA BINTANG PAMUNGKAS"/>
    <n v="642001065"/>
    <n v="1710003987339"/>
    <m/>
    <s v="Madiun"/>
    <s v="Madiun"/>
    <d v="2016-04-01T00:00:00"/>
    <n v="8"/>
    <n v="10"/>
    <x v="1"/>
  </r>
  <r>
    <s v="LAURENTIUS YHOAN KRISMANTARA"/>
    <n v="642001062"/>
    <n v="1710003988071"/>
    <m/>
    <s v="Madiun"/>
    <s v="Madiun"/>
    <d v="2016-05-01T00:00:00"/>
    <n v="8"/>
    <n v="9"/>
    <x v="1"/>
  </r>
  <r>
    <s v="NURSAMSI"/>
    <n v="642001061"/>
    <n v="1710003987149"/>
    <m/>
    <s v="Madiun"/>
    <s v="Madiun"/>
    <d v="2016-05-01T00:00:00"/>
    <n v="8"/>
    <n v="9"/>
    <x v="1"/>
  </r>
  <r>
    <s v="BANGKIT SANJAYA"/>
    <n v="972000054"/>
    <n v="1710003987776"/>
    <m/>
    <s v="Madiun"/>
    <s v="Ngawi"/>
    <d v="2016-05-01T00:00:00"/>
    <n v="8"/>
    <n v="9"/>
    <x v="0"/>
  </r>
  <r>
    <s v="GUNAWAN"/>
    <n v="642001060"/>
    <n v="1710003987560"/>
    <m/>
    <s v="Madiun"/>
    <s v="Madiun"/>
    <d v="2016-06-01T00:00:00"/>
    <n v="8"/>
    <n v="8"/>
    <x v="1"/>
  </r>
  <r>
    <s v="AGUS PRASETIYO"/>
    <n v="642001057"/>
    <n v="1710003987024"/>
    <m/>
    <s v="Madiun"/>
    <s v="Magetan"/>
    <d v="2016-06-01T00:00:00"/>
    <n v="8"/>
    <n v="8"/>
    <x v="1"/>
  </r>
  <r>
    <s v="FEBRI PRASTYO"/>
    <n v="642001053"/>
    <n v="1710003988303"/>
    <m/>
    <s v="Madiun"/>
    <s v="Madiun"/>
    <d v="2016-06-01T00:00:00"/>
    <n v="8"/>
    <n v="8"/>
    <x v="1"/>
  </r>
  <r>
    <s v="ARIF SUGIANTO"/>
    <n v="642001058"/>
    <n v="1710003987461"/>
    <m/>
    <s v="Madiun"/>
    <s v="Magetan"/>
    <d v="2016-06-01T00:00:00"/>
    <n v="8"/>
    <n v="8"/>
    <x v="1"/>
  </r>
  <r>
    <s v="ROFINGI"/>
    <n v="642001056"/>
    <n v="1710003986901"/>
    <m/>
    <s v="Madiun"/>
    <s v="Madiun"/>
    <d v="2016-06-01T00:00:00"/>
    <n v="8"/>
    <n v="8"/>
    <x v="1"/>
  </r>
  <r>
    <s v="HERY NURWANTO"/>
    <n v="642001055"/>
    <n v="1710004028984"/>
    <m/>
    <s v="Madiun"/>
    <s v="Magetan"/>
    <d v="2016-06-01T00:00:00"/>
    <n v="8"/>
    <n v="8"/>
    <x v="1"/>
  </r>
  <r>
    <s v="PURWANTO"/>
    <n v="642001059"/>
    <n v="1710003987032"/>
    <m/>
    <s v="Madiun"/>
    <s v="Magetan"/>
    <d v="2016-06-01T00:00:00"/>
    <n v="8"/>
    <n v="8"/>
    <x v="1"/>
  </r>
  <r>
    <s v="JULIUS DEBBY KRISTIYANTO"/>
    <n v="971800014"/>
    <n v="1710003919852"/>
    <m/>
    <s v="Madiun"/>
    <s v="Klaten"/>
    <d v="2016-07-08T00:00:00"/>
    <n v="8"/>
    <n v="7"/>
    <x v="0"/>
  </r>
  <r>
    <s v="DODIK PANCA PRASETYAWAN"/>
    <n v="972400064"/>
    <n v="1710003987206"/>
    <m/>
    <s v="Madiun"/>
    <s v="Madiun"/>
    <d v="2016-10-01T00:00:00"/>
    <n v="8"/>
    <n v="4"/>
    <x v="0"/>
  </r>
  <r>
    <s v="NUR OKTARIA"/>
    <n v="971800015"/>
    <n v="1710003929885"/>
    <n v="6521489010"/>
    <s v="Madiun"/>
    <s v="Madiun"/>
    <d v="2016-10-01T00:00:00"/>
    <n v="8"/>
    <n v="4"/>
    <x v="0"/>
  </r>
  <r>
    <s v="IMRON ABIDIN"/>
    <n v="971800016"/>
    <n v="1710003626655"/>
    <m/>
    <s v="Madiun"/>
    <s v="Madiun"/>
    <d v="2016-10-05T00:00:00"/>
    <n v="8"/>
    <n v="4"/>
    <x v="0"/>
  </r>
  <r>
    <s v="RUDY SUSANTO"/>
    <n v="971800024"/>
    <n v="1710005144392"/>
    <m/>
    <s v="Madiun"/>
    <s v="Madiun"/>
    <d v="2017-01-01T00:00:00"/>
    <n v="8"/>
    <n v="1"/>
    <x v="0"/>
  </r>
  <r>
    <s v="M FAHMI"/>
    <n v="641702080"/>
    <n v="1710004040377"/>
    <m/>
    <s v="Aceh"/>
    <s v="Aceh"/>
    <d v="2017-02-01T00:00:00"/>
    <n v="8"/>
    <n v="0"/>
    <x v="1"/>
  </r>
  <r>
    <s v="KOMARUZZAMAN"/>
    <n v="642001047"/>
    <n v="1710003988394"/>
    <m/>
    <s v="Madiun"/>
    <s v="Madiun"/>
    <d v="2017-02-01T00:00:00"/>
    <n v="8"/>
    <n v="0"/>
    <x v="1"/>
  </r>
  <r>
    <s v="AZIZ MAHMUDI"/>
    <n v="642001046"/>
    <n v="1710003987917"/>
    <m/>
    <s v="Madiun"/>
    <s v="Ngawi"/>
    <d v="2017-02-01T00:00:00"/>
    <n v="8"/>
    <n v="0"/>
    <x v="1"/>
  </r>
  <r>
    <s v="ARIFIN PURNAWIRAWAN"/>
    <n v="642001048"/>
    <n v="1710004028919"/>
    <m/>
    <s v="Madiun"/>
    <s v="Madiun"/>
    <d v="2017-02-01T00:00:00"/>
    <n v="8"/>
    <n v="0"/>
    <x v="1"/>
  </r>
  <r>
    <s v="SUGIYANTO"/>
    <n v="642001050"/>
    <n v="1710004034438"/>
    <m/>
    <s v="Madiun"/>
    <s v="Magetan"/>
    <d v="2017-02-01T00:00:00"/>
    <n v="8"/>
    <n v="0"/>
    <x v="1"/>
  </r>
  <r>
    <s v="DIMAS SUHARDIYONO"/>
    <n v="971800019"/>
    <n v="1710003929455"/>
    <n v="5346366740"/>
    <s v="Madiun"/>
    <s v="Madiun"/>
    <d v="2017-02-01T00:00:00"/>
    <n v="8"/>
    <n v="0"/>
    <x v="0"/>
  </r>
  <r>
    <s v="R PRAJA KUSUMA NUGRAHA"/>
    <n v="971800017"/>
    <n v="1710003920017"/>
    <m/>
    <s v="Madiun"/>
    <s v="Bojonegoro"/>
    <d v="2017-02-01T00:00:00"/>
    <n v="8"/>
    <n v="0"/>
    <x v="0"/>
  </r>
  <r>
    <s v="BUDIONO"/>
    <n v="971900027"/>
    <n v="1710003986992"/>
    <m/>
    <s v="Madiun"/>
    <s v="Ngawi"/>
    <d v="2017-02-01T00:00:00"/>
    <n v="8"/>
    <n v="0"/>
    <x v="0"/>
  </r>
  <r>
    <s v="BUDI HARIANTO"/>
    <n v="642001044"/>
    <n v="1710003987370"/>
    <m/>
    <s v="Madiun"/>
    <s v="Magetan"/>
    <d v="2017-05-02T00:00:00"/>
    <n v="7"/>
    <n v="9"/>
    <x v="1"/>
  </r>
  <r>
    <s v="ANDREA CAHYA PUTRA"/>
    <n v="642001045"/>
    <n v="1710003988253"/>
    <m/>
    <s v="Madiun"/>
    <s v="Magetan"/>
    <d v="2017-05-02T00:00:00"/>
    <n v="7"/>
    <n v="9"/>
    <x v="1"/>
  </r>
  <r>
    <s v="GHOZIE NAFIIRI FATHUL 'ADHIIM"/>
    <n v="972400059"/>
    <n v="1710003987826"/>
    <s v="7273678195"/>
    <s v="Madiun"/>
    <s v="Madiun"/>
    <d v="2017-05-02T00:00:00"/>
    <n v="7"/>
    <n v="9"/>
    <x v="0"/>
  </r>
  <r>
    <s v="TRI DIANTORO"/>
    <n v="642001038"/>
    <n v="1710004034446"/>
    <m/>
    <s v="Madiun"/>
    <s v="Magetan"/>
    <d v="2017-05-02T00:00:00"/>
    <n v="7"/>
    <n v="9"/>
    <x v="1"/>
  </r>
  <r>
    <s v="ANDIKA SETYAWAN"/>
    <n v="642001035"/>
    <n v="1710004028950"/>
    <m/>
    <s v="Madiun"/>
    <s v="Madiun"/>
    <d v="2017-05-02T00:00:00"/>
    <n v="7"/>
    <n v="9"/>
    <x v="1"/>
  </r>
  <r>
    <s v="DENDI HERMAWAN"/>
    <n v="642001037"/>
    <n v="1710004028901"/>
    <m/>
    <s v="Madiun"/>
    <s v="Madiun"/>
    <d v="2017-05-02T00:00:00"/>
    <n v="7"/>
    <n v="9"/>
    <x v="1"/>
  </r>
  <r>
    <s v="DEWANGGA SULUNG ADHI CAHYONO"/>
    <n v="642001043"/>
    <n v="1710003987719"/>
    <m/>
    <s v="Madiun"/>
    <s v="Madiun"/>
    <d v="2017-05-02T00:00:00"/>
    <n v="7"/>
    <n v="9"/>
    <x v="1"/>
  </r>
  <r>
    <s v="EKO NUR CAHYO PUTRO"/>
    <n v="642001042"/>
    <n v="1710004040773"/>
    <m/>
    <s v="Madiun"/>
    <s v="Ngawi"/>
    <d v="2017-05-02T00:00:00"/>
    <n v="7"/>
    <n v="9"/>
    <x v="1"/>
  </r>
  <r>
    <s v="ENDRAWAN"/>
    <n v="642001036"/>
    <n v="1710003987784"/>
    <m/>
    <s v="Madiun"/>
    <s v="Madiun"/>
    <d v="2017-05-02T00:00:00"/>
    <n v="7"/>
    <n v="9"/>
    <x v="1"/>
  </r>
  <r>
    <s v="MUHTAROM"/>
    <n v="642001039"/>
    <n v="1710004028935"/>
    <m/>
    <s v="Madiun"/>
    <s v="Madiun"/>
    <d v="2017-05-02T00:00:00"/>
    <n v="7"/>
    <n v="9"/>
    <x v="1"/>
  </r>
  <r>
    <s v="KORONA ALFINDI FEBRYANTIKA"/>
    <n v="972000051"/>
    <n v="1710003919787"/>
    <n v="7178373638"/>
    <s v="Madiun"/>
    <s v="Madiun"/>
    <d v="2017-05-08T00:00:00"/>
    <n v="7"/>
    <n v="9"/>
    <x v="0"/>
  </r>
  <r>
    <s v="FAILLA DZUL LUTHFI"/>
    <n v="971800018"/>
    <n v="1710003919795"/>
    <m/>
    <s v="Madiun"/>
    <s v="Madiun"/>
    <d v="2017-05-08T00:00:00"/>
    <n v="7"/>
    <n v="9"/>
    <x v="0"/>
  </r>
  <r>
    <s v="NOVIKASARI"/>
    <n v="971800021"/>
    <n v="1710000417116"/>
    <n v="2499922740"/>
    <s v="Madiun"/>
    <s v="Madiun"/>
    <d v="2017-06-05T00:00:00"/>
    <n v="7"/>
    <n v="8"/>
    <x v="0"/>
  </r>
  <r>
    <s v="DERIZA DEBY DWIANTO"/>
    <n v="971800020"/>
    <n v="1710003919936"/>
    <m/>
    <s v="Madiun"/>
    <s v="Madiun"/>
    <d v="2017-06-05T00:00:00"/>
    <n v="7"/>
    <n v="8"/>
    <x v="0"/>
  </r>
  <r>
    <s v="DARWANTO"/>
    <n v="642001028"/>
    <n v="1710003987636"/>
    <m/>
    <s v="Madiun"/>
    <s v="Madiun"/>
    <d v="2017-07-03T00:00:00"/>
    <n v="7"/>
    <n v="7"/>
    <x v="1"/>
  </r>
  <r>
    <s v="BERRY HARTANTO"/>
    <n v="642001030"/>
    <n v="1710004040815"/>
    <m/>
    <s v="Madiun"/>
    <s v="Madiun"/>
    <d v="2017-07-03T00:00:00"/>
    <n v="7"/>
    <n v="7"/>
    <x v="1"/>
  </r>
  <r>
    <s v="RUDIK HARYANTO"/>
    <n v="642001033"/>
    <n v="1710003986919"/>
    <m/>
    <s v="Madiun"/>
    <s v="Madiun"/>
    <d v="2017-07-03T00:00:00"/>
    <n v="7"/>
    <n v="7"/>
    <x v="1"/>
  </r>
  <r>
    <s v="TOMI SUHARTO"/>
    <n v="642001029"/>
    <n v="1710003987081"/>
    <m/>
    <s v="Madiun"/>
    <s v="Madiun"/>
    <d v="2017-07-03T00:00:00"/>
    <n v="7"/>
    <n v="7"/>
    <x v="1"/>
  </r>
  <r>
    <s v="ADE SETYA PURNAMA"/>
    <n v="642001022"/>
    <n v="1710003988402"/>
    <m/>
    <s v="Madiun"/>
    <s v="Madiun"/>
    <d v="2017-07-03T00:00:00"/>
    <n v="7"/>
    <n v="7"/>
    <x v="1"/>
  </r>
  <r>
    <s v="NANANG ADI SAPUTRA"/>
    <n v="642001032"/>
    <n v="1710003988428"/>
    <m/>
    <s v="Madiun"/>
    <s v="Madiun"/>
    <d v="2017-07-03T00:00:00"/>
    <n v="7"/>
    <n v="7"/>
    <x v="1"/>
  </r>
  <r>
    <s v="MUHAMMAD VINANDO WISNUSETIAWAN"/>
    <n v="642001026"/>
    <n v="1710003987172"/>
    <m/>
    <s v="Madiun"/>
    <s v="Madiun"/>
    <d v="2017-07-03T00:00:00"/>
    <n v="7"/>
    <n v="7"/>
    <x v="1"/>
  </r>
  <r>
    <s v="DIKI ROBINSON"/>
    <n v="642001027"/>
    <n v="1710003987198"/>
    <m/>
    <s v="Madiun"/>
    <s v="Ponorogo"/>
    <d v="2017-07-03T00:00:00"/>
    <n v="7"/>
    <n v="7"/>
    <x v="1"/>
  </r>
  <r>
    <s v="ONGKY YUSFIANTARA PRADANA"/>
    <n v="642001024"/>
    <n v="1710003987313"/>
    <m/>
    <s v="Madiun"/>
    <s v="Madiun"/>
    <d v="2017-07-03T00:00:00"/>
    <n v="7"/>
    <n v="7"/>
    <x v="1"/>
  </r>
  <r>
    <s v="YUDI HANTORO"/>
    <n v="642001031"/>
    <n v="1710003988311"/>
    <m/>
    <s v="Madiun"/>
    <s v="Madiun"/>
    <d v="2017-07-03T00:00:00"/>
    <n v="7"/>
    <n v="7"/>
    <x v="1"/>
  </r>
  <r>
    <s v="BRIANTO CAHYO NUGROHO"/>
    <n v="972000053"/>
    <n v="1710003987792"/>
    <m/>
    <s v="Madiun"/>
    <s v="Madiun"/>
    <d v="2017-07-03T00:00:00"/>
    <n v="7"/>
    <n v="7"/>
    <x v="0"/>
  </r>
  <r>
    <s v="YOGA BIMANTARA ADITYA WICAKSONO"/>
    <n v="642001034"/>
    <n v="1710004040872"/>
    <m/>
    <s v="Madiun"/>
    <s v="Magetan"/>
    <d v="2017-07-03T00:00:00"/>
    <n v="7"/>
    <n v="7"/>
    <x v="1"/>
  </r>
  <r>
    <s v="FAVA WIRA PRATAMA"/>
    <n v="972000055"/>
    <n v="1710003987768"/>
    <m/>
    <s v="Madiun"/>
    <s v="Madiun"/>
    <d v="2017-07-03T00:00:00"/>
    <n v="7"/>
    <n v="7"/>
    <x v="0"/>
  </r>
  <r>
    <s v="AHMAT ZAJULI"/>
    <n v="642001021"/>
    <n v="1710003987495"/>
    <m/>
    <s v="Madiun"/>
    <s v="Nganjuk"/>
    <d v="2017-10-02T00:00:00"/>
    <n v="7"/>
    <n v="4"/>
    <x v="1"/>
  </r>
  <r>
    <s v="MOHAMAD SUKRON"/>
    <n v="641801134"/>
    <n v="1710004029354"/>
    <m/>
    <s v="Jakarta"/>
    <s v="Jakarta"/>
    <d v="2018-01-15T00:00:00"/>
    <n v="7"/>
    <n v="1"/>
    <x v="1"/>
  </r>
  <r>
    <s v="MUHAMAD NURUL IRFAN"/>
    <n v="641801133"/>
    <n v="1710003988360"/>
    <m/>
    <s v="Jakarta"/>
    <s v="Jakarta"/>
    <d v="2018-01-15T00:00:00"/>
    <n v="7"/>
    <n v="1"/>
    <x v="1"/>
  </r>
  <r>
    <s v="OSKAR ANGGARA"/>
    <n v="641801137"/>
    <n v="1710003988238"/>
    <m/>
    <s v="Jakarta"/>
    <s v="Jakarta"/>
    <d v="2018-01-15T00:00:00"/>
    <n v="7"/>
    <n v="1"/>
    <x v="1"/>
  </r>
  <r>
    <s v="HATMOKO HADI SAPUTRO"/>
    <n v="641801140"/>
    <n v="1710004055417"/>
    <m/>
    <s v="Jakarta"/>
    <s v="Jakarta"/>
    <d v="2018-03-01T00:00:00"/>
    <n v="6"/>
    <n v="11"/>
    <x v="1"/>
  </r>
  <r>
    <s v="ABDUL MUJIB"/>
    <n v="641801141"/>
    <n v="1710003988162"/>
    <m/>
    <s v="Jakarta"/>
    <s v="Jakarta"/>
    <d v="2018-03-01T00:00:00"/>
    <n v="6"/>
    <n v="11"/>
    <x v="1"/>
  </r>
  <r>
    <s v="BEKTI TRI WIBOWO"/>
    <n v="972400061"/>
    <n v="1710004251966"/>
    <m/>
    <s v="Madiun"/>
    <s v="Magetan"/>
    <d v="2018-05-07T00:00:00"/>
    <n v="6"/>
    <n v="9"/>
    <x v="0"/>
  </r>
  <r>
    <s v="KHOHAR LEO KURNIAWAN"/>
    <n v="972400060"/>
    <n v="1710004252014"/>
    <m/>
    <s v="Madiun"/>
    <s v="Ngawi"/>
    <d v="2018-05-07T00:00:00"/>
    <n v="6"/>
    <n v="9"/>
    <x v="0"/>
  </r>
  <r>
    <s v="MEGA KARTIKA PUTRA HADI"/>
    <n v="641805148"/>
    <n v="1710004257716"/>
    <m/>
    <s v="Madiun"/>
    <s v="Madiun"/>
    <d v="2018-05-07T00:00:00"/>
    <n v="6"/>
    <n v="9"/>
    <x v="1"/>
  </r>
  <r>
    <s v="ALFI DIMAS SUGIANTO"/>
    <n v="641805143"/>
    <n v="1710004257682"/>
    <m/>
    <s v="Madiun"/>
    <s v="Madiun"/>
    <d v="2018-05-07T00:00:00"/>
    <n v="6"/>
    <n v="9"/>
    <x v="1"/>
  </r>
  <r>
    <s v="DIMAS ENGGAR PAMBUDI"/>
    <n v="641805147"/>
    <n v="1710004257757"/>
    <m/>
    <s v="Madiun"/>
    <s v="Madiun"/>
    <d v="2018-05-07T00:00:00"/>
    <n v="6"/>
    <n v="9"/>
    <x v="1"/>
  </r>
  <r>
    <s v="DIMAS MUCHSIN ARDIYANSAH"/>
    <n v="641805145"/>
    <n v="1710004257831"/>
    <m/>
    <s v="Madiun"/>
    <s v="Magetan"/>
    <d v="2018-05-07T00:00:00"/>
    <n v="6"/>
    <n v="9"/>
    <x v="1"/>
  </r>
  <r>
    <s v="YULIANTORO"/>
    <n v="641805144"/>
    <n v="1710004257807"/>
    <m/>
    <s v="Madiun"/>
    <s v="Ponorogo"/>
    <d v="2018-05-07T00:00:00"/>
    <n v="6"/>
    <n v="9"/>
    <x v="1"/>
  </r>
  <r>
    <s v="MUHAMMAD HIDAYAT"/>
    <n v="972400062"/>
    <n v="1710004251974"/>
    <m/>
    <s v="Madiun"/>
    <s v="Surabaya"/>
    <d v="2018-05-07T00:00:00"/>
    <n v="6"/>
    <n v="9"/>
    <x v="0"/>
  </r>
  <r>
    <s v="BAYU DIMAS NURARIFIN"/>
    <n v="641806159"/>
    <n v="1710004289552"/>
    <m/>
    <s v="Madiun"/>
    <s v="Madiun"/>
    <d v="2018-06-04T00:00:00"/>
    <n v="6"/>
    <n v="8"/>
    <x v="1"/>
  </r>
  <r>
    <s v="DONI NUR ANGGI PRASETYO"/>
    <n v="641806155"/>
    <n v="1710004289610"/>
    <m/>
    <s v="Madiun"/>
    <s v="Magetan"/>
    <d v="2018-06-04T00:00:00"/>
    <n v="6"/>
    <n v="8"/>
    <x v="1"/>
  </r>
  <r>
    <s v="FIRDAUS KURNIA FIRMANSYAH"/>
    <n v="641806160"/>
    <n v="1710004289701"/>
    <m/>
    <s v="Madiun"/>
    <s v="Madiun"/>
    <d v="2018-06-04T00:00:00"/>
    <n v="6"/>
    <n v="8"/>
    <x v="1"/>
  </r>
  <r>
    <s v="GILANG AKBAR WICAKSONO"/>
    <n v="641806157"/>
    <n v="1710004289644"/>
    <m/>
    <s v="Madiun"/>
    <s v="Madiun"/>
    <d v="2018-06-04T00:00:00"/>
    <n v="6"/>
    <n v="8"/>
    <x v="1"/>
  </r>
  <r>
    <s v="HEPI PUTRA RAHARJA"/>
    <n v="641806156"/>
    <n v="1710004289651"/>
    <m/>
    <s v="Jakarta"/>
    <s v="Yogyakarta"/>
    <d v="2018-06-04T00:00:00"/>
    <n v="6"/>
    <n v="8"/>
    <x v="1"/>
  </r>
  <r>
    <s v="ANDY DWY BASTIAN"/>
    <n v="641807163"/>
    <n v="1710004387554"/>
    <m/>
    <s v="Madiun"/>
    <s v="Magetan"/>
    <d v="2018-07-01T00:00:00"/>
    <n v="6"/>
    <n v="7"/>
    <x v="1"/>
  </r>
  <r>
    <s v="RENDHY EKO NUR CAHYO"/>
    <n v="641807169"/>
    <n v="1710004387588"/>
    <m/>
    <s v="Madiun"/>
    <s v="Madiun"/>
    <d v="2018-07-01T00:00:00"/>
    <n v="6"/>
    <n v="7"/>
    <x v="1"/>
  </r>
  <r>
    <s v="SUDARMAWAN"/>
    <n v="641807168"/>
    <n v="1710004387539"/>
    <m/>
    <s v="Madiun"/>
    <s v="Magetan"/>
    <d v="2018-07-01T00:00:00"/>
    <n v="6"/>
    <n v="7"/>
    <x v="1"/>
  </r>
  <r>
    <s v="ADHIP WIDODO"/>
    <n v="641807164"/>
    <n v="1710004387612"/>
    <m/>
    <s v="Madiun"/>
    <s v="Ponorogo"/>
    <d v="2018-07-01T00:00:00"/>
    <n v="6"/>
    <n v="7"/>
    <x v="1"/>
  </r>
  <r>
    <s v="AVIN ROMADHONA"/>
    <n v="641807166"/>
    <n v="1710004376862"/>
    <m/>
    <s v="Madiun"/>
    <s v="Jambi"/>
    <d v="2018-07-01T00:00:00"/>
    <n v="6"/>
    <n v="7"/>
    <x v="1"/>
  </r>
  <r>
    <s v="CATUR BUMI LAKSANA"/>
    <n v="641807165"/>
    <n v="1710004387596"/>
    <m/>
    <s v="Madiun"/>
    <s v="Surabaya"/>
    <d v="2018-07-01T00:00:00"/>
    <n v="6"/>
    <n v="7"/>
    <x v="1"/>
  </r>
  <r>
    <s v="DEDE SUHENDRA"/>
    <n v="641807170"/>
    <n v="1710004374735"/>
    <m/>
    <s v="Madiun"/>
    <s v="Palembang"/>
    <d v="2018-07-01T00:00:00"/>
    <n v="6"/>
    <n v="7"/>
    <x v="1"/>
  </r>
  <r>
    <s v="DONY PRAMONO"/>
    <n v="641807162"/>
    <n v="1710004387604"/>
    <m/>
    <s v="Madiun"/>
    <s v="Madiun"/>
    <d v="2018-07-01T00:00:00"/>
    <n v="6"/>
    <n v="7"/>
    <x v="1"/>
  </r>
  <r>
    <s v="DWI ARIANTO"/>
    <n v="641807161"/>
    <n v="1710004387570"/>
    <m/>
    <s v="Madiun"/>
    <s v="Madiun"/>
    <d v="2018-07-02T00:00:00"/>
    <n v="6"/>
    <n v="7"/>
    <x v="1"/>
  </r>
  <r>
    <s v="SHOFWAN MAHSYURDIN"/>
    <n v="641808174"/>
    <n v="1710004607027"/>
    <m/>
    <s v="Palembang"/>
    <s v="Palembang"/>
    <d v="2018-08-13T00:00:00"/>
    <n v="6"/>
    <n v="6"/>
    <x v="1"/>
  </r>
  <r>
    <s v="IMAM JUANSYAH"/>
    <n v="641808171"/>
    <n v="1710004607035"/>
    <m/>
    <s v="Palembang"/>
    <s v="Palembang"/>
    <d v="2018-08-13T00:00:00"/>
    <n v="6"/>
    <n v="6"/>
    <x v="1"/>
  </r>
  <r>
    <s v="M. RIZKI FIRDAUS"/>
    <n v="641808173"/>
    <n v="1120014004605"/>
    <m/>
    <s v="Palembang"/>
    <s v="Palembang"/>
    <d v="2018-08-13T00:00:00"/>
    <n v="6"/>
    <n v="6"/>
    <x v="1"/>
  </r>
  <r>
    <s v="RIFQI TEGAR LAKSONO"/>
    <n v="971900044"/>
    <n v="9000013821369"/>
    <m/>
    <s v="Madiun"/>
    <s v="Yogyakarta"/>
    <d v="2018-09-03T00:00:00"/>
    <n v="6"/>
    <n v="5"/>
    <x v="0"/>
  </r>
  <r>
    <s v="AHMAD YUDHA FITRIANTO"/>
    <n v="971900036"/>
    <n v="1710004607050"/>
    <n v="7174457748"/>
    <s v="Madiun"/>
    <s v="Semarang"/>
    <d v="2018-09-03T00:00:00"/>
    <n v="6"/>
    <n v="5"/>
    <x v="0"/>
  </r>
  <r>
    <s v="HARLISTA DWI OKTYASWORO"/>
    <n v="971900040"/>
    <n v="1710004667583"/>
    <n v="7243278923"/>
    <s v="Madiun"/>
    <s v="Pekalongan"/>
    <d v="2018-09-03T00:00:00"/>
    <n v="6"/>
    <n v="5"/>
    <x v="0"/>
  </r>
  <r>
    <s v="CHRISTOPER BAGAS WIRAWAN"/>
    <n v="971900039"/>
    <n v="1710004667443"/>
    <m/>
    <s v="Madiun"/>
    <s v="Cilacap"/>
    <d v="2018-09-03T00:00:00"/>
    <n v="6"/>
    <n v="5"/>
    <x v="0"/>
  </r>
  <r>
    <s v="RAHARDIAN INDRA MAYURIIDZ"/>
    <n v="971900037"/>
    <n v="1710004607068"/>
    <m/>
    <s v="Madiun"/>
    <s v="Madiun"/>
    <d v="2018-09-03T00:00:00"/>
    <n v="6"/>
    <n v="5"/>
    <x v="0"/>
  </r>
  <r>
    <s v="SATRIA GUSTIANA RAHARDI"/>
    <n v="971900043"/>
    <n v="1710004667732"/>
    <n v="7190880348"/>
    <s v="Madiun"/>
    <s v="Madiun"/>
    <d v="2018-09-03T00:00:00"/>
    <n v="6"/>
    <n v="5"/>
    <x v="0"/>
  </r>
  <r>
    <s v="OKTA SETYANIDA"/>
    <n v="971900035"/>
    <n v="1710000069305"/>
    <n v="7178687837"/>
    <s v="Madiun"/>
    <s v="Madiun"/>
    <d v="2018-09-03T00:00:00"/>
    <n v="6"/>
    <n v="5"/>
    <x v="0"/>
  </r>
  <r>
    <s v="BAGUS DWI CAHYONO"/>
    <n v="971900045"/>
    <n v="1710003919712"/>
    <m/>
    <s v="Madiun"/>
    <s v="Madiun"/>
    <d v="2018-09-03T00:00:00"/>
    <n v="6"/>
    <n v="5"/>
    <x v="0"/>
  </r>
  <r>
    <s v="MUHAMMAD YUNIAR FIJRIANTORO"/>
    <n v="971900034"/>
    <n v="9000027404640"/>
    <n v="7173667207"/>
    <s v="Madiun"/>
    <s v="Madiun"/>
    <d v="2018-09-06T00:00:00"/>
    <n v="6"/>
    <n v="5"/>
    <x v="0"/>
  </r>
  <r>
    <s v="MUHAMAD PRABOWO"/>
    <n v="641809178"/>
    <n v="1710004668383"/>
    <m/>
    <s v="Jakarta"/>
    <s v="Jakarta"/>
    <d v="2018-09-10T00:00:00"/>
    <n v="6"/>
    <n v="5"/>
    <x v="1"/>
  </r>
  <r>
    <s v="KMS MUHAMMAD JIMMI"/>
    <n v="641810181"/>
    <n v="1710004811058"/>
    <m/>
    <s v="Palembang"/>
    <s v="Palembang"/>
    <d v="2018-10-01T00:00:00"/>
    <n v="6"/>
    <n v="4"/>
    <x v="1"/>
  </r>
  <r>
    <s v="MGS DIMAS SAHREZA"/>
    <n v="641810196"/>
    <n v="1710004811009"/>
    <m/>
    <s v="Palembang"/>
    <s v="Palembang"/>
    <d v="2018-10-22T00:00:00"/>
    <n v="6"/>
    <n v="4"/>
    <x v="1"/>
  </r>
  <r>
    <s v="RANDI ARDIMAN"/>
    <n v="641810206"/>
    <n v="1710004811132"/>
    <m/>
    <s v="Padang"/>
    <s v="Padang"/>
    <d v="2018-10-22T00:00:00"/>
    <n v="6"/>
    <n v="4"/>
    <x v="1"/>
  </r>
  <r>
    <s v="AHMAD SYAIFUL ANWAR"/>
    <n v="972400058"/>
    <n v="1710004810514"/>
    <m/>
    <s v="Jakarta"/>
    <s v="Jakarta"/>
    <d v="2018-10-22T00:00:00"/>
    <n v="6"/>
    <n v="4"/>
    <x v="0"/>
  </r>
  <r>
    <s v="ANDI APRIADI"/>
    <n v="641810204"/>
    <n v="1710004810795"/>
    <m/>
    <s v="Palembang"/>
    <s v="Palembang"/>
    <d v="2018-10-22T00:00:00"/>
    <n v="6"/>
    <n v="4"/>
    <x v="1"/>
  </r>
  <r>
    <s v="ARI WICAKSONO"/>
    <n v="641810198"/>
    <n v="1710004810951"/>
    <m/>
    <s v="Palembang"/>
    <s v="Palembang"/>
    <d v="2018-10-22T00:00:00"/>
    <n v="6"/>
    <n v="4"/>
    <x v="1"/>
  </r>
  <r>
    <s v="FEBRIANSYAH"/>
    <n v="641810185"/>
    <n v="1710004811710"/>
    <m/>
    <s v="Jakarta"/>
    <s v="Jakarta"/>
    <d v="2018-10-22T00:00:00"/>
    <n v="6"/>
    <n v="4"/>
    <x v="1"/>
  </r>
  <r>
    <s v="MUHAMMAD IRSAN PRATAMA"/>
    <n v="641810202"/>
    <n v="1710004810803"/>
    <m/>
    <s v="Palembang"/>
    <s v="Palembang"/>
    <d v="2018-10-22T00:00:00"/>
    <n v="6"/>
    <n v="4"/>
    <x v="1"/>
  </r>
  <r>
    <s v="MUHAMMAD KASI GHUSOORY"/>
    <n v="641810197"/>
    <n v="1710004810977"/>
    <m/>
    <s v="Palembang"/>
    <s v="Palembang"/>
    <d v="2018-10-22T00:00:00"/>
    <n v="6"/>
    <n v="4"/>
    <x v="1"/>
  </r>
  <r>
    <s v="ARDANIL"/>
    <n v="641810201"/>
    <n v="1710004810886"/>
    <m/>
    <s v="Palembang"/>
    <s v="Palembang"/>
    <d v="2018-10-22T00:00:00"/>
    <n v="6"/>
    <n v="4"/>
    <x v="1"/>
  </r>
  <r>
    <s v="DIAN WIRAWAN"/>
    <n v="641810189"/>
    <n v="1710004810159"/>
    <m/>
    <s v="Jakarta"/>
    <s v="Jakarta"/>
    <d v="2018-10-22T00:00:00"/>
    <n v="6"/>
    <n v="4"/>
    <x v="1"/>
  </r>
  <r>
    <s v="DICKY ALDI PRATAMA"/>
    <n v="641810205"/>
    <n v="1710004811074"/>
    <m/>
    <s v="Padang"/>
    <s v="Padang"/>
    <d v="2018-10-22T00:00:00"/>
    <n v="6"/>
    <n v="4"/>
    <x v="1"/>
  </r>
  <r>
    <s v="JIMI ANGEL"/>
    <n v="641810188"/>
    <n v="1710004810654"/>
    <m/>
    <s v="Jakarta"/>
    <s v="Jakarta"/>
    <d v="2018-10-22T00:00:00"/>
    <n v="6"/>
    <n v="4"/>
    <x v="1"/>
  </r>
  <r>
    <s v="RIZKI NOVRIANSYAH"/>
    <n v="641810190"/>
    <n v="1710004810696"/>
    <m/>
    <s v="Jakarta"/>
    <s v="Jakarta"/>
    <d v="2018-10-22T00:00:00"/>
    <n v="6"/>
    <n v="4"/>
    <x v="1"/>
  </r>
  <r>
    <s v="ADE FEBRI ANDIKA PUTRA"/>
    <n v="641810203"/>
    <n v="1710004810845"/>
    <m/>
    <s v="Palembang"/>
    <s v="Palembang"/>
    <d v="2018-10-22T00:00:00"/>
    <n v="6"/>
    <n v="4"/>
    <x v="1"/>
  </r>
  <r>
    <s v="KURNIAWAN BUDIMULYA"/>
    <n v="641810186"/>
    <n v="1710004810688"/>
    <m/>
    <s v="Jakarta"/>
    <s v="Jakarta"/>
    <d v="2018-10-22T00:00:00"/>
    <n v="6"/>
    <n v="4"/>
    <x v="1"/>
  </r>
  <r>
    <s v="MUHAMMAD IQBAL"/>
    <n v="641810193"/>
    <n v="1710004810597"/>
    <m/>
    <s v="Jakarta"/>
    <s v="Jakarta"/>
    <d v="2018-10-22T00:00:00"/>
    <n v="6"/>
    <n v="4"/>
    <x v="1"/>
  </r>
  <r>
    <s v="SIGIT USMANTO"/>
    <n v="641810192"/>
    <n v="1710004810670"/>
    <m/>
    <s v="Jakarta"/>
    <s v="Wonosobo"/>
    <d v="2018-10-22T00:00:00"/>
    <n v="6"/>
    <n v="4"/>
    <x v="1"/>
  </r>
  <r>
    <s v="AZWAR"/>
    <n v="641811208"/>
    <n v="1710004908193"/>
    <m/>
    <s v="Palembang"/>
    <s v="Palembang"/>
    <d v="2018-11-01T00:00:00"/>
    <n v="6"/>
    <n v="3"/>
    <x v="1"/>
  </r>
  <r>
    <s v="YANTI SAFITRI"/>
    <n v="972000050"/>
    <n v="1710005074813"/>
    <m/>
    <s v="Madiun"/>
    <s v="Madiun"/>
    <d v="2019-01-03T00:00:00"/>
    <n v="6"/>
    <n v="1"/>
    <x v="0"/>
  </r>
  <r>
    <s v="FUAD AZIZ"/>
    <n v="972000052"/>
    <n v="1710005659951"/>
    <n v="7178801017"/>
    <s v="Madiun"/>
    <s v="Malang"/>
    <d v="2019-07-01T00:00:00"/>
    <n v="5"/>
    <n v="7"/>
    <x v="0"/>
  </r>
  <r>
    <s v="ADE SAPUTRA"/>
    <n v="641907240"/>
    <n v="1710005658441"/>
    <m/>
    <s v="Palembang"/>
    <s v="Palembang"/>
    <d v="2019-07-01T00:00:00"/>
    <n v="5"/>
    <n v="7"/>
    <x v="1"/>
  </r>
  <r>
    <s v="AGUS MAKMUN"/>
    <n v="641907275"/>
    <n v="1710005658359"/>
    <m/>
    <s v="Jakarta"/>
    <s v="Jakarta"/>
    <d v="2019-07-01T00:00:00"/>
    <n v="5"/>
    <n v="7"/>
    <x v="1"/>
  </r>
  <r>
    <s v="SUTRISNO SITORUS"/>
    <n v="641907249"/>
    <n v="1710005658037"/>
    <m/>
    <s v="Medan"/>
    <s v="Medan"/>
    <d v="2019-07-01T00:00:00"/>
    <n v="5"/>
    <n v="7"/>
    <x v="1"/>
  </r>
  <r>
    <s v="IKHSAN ANUGRAH"/>
    <n v="641907236"/>
    <n v="1710005657690"/>
    <m/>
    <s v="Palembang"/>
    <s v="Palembang"/>
    <d v="2019-07-01T00:00:00"/>
    <n v="5"/>
    <n v="7"/>
    <x v="1"/>
  </r>
  <r>
    <s v="FIRZKI PRASETYA"/>
    <n v="641907235"/>
    <n v="1710005657179"/>
    <m/>
    <s v="Palembang"/>
    <s v="Palembang"/>
    <d v="2019-07-01T00:00:00"/>
    <n v="5"/>
    <n v="7"/>
    <x v="1"/>
  </r>
  <r>
    <s v="QHOIRUL WAFIUDDIN"/>
    <n v="641907269"/>
    <n v="1710005657427"/>
    <m/>
    <s v="Bandung"/>
    <s v="Magetan"/>
    <d v="2019-07-01T00:00:00"/>
    <n v="5"/>
    <n v="7"/>
    <x v="1"/>
  </r>
  <r>
    <s v="ACHMAD IRFAN"/>
    <n v="641907245"/>
    <n v="1710005658417"/>
    <m/>
    <s v="Jatibarang"/>
    <s v="Purwodadi"/>
    <d v="2019-07-01T00:00:00"/>
    <n v="5"/>
    <n v="7"/>
    <x v="1"/>
  </r>
  <r>
    <s v="ADRIAN JUNIOR SETYAWAN"/>
    <n v="641907255"/>
    <n v="1710005658375"/>
    <m/>
    <s v="Jakarta"/>
    <s v="Klaten"/>
    <d v="2019-07-01T00:00:00"/>
    <n v="5"/>
    <n v="7"/>
    <x v="1"/>
  </r>
  <r>
    <s v="ARI SIHWANTO"/>
    <n v="641907261"/>
    <n v="1710005658243"/>
    <m/>
    <s v="Jakarta"/>
    <s v="Jakarta"/>
    <d v="2019-07-01T00:00:00"/>
    <n v="5"/>
    <n v="7"/>
    <x v="1"/>
  </r>
  <r>
    <s v="ARI T"/>
    <n v="641907237"/>
    <n v="1710005657708"/>
    <m/>
    <s v="Palembang"/>
    <s v="Palembang"/>
    <d v="2019-07-01T00:00:00"/>
    <n v="5"/>
    <n v="7"/>
    <x v="1"/>
  </r>
  <r>
    <s v="EDI PRASETIYAWAN"/>
    <n v="641907263"/>
    <n v="1710005657971"/>
    <m/>
    <s v="Madiun"/>
    <s v="Magetan"/>
    <d v="2019-07-01T00:00:00"/>
    <n v="5"/>
    <n v="7"/>
    <x v="1"/>
  </r>
  <r>
    <s v="RAHMAN DAMANIK"/>
    <n v="641907247"/>
    <n v="1710005657377"/>
    <m/>
    <s v="Medan"/>
    <s v="Medan"/>
    <d v="2019-07-01T00:00:00"/>
    <n v="5"/>
    <n v="7"/>
    <x v="1"/>
  </r>
  <r>
    <s v="RIAN WIJAYA PRATAMA"/>
    <n v="641907278"/>
    <n v="1710005926293"/>
    <m/>
    <s v="Padang"/>
    <s v="Padang"/>
    <d v="2019-07-01T00:00:00"/>
    <n v="5"/>
    <n v="7"/>
    <x v="1"/>
  </r>
  <r>
    <s v="SAHBAN ARIF"/>
    <n v="641907272"/>
    <n v="1710005658458"/>
    <m/>
    <s v="Jakarta"/>
    <s v="Jakarta"/>
    <d v="2019-07-01T00:00:00"/>
    <n v="5"/>
    <n v="7"/>
    <x v="1"/>
  </r>
  <r>
    <s v="ADHE NUGRAHA"/>
    <n v="641907252"/>
    <n v="1710005658466"/>
    <m/>
    <s v="Makassar"/>
    <s v="Makassar"/>
    <d v="2019-07-01T00:00:00"/>
    <n v="5"/>
    <n v="7"/>
    <x v="1"/>
  </r>
  <r>
    <s v="AFFAN MISBAHUL MUKHLISON"/>
    <n v="641907257"/>
    <n v="1710005658334"/>
    <m/>
    <s v="Madiun"/>
    <s v="Ponorogo"/>
    <d v="2019-07-01T00:00:00"/>
    <n v="5"/>
    <n v="7"/>
    <x v="1"/>
  </r>
  <r>
    <s v="AHMAD RIZAL"/>
    <n v="641907253"/>
    <n v="1710005658326"/>
    <m/>
    <s v="Bandung"/>
    <s v="Bandung"/>
    <d v="2019-07-01T00:00:00"/>
    <n v="5"/>
    <n v="7"/>
    <x v="1"/>
  </r>
  <r>
    <s v="ANAS ALBADRY"/>
    <n v="641907259"/>
    <n v="1710005658292"/>
    <m/>
    <s v="Madiun"/>
    <s v="Ngawi"/>
    <d v="2019-07-01T00:00:00"/>
    <n v="5"/>
    <n v="7"/>
    <x v="1"/>
  </r>
  <r>
    <s v="ARHANUL FARIZ"/>
    <n v="641907258"/>
    <n v="1710005658268"/>
    <m/>
    <s v="Jakarta"/>
    <s v="Jakarta"/>
    <d v="2019-07-01T00:00:00"/>
    <n v="5"/>
    <n v="7"/>
    <x v="1"/>
  </r>
  <r>
    <s v="ASWANDI"/>
    <n v="641907251"/>
    <n v="1710005658391"/>
    <m/>
    <s v="Makassar"/>
    <s v="Makassar"/>
    <d v="2019-07-01T00:00:00"/>
    <n v="5"/>
    <n v="7"/>
    <x v="1"/>
  </r>
  <r>
    <s v="BAGUS ISTIANDARU"/>
    <n v="641907276"/>
    <n v="1710005658045"/>
    <m/>
    <s v="Jakarta"/>
    <s v="Jakarta"/>
    <d v="2019-07-01T00:00:00"/>
    <n v="5"/>
    <n v="7"/>
    <x v="1"/>
  </r>
  <r>
    <s v="ILHAMSYAH"/>
    <n v="641907248"/>
    <n v="1710005657682"/>
    <m/>
    <s v="Medan"/>
    <s v="Medan"/>
    <d v="2019-07-01T00:00:00"/>
    <n v="5"/>
    <n v="7"/>
    <x v="1"/>
  </r>
  <r>
    <s v="ISMAIL"/>
    <n v="641907267"/>
    <n v="1710005657674"/>
    <m/>
    <s v="Jakarta"/>
    <s v="Jakarta"/>
    <d v="2019-07-01T00:00:00"/>
    <n v="5"/>
    <n v="7"/>
    <x v="1"/>
  </r>
  <r>
    <s v="NORFI JANOKO SAKTI"/>
    <n v="641907268"/>
    <n v="1710005657534"/>
    <m/>
    <s v="Jakarta"/>
    <s v="Tegal"/>
    <d v="2019-07-01T00:00:00"/>
    <n v="5"/>
    <n v="7"/>
    <x v="1"/>
  </r>
  <r>
    <s v="YUSUP ZAKARIA"/>
    <n v="641907254"/>
    <n v="1710005657880"/>
    <m/>
    <s v="Kroya"/>
    <s v="Kroya"/>
    <d v="2019-07-01T00:00:00"/>
    <n v="5"/>
    <n v="7"/>
    <x v="1"/>
  </r>
  <r>
    <s v="YOVI MAHA PUTRA"/>
    <n v="972000057"/>
    <n v="1710005657955"/>
    <m/>
    <s v="Madiun"/>
    <s v="Bojonegoro"/>
    <d v="2019-07-01T00:00:00"/>
    <n v="5"/>
    <n v="7"/>
    <x v="0"/>
  </r>
  <r>
    <s v="RIAN PRATAMA"/>
    <n v="641907279"/>
    <n v="1710005657096"/>
    <m/>
    <s v="Madiun"/>
    <s v="Palembang"/>
    <d v="2019-07-15T00:00:00"/>
    <n v="5"/>
    <n v="7"/>
    <x v="1"/>
  </r>
  <r>
    <s v="HELMI SAPUTRA"/>
    <n v="642002073"/>
    <n v="1710006986346"/>
    <m/>
    <s v="Lampung"/>
    <s v="Lampung"/>
    <d v="2020-02-17T00:00:00"/>
    <n v="5"/>
    <n v="0"/>
    <x v="1"/>
  </r>
  <r>
    <s v="OKTARI AYU WANDIRA"/>
    <n v="642002074"/>
    <n v="1710006361227"/>
    <m/>
    <s v="Palembang"/>
    <s v="Palembang"/>
    <d v="2020-02-19T00:00:00"/>
    <n v="5"/>
    <n v="0"/>
    <x v="1"/>
  </r>
  <r>
    <s v="DEOPNEUSTA YOBELABAT SANTOSO"/>
    <n v="642002080"/>
    <n v="1710006361268"/>
    <m/>
    <s v="Pekalongan"/>
    <s v="Cirebon"/>
    <d v="2020-02-24T00:00:00"/>
    <n v="4"/>
    <n v="11"/>
    <x v="1"/>
  </r>
  <r>
    <s v="RIYAN ANDIKA"/>
    <n v="642002079"/>
    <n v="1710006361318"/>
    <m/>
    <s v="Jatibarang"/>
    <s v="Jatibarang"/>
    <d v="2020-02-24T00:00:00"/>
    <n v="4"/>
    <n v="11"/>
    <x v="1"/>
  </r>
  <r>
    <s v="JEFRI RAMADAN"/>
    <n v="642002075"/>
    <n v="1710006361243"/>
    <m/>
    <s v="Padang"/>
    <s v="Padang"/>
    <d v="2020-02-25T00:00:00"/>
    <n v="4"/>
    <n v="11"/>
    <x v="1"/>
  </r>
  <r>
    <s v="DONISAH SIREGAR"/>
    <n v="642002083"/>
    <n v="1710006361144"/>
    <m/>
    <s v="Medan"/>
    <s v="Medan"/>
    <d v="2020-03-01T00:00:00"/>
    <n v="4"/>
    <n v="11"/>
    <x v="1"/>
  </r>
  <r>
    <s v="VERRY CHRISDIANTORO RUBBIS"/>
    <n v="642002085"/>
    <n v="1710003987743"/>
    <m/>
    <s v="Madiun"/>
    <s v="Madiun"/>
    <d v="2020-03-02T00:00:00"/>
    <n v="4"/>
    <n v="11"/>
    <x v="1"/>
  </r>
  <r>
    <s v="ICHWAN FIRDAUS ALAMSYAH"/>
    <n v="642002086"/>
    <n v="1660002404481"/>
    <m/>
    <s v="Jakarta"/>
    <s v="Jakarta"/>
    <d v="2020-03-03T00:00:00"/>
    <n v="4"/>
    <n v="11"/>
    <x v="1"/>
  </r>
  <r>
    <s v="RIZKY MAULANA INDROSAPUTRO"/>
    <n v="642003087"/>
    <n v="1440009032522"/>
    <m/>
    <s v="Madiun"/>
    <s v="Madiun"/>
    <d v="2020-03-15T00:00:00"/>
    <n v="4"/>
    <n v="11"/>
    <x v="1"/>
  </r>
  <r>
    <s v="AGUS WURYANTO"/>
    <n v="999800003"/>
    <n v="1440001094520"/>
    <m/>
    <s v="INKA"/>
    <s v="Madiun"/>
    <d v="2020-06-05T00:00:00"/>
    <n v="4"/>
    <n v="8"/>
    <x v="2"/>
  </r>
  <r>
    <s v="YULIA WHIRDAWATI"/>
    <n v="999200045"/>
    <n v="1440001093159"/>
    <m/>
    <s v="INKA"/>
    <s v="Madiun"/>
    <d v="2020-06-05T00:00:00"/>
    <n v="4"/>
    <n v="8"/>
    <x v="2"/>
  </r>
  <r>
    <s v="AMRON BAITARRIZAQ"/>
    <n v="991100025"/>
    <n v="1440013093429"/>
    <m/>
    <s v="INKA"/>
    <s v="Lamongan"/>
    <d v="2020-06-05T00:00:00"/>
    <n v="4"/>
    <n v="8"/>
    <x v="2"/>
  </r>
  <r>
    <s v="HARI SUBEKTI"/>
    <n v="999500021"/>
    <n v="1440001094504"/>
    <m/>
    <s v="INKA"/>
    <s v="Madiun"/>
    <d v="2020-06-05T00:00:00"/>
    <n v="4"/>
    <n v="8"/>
    <x v="2"/>
  </r>
  <r>
    <s v="HARTONO"/>
    <n v="999200022"/>
    <n v="1440001093357"/>
    <m/>
    <s v="INKA"/>
    <s v="Madiun"/>
    <d v="2020-06-05T00:00:00"/>
    <n v="4"/>
    <n v="8"/>
    <x v="2"/>
  </r>
  <r>
    <s v="EKO PRASETIYO"/>
    <n v="999800078"/>
    <n v="1440011136048"/>
    <m/>
    <s v="INKA"/>
    <s v="Madiun"/>
    <d v="2020-06-05T00:00:00"/>
    <n v="4"/>
    <n v="8"/>
    <x v="2"/>
  </r>
  <r>
    <s v="SISWANTO"/>
    <n v="999800090"/>
    <n v="1440001099685"/>
    <n v="7174352288"/>
    <s v="INKA"/>
    <s v="Madiun"/>
    <d v="2020-06-05T00:00:00"/>
    <n v="4"/>
    <n v="8"/>
    <x v="2"/>
  </r>
  <r>
    <s v="MUKSON RAIH MUKTI"/>
    <n v="991700024"/>
    <n v="1710000383490"/>
    <n v="7173615908"/>
    <s v="INKA"/>
    <s v="Madiun"/>
    <d v="2020-06-05T00:00:00"/>
    <n v="4"/>
    <n v="8"/>
    <x v="2"/>
  </r>
  <r>
    <s v="SISWAHYUDI"/>
    <n v="999800030"/>
    <n v="1440011135446"/>
    <m/>
    <s v="INKA"/>
    <s v="Madiun"/>
    <d v="2020-06-05T00:00:00"/>
    <n v="4"/>
    <n v="8"/>
    <x v="2"/>
  </r>
  <r>
    <s v="HARIANTO"/>
    <n v="642007090"/>
    <n v="1710000416969"/>
    <m/>
    <s v="Madiun"/>
    <s v="Madiun"/>
    <d v="2020-07-01T00:00:00"/>
    <n v="4"/>
    <n v="7"/>
    <x v="1"/>
  </r>
  <r>
    <s v="ELY YUDIOKO"/>
    <n v="642007089"/>
    <n v="1710000713522"/>
    <m/>
    <s v="Madiun"/>
    <s v="Madiun"/>
    <d v="2020-07-01T00:00:00"/>
    <n v="4"/>
    <n v="7"/>
    <x v="1"/>
  </r>
  <r>
    <s v="IRA DWISARI"/>
    <n v="972400065"/>
    <n v="1710002914334"/>
    <m/>
    <s v="Madiun"/>
    <s v="Madiun"/>
    <d v="2020-08-01T00:00:00"/>
    <n v="4"/>
    <n v="6"/>
    <x v="0"/>
  </r>
  <r>
    <s v="MUHAMMAD BANGUN SABRINNA"/>
    <n v="642101100"/>
    <n v="1710002926403"/>
    <m/>
    <s v="Madiun"/>
    <s v="Madiun"/>
    <d v="2021-01-04T00:00:00"/>
    <n v="4"/>
    <n v="1"/>
    <x v="1"/>
  </r>
  <r>
    <s v="FENDIK SISWANTO"/>
    <n v="642101094"/>
    <n v="1710000644610"/>
    <m/>
    <s v="Madiun"/>
    <s v="Magetan"/>
    <d v="2021-01-04T00:00:00"/>
    <n v="4"/>
    <n v="1"/>
    <x v="1"/>
  </r>
  <r>
    <s v="PRASETYO ARI ANGGORO"/>
    <n v="642101096"/>
    <n v="1710007726758"/>
    <m/>
    <s v="Madiun"/>
    <s v="Madiun"/>
    <d v="2021-01-04T00:00:00"/>
    <n v="4"/>
    <n v="1"/>
    <x v="1"/>
  </r>
  <r>
    <s v="RIAN ADJI PANGESTU"/>
    <n v="642101101"/>
    <n v="1710002933326"/>
    <m/>
    <s v="Madiun"/>
    <s v="Jakarta"/>
    <d v="2021-01-04T00:00:00"/>
    <n v="4"/>
    <n v="1"/>
    <x v="1"/>
  </r>
  <r>
    <s v="SARAH AYU JUNIA KURNIASIH"/>
    <n v="642101097"/>
    <n v="1710000713431"/>
    <m/>
    <s v="Madiun"/>
    <s v="Madiun"/>
    <d v="2021-01-04T00:00:00"/>
    <n v="4"/>
    <n v="1"/>
    <x v="1"/>
  </r>
  <r>
    <s v="BAGAS YAZID GHOZI"/>
    <n v="642101093"/>
    <n v="1710005976744"/>
    <m/>
    <s v="Madiun"/>
    <s v="Madiun"/>
    <d v="2021-01-04T00:00:00"/>
    <n v="4"/>
    <n v="1"/>
    <x v="1"/>
  </r>
  <r>
    <s v="PAMUNGKAS SASANGKA"/>
    <n v="642101102"/>
    <n v="1710003987511"/>
    <m/>
    <s v="Madiun"/>
    <s v="Madiun"/>
    <d v="2021-02-03T00:00:00"/>
    <n v="4"/>
    <n v="0"/>
    <x v="1"/>
  </r>
  <r>
    <s v="DONI AHMAT RAIS"/>
    <n v="642102107"/>
    <n v="1710002922428"/>
    <m/>
    <s v="Madiun"/>
    <s v="Madiun"/>
    <d v="2021-02-15T00:00:00"/>
    <n v="4"/>
    <n v="0"/>
    <x v="1"/>
  </r>
  <r>
    <s v="FERRY APRIYANTO"/>
    <n v="642102105"/>
    <n v="1710000376304"/>
    <m/>
    <s v="Madiun"/>
    <s v="Madiun"/>
    <d v="2021-02-15T00:00:00"/>
    <n v="4"/>
    <n v="0"/>
    <x v="1"/>
  </r>
  <r>
    <s v="OKTAVIYANTO HARI CAHYONO"/>
    <n v="642102106"/>
    <n v="1710000376288"/>
    <m/>
    <s v="Madiun"/>
    <s v="Madiun"/>
    <d v="2021-02-15T00:00:00"/>
    <n v="4"/>
    <n v="0"/>
    <x v="1"/>
  </r>
  <r>
    <s v="SIGIT WAHYU PRASTYO"/>
    <n v="642102103"/>
    <n v="1710000376239"/>
    <m/>
    <s v="Madiun"/>
    <s v="Magetan"/>
    <d v="2021-02-15T00:00:00"/>
    <n v="4"/>
    <n v="0"/>
    <x v="1"/>
  </r>
  <r>
    <s v="TRI BAGUS RIDHO KURNIAWAN"/>
    <n v="642102104"/>
    <n v="1710000376494"/>
    <m/>
    <s v="Madiun"/>
    <s v="Madiun"/>
    <d v="2021-02-15T00:00:00"/>
    <n v="4"/>
    <n v="0"/>
    <x v="1"/>
  </r>
  <r>
    <s v="WAHAB"/>
    <n v="642105110"/>
    <s v="1320011907244"/>
    <m/>
    <s v="Madiun"/>
    <s v="Banyumas"/>
    <d v="2021-05-03T00:00:00"/>
    <n v="3"/>
    <n v="9"/>
    <x v="1"/>
  </r>
  <r>
    <s v="AWAL ROMADONI"/>
    <n v="642109111"/>
    <n v="1710001911331"/>
    <m/>
    <s v="Madiun"/>
    <s v="Palembang"/>
    <d v="2021-09-01T00:00:00"/>
    <n v="3"/>
    <n v="5"/>
    <x v="1"/>
  </r>
  <r>
    <s v="RIJA CAHYADI"/>
    <n v="642109112"/>
    <n v="1710002243494"/>
    <m/>
    <s v="Madiun"/>
    <s v="Ponorogo"/>
    <d v="2021-09-27T00:00:00"/>
    <n v="3"/>
    <n v="4"/>
    <x v="1"/>
  </r>
  <r>
    <s v="YONNY WIDYANTORO"/>
    <n v="642109113"/>
    <n v="1710001953895"/>
    <m/>
    <s v="Madiun"/>
    <s v="Ponorogo"/>
    <d v="2021-09-27T00:00:00"/>
    <n v="3"/>
    <n v="4"/>
    <x v="1"/>
  </r>
  <r>
    <s v="DIMAS YOGA MARGIHANTO"/>
    <n v="642109114"/>
    <n v="1710001957854"/>
    <m/>
    <s v="Madiun"/>
    <s v="Magetan"/>
    <d v="2021-09-27T00:00:00"/>
    <n v="3"/>
    <n v="4"/>
    <x v="1"/>
  </r>
  <r>
    <s v="NURUL ROCHMAN"/>
    <n v="642109117"/>
    <n v="1380019932644"/>
    <m/>
    <s v="Klaten"/>
    <s v="Klaten"/>
    <d v="2021-10-18T00:00:00"/>
    <n v="3"/>
    <n v="4"/>
    <x v="1"/>
  </r>
  <r>
    <s v="BAYU PRASETYO"/>
    <n v="642109115"/>
    <n v="1380019792501"/>
    <m/>
    <s v="Klaten"/>
    <s v="Klaten"/>
    <d v="2021-10-18T00:00:00"/>
    <n v="3"/>
    <n v="4"/>
    <x v="1"/>
  </r>
  <r>
    <s v="DIFA WIRAKUSUMA"/>
    <n v="642109118"/>
    <n v="1130012336792"/>
    <m/>
    <s v="Palembang"/>
    <s v="Palembang"/>
    <d v="2021-10-21T00:00:00"/>
    <n v="3"/>
    <n v="4"/>
    <x v="1"/>
  </r>
  <r>
    <s v="ANGGER BAYU AJI"/>
    <n v="642111121"/>
    <m/>
    <n v="7182599365"/>
    <s v="Jakarta"/>
    <s v="Jakarta"/>
    <d v="2021-11-17T00:00:00"/>
    <n v="3"/>
    <n v="3"/>
    <x v="1"/>
  </r>
  <r>
    <s v="DELA OKTAVIANA"/>
    <n v="642201127"/>
    <n v="1710007727160"/>
    <m/>
    <s v="Madiun"/>
    <s v="Madiun"/>
    <d v="2022-01-04T00:00:00"/>
    <n v="3"/>
    <n v="1"/>
    <x v="1"/>
  </r>
  <r>
    <s v="DEVIANA FATKULKHOIR"/>
    <n v="642201129"/>
    <n v="1710007726907"/>
    <m/>
    <s v="Madiun"/>
    <s v="Madiun"/>
    <d v="2022-01-04T00:00:00"/>
    <n v="3"/>
    <n v="1"/>
    <x v="1"/>
  </r>
  <r>
    <s v="DITA KAROLIN SABELLA"/>
    <n v="642201128"/>
    <n v="1710007727012"/>
    <m/>
    <s v="Madiun"/>
    <s v="Madiun"/>
    <d v="2022-01-04T00:00:00"/>
    <n v="3"/>
    <n v="1"/>
    <x v="1"/>
  </r>
  <r>
    <s v="FRISKA NANDA SUSANTA"/>
    <n v="642201126"/>
    <n v="1710007727087"/>
    <m/>
    <s v="Madiun"/>
    <s v="Madiun"/>
    <d v="2022-01-04T00:00:00"/>
    <n v="3"/>
    <n v="1"/>
    <x v="1"/>
  </r>
  <r>
    <s v="ADIB ARDHIAN"/>
    <n v="991000002"/>
    <s v="1440010312749"/>
    <m/>
    <s v="INKA"/>
    <s v="Ngawi"/>
    <d v="2022-01-14T00:00:00"/>
    <n v="3"/>
    <n v="1"/>
    <x v="2"/>
  </r>
  <r>
    <s v="OKTAVIAN FRANS SANJAYA"/>
    <n v="642201149"/>
    <n v="1710001954604"/>
    <m/>
    <s v="Madiun"/>
    <s v="Madiun"/>
    <d v="2022-01-14T00:00:00"/>
    <n v="3"/>
    <n v="1"/>
    <x v="1"/>
  </r>
  <r>
    <s v="INDAH PURWANTI"/>
    <n v="999600056"/>
    <m/>
    <m/>
    <s v="INKA"/>
    <s v="Madiun"/>
    <d v="2022-01-14T00:00:00"/>
    <n v="3"/>
    <n v="1"/>
    <x v="2"/>
  </r>
  <r>
    <s v="MUHAMMAD AL'SAUFI"/>
    <n v="642201146"/>
    <m/>
    <n v="7188582707"/>
    <s v="Aceh"/>
    <s v="Aceh"/>
    <d v="2022-01-17T00:00:00"/>
    <n v="3"/>
    <n v="1"/>
    <x v="1"/>
  </r>
  <r>
    <s v="HARIYANDI"/>
    <n v="642201134"/>
    <n v="1570007938195"/>
    <m/>
    <s v="Jakarta"/>
    <s v="Jakarta"/>
    <d v="2022-01-17T00:00:00"/>
    <n v="3"/>
    <n v="1"/>
    <x v="1"/>
  </r>
  <r>
    <s v="MUHAMAD FACHRI RIYANSAH"/>
    <n v="642201138"/>
    <n v="1240010726108"/>
    <m/>
    <s v="Jakarta"/>
    <s v="Jakarta"/>
    <d v="2022-01-17T00:00:00"/>
    <n v="3"/>
    <n v="1"/>
    <x v="1"/>
  </r>
  <r>
    <s v="MUCHAMMAD NUR ISMAIL"/>
    <n v="642201130"/>
    <n v="1550011488965"/>
    <m/>
    <s v="Jakarta"/>
    <s v="Jakarta"/>
    <d v="2022-01-17T00:00:00"/>
    <n v="3"/>
    <n v="1"/>
    <x v="1"/>
  </r>
  <r>
    <s v="PRIYOGO SUSILO"/>
    <n v="642201137"/>
    <n v="1200012500281"/>
    <m/>
    <s v="Jakarta"/>
    <s v="Jakarta"/>
    <d v="2022-01-17T00:00:00"/>
    <n v="3"/>
    <n v="1"/>
    <x v="1"/>
  </r>
  <r>
    <s v="TUBAGUS VIKRY ISKANDAR ACHMAD"/>
    <n v="642201131"/>
    <n v="1180011311841"/>
    <m/>
    <s v="Jakarta"/>
    <s v="Jakarta"/>
    <d v="2022-01-17T00:00:00"/>
    <n v="3"/>
    <n v="1"/>
    <x v="1"/>
  </r>
  <r>
    <s v="SANDY MAHESTA"/>
    <n v="642201136"/>
    <n v="1200011799215"/>
    <m/>
    <s v="Jakarta"/>
    <s v="Jakarta"/>
    <d v="2022-01-17T00:00:00"/>
    <n v="3"/>
    <n v="1"/>
    <x v="1"/>
  </r>
  <r>
    <s v="BIMA RIZKY PRATAMA"/>
    <n v="642201141"/>
    <n v="1760000962892"/>
    <m/>
    <s v="Jakarta"/>
    <s v="Jakarta"/>
    <d v="2022-01-17T00:00:00"/>
    <n v="3"/>
    <n v="1"/>
    <x v="1"/>
  </r>
  <r>
    <s v="JERI APDI SAPUTRA"/>
    <n v="642201148"/>
    <n v="1080017200842"/>
    <m/>
    <s v="Padang"/>
    <s v="Padang"/>
    <d v="2022-01-17T00:00:00"/>
    <n v="3"/>
    <n v="1"/>
    <x v="1"/>
  </r>
  <r>
    <s v="RIZKI KURNIAWAN"/>
    <n v="642201135"/>
    <n v="1710011622761"/>
    <m/>
    <s v="Jakarta"/>
    <s v="Ngawi"/>
    <d v="2022-01-17T00:00:00"/>
    <n v="3"/>
    <n v="1"/>
    <x v="1"/>
  </r>
  <r>
    <s v="MUHAMAD IRFAN"/>
    <n v="642201139"/>
    <n v="1550011491043"/>
    <m/>
    <s v="Jakarta"/>
    <s v="Jakarta"/>
    <d v="2022-01-17T00:00:00"/>
    <n v="3"/>
    <n v="1"/>
    <x v="1"/>
  </r>
  <r>
    <s v="MOCHAMAD SANDI NUR RAMADAN"/>
    <n v="642201152"/>
    <n v="1710002244062"/>
    <m/>
    <s v="Madiun"/>
    <s v="Malang"/>
    <d v="2022-01-18T00:00:00"/>
    <n v="3"/>
    <n v="1"/>
    <x v="1"/>
  </r>
  <r>
    <s v="YOGA ADI PRATAMA"/>
    <n v="642201154"/>
    <n v="1710001957565"/>
    <m/>
    <s v="Madiun"/>
    <s v="Magetan"/>
    <d v="2022-01-18T00:00:00"/>
    <n v="3"/>
    <n v="1"/>
    <x v="1"/>
  </r>
  <r>
    <s v="FUAD BAWAZIR"/>
    <n v="642201151"/>
    <n v="1240011123388"/>
    <m/>
    <s v="Madiun"/>
    <s v="Madiun"/>
    <d v="2022-01-18T00:00:00"/>
    <n v="3"/>
    <n v="1"/>
    <x v="1"/>
  </r>
  <r>
    <s v="AMMAR NURI SULASTINO"/>
    <n v="642201133"/>
    <n v="1710001954398"/>
    <m/>
    <s v="Jakarta"/>
    <s v="Magetan"/>
    <d v="2022-01-18T00:00:00"/>
    <n v="3"/>
    <n v="1"/>
    <x v="1"/>
  </r>
  <r>
    <s v="AWANG TUNGGAL DIA SAPUTRA"/>
    <n v="642201143"/>
    <n v="1710001957870"/>
    <m/>
    <s v="Madiun"/>
    <s v="Madiun"/>
    <d v="2022-01-18T00:00:00"/>
    <n v="3"/>
    <n v="1"/>
    <x v="1"/>
  </r>
  <r>
    <s v="BAGAS EKO PRASTYO"/>
    <n v="642201144"/>
    <n v="1710001954695"/>
    <m/>
    <s v="Madiun"/>
    <s v="Madiun"/>
    <d v="2022-01-18T00:00:00"/>
    <n v="3"/>
    <n v="1"/>
    <x v="1"/>
  </r>
  <r>
    <s v="DAVID DWI PRAKOSO"/>
    <n v="642201145"/>
    <n v="1710001958068"/>
    <m/>
    <s v="Madiun"/>
    <s v="Madiun"/>
    <d v="2022-01-18T00:00:00"/>
    <n v="3"/>
    <n v="1"/>
    <x v="1"/>
  </r>
  <r>
    <s v="FAIZ NIZAMUDIN"/>
    <n v="642201150"/>
    <n v="1710001955833"/>
    <m/>
    <s v="Madiun"/>
    <s v="Madiun"/>
    <d v="2022-01-18T00:00:00"/>
    <n v="3"/>
    <n v="1"/>
    <x v="1"/>
  </r>
  <r>
    <s v="REZALDHY ERLANGGA"/>
    <n v="642201132"/>
    <n v="1710010808171"/>
    <m/>
    <s v="Madiun"/>
    <s v="Ponorogo"/>
    <d v="2022-01-18T00:00:00"/>
    <n v="3"/>
    <n v="1"/>
    <x v="1"/>
  </r>
  <r>
    <s v="ASEP SAEPUL MUGNI"/>
    <n v="642201156"/>
    <m/>
    <n v="7190173911"/>
    <s v="Jakarta"/>
    <s v="Jakarta"/>
    <d v="2022-02-02T00:00:00"/>
    <n v="3"/>
    <n v="0"/>
    <x v="1"/>
  </r>
  <r>
    <s v="PRIMA LESTIAN HERLAMBANG"/>
    <n v="642201158"/>
    <n v="1710003198200"/>
    <m/>
    <s v="Madiun"/>
    <s v="Madiun"/>
    <d v="2022-02-04T00:00:00"/>
    <n v="3"/>
    <n v="0"/>
    <x v="1"/>
  </r>
  <r>
    <s v="ALDHEO RACKA NARENDRA"/>
    <n v="642201153"/>
    <n v="1710001957979"/>
    <m/>
    <s v="Madiun"/>
    <s v="Madiun"/>
    <d v="2022-02-04T00:00:00"/>
    <n v="3"/>
    <n v="0"/>
    <x v="1"/>
  </r>
  <r>
    <s v="HUDA BARANTO"/>
    <n v="990900010"/>
    <n v="1440009311355"/>
    <m/>
    <s v="INKA"/>
    <s v="Madiun"/>
    <d v="2022-04-20T00:00:00"/>
    <n v="2"/>
    <n v="10"/>
    <x v="2"/>
  </r>
  <r>
    <s v="YASIR ARAFAD"/>
    <n v="642201160"/>
    <m/>
    <n v="1038639583"/>
    <s v="Palembang"/>
    <s v="Palembang"/>
    <d v="2022-05-17T00:00:00"/>
    <n v="2"/>
    <n v="9"/>
    <x v="1"/>
  </r>
  <r>
    <s v="RANDU ARIANDI SAPUTRA"/>
    <n v="642201159"/>
    <n v="1110019861182"/>
    <m/>
    <s v="Padang"/>
    <s v="Padang"/>
    <d v="2022-05-17T00:00:00"/>
    <n v="2"/>
    <n v="9"/>
    <x v="1"/>
  </r>
  <r>
    <s v="BIMO TRI PRAKOSO"/>
    <n v="642201164"/>
    <n v="1710011552737"/>
    <m/>
    <s v="Madiun"/>
    <s v="Madiun"/>
    <d v="2022-05-18T00:00:00"/>
    <n v="2"/>
    <n v="9"/>
    <x v="1"/>
  </r>
  <r>
    <s v="ANGGUN SETIO MITUHU"/>
    <n v="642201162"/>
    <n v="1710002244500"/>
    <m/>
    <s v="Madiun"/>
    <s v="Madiun"/>
    <d v="2022-05-18T00:00:00"/>
    <n v="2"/>
    <n v="9"/>
    <x v="1"/>
  </r>
  <r>
    <s v="MAULANA ZAKARIA"/>
    <n v="642201161"/>
    <n v="1380020903931"/>
    <m/>
    <s v="Madiun"/>
    <s v="Madiun"/>
    <d v="2022-05-18T00:00:00"/>
    <n v="2"/>
    <n v="9"/>
    <x v="1"/>
  </r>
  <r>
    <s v="WIDHI MUSLIQIM SETYO PANGUDI"/>
    <n v="642201165"/>
    <n v="1380020870718"/>
    <m/>
    <s v="Klaten"/>
    <s v="Klaten"/>
    <d v="2022-05-18T00:00:00"/>
    <n v="2"/>
    <n v="9"/>
    <x v="1"/>
  </r>
  <r>
    <s v="MARSELO DWI LAKSONO"/>
    <n v="642201163"/>
    <n v="1710001954513"/>
    <m/>
    <s v="Madiun"/>
    <s v="Magetan"/>
    <d v="2022-05-18T00:00:00"/>
    <n v="2"/>
    <n v="9"/>
    <x v="1"/>
  </r>
  <r>
    <s v="MOCH. DONY ANGGORO"/>
    <n v="642201166"/>
    <n v="1710001910713"/>
    <m/>
    <s v="Madiun"/>
    <s v="Madiun"/>
    <d v="2022-05-19T00:00:00"/>
    <n v="2"/>
    <n v="9"/>
    <x v="1"/>
  </r>
  <r>
    <s v="DENDEN AGUNG PRASTYA"/>
    <n v="642201167"/>
    <n v="1710001957920"/>
    <m/>
    <s v="Madiun"/>
    <s v="Magetan"/>
    <d v="2022-05-21T00:00:00"/>
    <n v="2"/>
    <n v="9"/>
    <x v="1"/>
  </r>
  <r>
    <s v="ALVIAN KRISETIAWAN"/>
    <n v="642201168"/>
    <n v="1710001958076"/>
    <m/>
    <s v="Madiun"/>
    <s v="Magetan"/>
    <d v="2022-05-21T00:00:00"/>
    <n v="2"/>
    <n v="9"/>
    <x v="1"/>
  </r>
  <r>
    <s v="ERWIN BAGUS SAPUTRO"/>
    <n v="642201171"/>
    <n v="60011446550"/>
    <m/>
    <s v="Madiun"/>
    <s v="Madiun"/>
    <d v="2022-05-21T00:00:00"/>
    <n v="2"/>
    <n v="9"/>
    <x v="1"/>
  </r>
  <r>
    <s v="WAHYU BAGUS KUSUMA"/>
    <n v="642201169"/>
    <n v="1710001953952"/>
    <m/>
    <s v="Madiun"/>
    <s v="Madiun"/>
    <d v="2022-05-21T00:00:00"/>
    <n v="2"/>
    <n v="9"/>
    <x v="1"/>
  </r>
  <r>
    <s v="ALFIAN NOER CRISTANTO"/>
    <n v="642201170"/>
    <n v="1710011597385"/>
    <m/>
    <s v="Madiun"/>
    <s v="Magetan"/>
    <d v="2022-05-21T00:00:00"/>
    <n v="2"/>
    <n v="9"/>
    <x v="1"/>
  </r>
  <r>
    <s v="TRUSTHA ASHAR RAMADHAN"/>
    <n v="642201174"/>
    <n v="1710011618611"/>
    <m/>
    <s v="Madiun"/>
    <s v="Madiun"/>
    <d v="2022-06-07T00:00:00"/>
    <n v="2"/>
    <n v="8"/>
    <x v="1"/>
  </r>
  <r>
    <s v="YUSUF BAKTIAR"/>
    <n v="642201175"/>
    <n v="1710011722942"/>
    <m/>
    <s v="Madiun"/>
    <s v="Ngawi"/>
    <d v="2022-06-07T00:00:00"/>
    <n v="2"/>
    <n v="8"/>
    <x v="1"/>
  </r>
  <r>
    <s v="INGGIT WAHYU APRIAN"/>
    <n v="642201177"/>
    <n v="1710011826701"/>
    <m/>
    <s v="Madiun"/>
    <s v="Magetan"/>
    <d v="2022-07-01T00:00:00"/>
    <n v="2"/>
    <n v="7"/>
    <x v="1"/>
  </r>
  <r>
    <s v="REYVALDO BRAHMANA CHRISANDY"/>
    <n v="642201176"/>
    <n v="1710011617928"/>
    <m/>
    <s v="Madiun"/>
    <s v="Madiun"/>
    <d v="2022-07-01T00:00:00"/>
    <n v="2"/>
    <n v="7"/>
    <x v="1"/>
  </r>
  <r>
    <s v="THESA ARY SANDY"/>
    <n v="642301178"/>
    <n v="1710010758608"/>
    <m/>
    <s v="Madiun"/>
    <s v="Nganjuk"/>
    <d v="2023-01-01T00:00:00"/>
    <n v="2"/>
    <n v="1"/>
    <x v="1"/>
  </r>
  <r>
    <s v="ALDIF REZA PRIATAMA"/>
    <n v="642301180"/>
    <n v="1710012918895"/>
    <m/>
    <s v="Madiun"/>
    <s v="Pacitan"/>
    <d v="2023-01-05T00:00:00"/>
    <n v="2"/>
    <n v="1"/>
    <x v="1"/>
  </r>
  <r>
    <s v="ALI OKTAVIAN HANDOKO"/>
    <n v="642301184"/>
    <m/>
    <n v="7117407262"/>
    <s v="Madiun"/>
    <s v="Madiun"/>
    <d v="2023-01-05T00:00:00"/>
    <n v="2"/>
    <n v="1"/>
    <x v="1"/>
  </r>
  <r>
    <s v="ARI IRAWAN"/>
    <n v="642301183"/>
    <n v="1710012923051"/>
    <m/>
    <s v="Madiun"/>
    <s v="Madiun"/>
    <d v="2023-01-05T00:00:00"/>
    <n v="2"/>
    <n v="1"/>
    <x v="1"/>
  </r>
  <r>
    <s v="GIGIH CAHYO PAMUNGKAS"/>
    <n v="642301186"/>
    <n v="1430027926995"/>
    <m/>
    <s v="Madiun"/>
    <s v="Banyuwangi"/>
    <d v="2023-01-05T00:00:00"/>
    <n v="2"/>
    <n v="1"/>
    <x v="1"/>
  </r>
  <r>
    <s v="YOLANDHA ERHASYA TALITAFANI"/>
    <n v="642301185"/>
    <n v="1710012922319"/>
    <m/>
    <s v="Madiun"/>
    <s v="Madiun"/>
    <d v="2023-01-05T00:00:00"/>
    <n v="2"/>
    <n v="1"/>
    <x v="1"/>
  </r>
  <r>
    <s v="ZA'IM NAUFAL HABIB"/>
    <n v="642301181"/>
    <n v="1710012918747"/>
    <m/>
    <s v="Madiun"/>
    <s v="Ngawi"/>
    <d v="2023-01-05T00:00:00"/>
    <n v="2"/>
    <n v="1"/>
    <x v="1"/>
  </r>
  <r>
    <s v="AKBAR WILDHAN PRIBADI"/>
    <n v="642301193"/>
    <n v="1420021243323"/>
    <m/>
    <s v="Madiun"/>
    <s v="Mojokerto"/>
    <d v="2023-01-05T00:00:00"/>
    <n v="2"/>
    <n v="1"/>
    <x v="1"/>
  </r>
  <r>
    <s v="ANGGITANA SUSIACCA PRIMA PUTRA"/>
    <n v="642301191"/>
    <n v="1710012946185"/>
    <m/>
    <s v="Madiun"/>
    <s v="Madiun"/>
    <d v="2023-01-05T00:00:00"/>
    <n v="2"/>
    <n v="1"/>
    <x v="1"/>
  </r>
  <r>
    <s v="DIAZ PRABA YUDISTIRA"/>
    <n v="642301192"/>
    <n v="1330026036293"/>
    <m/>
    <s v="Madiun"/>
    <s v="Jakarta"/>
    <d v="2023-01-05T00:00:00"/>
    <n v="2"/>
    <n v="1"/>
    <x v="1"/>
  </r>
  <r>
    <s v="FIGO MUHAMMAD HERNATIAS"/>
    <n v="642301188"/>
    <n v="1710007809752"/>
    <m/>
    <s v="Madiun"/>
    <s v="Pacitan"/>
    <d v="2023-01-05T00:00:00"/>
    <n v="2"/>
    <n v="1"/>
    <x v="1"/>
  </r>
  <r>
    <s v="MAULANA JIHAN ALFANA"/>
    <n v="642301190"/>
    <n v="1840005425002"/>
    <m/>
    <s v="Madiun"/>
    <s v="Blora"/>
    <d v="2023-01-05T00:00:00"/>
    <n v="2"/>
    <n v="1"/>
    <x v="1"/>
  </r>
  <r>
    <s v="YOGA WICAKSANA"/>
    <n v="642301187"/>
    <n v="1710012923291"/>
    <m/>
    <s v="Madiun"/>
    <s v="Magetan"/>
    <d v="2023-01-05T00:00:00"/>
    <n v="2"/>
    <n v="1"/>
    <x v="1"/>
  </r>
  <r>
    <s v="AZIS FARISI PRAMUJOTO"/>
    <n v="642301196"/>
    <n v="1710012984491"/>
    <m/>
    <s v="Madiun"/>
    <s v="Ponorogo"/>
    <d v="2023-01-09T00:00:00"/>
    <n v="2"/>
    <n v="1"/>
    <x v="1"/>
  </r>
  <r>
    <s v="HENDRA HERMANTO"/>
    <n v="642301195"/>
    <m/>
    <n v="7221848677"/>
    <s v="Jakarta"/>
    <s v="Jakarta"/>
    <d v="2023-01-13T00:00:00"/>
    <n v="2"/>
    <n v="1"/>
    <x v="1"/>
  </r>
  <r>
    <s v="MUHAMMAD BAYU DIRGANTARA"/>
    <n v="642301198"/>
    <n v="1080024841786"/>
    <m/>
    <s v="Jakarta"/>
    <s v="Jakarta"/>
    <d v="2023-03-15T00:00:00"/>
    <n v="1"/>
    <n v="11"/>
    <x v="1"/>
  </r>
  <r>
    <s v="REZA DENNYZA SATRIAWAN"/>
    <n v="991500018"/>
    <s v="1710001043952"/>
    <m/>
    <s v="INKA"/>
    <s v="Madiun"/>
    <d v="2023-07-26T00:00:00"/>
    <n v="1"/>
    <n v="6"/>
    <x v="2"/>
  </r>
  <r>
    <s v="ILHAM YUSUF TRIHARDIAN"/>
    <n v="642307120"/>
    <m/>
    <n v="7249704207"/>
    <s v="Palembang"/>
    <s v="Pacitan"/>
    <d v="2023-09-05T00:00:00"/>
    <n v="1"/>
    <n v="5"/>
    <x v="1"/>
  </r>
  <r>
    <s v="MUHAMMAD LINTANG A'RAFI ICHSAN"/>
    <n v="642307121"/>
    <m/>
    <n v="7249707591"/>
    <s v="Madiun"/>
    <s v="Purworejo"/>
    <d v="2023-09-05T00:00:00"/>
    <n v="1"/>
    <n v="5"/>
    <x v="1"/>
  </r>
  <r>
    <s v="DAFIL FANDRESA"/>
    <n v="642307133"/>
    <n v="1330027424019"/>
    <m/>
    <s v="Jakarta"/>
    <s v="Palembang"/>
    <d v="2023-10-05T00:00:00"/>
    <n v="1"/>
    <n v="4"/>
    <x v="1"/>
  </r>
  <r>
    <s v="HAFIZ FADHILLAH"/>
    <n v="642307132"/>
    <n v="1670006022403"/>
    <m/>
    <s v="Jakarta"/>
    <s v="Bekasi"/>
    <d v="2023-10-05T00:00:00"/>
    <n v="1"/>
    <n v="4"/>
    <x v="1"/>
  </r>
  <r>
    <s v="DWI WAHYU PUJIANTO"/>
    <n v="642307126"/>
    <m/>
    <n v="7219063018"/>
    <s v="Madiun"/>
    <s v="Ngawi"/>
    <d v="2023-10-05T00:00:00"/>
    <n v="1"/>
    <n v="4"/>
    <x v="1"/>
  </r>
  <r>
    <s v="NAZEEM AHMED ALVARIZI"/>
    <n v="642307134"/>
    <n v="1290013817925"/>
    <m/>
    <s v="Jakarta"/>
    <s v="Magelang"/>
    <d v="2023-10-05T00:00:00"/>
    <n v="1"/>
    <n v="4"/>
    <x v="1"/>
  </r>
  <r>
    <s v="OKY PRAMUDIANTATO BIMANTORO"/>
    <n v="642307135"/>
    <n v="1710003411389"/>
    <m/>
    <s v="Madiun"/>
    <s v="Kediri"/>
    <d v="2023-10-05T00:00:00"/>
    <n v="1"/>
    <n v="4"/>
    <x v="1"/>
  </r>
  <r>
    <s v="ARDIAN UNGGUL TRIWIBOWO"/>
    <n v="642307136"/>
    <n v="1800013074564"/>
    <m/>
    <s v="Madiun"/>
    <s v="Purwokerto"/>
    <d v="2023-10-05T00:00:00"/>
    <n v="1"/>
    <n v="4"/>
    <x v="1"/>
  </r>
  <r>
    <s v="DAFFA 'ALIFFYANSYAH"/>
    <n v="642307127"/>
    <n v="1800013047933"/>
    <m/>
    <s v="Madiun"/>
    <s v="Blora"/>
    <d v="2023-10-05T00:00:00"/>
    <n v="1"/>
    <n v="4"/>
    <x v="1"/>
  </r>
  <r>
    <s v="DONI IGO MURTI WARDANA"/>
    <n v="642307125"/>
    <m/>
    <n v="7252451368"/>
    <s v="Madiun"/>
    <s v="Lumajang"/>
    <d v="2023-10-05T00:00:00"/>
    <n v="1"/>
    <n v="4"/>
    <x v="1"/>
  </r>
  <r>
    <s v="KHODIRIS SALAM"/>
    <n v="642307128"/>
    <n v="1560021516259"/>
    <m/>
    <s v="Madiun"/>
    <s v="Demak"/>
    <d v="2023-10-05T00:00:00"/>
    <n v="1"/>
    <n v="4"/>
    <x v="1"/>
  </r>
  <r>
    <s v="TITO PETRICK"/>
    <n v="642307130"/>
    <n v="1560021505617"/>
    <m/>
    <s v="Madiun"/>
    <s v="Bekasi"/>
    <d v="2023-10-05T00:00:00"/>
    <n v="1"/>
    <n v="4"/>
    <x v="1"/>
  </r>
  <r>
    <s v="RAMA PERMADI"/>
    <n v="642311138"/>
    <n v="1710005602191"/>
    <m/>
    <s v="Madiun"/>
    <s v="Madiun"/>
    <d v="2023-11-17T00:00:00"/>
    <n v="1"/>
    <n v="3"/>
    <x v="1"/>
  </r>
  <r>
    <s v="MUHAMMAD RIZKY CANDRA AUDILAN"/>
    <n v="642311137"/>
    <n v="1460011119570"/>
    <m/>
    <s v="Madiun"/>
    <s v="Madiun"/>
    <d v="2023-11-17T00:00:00"/>
    <n v="1"/>
    <n v="3"/>
    <x v="1"/>
  </r>
  <r>
    <s v="IDA BAGUS PUTU EKAPUTRA DHARMA"/>
    <n v="642311139"/>
    <n v="1710014518933"/>
    <m/>
    <s v="Madiun"/>
    <s v="Madiun"/>
    <d v="2023-11-17T00:00:00"/>
    <n v="1"/>
    <n v="3"/>
    <x v="1"/>
  </r>
  <r>
    <s v="FITTA FRIDDITTA ARIEF"/>
    <n v="991700061"/>
    <n v="1710002026865"/>
    <m/>
    <s v="INKA"/>
    <s v="Probolinggo"/>
    <d v="2023-12-01T00:00:00"/>
    <n v="1"/>
    <n v="2"/>
    <x v="2"/>
  </r>
  <r>
    <s v="NANDIKA ADI PRATAMA"/>
    <n v="642312150"/>
    <n v="1660004943932"/>
    <m/>
    <s v="Jakarta"/>
    <s v="Jakarta"/>
    <d v="2023-12-15T00:00:00"/>
    <n v="1"/>
    <n v="2"/>
    <x v="1"/>
  </r>
  <r>
    <s v="ALVIN DEVOTE AZARIA ARDANA"/>
    <n v="642312140"/>
    <n v="1710014832276"/>
    <m/>
    <s v="Madiun"/>
    <s v="Klaten"/>
    <d v="2023-12-20T00:00:00"/>
    <n v="1"/>
    <n v="2"/>
    <x v="1"/>
  </r>
  <r>
    <s v="ARIEF DWI KURNIAWAN"/>
    <n v="642312141"/>
    <n v="1710014832193"/>
    <m/>
    <s v="Madiun"/>
    <s v="Ponorogo"/>
    <d v="2023-12-20T00:00:00"/>
    <n v="1"/>
    <n v="2"/>
    <x v="1"/>
  </r>
  <r>
    <s v="BAGUS ADIIB AL-HAQ"/>
    <n v="642312142"/>
    <n v="1710014832235"/>
    <m/>
    <s v="Madiun"/>
    <s v="Ngawi"/>
    <d v="2023-12-20T00:00:00"/>
    <n v="1"/>
    <n v="2"/>
    <x v="1"/>
  </r>
  <r>
    <s v="BIMA AJI KURNIAWAN"/>
    <n v="642312143"/>
    <n v="1710014832227"/>
    <m/>
    <s v="Madiun"/>
    <s v="Boyolali"/>
    <d v="2023-12-20T00:00:00"/>
    <n v="1"/>
    <n v="2"/>
    <x v="1"/>
  </r>
  <r>
    <s v="DIMAS DWI KURNIAWAN"/>
    <n v="642312144"/>
    <n v="1710014832250"/>
    <m/>
    <s v="Madiun"/>
    <s v="Banyuwangi"/>
    <d v="2023-12-20T00:00:00"/>
    <n v="1"/>
    <n v="2"/>
    <x v="1"/>
  </r>
  <r>
    <s v="HANDIKA RIZKI PRATAMA"/>
    <n v="642312146"/>
    <n v="1710014832219"/>
    <m/>
    <s v="Madiun"/>
    <s v="Semarang"/>
    <d v="2023-12-20T00:00:00"/>
    <n v="1"/>
    <n v="2"/>
    <x v="1"/>
  </r>
  <r>
    <s v="SULTAN ALFIANTSYAH"/>
    <n v="642312147"/>
    <n v="1710014832268"/>
    <m/>
    <s v="Madiun"/>
    <s v="Surabaya"/>
    <d v="2023-12-20T00:00:00"/>
    <n v="1"/>
    <n v="2"/>
    <x v="1"/>
  </r>
  <r>
    <s v="VINDY VIRGINE GUCCI"/>
    <n v="642312148"/>
    <n v="1710014832201"/>
    <m/>
    <s v="Madiun"/>
    <s v="Madiun"/>
    <d v="2023-12-20T00:00:00"/>
    <n v="1"/>
    <n v="2"/>
    <x v="1"/>
  </r>
  <r>
    <s v="ZHILAL RATU AQILAH"/>
    <n v="642312149"/>
    <n v="1710012742618"/>
    <m/>
    <s v="Madiun"/>
    <s v="Madiun"/>
    <d v="2023-12-20T00:00:00"/>
    <n v="1"/>
    <n v="2"/>
    <x v="1"/>
  </r>
  <r>
    <s v="WAHYU UTOMO"/>
    <n v="642401151"/>
    <n v="1710014724671"/>
    <m/>
    <s v="Madiun"/>
    <s v="Banyuwangi"/>
    <d v="2024-01-01T00:00:00"/>
    <n v="1"/>
    <n v="1"/>
    <x v="1"/>
  </r>
  <r>
    <s v="ALBERIL ADITYA WIJAYA"/>
    <n v="642401152"/>
    <n v="1710014746898"/>
    <m/>
    <s v="Madiun"/>
    <s v="Ponorogo"/>
    <d v="2024-01-01T00:00:00"/>
    <n v="1"/>
    <n v="1"/>
    <x v="1"/>
  </r>
  <r>
    <s v="ANGGORO DAFFA MAULANA SUKARNO"/>
    <n v="642401154"/>
    <n v="1710014827987"/>
    <m/>
    <s v="Madiun"/>
    <s v="Madiun"/>
    <d v="2024-01-01T00:00:00"/>
    <n v="1"/>
    <n v="1"/>
    <x v="1"/>
  </r>
  <r>
    <s v="BAGUS AMIKA PAMUNGKAS"/>
    <n v="642401155"/>
    <n v="1710013892099"/>
    <m/>
    <s v="Madiun"/>
    <s v="Madiun"/>
    <d v="2024-01-01T00:00:00"/>
    <n v="1"/>
    <n v="1"/>
    <x v="1"/>
  </r>
  <r>
    <s v="PUTRA KALIH BAGASKARA"/>
    <n v="642401156"/>
    <n v="1710014832128"/>
    <m/>
    <s v="Madiun"/>
    <s v="Madiun"/>
    <d v="2024-01-01T00:00:00"/>
    <n v="1"/>
    <n v="1"/>
    <x v="1"/>
  </r>
  <r>
    <s v="BRIAN DWI PRASTYO"/>
    <n v="642401157"/>
    <n v="1710003196519"/>
    <m/>
    <s v="Madiun"/>
    <s v="Magetan"/>
    <d v="2024-01-01T00:00:00"/>
    <n v="1"/>
    <n v="1"/>
    <x v="1"/>
  </r>
  <r>
    <s v="DANIEL MEIHENDRA WIDIYANANDA"/>
    <n v="642401158"/>
    <n v="1710014832144"/>
    <m/>
    <s v="Madiun"/>
    <s v="Madiun"/>
    <d v="2024-01-01T00:00:00"/>
    <n v="1"/>
    <n v="1"/>
    <x v="1"/>
  </r>
  <r>
    <s v="DARIS MUSTAQIM"/>
    <n v="642401159"/>
    <n v="1710014828035"/>
    <m/>
    <s v="Madiun"/>
    <s v="Ngawi"/>
    <d v="2024-01-01T00:00:00"/>
    <n v="1"/>
    <n v="1"/>
    <x v="1"/>
  </r>
  <r>
    <s v="DEO FAJAR SAPUTRA"/>
    <n v="642401161"/>
    <n v="1710014827961"/>
    <m/>
    <s v="Madiun"/>
    <s v="Madiun"/>
    <d v="2024-01-01T00:00:00"/>
    <n v="1"/>
    <n v="1"/>
    <x v="1"/>
  </r>
  <r>
    <s v="DWI AGUS IS SAPUTRA"/>
    <n v="642401162"/>
    <n v="1710014828001"/>
    <m/>
    <s v="Madiun"/>
    <s v="Madiun"/>
    <d v="2024-01-01T00:00:00"/>
    <n v="1"/>
    <n v="1"/>
    <x v="1"/>
  </r>
  <r>
    <s v="EKA NOVA AGFI PUTERA"/>
    <n v="642401163"/>
    <n v="1710014827979"/>
    <m/>
    <s v="Madiun"/>
    <s v="Madiun"/>
    <d v="2024-01-01T00:00:00"/>
    <n v="1"/>
    <n v="1"/>
    <x v="1"/>
  </r>
  <r>
    <s v="FAISHOL RIJALUT TAMMIMI"/>
    <n v="642401164"/>
    <n v="1710014832094"/>
    <m/>
    <s v="Madiun"/>
    <s v="Ponorogo"/>
    <d v="2024-01-01T00:00:00"/>
    <n v="1"/>
    <n v="1"/>
    <x v="1"/>
  </r>
  <r>
    <s v="FAISAK KHOBBI"/>
    <n v="642401165"/>
    <n v="1710014832185"/>
    <m/>
    <s v="Madiun"/>
    <s v="Madiun"/>
    <d v="2024-01-01T00:00:00"/>
    <n v="1"/>
    <n v="1"/>
    <x v="1"/>
  </r>
  <r>
    <s v="FAJHAR ADHA ANGGORO"/>
    <n v="642401166"/>
    <n v="1710014832177"/>
    <m/>
    <s v="Madiun"/>
    <s v="Madiun"/>
    <d v="2024-01-01T00:00:00"/>
    <n v="1"/>
    <n v="1"/>
    <x v="1"/>
  </r>
  <r>
    <s v="FITRIAL NOVA ARIANTO"/>
    <n v="642401167"/>
    <n v="1710014724689"/>
    <m/>
    <s v="Madiun"/>
    <s v="Banyuwangi"/>
    <d v="2024-01-01T00:00:00"/>
    <n v="1"/>
    <n v="1"/>
    <x v="1"/>
  </r>
  <r>
    <s v="IKHSAL YUDA PRADANA"/>
    <n v="642401168"/>
    <n v="1710014832060"/>
    <m/>
    <s v="Madiun"/>
    <s v="Madiun"/>
    <d v="2024-01-01T00:00:00"/>
    <n v="1"/>
    <n v="1"/>
    <x v="1"/>
  </r>
  <r>
    <s v="IRVAN FRASTYO AFRITAMA"/>
    <n v="642401169"/>
    <n v="1710014832086"/>
    <m/>
    <s v="Madiun"/>
    <s v="Madiun"/>
    <d v="2024-01-01T00:00:00"/>
    <n v="1"/>
    <n v="1"/>
    <x v="1"/>
  </r>
  <r>
    <s v="JONI PRASTIYO"/>
    <n v="642401170"/>
    <n v="1710014832110"/>
    <m/>
    <s v="Madiun"/>
    <s v="Madiun"/>
    <d v="2024-01-01T00:00:00"/>
    <n v="1"/>
    <n v="1"/>
    <x v="1"/>
  </r>
  <r>
    <s v="MUHAMMAD FIRMAN LAZUARDI"/>
    <n v="642401172"/>
    <n v="1710014827953"/>
    <m/>
    <s v="Madiun"/>
    <s v="Madiun"/>
    <d v="2024-01-01T00:00:00"/>
    <n v="1"/>
    <n v="1"/>
    <x v="1"/>
  </r>
  <r>
    <s v="MUCH KEVIN FAUZI MUQORROBIN"/>
    <n v="642401173"/>
    <n v="1710014738275"/>
    <m/>
    <s v="Madiun"/>
    <s v="Magetan"/>
    <d v="2024-01-01T00:00:00"/>
    <n v="1"/>
    <n v="1"/>
    <x v="1"/>
  </r>
  <r>
    <s v="MOCH. YOGI NUROHMAN"/>
    <n v="642401174"/>
    <n v="1710000670938"/>
    <m/>
    <s v="Madiun"/>
    <s v="Madiun"/>
    <d v="2024-01-01T00:00:00"/>
    <n v="1"/>
    <n v="1"/>
    <x v="1"/>
  </r>
  <r>
    <s v="RADITYA WISNU PRADANA"/>
    <n v="642401177"/>
    <n v="1710014724697"/>
    <m/>
    <s v="Madiun"/>
    <s v="Banyuwangi"/>
    <d v="2024-01-01T00:00:00"/>
    <n v="1"/>
    <n v="1"/>
    <x v="1"/>
  </r>
  <r>
    <s v="ROMDIDI ANDIKA PAMBUDI"/>
    <n v="642401178"/>
    <n v="1710014729704"/>
    <m/>
    <s v="Madiun"/>
    <s v="Madiun"/>
    <d v="2024-01-01T00:00:00"/>
    <n v="1"/>
    <n v="1"/>
    <x v="1"/>
  </r>
  <r>
    <s v="SYAHRIZAL ROHMATUL NUGROHO"/>
    <n v="642401180"/>
    <n v="1710014832169"/>
    <m/>
    <s v="Madiun"/>
    <s v="Jombang"/>
    <d v="2024-01-01T00:00:00"/>
    <n v="1"/>
    <n v="1"/>
    <x v="1"/>
  </r>
  <r>
    <s v="TRI SISWANTO"/>
    <n v="642401181"/>
    <n v="1710001954356"/>
    <m/>
    <s v="Madiun"/>
    <s v="Magetan"/>
    <d v="2024-01-01T00:00:00"/>
    <n v="1"/>
    <n v="1"/>
    <x v="1"/>
  </r>
  <r>
    <s v="WASIS BUDI UTOMO"/>
    <n v="642401182"/>
    <n v="1710014828027"/>
    <m/>
    <s v="Madiun"/>
    <s v="Magetan"/>
    <d v="2024-01-01T00:00:00"/>
    <n v="1"/>
    <n v="1"/>
    <x v="1"/>
  </r>
  <r>
    <s v="SETYA AJI WIBOWO"/>
    <n v="642401183"/>
    <n v="1710014832151"/>
    <m/>
    <s v="Madiun"/>
    <s v="Ngawi"/>
    <d v="2024-01-01T00:00:00"/>
    <n v="1"/>
    <n v="1"/>
    <x v="1"/>
  </r>
  <r>
    <s v="WIHANA WAGIRAHAYUTAMA"/>
    <n v="642401184"/>
    <n v="1710014730694"/>
    <m/>
    <s v="Madiun"/>
    <s v="Madiun"/>
    <d v="2024-01-01T00:00:00"/>
    <n v="1"/>
    <n v="1"/>
    <x v="1"/>
  </r>
  <r>
    <s v="YUDA HENDRA PRASTOWO"/>
    <n v="642401185"/>
    <n v="1710014749769"/>
    <m/>
    <s v="Madiun"/>
    <s v="Magetan"/>
    <d v="2024-01-01T00:00:00"/>
    <n v="1"/>
    <n v="1"/>
    <x v="1"/>
  </r>
  <r>
    <s v="ZHALER BAGYA PUTRA"/>
    <n v="642401186"/>
    <n v="1710014729035"/>
    <m/>
    <s v="Madiun"/>
    <s v="Magetan"/>
    <d v="2024-01-01T00:00:00"/>
    <n v="1"/>
    <n v="1"/>
    <x v="1"/>
  </r>
  <r>
    <s v="TEGUH NUR KHOLIS"/>
    <n v="642401187"/>
    <n v="1710014828043"/>
    <m/>
    <s v="Madiun"/>
    <s v="Madiun"/>
    <d v="2024-01-01T00:00:00"/>
    <n v="1"/>
    <n v="1"/>
    <x v="1"/>
  </r>
  <r>
    <s v="RAIS JATMIKO"/>
    <n v="642401188"/>
    <n v="1710001048597"/>
    <m/>
    <s v="Madiun"/>
    <s v="Madiun"/>
    <d v="2024-01-01T00:00:00"/>
    <n v="1"/>
    <n v="1"/>
    <x v="1"/>
  </r>
  <r>
    <s v="MUHAMMAD GALIH YUDHA PRATAMA"/>
    <n v="642401189"/>
    <n v="1840006696726"/>
    <m/>
    <s v="Madiun"/>
    <s v="Pati"/>
    <d v="2024-01-01T00:00:00"/>
    <n v="1"/>
    <n v="1"/>
    <x v="1"/>
  </r>
  <r>
    <s v="RAHMAT SYAIFUDIN"/>
    <n v="642401191"/>
    <n v="1710014827938"/>
    <m/>
    <s v="Madiun"/>
    <s v="Magetan"/>
    <d v="2024-01-01T00:00:00"/>
    <n v="1"/>
    <n v="1"/>
    <x v="1"/>
  </r>
  <r>
    <s v="RIZAL ILHAM RIFAI"/>
    <n v="642401192"/>
    <n v="1710014832136"/>
    <m/>
    <s v="Madiun"/>
    <s v="Ponorogo"/>
    <d v="2024-01-01T00:00:00"/>
    <n v="1"/>
    <n v="1"/>
    <x v="1"/>
  </r>
  <r>
    <s v="BIMA ADI SAPUTRA"/>
    <n v="642401193"/>
    <n v="1710014832102"/>
    <m/>
    <s v="Madiun"/>
    <s v="Madiun"/>
    <d v="2024-01-01T00:00:00"/>
    <n v="1"/>
    <n v="1"/>
    <x v="1"/>
  </r>
  <r>
    <s v="SUJITO"/>
    <n v="642401194"/>
    <n v="1710014729282"/>
    <m/>
    <s v="Madiun"/>
    <s v="Magetan"/>
    <d v="2024-01-01T00:00:00"/>
    <n v="1"/>
    <n v="1"/>
    <x v="1"/>
  </r>
  <r>
    <s v="SAMURI"/>
    <n v="642401195"/>
    <n v="1710014758109"/>
    <m/>
    <s v="Madiun"/>
    <s v="Madiun"/>
    <d v="2024-01-01T00:00:00"/>
    <n v="1"/>
    <n v="1"/>
    <x v="1"/>
  </r>
  <r>
    <s v="KUKUH ANDRIATMOKO"/>
    <n v="642401196"/>
    <n v="1710014728706"/>
    <m/>
    <s v="Madiun"/>
    <s v="Madiun"/>
    <d v="2024-01-01T00:00:00"/>
    <n v="1"/>
    <n v="1"/>
    <x v="1"/>
  </r>
  <r>
    <s v="HERI PURWANTO"/>
    <n v="642401197"/>
    <n v="1710014728730"/>
    <m/>
    <s v="Madiun"/>
    <s v="Madiun"/>
    <d v="2024-01-01T00:00:00"/>
    <n v="1"/>
    <n v="1"/>
    <x v="1"/>
  </r>
  <r>
    <s v="ANDRY WAHYU WIDIANTO"/>
    <n v="642401198"/>
    <n v="1710014832078"/>
    <m/>
    <s v="Madiun"/>
    <s v="Madiun"/>
    <d v="2024-01-01T00:00:00"/>
    <n v="1"/>
    <n v="1"/>
    <x v="1"/>
  </r>
  <r>
    <s v="AHMAD FAUZI"/>
    <n v="642401199"/>
    <n v="1710014724721"/>
    <m/>
    <s v="Madiun"/>
    <s v="Banyuwangi"/>
    <d v="2024-01-01T00:00:00"/>
    <n v="1"/>
    <n v="1"/>
    <x v="1"/>
  </r>
  <r>
    <s v="JOHAN ADHITYA"/>
    <n v="642401200"/>
    <n v="1710014827995"/>
    <m/>
    <s v="Madiun"/>
    <s v="Magetan"/>
    <d v="2024-01-01T00:00:00"/>
    <n v="1"/>
    <n v="1"/>
    <x v="1"/>
  </r>
  <r>
    <s v="ARDHIKA WIRATAMA"/>
    <n v="642401201"/>
    <n v="1710014827946"/>
    <m/>
    <s v="Madiun"/>
    <s v="Magetan"/>
    <d v="2024-01-01T00:00:00"/>
    <n v="1"/>
    <n v="1"/>
    <x v="1"/>
  </r>
  <r>
    <s v="ADZAN ARIK ANGGRIAWAN"/>
    <n v="642401202"/>
    <m/>
    <n v="7261131026"/>
    <s v="Madiun"/>
    <s v="Jakarta"/>
    <d v="2024-01-01T00:00:00"/>
    <n v="1"/>
    <n v="1"/>
    <x v="1"/>
  </r>
  <r>
    <s v="HAFIF RAFIATHALLAH"/>
    <n v="642401203"/>
    <n v="1570010862861"/>
    <m/>
    <s v="Madiun"/>
    <s v="Jakarta"/>
    <d v="2024-01-01T00:00:00"/>
    <n v="1"/>
    <n v="1"/>
    <x v="1"/>
  </r>
  <r>
    <s v="VIKI DIDIK PRASETYO"/>
    <n v="642401204"/>
    <n v="1710010882663"/>
    <m/>
    <s v="Madiun"/>
    <s v="Magetan"/>
    <d v="2024-01-01T00:00:00"/>
    <n v="1"/>
    <n v="1"/>
    <x v="1"/>
  </r>
  <r>
    <s v="AGUS SUPRIYANTO"/>
    <n v="642402189"/>
    <n v="1710012336825"/>
    <m/>
    <s v="Banyuwangi"/>
    <s v="Madiun"/>
    <d v="2024-02-01T00:00:00"/>
    <n v="1"/>
    <n v="0"/>
    <x v="1"/>
  </r>
  <r>
    <s v="REZA KRISTI OKTAVIA"/>
    <n v="642402188"/>
    <n v="1710002115122"/>
    <m/>
    <s v="Madiun"/>
    <s v="Madiun"/>
    <d v="2024-02-01T00:00:00"/>
    <n v="1"/>
    <n v="0"/>
    <x v="1"/>
  </r>
  <r>
    <s v="CAHAYA SUKMA ANDIKA"/>
    <n v="642402190"/>
    <n v="1320028788215"/>
    <m/>
    <s v="Bandung"/>
    <s v="Bandung"/>
    <d v="2024-02-20T00:00:00"/>
    <n v="1"/>
    <n v="0"/>
    <x v="1"/>
  </r>
  <r>
    <s v="ADITYA NOVIANTO WICAKSANA"/>
    <n v="642402191"/>
    <n v="1410024689846"/>
    <m/>
    <s v="Surabaya"/>
    <s v="Semarang"/>
    <d v="2024-02-20T00:00:00"/>
    <n v="1"/>
    <n v="0"/>
    <x v="1"/>
  </r>
  <r>
    <s v="SETYO ROY ANDIKA"/>
    <n v="642402192"/>
    <n v="1420022728306"/>
    <m/>
    <s v="Surabaya"/>
    <s v="Surabaya"/>
    <d v="2024-02-20T00:00:00"/>
    <n v="1"/>
    <n v="0"/>
    <x v="1"/>
  </r>
  <r>
    <s v="GATOT AGUS DWI PURNOMO"/>
    <n v="642403195"/>
    <n v="1710000417579"/>
    <m/>
    <s v="Madiun"/>
    <s v="Madiun"/>
    <d v="2024-03-01T00:00:00"/>
    <n v="0"/>
    <n v="11"/>
    <x v="1"/>
  </r>
  <r>
    <s v="RAHMADI PURWANTO"/>
    <n v="642403196"/>
    <m/>
    <n v="7269212483"/>
    <s v="Madiun"/>
    <s v="Madiun"/>
    <d v="2024-03-01T00:00:00"/>
    <n v="0"/>
    <n v="11"/>
    <x v="1"/>
  </r>
  <r>
    <s v="CHANDRA AGUNG SASONO"/>
    <n v="999900113"/>
    <m/>
    <m/>
    <s v="INKA"/>
    <s v="Madiun"/>
    <d v="2024-04-25T00:00:00"/>
    <n v="0"/>
    <n v="9"/>
    <x v="2"/>
  </r>
  <r>
    <s v="RADEN AJENG NURFADILAH"/>
    <n v="999600013"/>
    <m/>
    <m/>
    <s v="INKA"/>
    <s v="Madiun"/>
    <d v="2024-04-25T00:00:00"/>
    <n v="0"/>
    <n v="9"/>
    <x v="2"/>
  </r>
  <r>
    <s v="SIGIT SUGIARTO"/>
    <n v="999800002"/>
    <n v="1440004452634"/>
    <m/>
    <s v="INKA"/>
    <s v="Madiun"/>
    <d v="2024-04-26T00:00:00"/>
    <n v="0"/>
    <n v="9"/>
    <x v="2"/>
  </r>
  <r>
    <s v="SURJONO"/>
    <n v="642402194"/>
    <m/>
    <m/>
    <s v="Madiun"/>
    <s v="Madiun"/>
    <d v="2024-05-01T00:00:00"/>
    <n v="0"/>
    <n v="9"/>
    <x v="1"/>
  </r>
  <r>
    <s v="FAIZIN"/>
    <n v="642406195"/>
    <n v="1220007712865"/>
    <n v="7183168015"/>
    <s v="Jakarta"/>
    <s v="Jakarta"/>
    <d v="2024-06-01T00:00:00"/>
    <n v="0"/>
    <n v="8"/>
    <x v="1"/>
  </r>
  <r>
    <s v="IRVAN BAGUS SAPUTRO"/>
    <n v="642408195"/>
    <n v="1380010357569"/>
    <m/>
    <s v="Madiun"/>
    <s v="Ngawi"/>
    <d v="2024-08-01T00:00:00"/>
    <n v="0"/>
    <n v="6"/>
    <x v="1"/>
  </r>
  <r>
    <s v="AGUS TRI WALOYO"/>
    <n v="642408196"/>
    <n v="1430031389495"/>
    <m/>
    <s v="Banyuwangi"/>
    <s v="Jember"/>
    <d v="2024-08-12T00:00:00"/>
    <n v="0"/>
    <n v="6"/>
    <x v="1"/>
  </r>
  <r>
    <s v="RENGGA BAGAS DHINO FAIDZIN"/>
    <n v="642408197"/>
    <n v="1430031389859"/>
    <m/>
    <s v="Banyuwangi"/>
    <s v="Madiun"/>
    <d v="2024-08-12T00:00:00"/>
    <n v="0"/>
    <n v="6"/>
    <x v="1"/>
  </r>
  <r>
    <s v="ADITYA ERLANGGA PRASETYO"/>
    <n v="642408199"/>
    <n v="1710015935748"/>
    <m/>
    <s v="Madiun"/>
    <s v="Madiun"/>
    <d v="2024-08-20T00:00:00"/>
    <n v="0"/>
    <n v="6"/>
    <x v="1"/>
  </r>
  <r>
    <s v="BAYU ADI PAMUNGKAS"/>
    <n v="642408200"/>
    <n v="1710015931739"/>
    <m/>
    <s v="Madiun"/>
    <s v="Madiun"/>
    <d v="2024-08-20T00:00:00"/>
    <n v="0"/>
    <n v="6"/>
    <x v="1"/>
  </r>
  <r>
    <s v="DERI YUDA MAHENDRA"/>
    <n v="642408201"/>
    <n v="1710015931069"/>
    <m/>
    <s v="Madiun"/>
    <s v="Madiun"/>
    <d v="2024-08-20T00:00:00"/>
    <n v="0"/>
    <n v="6"/>
    <x v="1"/>
  </r>
  <r>
    <s v="CHANDRA ANDRIANTO PERDANA"/>
    <n v="642408202"/>
    <n v="1710007372298"/>
    <m/>
    <s v="Madiun"/>
    <s v="Madiun"/>
    <d v="2024-08-26T00:00:00"/>
    <n v="0"/>
    <n v="5"/>
    <x v="1"/>
  </r>
  <r>
    <s v="PRADHITYA FADHIL MUKTINUGRAHA"/>
    <n v="642408203"/>
    <n v="1710016059761"/>
    <m/>
    <s v="Madiun"/>
    <s v="Madiun"/>
    <d v="2024-09-18T00:00:00"/>
    <n v="0"/>
    <n v="5"/>
    <x v="1"/>
  </r>
  <r>
    <s v="AGUNG SETIAWAN"/>
    <n v="642409204"/>
    <s v="1710016111463"/>
    <m/>
    <s v="Madiun"/>
    <s v="Magetan"/>
    <d v="2024-10-02T00:00:00"/>
    <n v="0"/>
    <n v="4"/>
    <x v="1"/>
  </r>
  <r>
    <s v="ALDI FAHREZI"/>
    <n v="642409205"/>
    <s v="1710016111430"/>
    <m/>
    <s v="Madiun"/>
    <s v="Madiun"/>
    <d v="2024-10-02T00:00:00"/>
    <n v="0"/>
    <n v="4"/>
    <x v="1"/>
  </r>
  <r>
    <s v="ARIF BAHTIAR"/>
    <n v="642409207"/>
    <s v="1710016243282"/>
    <m/>
    <s v="Madiun"/>
    <s v="Madiun"/>
    <d v="2024-10-02T00:00:00"/>
    <n v="0"/>
    <n v="4"/>
    <x v="1"/>
  </r>
  <r>
    <s v="BAGUS SETIAWAN"/>
    <n v="642409208"/>
    <s v="1710016111455"/>
    <m/>
    <s v="Madiun"/>
    <s v="Magetan"/>
    <d v="2024-10-02T00:00:00"/>
    <n v="0"/>
    <n v="4"/>
    <x v="1"/>
  </r>
  <r>
    <s v="DENY WIDIANTO PERMANA"/>
    <n v="642409209"/>
    <s v="1710016111356"/>
    <m/>
    <s v="Madiun"/>
    <s v="Kediri"/>
    <d v="2024-10-02T00:00:00"/>
    <n v="0"/>
    <n v="4"/>
    <x v="1"/>
  </r>
  <r>
    <s v="DHIFAN QINTHARA"/>
    <n v="642409211"/>
    <s v="1370024302958"/>
    <m/>
    <s v="Madiun"/>
    <s v="Madiun"/>
    <d v="2024-10-02T00:00:00"/>
    <n v="0"/>
    <n v="4"/>
    <x v="1"/>
  </r>
  <r>
    <s v="DICKY WAHYUDI PUTRA"/>
    <n v="642409210"/>
    <s v="1710016111364"/>
    <m/>
    <s v="Madiun"/>
    <s v="Madiun"/>
    <d v="2024-10-02T00:00:00"/>
    <n v="0"/>
    <n v="4"/>
    <x v="1"/>
  </r>
  <r>
    <s v="ELANG MAHMUDI"/>
    <n v="642409212"/>
    <s v="1710016243589"/>
    <m/>
    <s v="Madiun"/>
    <s v="Magetan"/>
    <d v="2024-10-02T00:00:00"/>
    <n v="0"/>
    <n v="4"/>
    <x v="1"/>
  </r>
  <r>
    <s v="KRISNA SEPTIAWAN"/>
    <n v="642409213"/>
    <s v="1710016111448"/>
    <m/>
    <s v="Madiun"/>
    <s v="Madiun"/>
    <d v="2024-10-02T00:00:00"/>
    <n v="0"/>
    <n v="4"/>
    <x v="1"/>
  </r>
  <r>
    <s v="MUHAMMAD ALDHI SAPUTRO"/>
    <n v="642409214"/>
    <s v="1710016111406"/>
    <m/>
    <s v="Madiun"/>
    <s v="Madiun"/>
    <d v="2024-10-02T00:00:00"/>
    <n v="0"/>
    <n v="4"/>
    <x v="1"/>
  </r>
  <r>
    <s v="PUPUT SANTOSO"/>
    <n v="642409215"/>
    <s v="1710016111414"/>
    <m/>
    <s v="Madiun"/>
    <s v="Madiun"/>
    <d v="2024-10-02T00:00:00"/>
    <n v="0"/>
    <n v="4"/>
    <x v="1"/>
  </r>
  <r>
    <s v="PUTUT PUJIONO"/>
    <n v="642409216"/>
    <s v="1710016111349"/>
    <m/>
    <s v="Madiun"/>
    <s v="Madiun"/>
    <d v="2024-10-02T00:00:00"/>
    <n v="0"/>
    <n v="4"/>
    <x v="1"/>
  </r>
  <r>
    <s v="RACHMAD RUDI SAPUTRA"/>
    <n v="642409217"/>
    <s v="1710002335712"/>
    <m/>
    <s v="Madiun"/>
    <s v="Magetan"/>
    <d v="2024-10-02T00:00:00"/>
    <n v="0"/>
    <n v="4"/>
    <x v="1"/>
  </r>
  <r>
    <s v="SAMSUL ANAM"/>
    <n v="642409218"/>
    <s v="1710016111422"/>
    <m/>
    <s v="Madiun"/>
    <s v="Madiun"/>
    <d v="2024-10-02T00:00:00"/>
    <n v="0"/>
    <n v="4"/>
    <x v="1"/>
  </r>
  <r>
    <s v="SUKMA FARISSYAH"/>
    <n v="642409220"/>
    <s v="1710003195396"/>
    <m/>
    <s v="Madiun"/>
    <s v="Magetan"/>
    <d v="2024-10-02T00:00:00"/>
    <n v="0"/>
    <n v="4"/>
    <x v="1"/>
  </r>
  <r>
    <s v="SUSANTO"/>
    <n v="642409221"/>
    <s v="1710016111372"/>
    <m/>
    <s v="Madiun"/>
    <s v="Madiun"/>
    <d v="2024-10-02T00:00:00"/>
    <n v="0"/>
    <n v="4"/>
    <x v="1"/>
  </r>
  <r>
    <s v="TRI HANDOKO"/>
    <n v="642409222"/>
    <s v="1710002324062"/>
    <m/>
    <s v="Madiun"/>
    <s v="Madiun"/>
    <d v="2024-10-02T00:00:00"/>
    <n v="0"/>
    <n v="4"/>
    <x v="1"/>
  </r>
  <r>
    <s v="AFRIZA KRIDO ANANTA"/>
    <n v="642409223"/>
    <s v="1710016324926"/>
    <m/>
    <s v="Madiun"/>
    <s v="Madiun"/>
    <d v="2024-10-16T00:00:00"/>
    <n v="0"/>
    <n v="4"/>
    <x v="1"/>
  </r>
  <r>
    <s v="DIAZ PRATAMA"/>
    <n v="642409224"/>
    <s v="1710016324876"/>
    <m/>
    <s v="Madiun"/>
    <s v="Madiun"/>
    <d v="2024-11-02T00:00:00"/>
    <n v="0"/>
    <n v="3"/>
    <x v="1"/>
  </r>
  <r>
    <s v="ELANG RAIHAN PERMANA"/>
    <n v="642409225"/>
    <s v="1710016329230"/>
    <m/>
    <s v="Madiun"/>
    <s v="Madiun"/>
    <d v="2024-11-02T00:00:00"/>
    <n v="0"/>
    <n v="3"/>
    <x v="1"/>
  </r>
  <r>
    <s v="FAQIH ABDURROHMAN KUSTI"/>
    <n v="642409226"/>
    <s v="1710016337985"/>
    <m/>
    <s v="Madiun"/>
    <s v="Magetan"/>
    <d v="2024-11-02T00:00:00"/>
    <n v="0"/>
    <n v="3"/>
    <x v="1"/>
  </r>
  <r>
    <s v="FIQQI MUHAMMAD ALFIUZZAQI"/>
    <n v="642409227"/>
    <s v="1710016324942"/>
    <m/>
    <s v="Madiun"/>
    <s v="Jombang"/>
    <d v="2024-11-02T00:00:00"/>
    <n v="0"/>
    <n v="3"/>
    <x v="1"/>
  </r>
  <r>
    <s v="MIZANUL ULUM"/>
    <n v="642409228"/>
    <s v="1710016337993"/>
    <m/>
    <s v="Madiun"/>
    <s v="Tegal"/>
    <d v="2024-11-02T00:00:00"/>
    <n v="0"/>
    <n v="3"/>
    <x v="1"/>
  </r>
  <r>
    <s v="MOH. TAUFIQ MAHENDRA"/>
    <n v="642409229"/>
    <s v="1710016324918"/>
    <m/>
    <s v="Madiun"/>
    <s v="Madiun"/>
    <d v="2024-11-02T00:00:00"/>
    <n v="0"/>
    <n v="3"/>
    <x v="1"/>
  </r>
  <r>
    <s v="MUHAMMAD ABDUL AZIZ"/>
    <n v="642409230"/>
    <s v="1710016324868"/>
    <m/>
    <s v="Madiun"/>
    <s v="Magetan"/>
    <d v="2024-11-02T00:00:00"/>
    <n v="0"/>
    <n v="3"/>
    <x v="1"/>
  </r>
  <r>
    <s v="MUHAMMAD TSAMARAH NATIZATUS SULUK"/>
    <n v="642409231"/>
    <s v="1710016324892"/>
    <m/>
    <s v="Madiun"/>
    <s v="Madiun"/>
    <d v="2024-11-02T00:00:00"/>
    <n v="0"/>
    <n v="3"/>
    <x v="1"/>
  </r>
  <r>
    <s v="OCTO AMRI MANSYURIN"/>
    <n v="642409232"/>
    <s v="1710016324850"/>
    <m/>
    <s v="Madiun"/>
    <s v="Tangerang"/>
    <d v="2024-11-02T00:00:00"/>
    <n v="0"/>
    <n v="3"/>
    <x v="1"/>
  </r>
  <r>
    <s v="OKY NUR FAHREZI"/>
    <n v="642409233"/>
    <s v="1710016324934"/>
    <m/>
    <s v="Madiun"/>
    <s v="Madiun"/>
    <d v="2024-11-02T00:00:00"/>
    <n v="0"/>
    <n v="3"/>
    <x v="1"/>
  </r>
  <r>
    <s v="RISMA ALFIYANI"/>
    <n v="642409234"/>
    <s v="1710016324900"/>
    <m/>
    <s v="Madiun"/>
    <s v="Madiun"/>
    <d v="2024-11-02T00:00:00"/>
    <n v="0"/>
    <n v="3"/>
    <x v="1"/>
  </r>
  <r>
    <s v="SHONUFIT AR ROYAN F"/>
    <n v="642409235"/>
    <s v="1710016324884"/>
    <m/>
    <s v="Madiun"/>
    <s v="Banyuwangi"/>
    <d v="2024-11-02T00:00:00"/>
    <n v="0"/>
    <n v="3"/>
    <x v="1"/>
  </r>
  <r>
    <s v="WARDHANI PUNTO PRABOWO"/>
    <n v="642409236"/>
    <s v="1710016324843"/>
    <m/>
    <s v="Madiun"/>
    <s v="Madiun"/>
    <d v="2024-11-02T00:00:00"/>
    <n v="0"/>
    <n v="3"/>
    <x v="1"/>
  </r>
  <r>
    <s v="YUSUF ABDULLAH"/>
    <n v="642409238"/>
    <s v="1710016324959"/>
    <m/>
    <s v="Madiun"/>
    <s v="Madiun"/>
    <d v="2024-11-02T00:00:00"/>
    <n v="0"/>
    <n v="3"/>
    <x v="1"/>
  </r>
  <r>
    <s v="AHINDA AFRILIA RISTIANINGRUM"/>
    <n v="642412239"/>
    <m/>
    <m/>
    <s v="Madiun"/>
    <s v="Madiun"/>
    <d v="2024-12-02T00:00:00"/>
    <n v="0"/>
    <n v="2"/>
    <x v="1"/>
  </r>
  <r>
    <s v="TIMOTHY NAINGGOLAN"/>
    <n v="642501001"/>
    <m/>
    <m/>
    <s v="Jakarta"/>
    <s v="Jakarta"/>
    <d v="2025-01-02T00:00:00"/>
    <n v="0"/>
    <n v="1"/>
    <x v="1"/>
  </r>
  <r>
    <s v="RAMADHAN HADIYANSYAH"/>
    <n v="642501002"/>
    <m/>
    <m/>
    <s v="Jakarta"/>
    <s v="Jakarta"/>
    <d v="2025-01-02T00:00:00"/>
    <n v="0"/>
    <n v="1"/>
    <x v="1"/>
  </r>
  <r>
    <s v="ENDANG SUPARI"/>
    <n v="642501003"/>
    <m/>
    <m/>
    <s v="Palembang"/>
    <s v="Palembang"/>
    <d v="2025-01-02T00:00:00"/>
    <n v="0"/>
    <n v="1"/>
    <x v="1"/>
  </r>
  <r>
    <s v="MUKHAMAD RIZALDI AWALUDIN"/>
    <n v="642501004"/>
    <m/>
    <m/>
    <s v="Jakarta"/>
    <s v="Jakarta"/>
    <d v="2025-01-02T00:00:00"/>
    <n v="0"/>
    <n v="1"/>
    <x v="1"/>
  </r>
  <r>
    <s v="RAHARDIAN TITUS NURDIANSYAH"/>
    <n v="991100061"/>
    <m/>
    <m/>
    <s v="INKA"/>
    <s v="Madiun"/>
    <d v="2025-01-17T00:00:00"/>
    <n v="0"/>
    <n v="1"/>
    <x v="2"/>
  </r>
  <r>
    <s v="DENI WULANDANI"/>
    <n v="999900117"/>
    <m/>
    <m/>
    <s v="INKA"/>
    <s v="Madiun"/>
    <d v="2025-01-17T00:00:00"/>
    <n v="0"/>
    <n v="1"/>
    <x v="2"/>
  </r>
  <r>
    <s v="ACHMAD ADIB FAIZI"/>
    <n v="642502005"/>
    <n v="1710016878376"/>
    <m/>
    <s v="Banyuwangi"/>
    <s v="Banyuwangi"/>
    <d v="2025-02-10T00:00:00"/>
    <n v="0"/>
    <n v="0"/>
    <x v="1"/>
  </r>
  <r>
    <s v="ACHMAD RIZAL"/>
    <n v="642502006"/>
    <n v="1710016878434"/>
    <m/>
    <s v="Banyuwangi"/>
    <s v="Banyuwangi"/>
    <d v="2025-02-10T00:00:00"/>
    <n v="0"/>
    <n v="0"/>
    <x v="1"/>
  </r>
  <r>
    <s v="AHMAD YUSWAN AWANG"/>
    <n v="642502007"/>
    <n v="1710016878319"/>
    <m/>
    <s v="Banyuwangi"/>
    <s v="Banyuwangi"/>
    <d v="2025-02-10T00:00:00"/>
    <n v="0"/>
    <n v="0"/>
    <x v="1"/>
  </r>
  <r>
    <s v="KHOIRUL ARIS BUDIMAN "/>
    <n v="642502008"/>
    <n v="1710016878293"/>
    <m/>
    <s v="Banyuwangi"/>
    <s v="Banyuwangi"/>
    <d v="2025-02-10T00:00:00"/>
    <n v="0"/>
    <n v="0"/>
    <x v="1"/>
  </r>
  <r>
    <s v="MUHAMMAD IQBAL (BWI)"/>
    <n v="642502009"/>
    <m/>
    <m/>
    <s v="Banyuwangi"/>
    <s v="Banyuwangi"/>
    <d v="2025-02-10T00:00:00"/>
    <n v="0"/>
    <n v="0"/>
    <x v="1"/>
  </r>
  <r>
    <s v="MUHAMMAD RAFLI"/>
    <n v="642502010"/>
    <m/>
    <m/>
    <s v="Banyuwangi"/>
    <s v="Banyuwangi"/>
    <d v="2025-02-10T00:00:00"/>
    <n v="0"/>
    <n v="0"/>
    <x v="1"/>
  </r>
  <r>
    <s v="RENDIKA DWI SETIAWAN"/>
    <n v="642502011"/>
    <m/>
    <m/>
    <s v="Banyuwangi"/>
    <s v="Banyuwangi"/>
    <d v="2025-02-10T00:00:00"/>
    <n v="0"/>
    <n v="0"/>
    <x v="1"/>
  </r>
  <r>
    <s v="RENNO DANUARTA AFANDI"/>
    <n v="642502012"/>
    <m/>
    <m/>
    <s v="Banyuwangi"/>
    <s v="Banyuwangi"/>
    <d v="2025-02-10T00:00:00"/>
    <n v="0"/>
    <n v="0"/>
    <x v="1"/>
  </r>
  <r>
    <s v="DESNA FITRIA DEVI"/>
    <n v="642502013"/>
    <m/>
    <m/>
    <s v="Madiun"/>
    <s v="Madiun"/>
    <d v="2025-02-12T00:00:00"/>
    <n v="0"/>
    <n v="0"/>
    <x v="1"/>
  </r>
  <r>
    <s v="NOVI NAVISA RIFKY"/>
    <n v="642502014"/>
    <m/>
    <m/>
    <s v="Madiun"/>
    <s v="Malang"/>
    <d v="2025-02-12T00:00:00"/>
    <n v="0"/>
    <n v="0"/>
    <x v="1"/>
  </r>
  <r>
    <s v="LELY APRILIA"/>
    <n v="642502015"/>
    <m/>
    <m/>
    <s v="Madiun"/>
    <s v="Mojokerto"/>
    <d v="2025-02-12T00:00:00"/>
    <n v="0"/>
    <n v="0"/>
    <x v="1"/>
  </r>
  <r>
    <s v="FADILA DANDI ROSITA"/>
    <n v="642502016"/>
    <m/>
    <m/>
    <s v="Madiun"/>
    <s v="Madiun"/>
    <d v="2025-02-12T00:00:00"/>
    <n v="0"/>
    <n v="0"/>
    <x v="1"/>
  </r>
  <r>
    <s v="RENATA TRISTIANA"/>
    <n v="642502017"/>
    <m/>
    <m/>
    <s v="Madiun"/>
    <s v="Madiun"/>
    <d v="2025-02-12T00:00:00"/>
    <n v="0"/>
    <n v="0"/>
    <x v="1"/>
  </r>
  <r>
    <s v="DENI ESTU PRAYOGA"/>
    <n v="642502018"/>
    <m/>
    <m/>
    <s v="Madiun"/>
    <s v="Madiun"/>
    <d v="2025-02-12T00:00:00"/>
    <n v="0"/>
    <n v="0"/>
    <x v="1"/>
  </r>
  <r>
    <s v="SHELIA NOVARULY SAHITA DEWI "/>
    <n v="642502019"/>
    <m/>
    <m/>
    <s v="Madiun"/>
    <s v="Madiun"/>
    <d v="2025-02-12T00:00:00"/>
    <n v="0"/>
    <n v="0"/>
    <x v="1"/>
  </r>
  <r>
    <s v="ERINA ANANDA RIDWAN"/>
    <n v="642502020"/>
    <m/>
    <m/>
    <s v="Madiun"/>
    <s v="Yogyakarta"/>
    <d v="2025-02-12T00:00:00"/>
    <n v="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56537-6941-48AC-8921-27EAFD4DA64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US PEGAWAI">
  <location ref="A2:B7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m="1" x="5"/>
        <item x="2"/>
        <item m="1" x="4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Jumlah" fld="11" subtotal="count" baseField="0" baseItem="0"/>
  </dataFields>
  <formats count="6">
    <format dxfId="109">
      <pivotArea field="11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7">
      <pivotArea field="11" type="button" dataOnly="0" labelOnly="1" outline="0" axis="axisRow" fieldPosition="0"/>
    </format>
    <format dxfId="1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5">
      <pivotArea field="11" type="button" dataOnly="0" labelOnly="1" outline="0" axis="axisRow" fieldPosition="0"/>
    </format>
    <format dxfId="10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F4515-A678-44BA-8E30-028BF238BE6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us">
  <location ref="A29:E49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7">
        <item m="1" x="5"/>
        <item x="2"/>
        <item m="1" x="4"/>
        <item h="1"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6"/>
        <item x="13"/>
        <item x="15"/>
        <item x="10"/>
        <item x="0"/>
        <item x="1"/>
        <item x="2"/>
        <item x="5"/>
        <item x="12"/>
        <item x="8"/>
        <item x="3"/>
        <item x="14"/>
        <item x="7"/>
        <item x="18"/>
        <item x="11"/>
        <item x="4"/>
        <item x="9"/>
        <item x="16"/>
        <item h="1"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1"/>
  </colFields>
  <colItems count="4">
    <i>
      <x v="1"/>
    </i>
    <i>
      <x v="4"/>
    </i>
    <i>
      <x v="5"/>
    </i>
    <i t="grand">
      <x/>
    </i>
  </colItems>
  <dataFields count="1">
    <dataField name="Count of Domisili" fld="7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5921E-25C3-45DF-8B10-520BD833028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6:K206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81">
        <item x="164"/>
        <item x="175"/>
        <item x="1"/>
        <item x="0"/>
        <item x="21"/>
        <item x="17"/>
        <item x="150"/>
        <item x="27"/>
        <item x="162"/>
        <item x="171"/>
        <item x="129"/>
        <item x="163"/>
        <item x="127"/>
        <item x="124"/>
        <item x="51"/>
        <item x="158"/>
        <item x="169"/>
        <item x="45"/>
        <item x="147"/>
        <item x="24"/>
        <item x="19"/>
        <item x="38"/>
        <item x="113"/>
        <item x="32"/>
        <item x="137"/>
        <item x="114"/>
        <item x="132"/>
        <item x="30"/>
        <item x="136"/>
        <item x="105"/>
        <item x="143"/>
        <item x="71"/>
        <item x="44"/>
        <item x="100"/>
        <item x="118"/>
        <item x="18"/>
        <item x="138"/>
        <item x="72"/>
        <item x="14"/>
        <item x="90"/>
        <item x="141"/>
        <item x="154"/>
        <item x="95"/>
        <item x="144"/>
        <item x="77"/>
        <item x="74"/>
        <item x="123"/>
        <item x="86"/>
        <item x="92"/>
        <item x="151"/>
        <item x="130"/>
        <item x="78"/>
        <item x="157"/>
        <item x="135"/>
        <item x="112"/>
        <item x="56"/>
        <item x="97"/>
        <item x="125"/>
        <item x="159"/>
        <item x="81"/>
        <item x="140"/>
        <item x="139"/>
        <item x="109"/>
        <item x="42"/>
        <item x="93"/>
        <item x="35"/>
        <item x="55"/>
        <item x="61"/>
        <item x="41"/>
        <item x="84"/>
        <item x="49"/>
        <item x="13"/>
        <item x="99"/>
        <item x="57"/>
        <item x="122"/>
        <item x="40"/>
        <item x="94"/>
        <item x="111"/>
        <item x="59"/>
        <item x="43"/>
        <item x="91"/>
        <item x="20"/>
        <item x="110"/>
        <item x="166"/>
        <item x="66"/>
        <item x="102"/>
        <item x="31"/>
        <item x="80"/>
        <item x="107"/>
        <item x="62"/>
        <item x="85"/>
        <item x="119"/>
        <item x="65"/>
        <item x="116"/>
        <item x="115"/>
        <item x="173"/>
        <item x="117"/>
        <item x="121"/>
        <item x="76"/>
        <item x="156"/>
        <item x="142"/>
        <item x="48"/>
        <item x="87"/>
        <item x="83"/>
        <item x="73"/>
        <item x="155"/>
        <item x="54"/>
        <item x="75"/>
        <item x="29"/>
        <item x="126"/>
        <item x="58"/>
        <item x="50"/>
        <item x="34"/>
        <item x="39"/>
        <item x="37"/>
        <item x="46"/>
        <item x="28"/>
        <item x="161"/>
        <item x="120"/>
        <item x="47"/>
        <item x="82"/>
        <item x="26"/>
        <item x="63"/>
        <item x="60"/>
        <item x="103"/>
        <item x="33"/>
        <item x="152"/>
        <item x="16"/>
        <item x="89"/>
        <item x="53"/>
        <item x="15"/>
        <item x="104"/>
        <item x="96"/>
        <item x="108"/>
        <item x="23"/>
        <item x="160"/>
        <item x="68"/>
        <item x="67"/>
        <item x="79"/>
        <item x="128"/>
        <item x="25"/>
        <item x="88"/>
        <item x="98"/>
        <item x="148"/>
        <item x="149"/>
        <item x="36"/>
        <item m="1" x="179"/>
        <item x="172"/>
        <item x="106"/>
        <item x="134"/>
        <item x="101"/>
        <item x="70"/>
        <item x="10"/>
        <item x="5"/>
        <item x="3"/>
        <item x="133"/>
        <item x="4"/>
        <item x="131"/>
        <item x="174"/>
        <item x="12"/>
        <item x="69"/>
        <item x="145"/>
        <item x="165"/>
        <item x="146"/>
        <item x="52"/>
        <item x="9"/>
        <item x="176"/>
        <item x="177"/>
        <item x="11"/>
        <item x="153"/>
        <item x="6"/>
        <item x="167"/>
        <item x="8"/>
        <item x="22"/>
        <item x="64"/>
        <item x="168"/>
        <item x="7"/>
        <item x="170"/>
        <item x="178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5"/>
  </rowFields>
  <rowItems count="1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 t="grand">
      <x/>
    </i>
  </rowItems>
  <colItems count="1">
    <i/>
  </colItems>
  <dataFields count="1">
    <dataField name="Count of Almamater" fld="55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CC252-936B-4625-9FC3-8BDFC1A88633}" name="PivotTable1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">
  <location ref="N27:O67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descending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2">
        <item x="37"/>
        <item x="38"/>
        <item x="35"/>
        <item x="33"/>
        <item x="34"/>
        <item x="32"/>
        <item x="31"/>
        <item x="30"/>
        <item x="28"/>
        <item x="26"/>
        <item x="7"/>
        <item x="6"/>
        <item x="4"/>
        <item x="5"/>
        <item x="22"/>
        <item x="9"/>
        <item x="21"/>
        <item x="23"/>
        <item x="3"/>
        <item x="14"/>
        <item x="15"/>
        <item x="12"/>
        <item x="0"/>
        <item x="13"/>
        <item x="25"/>
        <item x="24"/>
        <item x="27"/>
        <item x="20"/>
        <item x="29"/>
        <item x="10"/>
        <item x="1"/>
        <item x="19"/>
        <item x="8"/>
        <item x="17"/>
        <item x="11"/>
        <item x="2"/>
        <item x="16"/>
        <item x="18"/>
        <item x="36"/>
        <item m="1" x="40"/>
        <item h="1"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Count of Usia" fld="29" subtotal="count" baseField="29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881C7-0BA1-40AE-A30F-45701049792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us">
  <location ref="E9:F10" firstHeaderRow="0" firstDataRow="1" firstDataCol="0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Jumlah" fld="38" subtotal="count" baseField="0" baseItem="0"/>
    <dataField name="Count of Status Pernikahan" fld="38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5FF53-E36A-4457-9B9B-730D29A733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ivisi">
  <location ref="A9:C25" firstHeaderRow="0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6">
        <item n="SIPIL" x="12"/>
        <item x="2"/>
        <item n="SAR" x="3"/>
        <item n="PPA" x="6"/>
        <item n="PMU " x="13"/>
        <item n="SDM" x="5"/>
        <item x="7"/>
        <item x="9"/>
        <item x="10"/>
        <item x="11"/>
        <item x="8"/>
        <item x="1"/>
        <item x="4"/>
        <item x="0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Jumlah" fld="22" subtotal="count" baseField="0" baseItem="0"/>
    <dataField name="Count of Divisi" fld="22" subtotal="count" showDataAs="percentOfTotal" baseField="21" baseItem="7" numFmtId="10"/>
  </dataFields>
  <chartFormats count="3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2" count="1" selected="0">
            <x v="1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3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22" count="1" selected="0">
            <x v="14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22" count="1" selected="0">
            <x v="0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22" count="1" selected="0">
            <x v="1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1"/>
          </reference>
          <reference field="22" count="1" selected="0">
            <x v="2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22" count="1" selected="0">
            <x v="3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1"/>
          </reference>
          <reference field="22" count="1" selected="0">
            <x v="4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22" count="1" selected="0">
            <x v="5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1"/>
          </reference>
          <reference field="22" count="1" selected="0">
            <x v="6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22" count="1" selected="0">
            <x v="7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1"/>
          </reference>
          <reference field="22" count="1" selected="0">
            <x v="8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22" count="1" selected="0">
            <x v="9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1"/>
          </reference>
          <reference field="22" count="1" selected="0">
            <x v="10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1"/>
          </reference>
          <reference field="22" count="1" selected="0">
            <x v="11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1"/>
          </reference>
          <reference field="22" count="1" selected="0">
            <x v="12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22" count="1" selected="0">
            <x v="13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1"/>
          </reference>
          <reference field="22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01675-7306-449D-9989-1BBEC735324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us">
  <location ref="H13:I19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5"/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Jumlah" fld="3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6FD42-7E37-4187-96EC-305C384A616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atus">
  <location ref="E13:F25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1"/>
        <item x="6"/>
        <item x="8"/>
        <item x="0"/>
        <item x="2"/>
        <item x="3"/>
        <item x="4"/>
        <item x="7"/>
        <item x="5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Jumlah" fld="38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FB6ED-83F6-4CA6-AAFD-9D048200C3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Karyawan">
  <location ref="H2:L7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6"/>
  </colFields>
  <colItems count="4">
    <i>
      <x/>
    </i>
    <i>
      <x v="1"/>
    </i>
    <i>
      <x v="2"/>
    </i>
    <i t="grand">
      <x/>
    </i>
  </colItems>
  <dataFields count="1">
    <dataField name="Jumlah" fld="12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2E2BF3-1AE2-47DC-B787-DC0811CB27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enis Kelamin">
  <location ref="E2:F6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Jumlah" fld="2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BF1ACB-25E4-45D6-8A94-9108B4E8B87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9:B12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Jenis Kelamin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840D74-EC67-42E9-B933-19A36E6E6E5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axis="axisRow" dataField="1" showAll="0">
      <items count="4">
        <item x="0"/>
        <item x="2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 Pegawai" fld="9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722AF4-72B2-465B-B5B2-522609475FB0}" name="Table2" displayName="Table2" ref="A1:CD345" totalsRowShown="0">
  <autoFilter ref="A1:CD345" xr:uid="{442D538A-A0BF-42CF-B18D-FC15B4C75B46}"/>
  <tableColumns count="82">
    <tableColumn id="1" xr3:uid="{00000000-0010-0000-0100-000001000000}" name="No"/>
    <tableColumn id="2" xr3:uid="{00000000-0010-0000-0100-000002000000}" name="KH hari"/>
    <tableColumn id="3" xr3:uid="{00000000-0010-0000-0100-000003000000}" name="Nama"/>
    <tableColumn id="4" xr3:uid="{00000000-0010-0000-0100-000004000000}" name="NIP Aktif"/>
    <tableColumn id="5" xr3:uid="{00000000-0010-0000-0100-000005000000}" name="Rekening Mandiri"/>
    <tableColumn id="6" xr3:uid="{00000000-0010-0000-0100-000006000000}" name="Rekening BSI"/>
    <tableColumn id="7" xr3:uid="{00000000-0010-0000-0100-000007000000}" name="Rekrutmen"/>
    <tableColumn id="8" xr3:uid="{00000000-0010-0000-0100-000008000000}" name="Domisili"/>
    <tableColumn id="9" xr3:uid="{00000000-0010-0000-0100-000009000000}" name="Tgl Masuk/ Mutasi" dataDxfId="112"/>
    <tableColumn id="10" xr3:uid="{00000000-0010-0000-0100-00000A000000}" name="Masa Kerja (Tahun)"/>
    <tableColumn id="11" xr3:uid="{00000000-0010-0000-0100-00000B000000}" name="Masa Kerja (Bulan)"/>
    <tableColumn id="12" xr3:uid="{00000000-0010-0000-0100-00000C000000}" name="Status Pegawai"/>
    <tableColumn id="13" xr3:uid="{00000000-0010-0000-0100-00000D000000}" name="Karyawan"/>
    <tableColumn id="14" xr3:uid="{00000000-0010-0000-0100-00000E000000}" name="SK Pengangkatan/ Mutasi/ No Kontrak"/>
    <tableColumn id="15" xr3:uid="{00000000-0010-0000-0100-00000F000000}" name="Tgl. Pengangkatan/ Akhir Kontrak" dataDxfId="111"/>
    <tableColumn id="16" xr3:uid="{00000000-0010-0000-0100-000010000000}" name="Jabatan INKA"/>
    <tableColumn id="17" xr3:uid="{00000000-0010-0000-0100-000011000000}" name="Jabatan IMSS"/>
    <tableColumn id="18" xr3:uid="{00000000-0010-0000-0100-000012000000}" name="Column2"/>
    <tableColumn id="19" xr3:uid="{00000000-0010-0000-0100-000013000000}" name="Administrasi/ Teknisi"/>
    <tableColumn id="20" xr3:uid="{00000000-0010-0000-0100-000014000000}" name="Kota/Lokasi Kerja"/>
    <tableColumn id="21" xr3:uid="{00000000-0010-0000-0100-000015000000}" name="Bagian / Proyek"/>
    <tableColumn id="22" xr3:uid="{00000000-0010-0000-0100-000016000000}" name="Departemen / Sub Proyek"/>
    <tableColumn id="23" xr3:uid="{00000000-0010-0000-0100-000017000000}" name="Divisi"/>
    <tableColumn id="24" xr3:uid="{00000000-0010-0000-0100-000018000000}" name="Direktorat"/>
    <tableColumn id="25" xr3:uid="{00000000-0010-0000-0100-000019000000}" name="Sertifikat"/>
    <tableColumn id="26" xr3:uid="{00000000-0010-0000-0100-00001A000000}" name="Surat Peringatan Terakhir"/>
    <tableColumn id="27" xr3:uid="{00000000-0010-0000-0100-00001B000000}" name="Jenis Kelamin"/>
    <tableColumn id="28" xr3:uid="{00000000-0010-0000-0100-00001C000000}" name="Tempat Lahir"/>
    <tableColumn id="29" xr3:uid="{00000000-0010-0000-0100-00001D000000}" name="Tgl Lahir" dataDxfId="110"/>
    <tableColumn id="30" xr3:uid="{00000000-0010-0000-0100-00001E000000}" name="Usia"/>
    <tableColumn id="31" xr3:uid="{00000000-0010-0000-0100-00001F000000}" name="No. KTP"/>
    <tableColumn id="32" xr3:uid="{00000000-0010-0000-0100-000020000000}" name="Alamat"/>
    <tableColumn id="33" xr3:uid="{00000000-0010-0000-0100-000021000000}" name="No. HP"/>
    <tableColumn id="34" xr3:uid="{00000000-0010-0000-0100-000022000000}" name="No Whatsapp"/>
    <tableColumn id="35" xr3:uid="{00000000-0010-0000-0100-000023000000}" name="No Linkaja"/>
    <tableColumn id="36" xr3:uid="{00000000-0010-0000-0100-000024000000}" name="Email "/>
    <tableColumn id="37" xr3:uid="{00000000-0010-0000-0100-000025000000}" name="BPJS Kes"/>
    <tableColumn id="38" xr3:uid="{00000000-0010-0000-0100-000026000000}" name="BPJS TK"/>
    <tableColumn id="39" xr3:uid="{00000000-0010-0000-0100-000027000000}" name="Status Pernikahan"/>
    <tableColumn id="40" xr3:uid="{00000000-0010-0000-0100-000028000000}" name="Suami/Istri"/>
    <tableColumn id="41" xr3:uid="{00000000-0010-0000-0100-000029000000}" name="Anak 1"/>
    <tableColumn id="42" xr3:uid="{00000000-0010-0000-0100-00002A000000}" name="Anak 2"/>
    <tableColumn id="43" xr3:uid="{00000000-0010-0000-0100-00002B000000}" name="Anak 3"/>
    <tableColumn id="44" xr3:uid="{00000000-0010-0000-0100-00002C000000}" name="Tambahan"/>
    <tableColumn id="45" xr3:uid="{00000000-0010-0000-0100-00002D000000}" name="Ayah Kandung"/>
    <tableColumn id="46" xr3:uid="{00000000-0010-0000-0100-00002E000000}" name="Ibu Kandung"/>
    <tableColumn id="47" xr3:uid="{00000000-0010-0000-0100-00002F000000}" name="Ayah Mertua"/>
    <tableColumn id="48" xr3:uid="{00000000-0010-0000-0100-000030000000}" name="Ibu Mertua"/>
    <tableColumn id="49" xr3:uid="{00000000-0010-0000-0100-000031000000}" name="Jumlah Tanggungan"/>
    <tableColumn id="50" xr3:uid="{00000000-0010-0000-0100-000032000000}" name="Status Pajak"/>
    <tableColumn id="51" xr3:uid="{00000000-0010-0000-0100-000033000000}" name="Column1"/>
    <tableColumn id="52" xr3:uid="{00000000-0010-0000-0100-000034000000}" name="NPWP"/>
    <tableColumn id="53" xr3:uid="{00000000-0010-0000-0100-000035000000}" name="Agama"/>
    <tableColumn id="54" xr3:uid="{00000000-0010-0000-0100-000036000000}" name="Pend Diakui"/>
    <tableColumn id="55" xr3:uid="{00000000-0010-0000-0100-000037000000}" name="Jurusan"/>
    <tableColumn id="56" xr3:uid="{00000000-0010-0000-0100-000038000000}" name="Almamater"/>
    <tableColumn id="57" xr3:uid="{00000000-0010-0000-0100-000039000000}" name="Tahun Lulus"/>
    <tableColumn id="58" xr3:uid="{00000000-0010-0000-0100-00003A000000}" name="Pend. Terakhir"/>
    <tableColumn id="59" xr3:uid="{00000000-0010-0000-0100-00003B000000}" name="Jurusan Terakhir"/>
    <tableColumn id="60" xr3:uid="{00000000-0010-0000-0100-00003C000000}" name="Almamater Terakhir"/>
    <tableColumn id="61" xr3:uid="{00000000-0010-0000-0100-00003D000000}" name="Tahun Lulus2"/>
    <tableColumn id="62" xr3:uid="{00000000-0010-0000-0100-00003E000000}" name="MPP"/>
    <tableColumn id="63" xr3:uid="{00000000-0010-0000-0100-00003F000000}" name="Pensiun"/>
    <tableColumn id="64" xr3:uid="{00000000-0010-0000-0100-000040000000}" name="Ukuran Baju (Huruf)"/>
    <tableColumn id="65" xr3:uid="{00000000-0010-0000-0100-000041000000}" name="Ukuran Celana (Huruf)"/>
    <tableColumn id="66" xr3:uid="{00000000-0010-0000-0100-000042000000}" name="Ukuran Sepatu (Angka)"/>
    <tableColumn id="67" xr3:uid="{00000000-0010-0000-0100-000043000000}" name="Vaksin I"/>
    <tableColumn id="68" xr3:uid="{00000000-0010-0000-0100-000044000000}" name="Vaksin II"/>
    <tableColumn id="69" xr3:uid="{00000000-0010-0000-0100-000045000000}" name="Vaksin III"/>
    <tableColumn id="70" xr3:uid="{00000000-0010-0000-0100-000046000000}" name="No Kontrak"/>
    <tableColumn id="71" xr3:uid="{00000000-0010-0000-0100-000047000000}" name="Awal"/>
    <tableColumn id="72" xr3:uid="{00000000-0010-0000-0100-000048000000}" name="Akhir"/>
    <tableColumn id="73" xr3:uid="{00000000-0010-0000-0100-000049000000}" name="PB I"/>
    <tableColumn id="74" xr3:uid="{00000000-0010-0000-0100-00004A000000}" name="No Kontrak2"/>
    <tableColumn id="75" xr3:uid="{00000000-0010-0000-0100-00004B000000}" name="Awal2"/>
    <tableColumn id="76" xr3:uid="{00000000-0010-0000-0100-00004C000000}" name="Akhir2"/>
    <tableColumn id="77" xr3:uid="{00000000-0010-0000-0100-00004D000000}" name="PB II"/>
    <tableColumn id="78" xr3:uid="{00000000-0010-0000-0100-00004E000000}" name="No Kontrak3"/>
    <tableColumn id="79" xr3:uid="{00000000-0010-0000-0100-00004F000000}" name="Awal3"/>
    <tableColumn id="80" xr3:uid="{00000000-0010-0000-0100-000050000000}" name="Akhir3"/>
    <tableColumn id="81" xr3:uid="{00000000-0010-0000-0100-000051000000}" name="PB III"/>
    <tableColumn id="82" xr3:uid="{00000000-0010-0000-0100-000052000000}" name="Column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5CDA3-A8C5-4D56-B158-25E9FE08ADE9}" name="Table1" displayName="Table1" ref="B4:CE439" totalsRowShown="0" headerRowDxfId="103" dataDxfId="102" tableBorderDxfId="101">
  <autoFilter ref="B4:CE439" xr:uid="{327BD3F9-E88D-4CD8-B44A-92760F968046}"/>
  <sortState xmlns:xlrd2="http://schemas.microsoft.com/office/spreadsheetml/2017/richdata2" ref="B5:CE439">
    <sortCondition ref="B4:B439"/>
  </sortState>
  <tableColumns count="82">
    <tableColumn id="1" xr3:uid="{00000000-0010-0000-0300-000001000000}" name="No" dataDxfId="100"/>
    <tableColumn id="2" xr3:uid="{00000000-0010-0000-0300-000002000000}" name="KH hari" dataDxfId="99">
      <calculatedColumnFormula>DATEDIF($E$3,P5,"D")</calculatedColumnFormula>
    </tableColumn>
    <tableColumn id="3" xr3:uid="{00000000-0010-0000-0300-000003000000}" name="Nama" dataDxfId="98"/>
    <tableColumn id="4" xr3:uid="{00000000-0010-0000-0300-000004000000}" name="NIP Aktif" dataDxfId="97"/>
    <tableColumn id="5" xr3:uid="{00000000-0010-0000-0300-000005000000}" name="Rekening Mandiri" dataDxfId="96"/>
    <tableColumn id="6" xr3:uid="{00000000-0010-0000-0300-000006000000}" name="Rekening BSI" dataDxfId="95"/>
    <tableColumn id="7" xr3:uid="{00000000-0010-0000-0300-000007000000}" name="Rekrutmen" dataDxfId="94"/>
    <tableColumn id="8" xr3:uid="{00000000-0010-0000-0300-000008000000}" name="Domisili" dataDxfId="93"/>
    <tableColumn id="9" xr3:uid="{00000000-0010-0000-0300-000009000000}" name="Tgl Masuk/ Mutasi" dataDxfId="92"/>
    <tableColumn id="10" xr3:uid="{00000000-0010-0000-0300-00000A000000}" name="Masa Kerja (Tahun)" dataDxfId="91"/>
    <tableColumn id="11" xr3:uid="{00000000-0010-0000-0300-00000B000000}" name="Masa Kerja (Bulan)" dataDxfId="90"/>
    <tableColumn id="12" xr3:uid="{00000000-0010-0000-0300-00000C000000}" name="Status Pegawai" dataDxfId="89"/>
    <tableColumn id="13" xr3:uid="{00000000-0010-0000-0300-00000D000000}" name="Karyawan" dataDxfId="88"/>
    <tableColumn id="14" xr3:uid="{00000000-0010-0000-0300-00000E000000}" name="SK Pengangkatan/ Mutasi/ No Kontrak" dataDxfId="87"/>
    <tableColumn id="15" xr3:uid="{00000000-0010-0000-0300-00000F000000}" name="Tgl. Pengangkatan/ Akhir Kontrak" dataDxfId="86"/>
    <tableColumn id="16" xr3:uid="{00000000-0010-0000-0300-000010000000}" name="Jabatan INKA" dataDxfId="85"/>
    <tableColumn id="17" xr3:uid="{00000000-0010-0000-0300-000011000000}" name="Jabatan IMSS" dataDxfId="84"/>
    <tableColumn id="82" xr3:uid="{00000000-0010-0000-0300-000052000000}" name="Column2" dataDxfId="83"/>
    <tableColumn id="18" xr3:uid="{00000000-0010-0000-0300-000012000000}" name="Administrasi/ Teknisi" dataDxfId="82"/>
    <tableColumn id="19" xr3:uid="{00000000-0010-0000-0300-000013000000}" name="Kota/Lokasi Kerja" dataDxfId="81"/>
    <tableColumn id="20" xr3:uid="{00000000-0010-0000-0300-000014000000}" name="Bagian / Proyek" dataDxfId="80"/>
    <tableColumn id="21" xr3:uid="{00000000-0010-0000-0300-000015000000}" name="Departemen / Sub Proyek" dataDxfId="79"/>
    <tableColumn id="22" xr3:uid="{00000000-0010-0000-0300-000016000000}" name="Divisi" dataDxfId="78"/>
    <tableColumn id="23" xr3:uid="{00000000-0010-0000-0300-000017000000}" name="Direktorat" dataDxfId="77"/>
    <tableColumn id="24" xr3:uid="{00000000-0010-0000-0300-000018000000}" name="Sertifikat" dataDxfId="76"/>
    <tableColumn id="25" xr3:uid="{00000000-0010-0000-0300-000019000000}" name="Surat Peringatan Terakhir" dataDxfId="75"/>
    <tableColumn id="26" xr3:uid="{00000000-0010-0000-0300-00001A000000}" name="Jenis Kelamin" dataDxfId="74"/>
    <tableColumn id="27" xr3:uid="{00000000-0010-0000-0300-00001B000000}" name="Tempat Lahir" dataDxfId="73"/>
    <tableColumn id="28" xr3:uid="{00000000-0010-0000-0300-00001C000000}" name="Tgl Lahir" dataDxfId="72"/>
    <tableColumn id="29" xr3:uid="{00000000-0010-0000-0300-00001D000000}" name="Usia" dataDxfId="71">
      <calculatedColumnFormula>DATEDIF(AD5,$E$3,"y")</calculatedColumnFormula>
    </tableColumn>
    <tableColumn id="30" xr3:uid="{00000000-0010-0000-0300-00001E000000}" name="No. KTP" dataDxfId="70"/>
    <tableColumn id="31" xr3:uid="{00000000-0010-0000-0300-00001F000000}" name="Alamat" dataDxfId="69"/>
    <tableColumn id="32" xr3:uid="{00000000-0010-0000-0300-000020000000}" name="No. HP" dataDxfId="68"/>
    <tableColumn id="33" xr3:uid="{00000000-0010-0000-0300-000021000000}" name="No Whatsapp" dataDxfId="67"/>
    <tableColumn id="34" xr3:uid="{00000000-0010-0000-0300-000022000000}" name="No Linkaja" dataDxfId="66"/>
    <tableColumn id="35" xr3:uid="{00000000-0010-0000-0300-000023000000}" name="Email " dataDxfId="65"/>
    <tableColumn id="36" xr3:uid="{00000000-0010-0000-0300-000024000000}" name="BPJS Kes" dataDxfId="64"/>
    <tableColumn id="37" xr3:uid="{00000000-0010-0000-0300-000025000000}" name="BPJS TK" dataDxfId="63"/>
    <tableColumn id="38" xr3:uid="{00000000-0010-0000-0300-000026000000}" name="Status Pernikahan" dataDxfId="62"/>
    <tableColumn id="39" xr3:uid="{00000000-0010-0000-0300-000027000000}" name="Suami/Istri" dataDxfId="61"/>
    <tableColumn id="40" xr3:uid="{00000000-0010-0000-0300-000028000000}" name="Anak 1" dataDxfId="60"/>
    <tableColumn id="41" xr3:uid="{00000000-0010-0000-0300-000029000000}" name="Anak 2" dataDxfId="59"/>
    <tableColumn id="42" xr3:uid="{00000000-0010-0000-0300-00002A000000}" name="Anak 3" dataDxfId="58"/>
    <tableColumn id="43" xr3:uid="{00000000-0010-0000-0300-00002B000000}" name="Tambahan" dataDxfId="57"/>
    <tableColumn id="44" xr3:uid="{00000000-0010-0000-0300-00002C000000}" name="Ayah Kandung" dataDxfId="56"/>
    <tableColumn id="45" xr3:uid="{00000000-0010-0000-0300-00002D000000}" name="Ibu Kandung" dataDxfId="55"/>
    <tableColumn id="46" xr3:uid="{00000000-0010-0000-0300-00002E000000}" name="Ayah Mertua" dataDxfId="54"/>
    <tableColumn id="47" xr3:uid="{00000000-0010-0000-0300-00002F000000}" name="Ibu Mertua" dataDxfId="53"/>
    <tableColumn id="48" xr3:uid="{00000000-0010-0000-0300-000030000000}" name="Jumlah Tanggungan" dataDxfId="52">
      <calculatedColumnFormula>COUNTA(AP5:AS5)</calculatedColumnFormula>
    </tableColumn>
    <tableColumn id="49" xr3:uid="{00000000-0010-0000-0300-000031000000}" name="Status Pajak" dataDxfId="51">
      <calculatedColumnFormula>IF(AN5="Menikah","K","TK")&amp;"/"&amp;AX5</calculatedColumnFormula>
    </tableColumn>
    <tableColumn id="50" xr3:uid="{00000000-0010-0000-0300-000032000000}" name="Column1" dataDxfId="50"/>
    <tableColumn id="51" xr3:uid="{00000000-0010-0000-0300-000033000000}" name="NPWP" dataDxfId="49"/>
    <tableColumn id="52" xr3:uid="{00000000-0010-0000-0300-000034000000}" name="Agama" dataDxfId="48"/>
    <tableColumn id="53" xr3:uid="{00000000-0010-0000-0300-000035000000}" name="Pend Diakui" dataDxfId="47"/>
    <tableColumn id="54" xr3:uid="{00000000-0010-0000-0300-000036000000}" name="Jurusan" dataDxfId="46"/>
    <tableColumn id="55" xr3:uid="{00000000-0010-0000-0300-000037000000}" name="Almamater" dataDxfId="45"/>
    <tableColumn id="56" xr3:uid="{00000000-0010-0000-0300-000038000000}" name="Tahun Lulus" dataDxfId="44"/>
    <tableColumn id="57" xr3:uid="{00000000-0010-0000-0300-000039000000}" name="Pend. Terakhir" dataDxfId="43"/>
    <tableColumn id="58" xr3:uid="{00000000-0010-0000-0300-00003A000000}" name="Jurusan Terakhir" dataDxfId="42"/>
    <tableColumn id="59" xr3:uid="{00000000-0010-0000-0300-00003B000000}" name="Almamater Terakhir" dataDxfId="41"/>
    <tableColumn id="60" xr3:uid="{00000000-0010-0000-0300-00003C000000}" name="Tahun Lulus2" dataDxfId="40"/>
    <tableColumn id="61" xr3:uid="{00000000-0010-0000-0300-00003D000000}" name="MPP" dataDxfId="39"/>
    <tableColumn id="62" xr3:uid="{00000000-0010-0000-0300-00003E000000}" name="Pensiun" dataDxfId="38"/>
    <tableColumn id="63" xr3:uid="{00000000-0010-0000-0300-00003F000000}" name="Ukuran Baju (Huruf)" dataDxfId="37"/>
    <tableColumn id="64" xr3:uid="{00000000-0010-0000-0300-000040000000}" name="Ukuran Celana (Huruf)" dataDxfId="36"/>
    <tableColumn id="65" xr3:uid="{00000000-0010-0000-0300-000041000000}" name="Ukuran Sepatu (Angka)" dataDxfId="35"/>
    <tableColumn id="66" xr3:uid="{00000000-0010-0000-0300-000042000000}" name="Vaksin I" dataDxfId="34"/>
    <tableColumn id="67" xr3:uid="{00000000-0010-0000-0300-000043000000}" name="Vaksin II" dataDxfId="33"/>
    <tableColumn id="68" xr3:uid="{00000000-0010-0000-0300-000044000000}" name="Vaksin III" dataDxfId="32"/>
    <tableColumn id="69" xr3:uid="{00000000-0010-0000-0300-000045000000}" name="No Kontrak" dataDxfId="31"/>
    <tableColumn id="70" xr3:uid="{00000000-0010-0000-0300-000046000000}" name="Awal" dataDxfId="30"/>
    <tableColumn id="71" xr3:uid="{00000000-0010-0000-0300-000047000000}" name="Akhir" dataDxfId="29"/>
    <tableColumn id="72" xr3:uid="{00000000-0010-0000-0300-000048000000}" name="PB I" dataDxfId="28"/>
    <tableColumn id="73" xr3:uid="{00000000-0010-0000-0300-000049000000}" name="No Kontrak2" dataDxfId="27"/>
    <tableColumn id="74" xr3:uid="{00000000-0010-0000-0300-00004A000000}" name="Awal2" dataDxfId="26"/>
    <tableColumn id="75" xr3:uid="{00000000-0010-0000-0300-00004B000000}" name="Akhir2" dataDxfId="25"/>
    <tableColumn id="76" xr3:uid="{00000000-0010-0000-0300-00004C000000}" name="PB II" dataDxfId="24"/>
    <tableColumn id="77" xr3:uid="{00000000-0010-0000-0300-00004D000000}" name="No Kontrak3" dataDxfId="23"/>
    <tableColumn id="78" xr3:uid="{00000000-0010-0000-0300-00004E000000}" name="Awal3" dataDxfId="22"/>
    <tableColumn id="79" xr3:uid="{00000000-0010-0000-0300-00004F000000}" name="Akhir3" dataDxfId="21"/>
    <tableColumn id="80" xr3:uid="{00000000-0010-0000-0300-000050000000}" name="PB III" dataDxfId="20"/>
    <tableColumn id="81" xr3:uid="{00000000-0010-0000-0300-000051000000}" name="Column3" dataDxfId="1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ahindaar@gmail.com" TargetMode="Externa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ri.hari.santoso@inka.co.id" TargetMode="External"/><Relationship Id="rId13" Type="http://schemas.openxmlformats.org/officeDocument/2006/relationships/vmlDrawing" Target="../drawings/vmlDrawing2.vml"/><Relationship Id="rId3" Type="http://schemas.openxmlformats.org/officeDocument/2006/relationships/hyperlink" Target="mailto:ayubhanif71@gmail.com" TargetMode="External"/><Relationship Id="rId7" Type="http://schemas.openxmlformats.org/officeDocument/2006/relationships/hyperlink" Target="mailto:flora.kendar@gmail.com" TargetMode="External"/><Relationship Id="rId12" Type="http://schemas.openxmlformats.org/officeDocument/2006/relationships/hyperlink" Target="mailto:fallahdzu96@gmail.com" TargetMode="External"/><Relationship Id="rId2" Type="http://schemas.openxmlformats.org/officeDocument/2006/relationships/hyperlink" Target="mailto:lalakrnsr28@gmail.com" TargetMode="External"/><Relationship Id="rId1" Type="http://schemas.openxmlformats.org/officeDocument/2006/relationships/hyperlink" Target="mailto:chaesarbrianputra13@gmail.com" TargetMode="External"/><Relationship Id="rId6" Type="http://schemas.openxmlformats.org/officeDocument/2006/relationships/hyperlink" Target="mailto:mochakbaradriansyah@gmail.com" TargetMode="External"/><Relationship Id="rId11" Type="http://schemas.openxmlformats.org/officeDocument/2006/relationships/hyperlink" Target="mailto:Harsyajie17@gmail.com" TargetMode="External"/><Relationship Id="rId5" Type="http://schemas.openxmlformats.org/officeDocument/2006/relationships/hyperlink" Target="mailto:supriyono.94065@inka.co.id" TargetMode="External"/><Relationship Id="rId10" Type="http://schemas.openxmlformats.org/officeDocument/2006/relationships/hyperlink" Target="mailto:arif.muhaimin@inka.co.id" TargetMode="External"/><Relationship Id="rId4" Type="http://schemas.openxmlformats.org/officeDocument/2006/relationships/hyperlink" Target="mailto:94.puspitasari@gmail.com" TargetMode="External"/><Relationship Id="rId9" Type="http://schemas.openxmlformats.org/officeDocument/2006/relationships/hyperlink" Target="mailto:ardhiyantodwiprabowo@gmail.com" TargetMode="External"/><Relationship Id="rId1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6AC8-7BC8-4D84-9E91-B566A4B16458}">
  <sheetPr codeName="Sheet8">
    <tabColor rgb="FF92D050"/>
    <pageSetUpPr fitToPage="1"/>
  </sheetPr>
  <dimension ref="A1:Z1000"/>
  <sheetViews>
    <sheetView topLeftCell="A8" zoomScale="85" zoomScaleNormal="85" workbookViewId="0">
      <selection activeCell="C4" sqref="C4"/>
    </sheetView>
  </sheetViews>
  <sheetFormatPr defaultColWidth="14.44140625" defaultRowHeight="15" customHeight="1" x14ac:dyDescent="0.3"/>
  <cols>
    <col min="1" max="1" width="4.77734375" style="7" customWidth="1"/>
    <col min="2" max="2" width="23.21875" style="7" customWidth="1"/>
    <col min="3" max="7" width="15.21875" style="7" customWidth="1"/>
    <col min="8" max="8" width="7.77734375" style="7" customWidth="1"/>
    <col min="9" max="9" width="15.21875" style="7" customWidth="1"/>
    <col min="10" max="10" width="9.21875" style="7" customWidth="1"/>
    <col min="11" max="11" width="12.21875" style="7" customWidth="1"/>
    <col min="12" max="12" width="15.77734375" style="7" customWidth="1"/>
    <col min="13" max="13" width="14.44140625" style="7"/>
    <col min="14" max="14" width="31.5546875" style="7" customWidth="1"/>
    <col min="15" max="15" width="9.44140625" style="7" customWidth="1"/>
    <col min="16" max="16" width="11.77734375" style="7" customWidth="1"/>
    <col min="17" max="17" width="27.21875" style="7" customWidth="1"/>
    <col min="18" max="18" width="32.5546875" style="7" customWidth="1"/>
    <col min="19" max="16384" width="14.44140625" style="7"/>
  </cols>
  <sheetData>
    <row r="1" spans="1:8" ht="14.4" x14ac:dyDescent="0.3">
      <c r="C1" s="1"/>
      <c r="D1" s="1"/>
      <c r="E1" s="1"/>
      <c r="F1" s="1"/>
      <c r="G1" s="1"/>
    </row>
    <row r="2" spans="1:8" ht="14.4" x14ac:dyDescent="0.3">
      <c r="A2" s="2" t="s">
        <v>0</v>
      </c>
      <c r="C2" s="1"/>
      <c r="D2" s="1"/>
      <c r="E2" s="1"/>
      <c r="F2" s="1"/>
      <c r="G2" s="1"/>
    </row>
    <row r="3" spans="1:8" ht="14.4" x14ac:dyDescent="0.3">
      <c r="A3" s="3" t="s">
        <v>1</v>
      </c>
      <c r="B3" s="4" t="s">
        <v>0</v>
      </c>
      <c r="C3" s="4" t="s">
        <v>2</v>
      </c>
      <c r="D3" s="1"/>
      <c r="E3" s="1"/>
      <c r="F3" s="1"/>
      <c r="G3" s="1"/>
    </row>
    <row r="4" spans="1:8" ht="14.4" x14ac:dyDescent="0.3">
      <c r="A4" s="3">
        <v>1</v>
      </c>
      <c r="B4" s="4" t="s">
        <v>3</v>
      </c>
      <c r="C4" s="4">
        <f>COUNTIFS(Database!AB5:AB376,"laki-laki")</f>
        <v>347</v>
      </c>
      <c r="D4" s="1"/>
      <c r="E4" s="1"/>
      <c r="F4" s="1"/>
      <c r="G4" s="1"/>
    </row>
    <row r="5" spans="1:8" ht="14.4" x14ac:dyDescent="0.3">
      <c r="A5" s="3">
        <v>2</v>
      </c>
      <c r="B5" s="4" t="s">
        <v>4</v>
      </c>
      <c r="C5" s="4">
        <f>COUNTIFS(Database!AB5:AB378,"Perempuan")</f>
        <v>25</v>
      </c>
      <c r="D5" s="1"/>
      <c r="E5" s="1"/>
      <c r="F5" s="1"/>
      <c r="G5" s="1"/>
    </row>
    <row r="6" spans="1:8" ht="14.4" x14ac:dyDescent="0.3">
      <c r="A6" s="5"/>
      <c r="B6" s="5" t="s">
        <v>5</v>
      </c>
      <c r="C6" s="4">
        <f>SUM(C4:C5)</f>
        <v>372</v>
      </c>
      <c r="D6" s="1"/>
      <c r="E6" s="1"/>
      <c r="F6" s="1"/>
      <c r="G6" s="1"/>
    </row>
    <row r="7" spans="1:8" ht="14.4" x14ac:dyDescent="0.3">
      <c r="C7" s="1"/>
      <c r="D7" s="1"/>
      <c r="E7" s="1"/>
      <c r="F7" s="1"/>
      <c r="G7" s="1"/>
    </row>
    <row r="8" spans="1:8" ht="14.4" x14ac:dyDescent="0.3">
      <c r="C8" s="1"/>
      <c r="D8" s="1"/>
      <c r="E8" s="1"/>
      <c r="F8" s="1"/>
      <c r="G8" s="1"/>
    </row>
    <row r="9" spans="1:8" ht="14.4" x14ac:dyDescent="0.3">
      <c r="A9" s="6" t="s">
        <v>6</v>
      </c>
      <c r="C9" s="1"/>
      <c r="D9" s="1"/>
      <c r="E9" s="1"/>
      <c r="F9" s="1"/>
      <c r="G9" s="1"/>
    </row>
    <row r="10" spans="1:8" ht="14.4" x14ac:dyDescent="0.3">
      <c r="A10" s="334" t="s">
        <v>7</v>
      </c>
      <c r="B10" s="334" t="s">
        <v>8</v>
      </c>
      <c r="C10" s="340" t="s">
        <v>9</v>
      </c>
      <c r="D10" s="339"/>
      <c r="E10" s="339"/>
      <c r="F10" s="337"/>
      <c r="G10" s="334" t="s">
        <v>10</v>
      </c>
      <c r="H10" s="6"/>
    </row>
    <row r="11" spans="1:8" ht="14.4" x14ac:dyDescent="0.3">
      <c r="A11" s="335"/>
      <c r="B11" s="335"/>
      <c r="C11" s="9" t="s">
        <v>11</v>
      </c>
      <c r="D11" s="9" t="s">
        <v>12</v>
      </c>
      <c r="E11" s="9" t="s">
        <v>13</v>
      </c>
      <c r="F11" s="9" t="s">
        <v>14</v>
      </c>
      <c r="G11" s="335"/>
      <c r="H11" s="6"/>
    </row>
    <row r="12" spans="1:8" ht="14.4" x14ac:dyDescent="0.3">
      <c r="A12" s="10">
        <v>1</v>
      </c>
      <c r="B12" s="11" t="s">
        <v>15</v>
      </c>
      <c r="C12" s="12">
        <f>COUNTIFS(Database!$M$5:$M$376,"Direksi",Database!$U$5:$U$376,"IMSS")</f>
        <v>0</v>
      </c>
      <c r="D12" s="12">
        <f>COUNTIFS(Database!$M$5:$M$376,"ORGANIK",Database!$U$5:$U$376,"IMSS")</f>
        <v>0</v>
      </c>
      <c r="E12" s="12">
        <f>COUNTIFS(Database!$M$5:$M$376,"TETAP",Database!$U$5:$U$376,"IMSS")</f>
        <v>0</v>
      </c>
      <c r="F12" s="12">
        <f>COUNTIFS(Database!$M$5:$M$376,"PKWT",Database!$U$5:$U$376,"IMSS")</f>
        <v>31</v>
      </c>
      <c r="G12" s="12">
        <f t="shared" ref="G12:G30" si="0">SUM(C12:F12)</f>
        <v>31</v>
      </c>
      <c r="H12" s="13"/>
    </row>
    <row r="13" spans="1:8" ht="14.4" x14ac:dyDescent="0.3">
      <c r="A13" s="14">
        <v>2</v>
      </c>
      <c r="B13" s="15" t="s">
        <v>16</v>
      </c>
      <c r="C13" s="16">
        <f>COUNTIFS(Database!$M$5:$M$376,"Direksi",Database!$U$5:$U$376,"GUDANG")</f>
        <v>0</v>
      </c>
      <c r="D13" s="16">
        <f>COUNTIFS(Database!$M$5:$M$376,"ORGANIK",Database!$U$5:$U$376,"GUDANG")</f>
        <v>0</v>
      </c>
      <c r="E13" s="16">
        <f>COUNTIFS(Database!$M$5:$M$376,"TETAP",Database!$U$5:$U$376,"GUDANG")</f>
        <v>0</v>
      </c>
      <c r="F13" s="16">
        <f>COUNTIFS(Database!$M$5:$M$376,"PKWT",Database!$U$5:$U$376,"GUDANG")</f>
        <v>1</v>
      </c>
      <c r="G13" s="16">
        <f t="shared" si="0"/>
        <v>1</v>
      </c>
      <c r="H13" s="13"/>
    </row>
    <row r="14" spans="1:8" ht="14.4" x14ac:dyDescent="0.3">
      <c r="A14" s="14">
        <v>3</v>
      </c>
      <c r="B14" s="15" t="s">
        <v>17</v>
      </c>
      <c r="C14" s="16">
        <f>COUNTIFS(Database!$M$5:$M$376,"Direksi",Database!$U$5:$U$376,"INKA")</f>
        <v>0</v>
      </c>
      <c r="D14" s="16">
        <f>COUNTIFS(Database!$M$5:$M$376,"ORGANIK",Database!$U$5:$U$376,"INKA")</f>
        <v>0</v>
      </c>
      <c r="E14" s="16">
        <f>COUNTIFS(Database!$M$5:$M$376,"TETAP",Database!$U$5:$U$376,"INKA")</f>
        <v>0</v>
      </c>
      <c r="F14" s="16">
        <f>COUNTIFS(Database!$M$5:$M$376,"PKWT",Database!$U$5:$U$376,"INKA")</f>
        <v>58</v>
      </c>
      <c r="G14" s="16">
        <f t="shared" si="0"/>
        <v>58</v>
      </c>
      <c r="H14" s="13"/>
    </row>
    <row r="15" spans="1:8" ht="14.4" x14ac:dyDescent="0.3">
      <c r="A15" s="14">
        <v>4</v>
      </c>
      <c r="B15" s="15" t="s">
        <v>18</v>
      </c>
      <c r="C15" s="16">
        <f>COUNTIFS(Database!$M$5:$M$376,"Direksi",Database!$U$5:$U$376,"MRO")</f>
        <v>0</v>
      </c>
      <c r="D15" s="16">
        <f>COUNTIFS(Database!$M$5:$M$376,"ORGANIK",Database!$U$5:$U$376,"MRO")</f>
        <v>0</v>
      </c>
      <c r="E15" s="16">
        <f>COUNTIFS(Database!$M$5:$M$376,"TETAP",Database!$U$5:$U$376,"MRO")</f>
        <v>0</v>
      </c>
      <c r="F15" s="16">
        <f>COUNTIFS(Database!$M$5:$M$376,"PKWT",Database!$U$5:$U$376,"MRO")</f>
        <v>0</v>
      </c>
      <c r="G15" s="16">
        <f t="shared" si="0"/>
        <v>0</v>
      </c>
      <c r="H15" s="13"/>
    </row>
    <row r="16" spans="1:8" ht="14.4" x14ac:dyDescent="0.3">
      <c r="A16" s="14">
        <v>5</v>
      </c>
      <c r="B16" s="15" t="s">
        <v>19</v>
      </c>
      <c r="C16" s="16">
        <f>COUNTIFS(Database!$M$5:$M$376,"Direksi",Database!$U$5:$U$376,"PMU")</f>
        <v>0</v>
      </c>
      <c r="D16" s="16">
        <f>COUNTIFS(Database!$M$5:$M$376,"ORGANIK",Database!$U$5:$U$376,"PMU")</f>
        <v>0</v>
      </c>
      <c r="E16" s="16">
        <f>COUNTIFS(Database!$M$5:$M$376,"TETAP",Database!$U$5:$U$376,"PMU")</f>
        <v>0</v>
      </c>
      <c r="F16" s="16">
        <f>COUNTIFS(Database!$M$5:$M$376,"PKWT",Database!$U$5:$U$376,"PMU")</f>
        <v>0</v>
      </c>
      <c r="G16" s="16">
        <f t="shared" si="0"/>
        <v>0</v>
      </c>
      <c r="H16" s="13"/>
    </row>
    <row r="17" spans="1:8" ht="14.4" x14ac:dyDescent="0.3">
      <c r="A17" s="14">
        <v>6</v>
      </c>
      <c r="B17" s="17" t="s">
        <v>20</v>
      </c>
      <c r="C17" s="16">
        <f>COUNTIFS(Database!$M$5:$M$376,"Direksi",Database!$U$5:$U$376,"BANDUNG")</f>
        <v>0</v>
      </c>
      <c r="D17" s="16">
        <f>COUNTIFS(Database!$M$5:$M$376,"ORGANIK",Database!$U$5:$U$376,"BANDUNG")</f>
        <v>0</v>
      </c>
      <c r="E17" s="16">
        <f>COUNTIFS(Database!$M$5:$M$376,"TETAP",Database!$U$5:$U$376,"BANDUNG")</f>
        <v>0</v>
      </c>
      <c r="F17" s="16">
        <f>COUNTIFS(Database!$M$5:$M$376,"PKWT",Database!$U$5:$U$376,"BANDUNG")</f>
        <v>7</v>
      </c>
      <c r="G17" s="16">
        <f t="shared" si="0"/>
        <v>7</v>
      </c>
      <c r="H17" s="13"/>
    </row>
    <row r="18" spans="1:8" ht="14.4" x14ac:dyDescent="0.3">
      <c r="A18" s="14">
        <v>7</v>
      </c>
      <c r="B18" s="17" t="s">
        <v>21</v>
      </c>
      <c r="C18" s="16">
        <f>COUNTIFS(Database!$M$5:$M$376,"Direksi",Database!$U$5:$U$376,"ACEH")</f>
        <v>0</v>
      </c>
      <c r="D18" s="16">
        <f>COUNTIFS(Database!$M$5:$M$376,"ORGANIK",Database!$U$5:$U$376,"ACEH")</f>
        <v>0</v>
      </c>
      <c r="E18" s="16">
        <f>COUNTIFS(Database!$M$5:$M$376,"TETAP",Database!$U$5:$U$376,"ACEH")</f>
        <v>0</v>
      </c>
      <c r="F18" s="16">
        <f>COUNTIFS(Database!$M$5:$M$376,"PKWT",Database!$U$5:$U$376,"ACEH")</f>
        <v>3</v>
      </c>
      <c r="G18" s="16">
        <f t="shared" si="0"/>
        <v>3</v>
      </c>
      <c r="H18" s="13"/>
    </row>
    <row r="19" spans="1:8" ht="14.4" x14ac:dyDescent="0.3">
      <c r="A19" s="14">
        <v>8</v>
      </c>
      <c r="B19" s="17" t="s">
        <v>22</v>
      </c>
      <c r="C19" s="16">
        <f>COUNTIFS(Database!$M$5:$M$376,"Direksi",Database!$U$5:$U$376,"MAKASSAR")</f>
        <v>0</v>
      </c>
      <c r="D19" s="16">
        <f>COUNTIFS(Database!$M$5:$M$376,"ORGANIK",Database!$U$5:$U$376,"MAKASSAR")</f>
        <v>0</v>
      </c>
      <c r="E19" s="16">
        <f>COUNTIFS(Database!$M$5:$M$376,"TETAP",Database!$U$5:$U$376,"MAKASSAR")</f>
        <v>0</v>
      </c>
      <c r="F19" s="16">
        <f>COUNTIFS(Database!$M$5:$M$376,"PKWT",Database!$U$5:$U$376,"MAKASSAR")</f>
        <v>6</v>
      </c>
      <c r="G19" s="16">
        <f t="shared" si="0"/>
        <v>6</v>
      </c>
      <c r="H19" s="13"/>
    </row>
    <row r="20" spans="1:8" ht="14.4" x14ac:dyDescent="0.3">
      <c r="A20" s="14">
        <v>9</v>
      </c>
      <c r="B20" s="17" t="s">
        <v>23</v>
      </c>
      <c r="C20" s="16">
        <f>COUNTIFS(Database!$M$5:$M$376,"Direksi",Database!$U$5:$U$376,"KLATEN")</f>
        <v>0</v>
      </c>
      <c r="D20" s="16">
        <f>COUNTIFS(Database!$M$5:$M$376,"ORGANIK",Database!$U$5:$U$376,"KLATEN")</f>
        <v>0</v>
      </c>
      <c r="E20" s="16">
        <f>COUNTIFS(Database!$M$5:$M$376,"TETAP",Database!$U$5:$U$376,"KLATEN")</f>
        <v>0</v>
      </c>
      <c r="F20" s="16">
        <f>COUNTIFS(Database!$M$5:$M$376,"PKWT",Database!$U$5:$U$376,"KLATEN")</f>
        <v>39</v>
      </c>
      <c r="G20" s="16">
        <f t="shared" si="0"/>
        <v>39</v>
      </c>
      <c r="H20" s="13"/>
    </row>
    <row r="21" spans="1:8" ht="15.75" customHeight="1" x14ac:dyDescent="0.3">
      <c r="A21" s="14">
        <v>10</v>
      </c>
      <c r="B21" s="17" t="s">
        <v>24</v>
      </c>
      <c r="C21" s="16">
        <f>COUNTIFS(Database!$M$5:$M$376,"Direksi",Database!$U$5:$U$376,"JAKARTA")</f>
        <v>0</v>
      </c>
      <c r="D21" s="16">
        <f>COUNTIFS(Database!$M$5:$M$376,"ORGANIK",Database!$U$5:$U$376,"JAKARTA")</f>
        <v>0</v>
      </c>
      <c r="E21" s="16">
        <f>COUNTIFS(Database!$M$5:$M$376,"TETAP",Database!$U$5:$U$376,"JAKARTA")</f>
        <v>0</v>
      </c>
      <c r="F21" s="16">
        <f>COUNTIFS(Database!$M$5:$M$376,"PKWT",Database!$U$5:$U$376,"JAKARTA")</f>
        <v>89</v>
      </c>
      <c r="G21" s="16">
        <f t="shared" si="0"/>
        <v>89</v>
      </c>
      <c r="H21" s="13"/>
    </row>
    <row r="22" spans="1:8" ht="15.75" customHeight="1" x14ac:dyDescent="0.3">
      <c r="A22" s="14">
        <v>11</v>
      </c>
      <c r="B22" s="17" t="s">
        <v>25</v>
      </c>
      <c r="C22" s="16">
        <f>COUNTIFS(Database!$M$5:$M$376,"Direksi",Database!$U$5:$U$376,"PALEMBANG")</f>
        <v>0</v>
      </c>
      <c r="D22" s="16">
        <f>COUNTIFS(Database!$M$5:$M$376,"ORGANIK",Database!$U$5:$U$376,"PALEMBANG")</f>
        <v>0</v>
      </c>
      <c r="E22" s="16">
        <f>COUNTIFS(Database!$M$5:$M$376,"TETAP",Database!$U$5:$U$376,"PALEMBANG")</f>
        <v>0</v>
      </c>
      <c r="F22" s="16">
        <f>COUNTIFS(Database!$M$5:$M$376,"PKWT",Database!$U$5:$U$376,"PALEMBANG")</f>
        <v>32</v>
      </c>
      <c r="G22" s="16">
        <f t="shared" si="0"/>
        <v>32</v>
      </c>
      <c r="H22" s="13"/>
    </row>
    <row r="23" spans="1:8" ht="15.75" customHeight="1" x14ac:dyDescent="0.3">
      <c r="A23" s="14">
        <v>12</v>
      </c>
      <c r="B23" s="17" t="s">
        <v>26</v>
      </c>
      <c r="C23" s="16">
        <f>COUNTIFS(Database!$M$5:$M$376,"Direksi",Database!$U$5:$U$376,"PADANG")</f>
        <v>0</v>
      </c>
      <c r="D23" s="16">
        <f>COUNTIFS(Database!$M$5:$M$376,"ORGANIK",Database!$U$5:$U$376,"PADANG")</f>
        <v>0</v>
      </c>
      <c r="E23" s="16">
        <f>COUNTIFS(Database!$M$5:$M$376,"TETAP",Database!$U$5:$U$376,"PADANG")</f>
        <v>0</v>
      </c>
      <c r="F23" s="16">
        <f>COUNTIFS(Database!$M$5:$M$376,"PKWT",Database!$U$5:$U$376,"PADANG")</f>
        <v>0</v>
      </c>
      <c r="G23" s="16">
        <f t="shared" si="0"/>
        <v>0</v>
      </c>
      <c r="H23" s="13"/>
    </row>
    <row r="24" spans="1:8" ht="15.75" customHeight="1" x14ac:dyDescent="0.3">
      <c r="A24" s="14">
        <v>13</v>
      </c>
      <c r="B24" s="17" t="s">
        <v>27</v>
      </c>
      <c r="C24" s="16">
        <f>COUNTIFS(Database!$M$5:$M$376,"Direksi",Database!$U$5:$U$376,"SOLO")</f>
        <v>0</v>
      </c>
      <c r="D24" s="16">
        <f>COUNTIFS(Database!$M$5:$M$376,"ORGANIK",Database!$U$5:$U$376,"SOLO")</f>
        <v>0</v>
      </c>
      <c r="E24" s="16">
        <f>COUNTIFS(Database!$M$5:$M$376,"TETAP",Database!$U$5:$U$376,"SOLO")</f>
        <v>0</v>
      </c>
      <c r="F24" s="16">
        <f>COUNTIFS(Database!$M$5:$M$376,"PKWT",Database!$U$5:$U$376,"SOLO")</f>
        <v>2</v>
      </c>
      <c r="G24" s="16">
        <f t="shared" si="0"/>
        <v>2</v>
      </c>
      <c r="H24" s="13"/>
    </row>
    <row r="25" spans="1:8" ht="15.75" customHeight="1" x14ac:dyDescent="0.3">
      <c r="A25" s="14">
        <v>14</v>
      </c>
      <c r="B25" s="17" t="s">
        <v>28</v>
      </c>
      <c r="C25" s="16">
        <f>COUNTIFS(Database!$M$5:$M$376,"Direksi",Database!$U$5:$U$376,"PURWODADI")</f>
        <v>0</v>
      </c>
      <c r="D25" s="16">
        <f>COUNTIFS(Database!$M$5:$M$376,"ORGANIK",Database!$U$5:$U$376,"PURWODADI")</f>
        <v>0</v>
      </c>
      <c r="E25" s="16">
        <f>COUNTIFS(Database!$M$5:$M$376,"TETAP",Database!$U$5:$U$376,"PURWODADI")</f>
        <v>0</v>
      </c>
      <c r="F25" s="16">
        <f>COUNTIFS(Database!$M$5:$M$376,"PKWT",Database!$U$5:$U$376,"PURWODADI")</f>
        <v>5</v>
      </c>
      <c r="G25" s="16">
        <f t="shared" si="0"/>
        <v>5</v>
      </c>
      <c r="H25" s="13"/>
    </row>
    <row r="26" spans="1:8" ht="15.75" customHeight="1" x14ac:dyDescent="0.3">
      <c r="A26" s="14">
        <v>15</v>
      </c>
      <c r="B26" s="17" t="s">
        <v>29</v>
      </c>
      <c r="C26" s="16">
        <f>COUNTIFS(Database!$M$5:$M$376,"Direksi",Database!$U$5:$U$376,"LAMPUNG")</f>
        <v>0</v>
      </c>
      <c r="D26" s="16">
        <f>COUNTIFS(Database!$M$5:$M$376,"ORGANIK",Database!$U$5:$U$376,"LAMPUNG")</f>
        <v>0</v>
      </c>
      <c r="E26" s="16">
        <f>COUNTIFS(Database!$M$5:$M$376,"TETAP",Database!$U$5:$U$376,"LAMPUNG")</f>
        <v>0</v>
      </c>
      <c r="F26" s="16">
        <f>COUNTIFS(Database!$M$5:$M$376,"PKWT",Database!$U$5:$U$376,"LAMPUNG")</f>
        <v>3</v>
      </c>
      <c r="G26" s="16">
        <f t="shared" si="0"/>
        <v>3</v>
      </c>
      <c r="H26" s="13"/>
    </row>
    <row r="27" spans="1:8" ht="15.75" customHeight="1" x14ac:dyDescent="0.3">
      <c r="A27" s="14">
        <v>16</v>
      </c>
      <c r="B27" s="18" t="s">
        <v>30</v>
      </c>
      <c r="C27" s="19">
        <f>COUNTIFS(Database!$M$5:$M$376,"Direksi",Database!$U$5:$U$376,"MEDAN")</f>
        <v>0</v>
      </c>
      <c r="D27" s="19">
        <f>COUNTIFS(Database!$M$5:$M$376,"ORGANIK",Database!$U$5:$U$376,"MEDAN")</f>
        <v>0</v>
      </c>
      <c r="E27" s="19">
        <f>COUNTIFS(Database!$M$5:$M$376,"TETAP",Database!$U$5:$U$376,"MEDAN")</f>
        <v>0</v>
      </c>
      <c r="F27" s="19">
        <f>COUNTIFS(Database!$M$5:$M$376,"PKWT",Database!$U$5:$U$376,"MEDAN")</f>
        <v>2</v>
      </c>
      <c r="G27" s="19">
        <f t="shared" si="0"/>
        <v>2</v>
      </c>
      <c r="H27" s="13"/>
    </row>
    <row r="28" spans="1:8" ht="15.75" customHeight="1" x14ac:dyDescent="0.3">
      <c r="A28" s="14">
        <v>17</v>
      </c>
      <c r="B28" s="20" t="s">
        <v>31</v>
      </c>
      <c r="C28" s="19">
        <f>COUNTIFS(Database!$M$5:$M$376,"Direksi",Database!$U$5:$U$376,"SURABAYA")</f>
        <v>0</v>
      </c>
      <c r="D28" s="19">
        <f>COUNTIFS(Database!$M$5:$M$376,"ORGANIK",Database!$U$5:$U$376,"SURABAYA")</f>
        <v>0</v>
      </c>
      <c r="E28" s="19">
        <f>COUNTIFS(Database!$M$5:$M$376,"TETAP",Database!$U$5:$U$376,"SURABAYA")</f>
        <v>0</v>
      </c>
      <c r="F28" s="19">
        <f>COUNTIFS(Database!$M$5:$M$376,"PKWT",Database!$U$5:$U$376,"SURABAYA")</f>
        <v>5</v>
      </c>
      <c r="G28" s="19">
        <f t="shared" si="0"/>
        <v>5</v>
      </c>
      <c r="H28" s="13"/>
    </row>
    <row r="29" spans="1:8" ht="15.75" customHeight="1" x14ac:dyDescent="0.3">
      <c r="A29" s="14">
        <v>18</v>
      </c>
      <c r="B29" s="20" t="s">
        <v>32</v>
      </c>
      <c r="C29" s="19">
        <f>COUNTIFS(Database!$M$5:$M$376,"Direksi",Database!$U$5:$U$376,"BANYUWANGI")</f>
        <v>0</v>
      </c>
      <c r="D29" s="19">
        <f>COUNTIFS(Database!$M$5:$M$376,"ORGANIK",Database!$U$5:$U$376,"BANYUWANGI")</f>
        <v>0</v>
      </c>
      <c r="E29" s="19">
        <f>COUNTIFS(Database!$M$5:$M$376,"TETAP",Database!$U$5:$U$376,"BANYUWANGI")</f>
        <v>0</v>
      </c>
      <c r="F29" s="19">
        <f>COUNTIFS(Database!$M$5:$M$376,"PKWT",Database!$U$5:$U$376,"BANYUWANGI")</f>
        <v>4</v>
      </c>
      <c r="G29" s="19">
        <f t="shared" si="0"/>
        <v>4</v>
      </c>
      <c r="H29" s="13"/>
    </row>
    <row r="30" spans="1:8" ht="15.75" customHeight="1" x14ac:dyDescent="0.3">
      <c r="A30" s="14">
        <v>19</v>
      </c>
      <c r="B30" s="20" t="s">
        <v>33</v>
      </c>
      <c r="C30" s="19">
        <f>COUNTIFS(Database!$M$5:$M$376,"Direksi",Database!$U$5:$U$376,"yogyakarta")</f>
        <v>0</v>
      </c>
      <c r="D30" s="19">
        <f>COUNTIFS(Database!$M$5:$M$376,"ORGANIK",Database!$U$5:$U$376,"yogyakarta")</f>
        <v>0</v>
      </c>
      <c r="E30" s="19">
        <f>COUNTIFS(Database!$M$5:$M$376,"TETAP",Database!$U$5:$U$376,"yogyakarta")</f>
        <v>0</v>
      </c>
      <c r="F30" s="19">
        <f>COUNTIFS(Database!$M$5:$M$376,"PKWT",Database!$U$5:$U$376,"yogyakarta")</f>
        <v>9</v>
      </c>
      <c r="G30" s="19">
        <f t="shared" si="0"/>
        <v>9</v>
      </c>
      <c r="H30" s="13"/>
    </row>
    <row r="31" spans="1:8" ht="15.75" customHeight="1" x14ac:dyDescent="0.3">
      <c r="A31" s="336" t="s">
        <v>5</v>
      </c>
      <c r="B31" s="337"/>
      <c r="C31" s="21">
        <f>SUM(C12:C30)</f>
        <v>0</v>
      </c>
      <c r="D31" s="21">
        <f>SUM(D12:D30)</f>
        <v>0</v>
      </c>
      <c r="E31" s="21">
        <f>SUM(E12:E30)</f>
        <v>0</v>
      </c>
      <c r="F31" s="21">
        <f>SUM(F12:F30)</f>
        <v>296</v>
      </c>
      <c r="G31" s="21">
        <f>SUM(G12:G30)</f>
        <v>296</v>
      </c>
    </row>
    <row r="32" spans="1:8" ht="15.75" customHeight="1" x14ac:dyDescent="0.3">
      <c r="C32" s="1"/>
      <c r="D32" s="1"/>
      <c r="E32" s="1"/>
      <c r="F32" s="1"/>
      <c r="G32" s="1"/>
    </row>
    <row r="33" spans="1:26" ht="15.75" customHeight="1" x14ac:dyDescent="0.3">
      <c r="C33" s="1"/>
      <c r="D33" s="1"/>
      <c r="E33" s="1"/>
      <c r="F33" s="1"/>
      <c r="G33" s="1"/>
    </row>
    <row r="34" spans="1:26" ht="15.75" customHeight="1" x14ac:dyDescent="0.3">
      <c r="A34" s="8" t="s">
        <v>7</v>
      </c>
      <c r="B34" s="8" t="s">
        <v>34</v>
      </c>
      <c r="C34" s="338" t="s">
        <v>9</v>
      </c>
      <c r="D34" s="339"/>
      <c r="E34" s="337"/>
      <c r="F34" s="8" t="s">
        <v>10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 x14ac:dyDescent="0.3">
      <c r="A35" s="24"/>
      <c r="B35" s="24"/>
      <c r="C35" s="25" t="s">
        <v>12</v>
      </c>
      <c r="D35" s="25" t="s">
        <v>13</v>
      </c>
      <c r="E35" s="25" t="s">
        <v>14</v>
      </c>
      <c r="F35" s="2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 x14ac:dyDescent="0.3">
      <c r="A36" s="10">
        <v>1</v>
      </c>
      <c r="B36" s="13" t="s">
        <v>35</v>
      </c>
      <c r="C36" s="12">
        <f>COUNTIFS(Database!$M$5:$M$376,"ORGANIK",Database!$W$5:$W$376,"5R")</f>
        <v>0</v>
      </c>
      <c r="D36" s="12">
        <f>COUNTIFS(Database!$M$5:$M$376,"TETAP",Database!$W$5:$W$376,"5R")</f>
        <v>0</v>
      </c>
      <c r="E36" s="12">
        <f>COUNTIFS(Database!$M$5:$M$376,"PKWT",Database!$W$5:$W$376,"5R")</f>
        <v>0</v>
      </c>
      <c r="F36" s="12">
        <f t="shared" ref="F36:F90" si="1">SUM(C36:E36)</f>
        <v>0</v>
      </c>
      <c r="G36" s="26"/>
      <c r="I36" s="26"/>
    </row>
    <row r="37" spans="1:26" ht="15.75" customHeight="1" x14ac:dyDescent="0.3">
      <c r="A37" s="14">
        <v>2</v>
      </c>
      <c r="B37" s="13" t="s">
        <v>36</v>
      </c>
      <c r="C37" s="12">
        <f>COUNTIFS(Database!$M$5:$M$376,"ORGANIK",Database!$W$5:$W$376,"AC")</f>
        <v>0</v>
      </c>
      <c r="D37" s="12">
        <f>COUNTIFS(Database!$M$5:$M$376,"TETAP",Database!$W$5:$W$376,"AC")</f>
        <v>0</v>
      </c>
      <c r="E37" s="12">
        <f>COUNTIFS(Database!$M$5:$M$376,"PKWT",Database!$W$5:$W$376,"AC")</f>
        <v>0</v>
      </c>
      <c r="F37" s="16">
        <f t="shared" si="1"/>
        <v>0</v>
      </c>
      <c r="H37" s="13"/>
    </row>
    <row r="38" spans="1:26" ht="15.75" customHeight="1" x14ac:dyDescent="0.3">
      <c r="A38" s="10">
        <v>3</v>
      </c>
      <c r="B38" s="13" t="s">
        <v>37</v>
      </c>
      <c r="C38" s="12">
        <f>COUNTIFS(Database!$M$5:$M$376,"ORGANIK",Database!$W$5:$W$376,"Aftersales 612 Jogja")</f>
        <v>0</v>
      </c>
      <c r="D38" s="12">
        <f>COUNTIFS(Database!$M$5:$M$376,"TETAP",Database!$W$5:$W$376,"Aftersales 612 Jogja")</f>
        <v>0</v>
      </c>
      <c r="E38" s="12">
        <f>COUNTIFS(Database!$M$5:$M$376,"PKWT",Database!$W$5:$W$376,"Aftersales 612 Jogja")</f>
        <v>0</v>
      </c>
      <c r="F38" s="16">
        <f t="shared" si="1"/>
        <v>0</v>
      </c>
      <c r="H38" s="13"/>
    </row>
    <row r="39" spans="1:26" ht="15.75" customHeight="1" x14ac:dyDescent="0.3">
      <c r="A39" s="14">
        <v>4</v>
      </c>
      <c r="B39" s="13" t="s">
        <v>38</v>
      </c>
      <c r="C39" s="12">
        <f>COUNTIFS(Database!$M$5:$M$376,"ORGANIK",Database!$W$5:$W$376,"Aftersales 612 Malang")</f>
        <v>0</v>
      </c>
      <c r="D39" s="12">
        <f>COUNTIFS(Database!$M$5:$M$376,"TETAP",Database!$W$5:$W$376,"Aftersales 612 Malang")</f>
        <v>0</v>
      </c>
      <c r="E39" s="12">
        <f>COUNTIFS(Database!$M$5:$M$376,"PKWT",Database!$W$5:$W$376,"Aftersales 612 Malang")</f>
        <v>0</v>
      </c>
      <c r="F39" s="16">
        <f t="shared" si="1"/>
        <v>0</v>
      </c>
      <c r="H39" s="13"/>
    </row>
    <row r="40" spans="1:26" ht="15.75" customHeight="1" x14ac:dyDescent="0.3">
      <c r="A40" s="10">
        <v>5</v>
      </c>
      <c r="B40" s="13" t="s">
        <v>39</v>
      </c>
      <c r="C40" s="12">
        <f>COUNTIFS(Database!$M$5:$M$376,"ORGANIK",Database!$W$5:$W$376,"Aftersales 612 Solo")</f>
        <v>0</v>
      </c>
      <c r="D40" s="12">
        <f>COUNTIFS(Database!$M$5:$M$376,"TETAP",Database!$W$5:$W$376,"Aftersales 612 Solo")</f>
        <v>0</v>
      </c>
      <c r="E40" s="12">
        <f>COUNTIFS(Database!$M$5:$M$376,"PKWT",Database!$W$5:$W$376,"Aftersales 612 Solo")</f>
        <v>0</v>
      </c>
      <c r="F40" s="16">
        <f t="shared" si="1"/>
        <v>0</v>
      </c>
      <c r="H40" s="13"/>
    </row>
    <row r="41" spans="1:26" ht="15.75" customHeight="1" x14ac:dyDescent="0.3">
      <c r="A41" s="14">
        <v>6</v>
      </c>
      <c r="B41" s="13" t="s">
        <v>40</v>
      </c>
      <c r="C41" s="12">
        <f>COUNTIFS(Database!$M$5:$M$376,"ORGANIK",Database!$W$5:$W$376,"Aftersales 612 Surabaya")</f>
        <v>0</v>
      </c>
      <c r="D41" s="12">
        <f>COUNTIFS(Database!$M$5:$M$376,"TETAP",Database!$W$5:$W$376,"Aftersales 612 Surabaya")</f>
        <v>0</v>
      </c>
      <c r="E41" s="12">
        <f>COUNTIFS(Database!$M$5:$M$376,"PKWT",Database!$W$5:$W$376,"Aftersales 612 Surabaya")</f>
        <v>0</v>
      </c>
      <c r="F41" s="16">
        <f t="shared" si="1"/>
        <v>0</v>
      </c>
      <c r="H41" s="13"/>
    </row>
    <row r="42" spans="1:26" ht="15.75" customHeight="1" x14ac:dyDescent="0.3">
      <c r="A42" s="10">
        <v>7</v>
      </c>
      <c r="B42" s="13" t="s">
        <v>41</v>
      </c>
      <c r="C42" s="12">
        <f>COUNTIFS(Database!$M$5:$M$376,"ORGANIK",Database!$W$5:$W$376,"Aftersales GGW TEL")</f>
        <v>0</v>
      </c>
      <c r="D42" s="12">
        <f>COUNTIFS(Database!$M$5:$M$376,"TETAP",Database!$W$5:$W$376,"Aftersales GGW TEL")</f>
        <v>0</v>
      </c>
      <c r="E42" s="12">
        <f>COUNTIFS(Database!$M$5:$M$376,"PKWT",Database!$W$5:$W$376,"Aftersales GGW TEL")</f>
        <v>1</v>
      </c>
      <c r="F42" s="16">
        <f t="shared" si="1"/>
        <v>1</v>
      </c>
      <c r="H42" s="13"/>
    </row>
    <row r="43" spans="1:26" ht="15.75" customHeight="1" x14ac:dyDescent="0.3">
      <c r="A43" s="14">
        <v>8</v>
      </c>
      <c r="B43" s="13" t="s">
        <v>42</v>
      </c>
      <c r="C43" s="12">
        <f>COUNTIFS(Database!$M$5:$M$376,"ORGANIK",Database!$W$5:$W$376,"Aftersales KRDE Makassar-Parepare")</f>
        <v>0</v>
      </c>
      <c r="D43" s="12">
        <f>COUNTIFS(Database!$M$5:$M$376,"TETAP",Database!$W$5:$W$376,"Aftersales KRDE Makassar-Parepare")</f>
        <v>0</v>
      </c>
      <c r="E43" s="12">
        <f>COUNTIFS(Database!$M$5:$M$376,"PKWT",Database!$W$5:$W$376,"Aftersales KRDE Makassar-Parepare")</f>
        <v>0</v>
      </c>
      <c r="F43" s="16">
        <f t="shared" si="1"/>
        <v>0</v>
      </c>
      <c r="H43" s="13"/>
    </row>
    <row r="44" spans="1:26" ht="15.75" customHeight="1" x14ac:dyDescent="0.3">
      <c r="A44" s="10">
        <v>9</v>
      </c>
      <c r="B44" s="13" t="s">
        <v>43</v>
      </c>
      <c r="C44" s="12">
        <f>COUNTIFS(Database!$M$5:$M$376,"ORGANIK",Database!$W$5:$W$376,"Akuntansi")</f>
        <v>0</v>
      </c>
      <c r="D44" s="12">
        <f>COUNTIFS(Database!$M$5:$M$376,"TETAP",Database!$W$5:$W$376,"Akuntansi")</f>
        <v>0</v>
      </c>
      <c r="E44" s="12">
        <f>COUNTIFS(Database!$M$5:$M$376,"PKWT",Database!$W$5:$W$376,"Akuntansi")</f>
        <v>1</v>
      </c>
      <c r="F44" s="16">
        <f t="shared" si="1"/>
        <v>1</v>
      </c>
      <c r="H44" s="13"/>
    </row>
    <row r="45" spans="1:26" ht="15.75" customHeight="1" x14ac:dyDescent="0.3">
      <c r="A45" s="14">
        <v>10</v>
      </c>
      <c r="B45" s="13" t="s">
        <v>32</v>
      </c>
      <c r="C45" s="12">
        <f>COUNTIFS(Database!$M$5:$M$376,"ORGANIK",Database!$W$5:$W$376,"Banyuwangi")</f>
        <v>0</v>
      </c>
      <c r="D45" s="12">
        <f>COUNTIFS(Database!$M$5:$M$376,"TETAP",Database!$W$5:$W$376,"Banyuwangi")</f>
        <v>0</v>
      </c>
      <c r="E45" s="12">
        <f>COUNTIFS(Database!$M$5:$M$376,"PKWT",Database!$W$5:$W$376,"Banyuwangi")</f>
        <v>0</v>
      </c>
      <c r="F45" s="16">
        <f t="shared" si="1"/>
        <v>0</v>
      </c>
      <c r="H45" s="13"/>
    </row>
    <row r="46" spans="1:26" ht="15.75" customHeight="1" x14ac:dyDescent="0.3">
      <c r="A46" s="10">
        <v>11</v>
      </c>
      <c r="B46" s="13" t="s">
        <v>44</v>
      </c>
      <c r="C46" s="12">
        <f>COUNTIFS(Database!$M$5:$M$376,"ORGANIK",Database!$W$5:$W$376,"Bogie")</f>
        <v>0</v>
      </c>
      <c r="D46" s="12">
        <f>COUNTIFS(Database!$M$5:$M$376,"TETAP",Database!$W$5:$W$376,"Bogie")</f>
        <v>0</v>
      </c>
      <c r="E46" s="12">
        <f>COUNTIFS(Database!$M$5:$M$376,"PKWT",Database!$W$5:$W$376,"Bogie")</f>
        <v>0</v>
      </c>
      <c r="F46" s="16">
        <f t="shared" si="1"/>
        <v>0</v>
      </c>
      <c r="H46" s="13"/>
      <c r="J46" s="13"/>
    </row>
    <row r="47" spans="1:26" ht="15.75" customHeight="1" x14ac:dyDescent="0.3">
      <c r="A47" s="14">
        <v>12</v>
      </c>
      <c r="B47" s="13" t="s">
        <v>45</v>
      </c>
      <c r="C47" s="12">
        <f>COUNTIFS(Database!$M$5:$M$376,"ORGANIK",Database!$W$5:$W$376,"Bus Bandung")</f>
        <v>0</v>
      </c>
      <c r="D47" s="12">
        <f>COUNTIFS(Database!$M$5:$M$376,"TETAP",Database!$W$5:$W$376,"Bus Bandung")</f>
        <v>0</v>
      </c>
      <c r="E47" s="12">
        <f>COUNTIFS(Database!$M$5:$M$376,"PKWT",Database!$W$5:$W$376,"Bus Bandung")</f>
        <v>0</v>
      </c>
      <c r="F47" s="16">
        <f t="shared" si="1"/>
        <v>0</v>
      </c>
      <c r="H47" s="13"/>
    </row>
    <row r="48" spans="1:26" ht="15.75" customHeight="1" x14ac:dyDescent="0.3">
      <c r="A48" s="10">
        <v>13</v>
      </c>
      <c r="B48" s="13" t="s">
        <v>46</v>
      </c>
      <c r="C48" s="12">
        <f>COUNTIFS(Database!$M$5:$M$376,"ORGANIK",Database!$W$5:$W$376,"Bus Surabaya")</f>
        <v>0</v>
      </c>
      <c r="D48" s="12">
        <f>COUNTIFS(Database!$M$5:$M$376,"TETAP",Database!$W$5:$W$376,"Bus Surabaya")</f>
        <v>0</v>
      </c>
      <c r="E48" s="12">
        <f>COUNTIFS(Database!$M$5:$M$376,"PKWT",Database!$W$5:$W$376,"Bus Surabaya")</f>
        <v>0</v>
      </c>
      <c r="F48" s="16">
        <f t="shared" si="1"/>
        <v>0</v>
      </c>
      <c r="H48" s="13"/>
    </row>
    <row r="49" spans="1:18" ht="15.75" customHeight="1" x14ac:dyDescent="0.3">
      <c r="A49" s="14">
        <v>14</v>
      </c>
      <c r="B49" s="13" t="s">
        <v>47</v>
      </c>
      <c r="C49" s="12">
        <f>COUNTIFS(Database!$M$5:$M$376,"ORGANIK",Database!$W$5:$W$376,"Cut Meutia")</f>
        <v>0</v>
      </c>
      <c r="D49" s="12">
        <f>COUNTIFS(Database!$M$5:$M$376,"TETAP",Database!$W$5:$W$376,"Cut Meutia")</f>
        <v>0</v>
      </c>
      <c r="E49" s="12">
        <f>COUNTIFS(Database!$M$5:$M$376,"PKWT",Database!$W$5:$W$376,"Cut Meutia")</f>
        <v>0</v>
      </c>
      <c r="F49" s="16">
        <f t="shared" si="1"/>
        <v>0</v>
      </c>
      <c r="H49" s="13"/>
    </row>
    <row r="50" spans="1:18" ht="15.75" customHeight="1" x14ac:dyDescent="0.3">
      <c r="A50" s="10">
        <v>15</v>
      </c>
      <c r="B50" s="13" t="s">
        <v>48</v>
      </c>
      <c r="C50" s="12">
        <f>COUNTIFS(Database!$M$5:$M$376,"ORGANIK",Database!$W$5:$W$376,"DIREKSI")</f>
        <v>0</v>
      </c>
      <c r="D50" s="12">
        <f>COUNTIFS(Database!$M$5:$M$376,"TETAP",Database!$W$5:$W$376,"DIREKSI")</f>
        <v>0</v>
      </c>
      <c r="E50" s="12">
        <f>COUNTIFS(Database!$M$5:$M$376,"PKWT",Database!$W$5:$W$376,"DIREKSI")</f>
        <v>0</v>
      </c>
      <c r="F50" s="16">
        <f t="shared" si="1"/>
        <v>0</v>
      </c>
      <c r="H50" s="13"/>
    </row>
    <row r="51" spans="1:18" ht="15.75" customHeight="1" x14ac:dyDescent="0.3">
      <c r="A51" s="14">
        <v>16</v>
      </c>
      <c r="B51" s="13" t="s">
        <v>49</v>
      </c>
      <c r="C51" s="12">
        <f>COUNTIFS(Database!$M$5:$M$376,"ORGANIK",Database!$W$5:$W$376,"Gudang")</f>
        <v>0</v>
      </c>
      <c r="D51" s="12">
        <f>COUNTIFS(Database!$M$5:$M$376,"TETAP",Database!$W$5:$W$376,"Gudang")</f>
        <v>0</v>
      </c>
      <c r="E51" s="12">
        <f>COUNTIFS(Database!$M$5:$M$376,"PKWT",Database!$W$5:$W$376,"Gudang")</f>
        <v>0</v>
      </c>
      <c r="F51" s="16">
        <f t="shared" si="1"/>
        <v>0</v>
      </c>
      <c r="H51" s="13"/>
    </row>
    <row r="52" spans="1:18" ht="15.75" customHeight="1" x14ac:dyDescent="0.3">
      <c r="A52" s="10">
        <v>17</v>
      </c>
      <c r="B52" s="13" t="s">
        <v>50</v>
      </c>
      <c r="C52" s="12">
        <f>COUNTIFS(Database!$M$5:$M$376,"ORGANIK",Database!$W$5:$W$376,"keuangan")</f>
        <v>0</v>
      </c>
      <c r="D52" s="12">
        <f>COUNTIFS(Database!$M$5:$M$376,"TETAP",Database!$W$5:$W$376,"keuangan")</f>
        <v>0</v>
      </c>
      <c r="E52" s="12">
        <f>COUNTIFS(Database!$M$5:$M$376,"PKWT",Database!$W$5:$W$376,"keuangan")</f>
        <v>2</v>
      </c>
      <c r="F52" s="16">
        <f t="shared" si="1"/>
        <v>2</v>
      </c>
      <c r="H52" s="13"/>
    </row>
    <row r="53" spans="1:18" ht="15.75" customHeight="1" x14ac:dyDescent="0.3">
      <c r="A53" s="14">
        <v>18</v>
      </c>
      <c r="B53" s="13" t="s">
        <v>51</v>
      </c>
      <c r="C53" s="12">
        <f>COUNTIFS(Database!$M$5:$M$376,"ORGANIK",Database!$W$5:$W$376,"KRL KFW")</f>
        <v>0</v>
      </c>
      <c r="D53" s="12">
        <f>COUNTIFS(Database!$M$5:$M$376,"TETAP",Database!$W$5:$W$376,"KRL KFW")</f>
        <v>0</v>
      </c>
      <c r="E53" s="12">
        <f>COUNTIFS(Database!$M$5:$M$376,"PKWT",Database!$W$5:$W$376,"KRL KFW")</f>
        <v>45</v>
      </c>
      <c r="F53" s="16">
        <f t="shared" si="1"/>
        <v>45</v>
      </c>
      <c r="H53" s="13"/>
    </row>
    <row r="54" spans="1:18" ht="15.75" customHeight="1" x14ac:dyDescent="0.3">
      <c r="A54" s="10">
        <v>19</v>
      </c>
      <c r="B54" s="27" t="s">
        <v>52</v>
      </c>
      <c r="C54" s="12">
        <f>COUNTIFS(Database!$M$5:$M$376,"ORGANIK",Database!$W$5:$W$376,"KRL soetta")</f>
        <v>0</v>
      </c>
      <c r="D54" s="12">
        <f>COUNTIFS(Database!$M$5:$M$376,"TETAP",Database!$W$5:$W$376,"KRL soetta")</f>
        <v>0</v>
      </c>
      <c r="E54" s="12">
        <f>COUNTIFS(Database!$M$5:$M$376,"PKWT",Database!$W$5:$W$376,"KRL soetta")</f>
        <v>0</v>
      </c>
      <c r="F54" s="16">
        <f t="shared" si="1"/>
        <v>0</v>
      </c>
      <c r="H54" s="13"/>
    </row>
    <row r="55" spans="1:18" ht="15.75" customHeight="1" x14ac:dyDescent="0.3">
      <c r="A55" s="14">
        <v>20</v>
      </c>
      <c r="B55" s="27" t="s">
        <v>53</v>
      </c>
      <c r="C55" s="12">
        <f>COUNTIFS(Database!$M$5:$M$376,"ORGANIK",Database!$W$5:$W$376,"Listrik")</f>
        <v>0</v>
      </c>
      <c r="D55" s="12">
        <f>COUNTIFS(Database!$M$5:$M$376,"TETAP",Database!$W$5:$W$376,"Listrik")</f>
        <v>0</v>
      </c>
      <c r="E55" s="12">
        <f>COUNTIFS(Database!$M$5:$M$376,"PKWT",Database!$W$5:$W$376,"Listrik")</f>
        <v>0</v>
      </c>
      <c r="F55" s="16">
        <f t="shared" si="1"/>
        <v>0</v>
      </c>
      <c r="H55" s="13"/>
    </row>
    <row r="56" spans="1:18" ht="15.75" customHeight="1" x14ac:dyDescent="0.3">
      <c r="A56" s="10">
        <v>21</v>
      </c>
      <c r="B56" s="27" t="s">
        <v>54</v>
      </c>
      <c r="C56" s="12">
        <f>COUNTIFS(Database!$M$5:$M$376,"ORGANIK",Database!$W$5:$W$376,"Logistik")</f>
        <v>0</v>
      </c>
      <c r="D56" s="12">
        <f>COUNTIFS(Database!$M$5:$M$376,"TETAP",Database!$W$5:$W$376,"Logistik")</f>
        <v>0</v>
      </c>
      <c r="E56" s="12">
        <f>COUNTIFS(Database!$M$5:$M$376,"PKWT",Database!$W$5:$W$376,"Logistik")</f>
        <v>2</v>
      </c>
      <c r="F56" s="16">
        <f t="shared" si="1"/>
        <v>2</v>
      </c>
      <c r="H56" s="13"/>
    </row>
    <row r="57" spans="1:18" ht="15.75" customHeight="1" x14ac:dyDescent="0.3">
      <c r="A57" s="14">
        <v>22</v>
      </c>
      <c r="B57" s="27" t="s">
        <v>55</v>
      </c>
      <c r="C57" s="12">
        <f>COUNTIFS(Database!$M$5:$M$376,"ORGANIK",Database!$W$5:$W$376,"LRT Jabo Aftersales")</f>
        <v>0</v>
      </c>
      <c r="D57" s="12">
        <f>COUNTIFS(Database!$M$5:$M$376,"TETAP",Database!$W$5:$W$376,"LRT Jabo Aftersales")</f>
        <v>0</v>
      </c>
      <c r="E57" s="12">
        <f>COUNTIFS(Database!$M$5:$M$376,"PKWT",Database!$W$5:$W$376,"LRT Jabo Aftersales")</f>
        <v>0</v>
      </c>
      <c r="F57" s="16">
        <f t="shared" si="1"/>
        <v>0</v>
      </c>
      <c r="H57" s="13"/>
    </row>
    <row r="58" spans="1:18" ht="15.75" customHeight="1" x14ac:dyDescent="0.3">
      <c r="A58" s="10">
        <v>23</v>
      </c>
      <c r="B58" s="27" t="s">
        <v>56</v>
      </c>
      <c r="C58" s="12">
        <f>COUNTIFS(Database!$M$5:$M$376,"ORGANIK",Database!$W$5:$W$376,"LRT Jabo Helper")</f>
        <v>0</v>
      </c>
      <c r="D58" s="12">
        <f>COUNTIFS(Database!$M$5:$M$376,"TETAP",Database!$W$5:$W$376,"LRT Jabo Helper")</f>
        <v>0</v>
      </c>
      <c r="E58" s="12">
        <f>COUNTIFS(Database!$M$5:$M$376,"PKWT",Database!$W$5:$W$376,"LRT Jabo Helper")</f>
        <v>0</v>
      </c>
      <c r="F58" s="16">
        <f t="shared" si="1"/>
        <v>0</v>
      </c>
      <c r="H58" s="13"/>
    </row>
    <row r="59" spans="1:18" ht="15.75" customHeight="1" x14ac:dyDescent="0.3">
      <c r="A59" s="14">
        <v>24</v>
      </c>
      <c r="B59" s="27" t="s">
        <v>57</v>
      </c>
      <c r="C59" s="12">
        <f>COUNTIFS(Database!$M$5:$M$376,"ORGANIK",Database!$W$5:$W$376,"LRT Palembang")</f>
        <v>0</v>
      </c>
      <c r="D59" s="12">
        <f>COUNTIFS(Database!$M$5:$M$376,"TETAP",Database!$W$5:$W$376,"LRT Palembang")</f>
        <v>0</v>
      </c>
      <c r="E59" s="12">
        <f>COUNTIFS(Database!$M$5:$M$376,"PKWT",Database!$W$5:$W$376,"LRT Palembang")</f>
        <v>0</v>
      </c>
      <c r="F59" s="16">
        <f t="shared" si="1"/>
        <v>0</v>
      </c>
      <c r="H59" s="13"/>
    </row>
    <row r="60" spans="1:18" ht="15.75" customHeight="1" x14ac:dyDescent="0.3">
      <c r="A60" s="10">
        <v>25</v>
      </c>
      <c r="B60" s="27" t="s">
        <v>18</v>
      </c>
      <c r="C60" s="12">
        <f>COUNTIFS(Database!$M$5:$M$376,"ORGANIK",Database!$W$5:$W$376,"MRO")</f>
        <v>0</v>
      </c>
      <c r="D60" s="12">
        <f>COUNTIFS(Database!$M$5:$M$376,"TETAP",Database!$W$5:$W$376,"MRO")</f>
        <v>0</v>
      </c>
      <c r="E60" s="12">
        <f>COUNTIFS(Database!$M$5:$M$376,"PKWT",Database!$W$5:$W$376,"MRO")</f>
        <v>0</v>
      </c>
      <c r="F60" s="16">
        <f t="shared" si="1"/>
        <v>0</v>
      </c>
      <c r="H60" s="13"/>
    </row>
    <row r="61" spans="1:18" ht="15.75" customHeight="1" x14ac:dyDescent="0.3">
      <c r="A61" s="14">
        <v>26</v>
      </c>
      <c r="B61" s="27" t="s">
        <v>58</v>
      </c>
      <c r="C61" s="12">
        <f>COUNTIFS(Database!$M$5:$M$376,"ORGANIK",Database!$W$5:$W$376,"Op Forklift")</f>
        <v>0</v>
      </c>
      <c r="D61" s="12">
        <f>COUNTIFS(Database!$M$5:$M$376,"TETAP",Database!$W$5:$W$376,"Op Forklift")</f>
        <v>0</v>
      </c>
      <c r="E61" s="12">
        <f>COUNTIFS(Database!$M$5:$M$376,"PKWT",Database!$W$5:$W$376,"Op Forklift")</f>
        <v>0</v>
      </c>
      <c r="F61" s="16">
        <f t="shared" si="1"/>
        <v>0</v>
      </c>
      <c r="H61" s="13"/>
    </row>
    <row r="62" spans="1:18" ht="15.75" customHeight="1" x14ac:dyDescent="0.3">
      <c r="A62" s="10">
        <v>27</v>
      </c>
      <c r="B62" s="27" t="s">
        <v>59</v>
      </c>
      <c r="C62" s="12">
        <f>COUNTIFS(Database!$M$5:$M$376,"ORGANIK",Database!$W$5:$W$376,"pemasaran")</f>
        <v>0</v>
      </c>
      <c r="D62" s="12">
        <f>COUNTIFS(Database!$M$5:$M$376,"TETAP",Database!$W$5:$W$376,"pemasaran")</f>
        <v>0</v>
      </c>
      <c r="E62" s="12">
        <f>COUNTIFS(Database!$M$5:$M$376,"PKWT",Database!$W$5:$W$376,"pemasaran")</f>
        <v>0</v>
      </c>
      <c r="F62" s="16">
        <f t="shared" si="1"/>
        <v>0</v>
      </c>
      <c r="H62" s="13"/>
      <c r="N62" s="28" t="s">
        <v>60</v>
      </c>
      <c r="O62" s="28" t="s">
        <v>61</v>
      </c>
      <c r="P62" s="28" t="s">
        <v>62</v>
      </c>
      <c r="Q62" s="28" t="s">
        <v>63</v>
      </c>
      <c r="R62" s="28" t="s">
        <v>64</v>
      </c>
    </row>
    <row r="63" spans="1:18" ht="15.75" customHeight="1" x14ac:dyDescent="0.3">
      <c r="A63" s="14">
        <v>28</v>
      </c>
      <c r="B63" s="27" t="s">
        <v>65</v>
      </c>
      <c r="C63" s="12">
        <f>COUNTIFS(Database!$M$5:$M$376,"ORGANIK",Database!$W$5:$W$376,"Pengelolaan Proyek Wilayah I")</f>
        <v>0</v>
      </c>
      <c r="D63" s="12">
        <f>COUNTIFS(Database!$M$5:$M$376,"TETAP",Database!$W$5:$W$376,"Pengelolaan Proyek Wilayah I")</f>
        <v>0</v>
      </c>
      <c r="E63" s="12">
        <f>COUNTIFS(Database!$M$5:$M$376,"PKWT",Database!$W$5:$W$376,"Pengelolaan Proyek Wilayah I")</f>
        <v>0</v>
      </c>
      <c r="F63" s="16">
        <f t="shared" si="1"/>
        <v>0</v>
      </c>
      <c r="H63" s="29" t="s">
        <v>66</v>
      </c>
      <c r="I63" s="30" t="s">
        <v>67</v>
      </c>
      <c r="K63" s="29" t="s">
        <v>66</v>
      </c>
      <c r="L63" s="30" t="s">
        <v>68</v>
      </c>
      <c r="N63" s="31" t="s">
        <v>69</v>
      </c>
      <c r="O63" s="32">
        <v>972000054</v>
      </c>
      <c r="P63" s="33" t="s">
        <v>70</v>
      </c>
      <c r="Q63" s="33" t="s">
        <v>71</v>
      </c>
      <c r="R63" s="33" t="s">
        <v>72</v>
      </c>
    </row>
    <row r="64" spans="1:18" ht="15.75" customHeight="1" x14ac:dyDescent="0.3">
      <c r="A64" s="10">
        <v>29</v>
      </c>
      <c r="B64" s="27" t="s">
        <v>73</v>
      </c>
      <c r="C64" s="12">
        <f>COUNTIFS(Database!$M$5:$M$376,"ORGANIK",Database!$W$5:$W$376,"Pengelolaan Proyek Wilayah II")</f>
        <v>0</v>
      </c>
      <c r="D64" s="12">
        <f>COUNTIFS(Database!$M$5:$M$376,"TETAP",Database!$W$5:$W$376,"Pengelolaan Proyek Wilayah II")</f>
        <v>0</v>
      </c>
      <c r="E64" s="12">
        <f>COUNTIFS(Database!$M$5:$M$376,"PKWT",Database!$W$5:$W$376,"Pengelolaan Proyek Wilayah II")</f>
        <v>7</v>
      </c>
      <c r="F64" s="16">
        <f t="shared" si="1"/>
        <v>7</v>
      </c>
      <c r="H64" s="34">
        <v>21</v>
      </c>
      <c r="I64" s="5">
        <v>310</v>
      </c>
      <c r="K64" s="34">
        <v>21</v>
      </c>
      <c r="L64" s="5">
        <v>23</v>
      </c>
      <c r="N64" s="35" t="s">
        <v>74</v>
      </c>
      <c r="O64" s="36">
        <v>971800021</v>
      </c>
      <c r="P64" s="27" t="s">
        <v>75</v>
      </c>
      <c r="Q64" s="27" t="s">
        <v>76</v>
      </c>
      <c r="R64" s="27" t="s">
        <v>77</v>
      </c>
    </row>
    <row r="65" spans="1:18" ht="15.75" customHeight="1" x14ac:dyDescent="0.3">
      <c r="A65" s="14">
        <v>30</v>
      </c>
      <c r="B65" s="27" t="s">
        <v>78</v>
      </c>
      <c r="C65" s="12">
        <f>COUNTIFS(Database!$M$5:$M$376,"ORGANIK",Database!$W$5:$W$376,"Perawatan KRDE Makassar- Parepare")</f>
        <v>0</v>
      </c>
      <c r="D65" s="12">
        <f>COUNTIFS(Database!$M$5:$M$376,"TETAP",Database!$W$5:$W$376,"Perawatan KRDE Makassar- Parepare")</f>
        <v>0</v>
      </c>
      <c r="E65" s="12">
        <f>COUNTIFS(Database!$M$5:$M$376,"PKWT",Database!$W$5:$W$376,"Perawatan KRDE Makassar- Parepare")</f>
        <v>7</v>
      </c>
      <c r="F65" s="16">
        <f t="shared" si="1"/>
        <v>7</v>
      </c>
      <c r="H65" s="34">
        <v>22</v>
      </c>
      <c r="I65" s="5">
        <v>339</v>
      </c>
      <c r="K65" s="34">
        <v>22</v>
      </c>
      <c r="L65" s="5">
        <v>24</v>
      </c>
      <c r="N65" s="31" t="s">
        <v>79</v>
      </c>
      <c r="O65" s="32">
        <v>971900043</v>
      </c>
      <c r="P65" s="33" t="s">
        <v>75</v>
      </c>
      <c r="Q65" s="33" t="s">
        <v>80</v>
      </c>
      <c r="R65" s="33" t="s">
        <v>81</v>
      </c>
    </row>
    <row r="66" spans="1:18" ht="15.75" customHeight="1" x14ac:dyDescent="0.3">
      <c r="A66" s="10">
        <v>31</v>
      </c>
      <c r="B66" s="27" t="s">
        <v>19</v>
      </c>
      <c r="C66" s="12">
        <f>COUNTIFS(Database!$M$5:$M$376,"ORGANIK",Database!$W$5:$W$376,"pmu")</f>
        <v>0</v>
      </c>
      <c r="D66" s="12">
        <f>COUNTIFS(Database!$M$5:$M$376,"TETAP",Database!$W$5:$W$376,"pmu")</f>
        <v>0</v>
      </c>
      <c r="E66" s="12">
        <f>COUNTIFS(Database!$M$5:$M$376,"PKWT",Database!$W$5:$W$376,"pmu")</f>
        <v>0</v>
      </c>
      <c r="F66" s="16">
        <f t="shared" si="1"/>
        <v>0</v>
      </c>
      <c r="H66" s="34">
        <v>23</v>
      </c>
      <c r="I66" s="5">
        <v>339</v>
      </c>
      <c r="K66" s="34">
        <v>23</v>
      </c>
      <c r="L66" s="5">
        <v>26</v>
      </c>
      <c r="N66" s="37" t="s">
        <v>82</v>
      </c>
      <c r="O66" s="36">
        <v>971900036</v>
      </c>
      <c r="P66" s="27" t="s">
        <v>75</v>
      </c>
      <c r="Q66" s="27" t="s">
        <v>83</v>
      </c>
      <c r="R66" s="27" t="s">
        <v>84</v>
      </c>
    </row>
    <row r="67" spans="1:18" ht="15.75" customHeight="1" x14ac:dyDescent="0.3">
      <c r="A67" s="14">
        <v>32</v>
      </c>
      <c r="B67" s="27" t="s">
        <v>85</v>
      </c>
      <c r="C67" s="12">
        <f>COUNTIFS(Database!$M$5:$M$376,"ORGANIK",Database!$W$5:$W$376,"qc")</f>
        <v>0</v>
      </c>
      <c r="D67" s="12">
        <f>COUNTIFS(Database!$M$5:$M$376,"TETAP",Database!$W$5:$W$376,"qc")</f>
        <v>0</v>
      </c>
      <c r="E67" s="12">
        <f>COUNTIFS(Database!$M$5:$M$376,"PKWT",Database!$W$5:$W$376,"qc")</f>
        <v>0</v>
      </c>
      <c r="F67" s="16">
        <f t="shared" si="1"/>
        <v>0</v>
      </c>
      <c r="H67" s="13"/>
      <c r="N67" s="31" t="s">
        <v>86</v>
      </c>
      <c r="O67" s="32">
        <v>991000017</v>
      </c>
      <c r="P67" s="33" t="s">
        <v>75</v>
      </c>
      <c r="Q67" s="33" t="s">
        <v>87</v>
      </c>
      <c r="R67" s="33" t="s">
        <v>81</v>
      </c>
    </row>
    <row r="68" spans="1:18" ht="15.75" customHeight="1" x14ac:dyDescent="0.3">
      <c r="A68" s="10">
        <v>33</v>
      </c>
      <c r="B68" s="27" t="s">
        <v>88</v>
      </c>
      <c r="C68" s="12">
        <f>COUNTIFS(Database!$M$5:$M$376,"ORGANIK",Database!$W$5:$W$376,"qc inka")</f>
        <v>0</v>
      </c>
      <c r="D68" s="12">
        <f>COUNTIFS(Database!$M$5:$M$376,"TETAP",Database!$W$5:$W$376,"qc inka")</f>
        <v>0</v>
      </c>
      <c r="E68" s="12">
        <f>COUNTIFS(Database!$M$5:$M$376,"PKWT",Database!$W$5:$W$376,"qc inka")</f>
        <v>0</v>
      </c>
      <c r="F68" s="16">
        <f t="shared" si="1"/>
        <v>0</v>
      </c>
      <c r="H68" s="29" t="s">
        <v>66</v>
      </c>
      <c r="I68" s="30" t="s">
        <v>89</v>
      </c>
      <c r="K68" s="29" t="s">
        <v>66</v>
      </c>
      <c r="L68" s="30" t="s">
        <v>89</v>
      </c>
      <c r="N68" s="37" t="s">
        <v>90</v>
      </c>
      <c r="O68" s="36">
        <v>999200022</v>
      </c>
      <c r="P68" s="27" t="s">
        <v>75</v>
      </c>
      <c r="Q68" s="27" t="s">
        <v>91</v>
      </c>
      <c r="R68" s="27" t="s">
        <v>92</v>
      </c>
    </row>
    <row r="69" spans="1:18" ht="15.75" customHeight="1" x14ac:dyDescent="0.3">
      <c r="A69" s="14">
        <v>34</v>
      </c>
      <c r="B69" s="27" t="s">
        <v>93</v>
      </c>
      <c r="C69" s="12">
        <f>COUNTIFS(Database!$M$5:$M$376,"ORGANIK",Database!$W$5:$W$376,"RB Bathara Kresna")</f>
        <v>0</v>
      </c>
      <c r="D69" s="12">
        <f>COUNTIFS(Database!$M$5:$M$376,"TETAP",Database!$W$5:$W$376,"RB Bathara Kresna")</f>
        <v>0</v>
      </c>
      <c r="E69" s="12">
        <f>COUNTIFS(Database!$M$5:$M$376,"PKWT",Database!$W$5:$W$376,"RB Bathara Kresna")</f>
        <v>0</v>
      </c>
      <c r="F69" s="16">
        <f t="shared" si="1"/>
        <v>0</v>
      </c>
      <c r="H69" s="34">
        <v>21</v>
      </c>
      <c r="I69" s="5" t="s">
        <v>94</v>
      </c>
      <c r="K69" s="34">
        <v>21</v>
      </c>
      <c r="L69" s="5">
        <v>225</v>
      </c>
      <c r="N69" s="31" t="s">
        <v>95</v>
      </c>
      <c r="O69" s="32">
        <v>642201127</v>
      </c>
      <c r="P69" s="33" t="s">
        <v>70</v>
      </c>
      <c r="Q69" s="33" t="s">
        <v>96</v>
      </c>
      <c r="R69" s="33" t="s">
        <v>72</v>
      </c>
    </row>
    <row r="70" spans="1:18" ht="15.75" customHeight="1" x14ac:dyDescent="0.3">
      <c r="A70" s="10">
        <v>35</v>
      </c>
      <c r="B70" s="27" t="s">
        <v>97</v>
      </c>
      <c r="C70" s="12">
        <f>COUNTIFS(Database!$M$5:$M$376,"ORGANIK",Database!$W$5:$W$376,"RB Lembah Anai")</f>
        <v>0</v>
      </c>
      <c r="D70" s="12">
        <f>COUNTIFS(Database!$M$5:$M$376,"TETAP",Database!$W$5:$W$376,"RB Lembah Anai")</f>
        <v>0</v>
      </c>
      <c r="E70" s="12">
        <f>COUNTIFS(Database!$M$5:$M$376,"PKWT",Database!$W$5:$W$376,"RB Lembah Anai")</f>
        <v>0</v>
      </c>
      <c r="F70" s="16">
        <f t="shared" si="1"/>
        <v>0</v>
      </c>
      <c r="H70" s="34">
        <v>22</v>
      </c>
      <c r="I70" s="5" t="s">
        <v>94</v>
      </c>
      <c r="K70" s="34">
        <v>22</v>
      </c>
      <c r="L70" s="5">
        <v>243</v>
      </c>
      <c r="N70" s="37" t="s">
        <v>98</v>
      </c>
      <c r="O70" s="36">
        <v>642301191</v>
      </c>
      <c r="P70" s="27" t="s">
        <v>70</v>
      </c>
      <c r="Q70" s="27" t="s">
        <v>99</v>
      </c>
      <c r="R70" s="27" t="s">
        <v>100</v>
      </c>
    </row>
    <row r="71" spans="1:18" ht="15.75" customHeight="1" x14ac:dyDescent="0.3">
      <c r="A71" s="14">
        <v>36</v>
      </c>
      <c r="B71" s="27" t="s">
        <v>101</v>
      </c>
      <c r="C71" s="12">
        <f>COUNTIFS(Database!$M$5:$M$376,"ORGANIK",Database!$W$5:$W$376,"rendal ppa")</f>
        <v>0</v>
      </c>
      <c r="D71" s="12">
        <f>COUNTIFS(Database!$M$5:$M$376,"TETAP",Database!$W$5:$W$376,"rendal ppa")</f>
        <v>0</v>
      </c>
      <c r="E71" s="12">
        <f>COUNTIFS(Database!$M$5:$M$376,"PKWT",Database!$W$5:$W$376,"rendal ppa")</f>
        <v>0</v>
      </c>
      <c r="F71" s="16">
        <f t="shared" si="1"/>
        <v>0</v>
      </c>
      <c r="H71" s="34">
        <v>23</v>
      </c>
      <c r="I71" s="5">
        <v>5</v>
      </c>
      <c r="K71" s="34">
        <v>23</v>
      </c>
      <c r="L71" s="5">
        <v>234</v>
      </c>
      <c r="N71" s="38" t="s">
        <v>102</v>
      </c>
      <c r="O71" s="32">
        <v>991500018</v>
      </c>
      <c r="P71" s="31" t="s">
        <v>75</v>
      </c>
      <c r="Q71" s="31" t="s">
        <v>83</v>
      </c>
      <c r="R71" s="38" t="s">
        <v>103</v>
      </c>
    </row>
    <row r="72" spans="1:18" ht="15.75" customHeight="1" x14ac:dyDescent="0.3">
      <c r="A72" s="10">
        <v>37</v>
      </c>
      <c r="B72" s="27" t="s">
        <v>104</v>
      </c>
      <c r="C72" s="12">
        <f>COUNTIFS(Database!$M$5:$M$376,"ORGANIK",Database!$W$5:$W$376,"SDM dan Umum")</f>
        <v>0</v>
      </c>
      <c r="D72" s="12">
        <f>COUNTIFS(Database!$M$5:$M$376,"TETAP",Database!$W$5:$W$376,"SDM dan Umum")</f>
        <v>0</v>
      </c>
      <c r="E72" s="12">
        <f>COUNTIFS(Database!$M$5:$M$376,"PKWT",Database!$W$5:$W$376,"SDM dan Umum")</f>
        <v>0</v>
      </c>
      <c r="F72" s="16">
        <f t="shared" si="1"/>
        <v>0</v>
      </c>
      <c r="H72" s="13"/>
      <c r="N72" s="37" t="s">
        <v>105</v>
      </c>
      <c r="O72" s="27">
        <v>991700061</v>
      </c>
      <c r="P72" s="37" t="s">
        <v>75</v>
      </c>
      <c r="Q72" s="27" t="s">
        <v>106</v>
      </c>
      <c r="R72" s="27" t="s">
        <v>81</v>
      </c>
    </row>
    <row r="73" spans="1:18" ht="15.75" customHeight="1" x14ac:dyDescent="0.3">
      <c r="A73" s="14">
        <v>38</v>
      </c>
      <c r="B73" s="27" t="s">
        <v>107</v>
      </c>
      <c r="C73" s="12">
        <f>COUNTIFS(Database!$M$5:$M$376,"ORGANIK",Database!$W$5:$W$376,"Sekper, Legal dan Tata Kelola")</f>
        <v>0</v>
      </c>
      <c r="D73" s="12">
        <f>COUNTIFS(Database!$M$5:$M$376,"TETAP",Database!$W$5:$W$376,"Sekper, Legal dan Tata Kelola")</f>
        <v>0</v>
      </c>
      <c r="E73" s="12">
        <f>COUNTIFS(Database!$M$5:$M$376,"PKWT",Database!$W$5:$W$376,"Sekper, Legal dan Tata Kelola")</f>
        <v>2</v>
      </c>
      <c r="F73" s="16">
        <f t="shared" si="1"/>
        <v>2</v>
      </c>
      <c r="H73" s="13"/>
      <c r="N73" s="31" t="s">
        <v>108</v>
      </c>
      <c r="O73" s="32">
        <v>642312142</v>
      </c>
      <c r="P73" s="33" t="s">
        <v>109</v>
      </c>
      <c r="Q73" s="33" t="s">
        <v>110</v>
      </c>
      <c r="R73" s="33" t="s">
        <v>111</v>
      </c>
    </row>
    <row r="74" spans="1:18" ht="15.75" customHeight="1" x14ac:dyDescent="0.3">
      <c r="A74" s="10">
        <v>39</v>
      </c>
      <c r="B74" s="27" t="s">
        <v>112</v>
      </c>
      <c r="C74" s="12">
        <f>COUNTIFS(Database!$M$5:$M$376,"ORGANIK",Database!$W$5:$W$376,"sipil")</f>
        <v>0</v>
      </c>
      <c r="D74" s="12">
        <f>COUNTIFS(Database!$M$5:$M$376,"TETAP",Database!$W$5:$W$376,"sipil")</f>
        <v>0</v>
      </c>
      <c r="E74" s="12">
        <f>COUNTIFS(Database!$M$5:$M$376,"PKWT",Database!$W$5:$W$376,"sipil")</f>
        <v>0</v>
      </c>
      <c r="F74" s="16">
        <f t="shared" si="1"/>
        <v>0</v>
      </c>
      <c r="H74" s="13"/>
      <c r="N74" s="37" t="s">
        <v>113</v>
      </c>
      <c r="O74" s="36">
        <v>642312143</v>
      </c>
      <c r="P74" s="27" t="s">
        <v>75</v>
      </c>
      <c r="Q74" s="27" t="s">
        <v>83</v>
      </c>
      <c r="R74" s="27" t="s">
        <v>114</v>
      </c>
    </row>
    <row r="75" spans="1:18" ht="15.75" customHeight="1" x14ac:dyDescent="0.3">
      <c r="A75" s="14">
        <v>40</v>
      </c>
      <c r="B75" s="27" t="s">
        <v>115</v>
      </c>
      <c r="C75" s="12">
        <f>COUNTIFS(Database!$M$5:$M$376,"ORGANIK",Database!$W$5:$W$376,"smk3")</f>
        <v>0</v>
      </c>
      <c r="D75" s="12">
        <f>COUNTIFS(Database!$M$5:$M$376,"TETAP",Database!$W$5:$W$376,"smk3")</f>
        <v>0</v>
      </c>
      <c r="E75" s="12">
        <f>COUNTIFS(Database!$M$5:$M$376,"PKWT",Database!$W$5:$W$376,"smk3")</f>
        <v>0</v>
      </c>
      <c r="F75" s="16">
        <f t="shared" si="1"/>
        <v>0</v>
      </c>
      <c r="H75" s="13"/>
    </row>
    <row r="76" spans="1:18" ht="15.75" customHeight="1" x14ac:dyDescent="0.3">
      <c r="A76" s="10">
        <v>41</v>
      </c>
      <c r="B76" s="27" t="s">
        <v>116</v>
      </c>
      <c r="C76" s="12">
        <f>COUNTIFS(Database!$M$5:$M$376,"ORGANIK",Database!$W$5:$W$376,"spi")</f>
        <v>0</v>
      </c>
      <c r="D76" s="12">
        <f>COUNTIFS(Database!$M$5:$M$376,"TETAP",Database!$W$5:$W$376,"spi")</f>
        <v>0</v>
      </c>
      <c r="E76" s="12">
        <f>COUNTIFS(Database!$M$5:$M$376,"PKWT",Database!$W$5:$W$376,"spi")</f>
        <v>0</v>
      </c>
      <c r="F76" s="16">
        <f t="shared" si="1"/>
        <v>0</v>
      </c>
      <c r="H76" s="13"/>
    </row>
    <row r="77" spans="1:18" ht="15.75" customHeight="1" x14ac:dyDescent="0.3">
      <c r="A77" s="14">
        <v>42</v>
      </c>
      <c r="B77" s="27" t="s">
        <v>117</v>
      </c>
      <c r="C77" s="12">
        <f>COUNTIFS(Database!$M$5:$M$376,"ORGANIK",Database!$W$5:$W$376,"ta bias")</f>
        <v>0</v>
      </c>
      <c r="D77" s="12">
        <f>COUNTIFS(Database!$M$5:$M$376,"TETAP",Database!$W$5:$W$376,"ta bias")</f>
        <v>0</v>
      </c>
      <c r="E77" s="12">
        <f>COUNTIFS(Database!$M$5:$M$376,"PKWT",Database!$W$5:$W$376,"ta bias")</f>
        <v>0</v>
      </c>
      <c r="F77" s="16">
        <f t="shared" si="1"/>
        <v>0</v>
      </c>
      <c r="H77" s="13"/>
    </row>
    <row r="78" spans="1:18" ht="15.75" customHeight="1" x14ac:dyDescent="0.3">
      <c r="A78" s="10">
        <v>43</v>
      </c>
      <c r="B78" s="27" t="s">
        <v>118</v>
      </c>
      <c r="C78" s="12">
        <f>COUNTIFS(Database!$M$5:$M$376,"ORGANIK",Database!$W$5:$W$376,"teklog")</f>
        <v>0</v>
      </c>
      <c r="D78" s="12">
        <f>COUNTIFS(Database!$M$5:$M$376,"TETAP",Database!$W$5:$W$376,"teklog")</f>
        <v>0</v>
      </c>
      <c r="E78" s="12">
        <f>COUNTIFS(Database!$M$5:$M$376,"PKWT",Database!$W$5:$W$376,"teklog")</f>
        <v>0</v>
      </c>
      <c r="F78" s="16">
        <f t="shared" si="1"/>
        <v>0</v>
      </c>
      <c r="H78" s="13"/>
    </row>
    <row r="79" spans="1:18" ht="15.75" customHeight="1" x14ac:dyDescent="0.3">
      <c r="A79" s="14">
        <v>44</v>
      </c>
      <c r="B79" s="27" t="s">
        <v>119</v>
      </c>
      <c r="C79" s="12">
        <f>COUNTIFS(Database!$M$5:$M$376,"ORGANIK",Database!$W$5:$W$376,"Teknik")</f>
        <v>0</v>
      </c>
      <c r="D79" s="12">
        <f>COUNTIFS(Database!$M$5:$M$376,"TETAP",Database!$W$5:$W$376,"Teknik")</f>
        <v>0</v>
      </c>
      <c r="E79" s="12">
        <f>COUNTIFS(Database!$M$5:$M$376,"PKWT",Database!$W$5:$W$376,"Teknik")</f>
        <v>8</v>
      </c>
      <c r="F79" s="16">
        <f t="shared" si="1"/>
        <v>8</v>
      </c>
      <c r="H79" s="13"/>
    </row>
    <row r="80" spans="1:18" ht="15.75" customHeight="1" x14ac:dyDescent="0.3">
      <c r="A80" s="10">
        <v>45</v>
      </c>
      <c r="B80" s="27" t="s">
        <v>120</v>
      </c>
      <c r="C80" s="12">
        <f>COUNTIFS(Database!$M$5:$M$376,"ORGANIK",Database!$W$5:$W$376,"Teknik dan Logistik")</f>
        <v>0</v>
      </c>
      <c r="D80" s="12">
        <f>COUNTIFS(Database!$M$5:$M$376,"TETAP",Database!$W$5:$W$376,"Teknik dan Logistik")</f>
        <v>0</v>
      </c>
      <c r="E80" s="12">
        <f>COUNTIFS(Database!$M$5:$M$376,"PKWT",Database!$W$5:$W$376,"Teknik dan Logistik")</f>
        <v>0</v>
      </c>
      <c r="F80" s="16">
        <f t="shared" si="1"/>
        <v>0</v>
      </c>
      <c r="H80" s="13"/>
    </row>
    <row r="81" spans="1:8" ht="15.75" customHeight="1" x14ac:dyDescent="0.3">
      <c r="A81" s="14">
        <v>46</v>
      </c>
      <c r="B81" s="27" t="s">
        <v>121</v>
      </c>
      <c r="C81" s="12">
        <f>COUNTIFS(Database!$M$5:$M$376,"ORGANIK",Database!$W$5:$W$376,"Wilayah I")</f>
        <v>0</v>
      </c>
      <c r="D81" s="12">
        <f>COUNTIFS(Database!$M$5:$M$376,"TETAP",Database!$W$5:$W$376,"Wilayah I")</f>
        <v>0</v>
      </c>
      <c r="E81" s="12">
        <f>COUNTIFS(Database!$M$5:$M$376,"PKWT",Database!$W$5:$W$376,"Wilayah I")</f>
        <v>12</v>
      </c>
      <c r="F81" s="16">
        <f t="shared" si="1"/>
        <v>12</v>
      </c>
      <c r="H81" s="13"/>
    </row>
    <row r="82" spans="1:8" ht="15.75" customHeight="1" x14ac:dyDescent="0.3">
      <c r="A82" s="10">
        <v>47</v>
      </c>
      <c r="B82" s="27" t="s">
        <v>122</v>
      </c>
      <c r="C82" s="12">
        <f>COUNTIFS(Database!$M$5:$M$376,"ORGANIK",Database!$W$5:$W$376,"Wilayah II")</f>
        <v>0</v>
      </c>
      <c r="D82" s="12">
        <f>COUNTIFS(Database!$M$5:$M$376,"TETAP",Database!$W$5:$W$376,"Wilayah II")</f>
        <v>0</v>
      </c>
      <c r="E82" s="12">
        <f>COUNTIFS(Database!$M$5:$M$376,"PKWT",Database!$W$5:$W$376,"Wilayah II")</f>
        <v>0</v>
      </c>
      <c r="F82" s="16">
        <f t="shared" si="1"/>
        <v>0</v>
      </c>
      <c r="H82" s="13"/>
    </row>
    <row r="83" spans="1:8" ht="15.75" customHeight="1" x14ac:dyDescent="0.3">
      <c r="A83" s="14">
        <v>48</v>
      </c>
      <c r="B83" s="27" t="s">
        <v>123</v>
      </c>
      <c r="C83" s="12">
        <f>COUNTIFS(Database!$M$5:$M$376,"ORGANIK",Database!$W$5:$W$376,"Aftersales 612 Jakarta")</f>
        <v>0</v>
      </c>
      <c r="D83" s="12">
        <f>COUNTIFS(Database!$M$5:$M$376,"TETAP",Database!$W$5:$W$376,"Aftersales 612 Jakarta")</f>
        <v>0</v>
      </c>
      <c r="E83" s="12">
        <f>COUNTIFS(Database!$M$5:$M$376,"PKWT",Database!$W$5:$W$376,"Aftersales 612 Jakarta")</f>
        <v>0</v>
      </c>
      <c r="F83" s="16">
        <f t="shared" si="1"/>
        <v>0</v>
      </c>
      <c r="H83" s="13"/>
    </row>
    <row r="84" spans="1:8" ht="15.75" customHeight="1" x14ac:dyDescent="0.3">
      <c r="A84" s="10">
        <v>49</v>
      </c>
      <c r="B84" s="13" t="s">
        <v>124</v>
      </c>
      <c r="C84" s="12">
        <f>COUNTIFS(Database!$M$5:$M$376,"ORGANIK",Database!$W$5:$W$376,"LRT Jabo VM Helper Testing")</f>
        <v>0</v>
      </c>
      <c r="D84" s="12">
        <f>COUNTIFS(Database!$M$5:$M$376,"TETAP",Database!$W$5:$W$376,"LRT Jabo VM Helper Testing")</f>
        <v>0</v>
      </c>
      <c r="E84" s="12">
        <f>COUNTIFS(Database!$M$5:$M$376,"PKWT",Database!$W$5:$W$376,"LRT Jabo VM Helper Testing")</f>
        <v>0</v>
      </c>
      <c r="F84" s="16">
        <f t="shared" si="1"/>
        <v>0</v>
      </c>
      <c r="H84" s="13"/>
    </row>
    <row r="85" spans="1:8" ht="15.75" customHeight="1" x14ac:dyDescent="0.3">
      <c r="A85" s="14">
        <v>50</v>
      </c>
      <c r="B85" s="27" t="s">
        <v>125</v>
      </c>
      <c r="C85" s="12">
        <f>COUNTIFS(Database!$M$5:$M$376,"ORGANIK",Database!$W$5:$W$376,"SMN loko Administrasi")</f>
        <v>0</v>
      </c>
      <c r="D85" s="12">
        <f>COUNTIFS(Database!$M$5:$M$376,"TETAP",Database!$W$5:$W$376,"SMN loko Administrasi")</f>
        <v>0</v>
      </c>
      <c r="E85" s="12">
        <f>COUNTIFS(Database!$M$5:$M$376,"PKWT",Database!$W$5:$W$376,"SMN loko Administrasi")</f>
        <v>0</v>
      </c>
      <c r="F85" s="16">
        <f t="shared" si="1"/>
        <v>0</v>
      </c>
      <c r="H85" s="13"/>
    </row>
    <row r="86" spans="1:8" ht="15.75" customHeight="1" x14ac:dyDescent="0.3">
      <c r="A86" s="10">
        <v>51</v>
      </c>
      <c r="B86" s="27" t="s">
        <v>126</v>
      </c>
      <c r="C86" s="12">
        <f>COUNTIFS(Database!$M$5:$M$376,"ORGANIK",Database!$W$5:$W$376,"SMN Loko Jakarta")</f>
        <v>0</v>
      </c>
      <c r="D86" s="12">
        <f>COUNTIFS(Database!$M$5:$M$376,"TETAP",Database!$W$5:$W$376,"SMN Loko Jakarta")</f>
        <v>0</v>
      </c>
      <c r="E86" s="12">
        <f>COUNTIFS(Database!$M$5:$M$376,"PKWT",Database!$W$5:$W$376,"SMN Loko Jakarta")</f>
        <v>0</v>
      </c>
      <c r="F86" s="16">
        <f t="shared" si="1"/>
        <v>0</v>
      </c>
      <c r="H86" s="13"/>
    </row>
    <row r="87" spans="1:8" ht="15.75" customHeight="1" x14ac:dyDescent="0.3">
      <c r="A87" s="14">
        <v>52</v>
      </c>
      <c r="B87" s="27" t="s">
        <v>127</v>
      </c>
      <c r="C87" s="12">
        <f>COUNTIFS(Database!$M$5:$M$376,"ORGANIK",Database!$W$5:$W$376,"SMN Loko Lampung")</f>
        <v>0</v>
      </c>
      <c r="D87" s="12">
        <f>COUNTIFS(Database!$M$5:$M$376,"TETAP",Database!$W$5:$W$376,"SMN Loko Lampung")</f>
        <v>0</v>
      </c>
      <c r="E87" s="12">
        <f>COUNTIFS(Database!$M$5:$M$376,"PKWT",Database!$W$5:$W$376,"SMN Loko Lampung")</f>
        <v>2</v>
      </c>
      <c r="F87" s="16">
        <f t="shared" si="1"/>
        <v>2</v>
      </c>
      <c r="H87" s="13"/>
    </row>
    <row r="88" spans="1:8" ht="15.75" customHeight="1" x14ac:dyDescent="0.3">
      <c r="A88" s="10">
        <v>53</v>
      </c>
      <c r="B88" s="27" t="s">
        <v>128</v>
      </c>
      <c r="C88" s="12">
        <f>COUNTIFS(Database!$M$5:$M$376,"ORGANIK",Database!$W$5:$W$376,"SMN Loko Medan")</f>
        <v>0</v>
      </c>
      <c r="D88" s="12">
        <f>COUNTIFS(Database!$M$5:$M$376,"TETAP",Database!$W$5:$W$376,"SMN Loko Medan")</f>
        <v>0</v>
      </c>
      <c r="E88" s="12">
        <f>COUNTIFS(Database!$M$5:$M$376,"PKWT",Database!$W$5:$W$376,"SMN Loko Medan")</f>
        <v>1</v>
      </c>
      <c r="F88" s="16">
        <f t="shared" si="1"/>
        <v>1</v>
      </c>
      <c r="H88" s="13"/>
    </row>
    <row r="89" spans="1:8" ht="15.75" customHeight="1" x14ac:dyDescent="0.3">
      <c r="A89" s="14">
        <v>54</v>
      </c>
      <c r="B89" s="27" t="s">
        <v>129</v>
      </c>
      <c r="C89" s="12">
        <f>COUNTIFS(Database!$M$5:$M$376,"ORGANIK",Database!$W$5:$W$376,"SMN Loko Purwodadi")</f>
        <v>0</v>
      </c>
      <c r="D89" s="12">
        <f>COUNTIFS(Database!$M$5:$M$376,"TETAP",Database!$W$5:$W$376,"SMN Loko Purwodadi")</f>
        <v>0</v>
      </c>
      <c r="E89" s="12">
        <f>COUNTIFS(Database!$M$5:$M$376,"PKWT",Database!$W$5:$W$376,"SMN Loko Purwodadi")</f>
        <v>5</v>
      </c>
      <c r="F89" s="16">
        <f t="shared" si="1"/>
        <v>5</v>
      </c>
      <c r="H89" s="13"/>
    </row>
    <row r="90" spans="1:8" ht="15.75" customHeight="1" x14ac:dyDescent="0.3">
      <c r="A90" s="10">
        <v>55</v>
      </c>
      <c r="B90" s="27" t="s">
        <v>130</v>
      </c>
      <c r="C90" s="12">
        <f>COUNTIFS(Database!$M$5:$M$376,"ORGANIK",Database!$W$5:$W$376,"STRUKTURAL &amp; FUNGSIONAL")</f>
        <v>0</v>
      </c>
      <c r="D90" s="12">
        <f>COUNTIFS(Database!$M$5:$M$376,"TETAP",Database!$W$5:$W$376,"STRUKTURAL &amp; FUNGSIONAL")</f>
        <v>0</v>
      </c>
      <c r="E90" s="12">
        <f>COUNTIFS(Database!$M$5:$M$376,"PKWT",Database!$W$5:$W$376,"STRUKTURAL &amp; FUNGSIONAL")</f>
        <v>0</v>
      </c>
      <c r="F90" s="16">
        <f t="shared" si="1"/>
        <v>0</v>
      </c>
      <c r="H90" s="13"/>
    </row>
    <row r="91" spans="1:8" ht="15.75" customHeight="1" x14ac:dyDescent="0.3">
      <c r="C91" s="1"/>
      <c r="D91" s="1"/>
      <c r="E91" s="1"/>
      <c r="F91" s="1">
        <f>SUM(F36:F90)</f>
        <v>95</v>
      </c>
      <c r="G91" s="1"/>
      <c r="H91" s="13"/>
    </row>
    <row r="92" spans="1:8" ht="15.75" customHeight="1" x14ac:dyDescent="0.3">
      <c r="C92" s="1"/>
      <c r="D92" s="1"/>
      <c r="E92" s="1"/>
      <c r="F92" s="1"/>
      <c r="G92" s="1"/>
      <c r="H92" s="13"/>
    </row>
    <row r="93" spans="1:8" ht="15.75" customHeight="1" x14ac:dyDescent="0.3">
      <c r="A93" s="6" t="s">
        <v>131</v>
      </c>
      <c r="C93" s="1"/>
      <c r="D93" s="1"/>
      <c r="E93" s="1"/>
      <c r="F93" s="1"/>
      <c r="G93" s="1"/>
      <c r="H93" s="13"/>
    </row>
    <row r="94" spans="1:8" ht="15.75" customHeight="1" x14ac:dyDescent="0.3">
      <c r="A94" s="25" t="s">
        <v>7</v>
      </c>
      <c r="B94" s="25" t="s">
        <v>9</v>
      </c>
      <c r="C94" s="25" t="s">
        <v>132</v>
      </c>
      <c r="D94" s="25" t="s">
        <v>133</v>
      </c>
      <c r="E94" s="9" t="s">
        <v>134</v>
      </c>
      <c r="F94" s="39"/>
      <c r="G94" s="40"/>
      <c r="H94" s="13"/>
    </row>
    <row r="95" spans="1:8" ht="15.75" customHeight="1" x14ac:dyDescent="0.3">
      <c r="A95" s="12">
        <v>1</v>
      </c>
      <c r="B95" s="10" t="s">
        <v>11</v>
      </c>
      <c r="C95" s="122">
        <f>COUNTIFS(Database!$M$5:$M$376,"Direksi",Database!$AB$5:$AB$376,"Laki-laki")</f>
        <v>0</v>
      </c>
      <c r="D95" s="122">
        <f>COUNTIFS(Database!$M$5:$M$376,"Direksi",Database!$AB$5:$AB$376,"Perempuan")</f>
        <v>0</v>
      </c>
      <c r="E95" s="12">
        <f>SUM(C95:D95)</f>
        <v>0</v>
      </c>
      <c r="F95" s="1"/>
      <c r="G95" s="1"/>
      <c r="H95" s="13"/>
    </row>
    <row r="96" spans="1:8" ht="15.75" customHeight="1" x14ac:dyDescent="0.3">
      <c r="A96" s="16">
        <v>2</v>
      </c>
      <c r="B96" s="14" t="s">
        <v>12</v>
      </c>
      <c r="C96" s="122">
        <f>COUNTIFS(Database!$M$5:$M$376,"ORGANIK",Database!$AB$5:$AB$376,"Laki-laki")</f>
        <v>0</v>
      </c>
      <c r="D96" s="122">
        <f>COUNTIFS(Database!$M$5:$M$376,"ORGANIK",Database!$AB$5:$AB$376,"Perempuan")</f>
        <v>0</v>
      </c>
      <c r="E96" s="16">
        <f>SUM(C96:D96)</f>
        <v>0</v>
      </c>
      <c r="F96" s="1"/>
      <c r="G96" s="1"/>
    </row>
    <row r="97" spans="1:10" ht="15.75" customHeight="1" x14ac:dyDescent="0.3">
      <c r="A97" s="16">
        <v>3</v>
      </c>
      <c r="B97" s="14" t="s">
        <v>13</v>
      </c>
      <c r="C97" s="122">
        <f>COUNTIFS(Database!$M$5:$M$376,"TETAP",Database!$AB$5:$AB$376,"Laki-laki")</f>
        <v>0</v>
      </c>
      <c r="D97" s="122">
        <f>COUNTIFS(Database!$M$5:$M$376,"TETAP",Database!$AB$5:$AB$376,"Perempuan")</f>
        <v>0</v>
      </c>
      <c r="E97" s="16">
        <f>SUM(C97:D97)</f>
        <v>0</v>
      </c>
      <c r="F97" s="1"/>
      <c r="G97" s="1"/>
    </row>
    <row r="98" spans="1:10" ht="15.75" customHeight="1" x14ac:dyDescent="0.3">
      <c r="A98" s="16">
        <v>5</v>
      </c>
      <c r="B98" s="14" t="s">
        <v>135</v>
      </c>
      <c r="C98" s="122">
        <f>COUNTIFS(Database!$M$5:$M$376,"PKWT",Database!$AB$5:$AB$376,"Laki-laki")</f>
        <v>288</v>
      </c>
      <c r="D98" s="122">
        <f>COUNTIFS(Database!$M$5:$M$376,"PKWT",Database!$AB$5:$AB$376,"Perempuan")</f>
        <v>10</v>
      </c>
      <c r="E98" s="16">
        <f>SUM(C98:D98)</f>
        <v>298</v>
      </c>
      <c r="F98" s="1"/>
      <c r="G98" s="1"/>
    </row>
    <row r="99" spans="1:10" ht="15.75" customHeight="1" x14ac:dyDescent="0.3">
      <c r="A99" s="9"/>
      <c r="B99" s="9" t="s">
        <v>134</v>
      </c>
      <c r="C99" s="9">
        <f>SUM(C95:C98)</f>
        <v>288</v>
      </c>
      <c r="D99" s="9">
        <f>SUM(D95:D98)</f>
        <v>10</v>
      </c>
      <c r="E99" s="9">
        <f>C99+D99</f>
        <v>298</v>
      </c>
      <c r="F99" s="39"/>
      <c r="G99" s="39"/>
      <c r="H99" s="6"/>
    </row>
    <row r="100" spans="1:10" ht="15.75" customHeight="1" x14ac:dyDescent="0.3">
      <c r="C100" s="1"/>
      <c r="D100" s="1"/>
      <c r="E100" s="1"/>
      <c r="F100" s="1"/>
      <c r="G100" s="1"/>
    </row>
    <row r="101" spans="1:10" ht="15.75" customHeight="1" x14ac:dyDescent="0.3">
      <c r="A101" s="6" t="s">
        <v>136</v>
      </c>
      <c r="C101" s="1"/>
      <c r="D101" s="1"/>
      <c r="E101" s="1"/>
      <c r="F101" s="1"/>
      <c r="G101" s="1"/>
    </row>
    <row r="102" spans="1:10" ht="15.75" customHeight="1" x14ac:dyDescent="0.3">
      <c r="A102" s="41" t="s">
        <v>7</v>
      </c>
      <c r="B102" s="41" t="s">
        <v>9</v>
      </c>
      <c r="C102" s="41" t="s">
        <v>132</v>
      </c>
      <c r="D102" s="41" t="s">
        <v>133</v>
      </c>
      <c r="E102" s="42" t="s">
        <v>134</v>
      </c>
      <c r="F102" s="39"/>
      <c r="G102" s="40"/>
      <c r="H102" s="40"/>
    </row>
    <row r="103" spans="1:10" ht="15.75" customHeight="1" x14ac:dyDescent="0.3">
      <c r="A103" s="12">
        <v>1</v>
      </c>
      <c r="B103" s="27" t="s">
        <v>11</v>
      </c>
      <c r="C103" s="122">
        <f>COUNTIFS(Database!$N$5:$N$376,"IMSS",Database!$AB$5:$AB$376,"Laki-laki",Database!$R$5:$R$376,"Direksi")</f>
        <v>0</v>
      </c>
      <c r="D103" s="122">
        <f>COUNTIFS(Database!$N$5:$N$376,"IMSS",Database!$AB$5:$AB$376,"Perempuan",Database!$R$5:$R$376,"Direksi")</f>
        <v>0</v>
      </c>
      <c r="E103" s="12">
        <f t="shared" ref="E103:E109" si="2">SUM(C103:D103)</f>
        <v>0</v>
      </c>
      <c r="F103" s="27"/>
      <c r="G103" s="1"/>
      <c r="H103" s="123">
        <v>4050</v>
      </c>
      <c r="I103" s="7">
        <v>3</v>
      </c>
      <c r="J103" s="7">
        <f>H103/I103</f>
        <v>1350</v>
      </c>
    </row>
    <row r="104" spans="1:10" ht="15.75" customHeight="1" x14ac:dyDescent="0.3">
      <c r="A104" s="16">
        <v>2</v>
      </c>
      <c r="B104" s="27" t="s">
        <v>137</v>
      </c>
      <c r="C104" s="122">
        <f>COUNTIFS(Database!$N$5:$N$376,"IMSS",Database!$AB$5:$AB$376,"Laki-laki",Database!$R$5:$R$376,"Kepala Departemen")</f>
        <v>4</v>
      </c>
      <c r="D104" s="122">
        <f>COUNTIFS(Database!$N$5:$N$376,"IMSS",Database!$AB$5:$AB$376,"Perempuan",Database!$R$5:$R$376,"Kepala Departemen")</f>
        <v>3</v>
      </c>
      <c r="E104" s="12">
        <f t="shared" si="2"/>
        <v>7</v>
      </c>
      <c r="F104" s="27"/>
      <c r="G104" s="1"/>
    </row>
    <row r="105" spans="1:10" ht="15.75" customHeight="1" x14ac:dyDescent="0.3">
      <c r="A105" s="12">
        <v>3</v>
      </c>
      <c r="B105" s="27" t="s">
        <v>138</v>
      </c>
      <c r="C105" s="122">
        <f>COUNTIFS(Database!$N$5:$N$376,"IMSS",Database!$AB$5:$AB$376,"Laki-laki",Database!$R$5:$R$376,"Kepala Bagian")</f>
        <v>2</v>
      </c>
      <c r="D105" s="122">
        <f>COUNTIFS(Database!$N$5:$N$376,"IMSS",Database!$AB$5:$AB$376,"Perempuan",Database!$R$5:$R$376,"Kepala Bagian")</f>
        <v>1</v>
      </c>
      <c r="E105" s="12">
        <f t="shared" si="2"/>
        <v>3</v>
      </c>
      <c r="F105" s="27"/>
      <c r="G105" s="1"/>
    </row>
    <row r="106" spans="1:10" ht="15.75" customHeight="1" x14ac:dyDescent="0.3">
      <c r="A106" s="12">
        <v>4</v>
      </c>
      <c r="B106" s="27" t="s">
        <v>139</v>
      </c>
      <c r="C106" s="122">
        <f>COUNTIFS(Database!$N$5:$N$376,"IMSS",Database!$AB$5:$AB$376,"Laki-laki",Database!$R$5:$R$376,"Staff")</f>
        <v>23</v>
      </c>
      <c r="D106" s="122">
        <f>COUNTIFS(Database!$N$5:$N$376,"IMSS",Database!$AB$5:$AB$376,"Perempuan",Database!$R$5:$R$376,"Staff")</f>
        <v>14</v>
      </c>
      <c r="E106" s="12">
        <f t="shared" si="2"/>
        <v>37</v>
      </c>
      <c r="F106" s="27"/>
      <c r="G106" s="1"/>
    </row>
    <row r="107" spans="1:10" ht="15.75" customHeight="1" x14ac:dyDescent="0.3">
      <c r="A107" s="16">
        <v>5</v>
      </c>
      <c r="B107" s="27" t="s">
        <v>140</v>
      </c>
      <c r="C107" s="122">
        <f>COUNTIFS(Database!$N$5:$N$376,"IMSS",Database!$AB$5:$AB$376,"Laki-laki",Database!$R$5:$R$376,"Leader")</f>
        <v>0</v>
      </c>
      <c r="D107" s="122">
        <f>COUNTIFS(Database!$N$5:$N$376,"IMSS",Database!$AB$5:$AB$376,"Perempuan",Database!$R$5:$R$376,"Leader")</f>
        <v>0</v>
      </c>
      <c r="E107" s="12">
        <f t="shared" si="2"/>
        <v>0</v>
      </c>
      <c r="F107" s="27"/>
      <c r="G107" s="1"/>
    </row>
    <row r="108" spans="1:10" ht="15.75" customHeight="1" x14ac:dyDescent="0.3">
      <c r="A108" s="12">
        <v>6</v>
      </c>
      <c r="B108" s="27" t="s">
        <v>141</v>
      </c>
      <c r="C108" s="122">
        <f>COUNTIFS(Database!$N$5:$N$376,"IMSS",Database!$AB$5:$AB$376,"Laki-laki",Database!$R$5:$R$376,"Pelaksana")</f>
        <v>0</v>
      </c>
      <c r="D108" s="122">
        <f>COUNTIFS(Database!$N$5:$N$376,"IMSS",Database!$AB$5:$AB$376,"Perempuan",Database!$R$5:$R$376,"Pelaksana")</f>
        <v>0</v>
      </c>
      <c r="E108" s="12">
        <f t="shared" si="2"/>
        <v>0</v>
      </c>
      <c r="F108" s="27"/>
      <c r="G108" s="1"/>
    </row>
    <row r="109" spans="1:10" ht="15.75" customHeight="1" x14ac:dyDescent="0.3">
      <c r="A109" s="12">
        <v>7</v>
      </c>
      <c r="B109" s="27" t="s">
        <v>142</v>
      </c>
      <c r="C109" s="122">
        <f>COUNTIFS(Database!$N$5:$N$376,"IMSS",Database!$AB$5:$AB$376,"Laki-laki",Database!$R$5:$R$376,"Kepala Divisi")</f>
        <v>2</v>
      </c>
      <c r="D109" s="122">
        <f>COUNTIFS(Database!$N$5:$N$376,"IMSS",Database!$AB$5:$AB$376,"Perempuan",Database!$R$5:$R$376,"Kepala Divisi")</f>
        <v>0</v>
      </c>
      <c r="E109" s="12">
        <f t="shared" si="2"/>
        <v>2</v>
      </c>
      <c r="F109" s="27"/>
      <c r="G109" s="1"/>
    </row>
    <row r="110" spans="1:10" ht="15.75" customHeight="1" x14ac:dyDescent="0.3">
      <c r="A110" s="9"/>
      <c r="B110" s="9" t="s">
        <v>134</v>
      </c>
      <c r="C110" s="9">
        <f>SUM(C104:C109)</f>
        <v>31</v>
      </c>
      <c r="D110" s="9">
        <f>SUM(D104:D109)</f>
        <v>18</v>
      </c>
      <c r="E110" s="9">
        <f>SUM(E103:E109)</f>
        <v>49</v>
      </c>
      <c r="F110" s="39"/>
      <c r="G110" s="39"/>
      <c r="H110" s="6"/>
    </row>
    <row r="111" spans="1:10" ht="15.75" customHeight="1" x14ac:dyDescent="0.3">
      <c r="C111" s="1"/>
      <c r="D111" s="1"/>
      <c r="E111" s="1"/>
      <c r="F111" s="1"/>
      <c r="G111" s="1"/>
    </row>
    <row r="112" spans="1:10" ht="15.75" customHeight="1" x14ac:dyDescent="0.3">
      <c r="A112" s="6" t="s">
        <v>143</v>
      </c>
      <c r="C112" s="1"/>
      <c r="D112" s="1"/>
      <c r="E112" s="1"/>
      <c r="F112" s="1"/>
      <c r="G112" s="1"/>
    </row>
    <row r="113" spans="1:8" ht="15.75" customHeight="1" x14ac:dyDescent="0.3">
      <c r="A113" s="41" t="s">
        <v>7</v>
      </c>
      <c r="B113" s="41" t="s">
        <v>9</v>
      </c>
      <c r="C113" s="41" t="s">
        <v>132</v>
      </c>
      <c r="D113" s="41" t="s">
        <v>133</v>
      </c>
      <c r="E113" s="42" t="s">
        <v>134</v>
      </c>
      <c r="F113" s="39"/>
      <c r="G113" s="40"/>
      <c r="H113" s="40"/>
    </row>
    <row r="114" spans="1:8" ht="15.75" customHeight="1" x14ac:dyDescent="0.3">
      <c r="A114" s="12">
        <v>1</v>
      </c>
      <c r="B114" s="27" t="s">
        <v>144</v>
      </c>
      <c r="C114" s="122">
        <f>COUNTIFS(Database!$N$5:$N$376,"IMSS",Database!$AB$5:$AB$376,"Laki-laki",Database!$X$5:$X$376,"Maintenance Repair Overhaul")</f>
        <v>0</v>
      </c>
      <c r="D114" s="122">
        <f>COUNTIFS(Database!$N$5:$N$376,"IMSS",Database!$AB$5:$AB$376,"Perempuan",Database!$X$5:$X$376,"Maintenance Repair Overhaul")</f>
        <v>0</v>
      </c>
      <c r="E114" s="12">
        <f t="shared" ref="E114:E123" si="3">SUM(C114:D114)</f>
        <v>0</v>
      </c>
      <c r="F114" s="27"/>
      <c r="G114" s="1"/>
      <c r="H114" s="123"/>
    </row>
    <row r="115" spans="1:8" ht="15.75" customHeight="1" x14ac:dyDescent="0.3">
      <c r="A115" s="16">
        <v>2</v>
      </c>
      <c r="B115" s="27" t="s">
        <v>59</v>
      </c>
      <c r="C115" s="122">
        <f>COUNTIFS(Database!$N$5:$N$376,"IMSS",Database!$AB$5:$AB$376,"Laki-laki",Database!$X$5:$X$376,"PEMASARAN")</f>
        <v>7</v>
      </c>
      <c r="D115" s="122">
        <f>COUNTIFS(Database!$N$5:$N$376,"IMSS",Database!$AB$5:$AB$376,"Perempuan",Database!$X$5:$X$376,"PEMASARAN")</f>
        <v>2</v>
      </c>
      <c r="E115" s="16">
        <f t="shared" si="3"/>
        <v>9</v>
      </c>
      <c r="F115" s="27"/>
      <c r="G115" s="1"/>
    </row>
    <row r="116" spans="1:8" ht="15.75" customHeight="1" x14ac:dyDescent="0.3">
      <c r="A116" s="12">
        <v>3</v>
      </c>
      <c r="B116" s="27" t="s">
        <v>104</v>
      </c>
      <c r="C116" s="122">
        <f>COUNTIFS(Database!$N$5:$N$376,"IMSS",Database!$AB$5:$AB$376,"Laki-laki",Database!$X$5:$X$376,"SDM dan Umum")</f>
        <v>0</v>
      </c>
      <c r="D116" s="122">
        <f>COUNTIFS(Database!$N$5:$N$376,"IMSS",Database!$AB$5:$AB$376,"Perempuan",Database!$X$5:$X$376,"SDM dan Umum")</f>
        <v>0</v>
      </c>
      <c r="E116" s="16">
        <f t="shared" si="3"/>
        <v>0</v>
      </c>
      <c r="F116" s="27"/>
      <c r="G116" s="1"/>
    </row>
    <row r="117" spans="1:8" ht="15.75" customHeight="1" x14ac:dyDescent="0.3">
      <c r="A117" s="16">
        <v>4</v>
      </c>
      <c r="B117" s="27" t="s">
        <v>107</v>
      </c>
      <c r="C117" s="122">
        <f>COUNTIFS(Database!$N$5:$N$376,"IMSS",Database!$AB$5:$AB$376,"Laki-laki",Database!$X$5:$X$376,"Sekper, Legal dan Tata Kelola")</f>
        <v>2</v>
      </c>
      <c r="D117" s="122">
        <f>COUNTIFS(Database!$N$5:$N$376,"IMSS",Database!$AB$5:$AB$376,"Perempuan",Database!$X$5:$X$376,"Sekper, Legal dan Tata Kelola")</f>
        <v>2</v>
      </c>
      <c r="E117" s="16">
        <f t="shared" si="3"/>
        <v>4</v>
      </c>
      <c r="F117" s="27"/>
      <c r="G117" s="1"/>
    </row>
    <row r="118" spans="1:8" ht="15.75" customHeight="1" x14ac:dyDescent="0.3">
      <c r="A118" s="12">
        <v>5</v>
      </c>
      <c r="B118" s="27" t="s">
        <v>115</v>
      </c>
      <c r="C118" s="122">
        <f>COUNTIFS(Database!$N$5:$N$376,"IMSS",Database!$AB$5:$AB$376,"Laki-laki",Database!$X$5:$X$376,"SMK3")</f>
        <v>0</v>
      </c>
      <c r="D118" s="122">
        <f>COUNTIFS(Database!$N$5:$N$376,"IMSS",Database!$AB$5:$AB$376,"Perempuan",Database!$X$5:$X$376,"SMK3")</f>
        <v>0</v>
      </c>
      <c r="E118" s="16">
        <f t="shared" si="3"/>
        <v>0</v>
      </c>
      <c r="F118" s="27"/>
      <c r="G118" s="1"/>
    </row>
    <row r="119" spans="1:8" ht="15.75" customHeight="1" x14ac:dyDescent="0.3">
      <c r="A119" s="16">
        <v>6</v>
      </c>
      <c r="B119" s="27" t="s">
        <v>116</v>
      </c>
      <c r="C119" s="122">
        <f>COUNTIFS(Database!$N$5:$N$376,"IMSS",Database!$AB$5:$AB$376,"Laki-laki",Database!$X$5:$X$376,"SPI")</f>
        <v>0</v>
      </c>
      <c r="D119" s="122">
        <f>COUNTIFS(Database!$N$5:$N$376,"IMSS",Database!$AB$5:$AB$376,"Perempuan",Database!$X$5:$X$376,"SPI")</f>
        <v>0</v>
      </c>
      <c r="E119" s="16">
        <f t="shared" si="3"/>
        <v>0</v>
      </c>
      <c r="F119" s="27"/>
      <c r="G119" s="1"/>
    </row>
    <row r="120" spans="1:8" ht="15.75" customHeight="1" x14ac:dyDescent="0.3">
      <c r="A120" s="12">
        <v>7</v>
      </c>
      <c r="B120" s="27" t="s">
        <v>120</v>
      </c>
      <c r="C120" s="122">
        <f>COUNTIFS(Database!$N$5:$N$376,"IMSS",Database!$AB$5:$AB$376,"Laki-laki",Database!$X$5:$X$376,"Teknik dan logistik")</f>
        <v>16</v>
      </c>
      <c r="D120" s="122">
        <f>COUNTIFS(Database!$N$5:$N$376,"IMSS",Database!$AB$5:$AB$376,"Perempuan",Database!$X$5:$X$376,"Teknik dan logistik")</f>
        <v>4</v>
      </c>
      <c r="E120" s="16">
        <f t="shared" si="3"/>
        <v>20</v>
      </c>
      <c r="F120" s="27"/>
      <c r="G120" s="1"/>
    </row>
    <row r="121" spans="1:8" ht="15.75" customHeight="1" x14ac:dyDescent="0.3">
      <c r="A121" s="16">
        <v>8</v>
      </c>
      <c r="B121" s="27" t="s">
        <v>121</v>
      </c>
      <c r="C121" s="122">
        <f>COUNTIFS(Database!$N$5:$N$376,"IMSS",Database!$AB$5:$AB$376,"Laki-laki",Database!$X$5:$X$376,"Wilayah I")</f>
        <v>205</v>
      </c>
      <c r="D121" s="122">
        <f>COUNTIFS(Database!$N$5:$N$376,"IMSS",Database!$AB$5:$AB$376,"Perempuan",Database!$X$5:$X$376,"Wilayah I")</f>
        <v>3</v>
      </c>
      <c r="E121" s="16">
        <f t="shared" si="3"/>
        <v>208</v>
      </c>
      <c r="F121" s="27"/>
      <c r="G121" s="1"/>
    </row>
    <row r="122" spans="1:8" ht="15.75" customHeight="1" x14ac:dyDescent="0.3">
      <c r="A122" s="12">
        <v>9</v>
      </c>
      <c r="B122" s="27" t="s">
        <v>122</v>
      </c>
      <c r="C122" s="122">
        <f>COUNTIFS(Database!$N$5:$N$376,"IMSS",Database!$AB$5:$AB$376,"Laki-laki",Database!$X$5:$X$376,"Wilayah II")</f>
        <v>41</v>
      </c>
      <c r="D122" s="122">
        <f>COUNTIFS(Database!$N$5:$N$376,"IMSS",Database!$AB$5:$AB$376,"Perempuan",Database!$X$5:$X$376,"Wilayah II")</f>
        <v>1</v>
      </c>
      <c r="E122" s="16">
        <f t="shared" si="3"/>
        <v>42</v>
      </c>
      <c r="F122" s="27"/>
      <c r="G122" s="1"/>
    </row>
    <row r="123" spans="1:8" ht="15.75" customHeight="1" x14ac:dyDescent="0.3">
      <c r="A123" s="16">
        <v>10</v>
      </c>
      <c r="B123" s="27" t="s">
        <v>50</v>
      </c>
      <c r="C123" s="122">
        <f>COUNTIFS(Database!$N$5:$N$376,"IMSS",Database!$AB$5:$AB$376,"Laki-laki",Database!$X$5:$X$376,"KEUANGAN")</f>
        <v>0</v>
      </c>
      <c r="D123" s="122">
        <f>COUNTIFS(Database!$N$5:$N$376,"IMSS",Database!$AB$5:$AB$376,"Perempuan",Database!$X$5:$X$376,"KEUANGAN")</f>
        <v>0</v>
      </c>
      <c r="E123" s="16">
        <f t="shared" si="3"/>
        <v>0</v>
      </c>
      <c r="F123" s="27"/>
      <c r="G123" s="1"/>
    </row>
    <row r="124" spans="1:8" ht="15.75" customHeight="1" x14ac:dyDescent="0.3">
      <c r="A124" s="9"/>
      <c r="B124" s="9" t="s">
        <v>134</v>
      </c>
      <c r="C124" s="9">
        <f>SUM(C114:C123)</f>
        <v>271</v>
      </c>
      <c r="D124" s="9">
        <f>SUM(D114:D123)</f>
        <v>12</v>
      </c>
      <c r="E124" s="9">
        <f>SUM(E114:E123)</f>
        <v>283</v>
      </c>
      <c r="F124" s="39"/>
      <c r="G124" s="39"/>
      <c r="H124" s="6"/>
    </row>
    <row r="125" spans="1:8" ht="15.75" customHeight="1" x14ac:dyDescent="0.3">
      <c r="C125" s="1"/>
      <c r="D125" s="1"/>
      <c r="E125" s="1"/>
      <c r="F125" s="1"/>
      <c r="G125" s="1"/>
    </row>
    <row r="126" spans="1:8" ht="15.75" customHeight="1" x14ac:dyDescent="0.3">
      <c r="C126" s="1"/>
      <c r="D126" s="1"/>
      <c r="E126" s="1"/>
      <c r="F126" s="1"/>
      <c r="G126" s="1"/>
    </row>
    <row r="127" spans="1:8" ht="15.75" customHeight="1" x14ac:dyDescent="0.3">
      <c r="A127" s="6" t="s">
        <v>145</v>
      </c>
      <c r="C127" s="1"/>
      <c r="D127" s="1"/>
      <c r="E127" s="1"/>
      <c r="F127" s="1"/>
      <c r="G127" s="1"/>
    </row>
    <row r="128" spans="1:8" ht="15.75" customHeight="1" x14ac:dyDescent="0.3">
      <c r="A128" s="43" t="s">
        <v>7</v>
      </c>
      <c r="B128" s="42" t="s">
        <v>146</v>
      </c>
      <c r="C128" s="44" t="s">
        <v>147</v>
      </c>
      <c r="D128" s="44" t="s">
        <v>148</v>
      </c>
      <c r="E128" s="44" t="s">
        <v>149</v>
      </c>
      <c r="F128" s="42" t="s">
        <v>134</v>
      </c>
      <c r="G128" s="39"/>
    </row>
    <row r="129" spans="1:25" ht="15.75" customHeight="1" x14ac:dyDescent="0.3">
      <c r="A129" s="12">
        <v>1</v>
      </c>
      <c r="B129" s="10" t="s">
        <v>11</v>
      </c>
      <c r="C129" s="122">
        <f>COUNTIFS(Database!$M$5:$M$376,"Direksi",Database!$AE$5:$AE$376,"&lt;=25")</f>
        <v>0</v>
      </c>
      <c r="D129" s="122">
        <f>COUNTIFS(Database!$M$5:$M$376,"Direksi",Database!$AE$5:$AE$376,"&gt;25",Database!$AE$5:$AE$376,"&lt;=40")</f>
        <v>0</v>
      </c>
      <c r="E129" s="122">
        <f>COUNTIFS(Database!$M$5:$M$376,"Direksi",Database!$AE$5:$AE$376,"&gt;40")</f>
        <v>0</v>
      </c>
      <c r="F129" s="12">
        <f>SUM(C129:E129)</f>
        <v>0</v>
      </c>
      <c r="G129" s="1"/>
    </row>
    <row r="130" spans="1:25" ht="15.75" customHeight="1" x14ac:dyDescent="0.3">
      <c r="A130" s="16">
        <v>2</v>
      </c>
      <c r="B130" s="14" t="s">
        <v>12</v>
      </c>
      <c r="C130" s="122">
        <f>COUNTIFS(Database!$M$5:$M$376,"ORGANIK",Database!$AE$5:$AE$376,"&lt;=25")</f>
        <v>0</v>
      </c>
      <c r="D130" s="122">
        <f>COUNTIFS(Database!$M$5:$M$376,"ORGANIK",Database!$AE$5:$AE$376,"&gt;25",Database!$AE$5:$AE$376,"&lt;=40")</f>
        <v>0</v>
      </c>
      <c r="E130" s="122">
        <f>COUNTIFS(Database!$M$5:$M$376,"ORGANIK",Database!$AE$5:$AE$376,"&gt;40")</f>
        <v>0</v>
      </c>
      <c r="F130" s="12">
        <f>SUM(C130:E130)</f>
        <v>0</v>
      </c>
      <c r="G130" s="1"/>
    </row>
    <row r="131" spans="1:25" ht="15.75" customHeight="1" x14ac:dyDescent="0.3">
      <c r="A131" s="19">
        <v>3</v>
      </c>
      <c r="B131" s="14" t="s">
        <v>13</v>
      </c>
      <c r="C131" s="122">
        <f>COUNTIFS(Database!$M$5:$M$376,"TETAP",Database!$AE$5:$AE$376,"&lt;=25")</f>
        <v>0</v>
      </c>
      <c r="D131" s="122">
        <f>COUNTIFS(Database!$M$5:$M$376,"TETAP",Database!$AE$5:$AE$376,"&gt;25",Database!$AE$5:$AE$376,"&lt;=40")</f>
        <v>0</v>
      </c>
      <c r="E131" s="122">
        <f>COUNTIFS(Database!$M$5:$M$376,"TETAP",Database!$AE$5:$AE$376,"&gt;40")</f>
        <v>0</v>
      </c>
      <c r="F131" s="12">
        <f>SUM(C131:E131)</f>
        <v>0</v>
      </c>
      <c r="G131" s="1"/>
    </row>
    <row r="132" spans="1:25" ht="15.75" customHeight="1" x14ac:dyDescent="0.3">
      <c r="A132" s="16">
        <v>4</v>
      </c>
      <c r="B132" s="45" t="s">
        <v>135</v>
      </c>
      <c r="C132" s="124">
        <f ca="1">COUNTIFS(Database!$M$5:$M$376,"PKWT",Database!$AE$5:$AE$376,"&lt;=25")</f>
        <v>73</v>
      </c>
      <c r="D132" s="124">
        <f ca="1">COUNTIFS(Database!$M$5:$M$376,"PKWT",Database!$AE$5:$AE$376,"&gt;25",Database!$AE$5:$AE$376,"&lt;=40")</f>
        <v>208</v>
      </c>
      <c r="E132" s="124">
        <f ca="1">COUNTIFS(Database!$M$5:$M$376,"PKWT",Database!$AE$5:$AE$376,"&gt;40")</f>
        <v>17</v>
      </c>
      <c r="F132" s="12">
        <f ca="1">SUM(C132:E132)</f>
        <v>298</v>
      </c>
      <c r="G132" s="1"/>
    </row>
    <row r="133" spans="1:25" ht="15.75" customHeight="1" x14ac:dyDescent="0.3">
      <c r="A133" s="46"/>
      <c r="B133" s="9" t="s">
        <v>134</v>
      </c>
      <c r="C133" s="5">
        <f ca="1">SUM(C129:C132)</f>
        <v>73</v>
      </c>
      <c r="D133" s="5">
        <f ca="1">SUM(D129:D132)</f>
        <v>208</v>
      </c>
      <c r="E133" s="5">
        <f ca="1">SUM(E129:E132)</f>
        <v>17</v>
      </c>
      <c r="F133" s="5">
        <f ca="1">SUM(F129:F132)</f>
        <v>298</v>
      </c>
      <c r="G133" s="1"/>
      <c r="H133" s="1"/>
    </row>
    <row r="134" spans="1:25" ht="15.75" customHeight="1" x14ac:dyDescent="0.3">
      <c r="C134" s="1"/>
      <c r="D134" s="1"/>
      <c r="E134" s="1"/>
      <c r="F134" s="1"/>
      <c r="G134" s="1"/>
    </row>
    <row r="135" spans="1:25" ht="15.75" customHeight="1" x14ac:dyDescent="0.3">
      <c r="A135" s="47" t="s">
        <v>150</v>
      </c>
      <c r="B135" s="47"/>
      <c r="C135" s="48"/>
      <c r="D135" s="48"/>
      <c r="E135" s="48"/>
      <c r="F135" s="39"/>
      <c r="G135" s="39"/>
      <c r="H135" s="6"/>
    </row>
    <row r="136" spans="1:25" ht="15.75" customHeight="1" x14ac:dyDescent="0.3">
      <c r="A136" s="49" t="s">
        <v>7</v>
      </c>
      <c r="B136" s="49" t="s">
        <v>146</v>
      </c>
      <c r="C136" s="49" t="s">
        <v>151</v>
      </c>
      <c r="D136" s="49" t="s">
        <v>152</v>
      </c>
      <c r="E136" s="49" t="s">
        <v>134</v>
      </c>
      <c r="F136" s="50"/>
      <c r="G136" s="50"/>
      <c r="H136" s="50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spans="1:25" ht="15.75" customHeight="1" x14ac:dyDescent="0.3">
      <c r="A137" s="12">
        <v>1</v>
      </c>
      <c r="B137" s="10" t="s">
        <v>153</v>
      </c>
      <c r="C137" s="122">
        <f>COUNTIFS(Database!$T$5:$T$376,"ADMINISTRASI",Database!$BC$5:$BC$376,"SMP")</f>
        <v>0</v>
      </c>
      <c r="D137" s="122">
        <f>COUNTIFS(Database!$T$5:$T$376,"TEKNISI",Database!$BC$5:$BC$376,"SMP")</f>
        <v>5</v>
      </c>
      <c r="E137" s="12">
        <f t="shared" ref="E137:E143" si="4">SUM(C137:D137)</f>
        <v>5</v>
      </c>
      <c r="F137" s="1"/>
      <c r="G137" s="1"/>
    </row>
    <row r="138" spans="1:25" ht="15.75" customHeight="1" x14ac:dyDescent="0.3">
      <c r="A138" s="16">
        <v>2</v>
      </c>
      <c r="B138" s="14" t="s">
        <v>154</v>
      </c>
      <c r="C138" s="122">
        <f>COUNTIFS(Database!$T$5:$T$376,"ADMINISTRASI",Database!$BC$5:$BC$376,"SMA")+COUNTIFS(Database!$T$5:$T$376,"ADMINISTRASI",Database!$BC$5:$BC$376,"SMK")</f>
        <v>12</v>
      </c>
      <c r="D138" s="122">
        <f>COUNTIFS(Database!$T$5:$T$376,"TEKNISI",Database!$BC$5:$BC$376,"SMA")+COUNTIFS(Database!$T$5:$T$376,"TEKNISI",Database!$BC$5:$BC$376,"SMK")</f>
        <v>237</v>
      </c>
      <c r="E138" s="16">
        <f t="shared" si="4"/>
        <v>249</v>
      </c>
      <c r="F138" s="1"/>
      <c r="G138" s="1"/>
    </row>
    <row r="139" spans="1:25" ht="15.75" customHeight="1" x14ac:dyDescent="0.3">
      <c r="A139" s="16">
        <v>3</v>
      </c>
      <c r="B139" s="14" t="s">
        <v>155</v>
      </c>
      <c r="C139" s="122">
        <f>COUNTIFS(Database!$T$5:$T$376,"ADMINISTRASI",Database!$BC$5:$BC$376,"D2")</f>
        <v>1</v>
      </c>
      <c r="D139" s="122">
        <f>COUNTIFS(Database!$T$5:$T$376,"TEKNISI",Database!$BC$5:$BC$376,"D2")</f>
        <v>0</v>
      </c>
      <c r="E139" s="16">
        <f t="shared" si="4"/>
        <v>1</v>
      </c>
      <c r="F139" s="1"/>
      <c r="G139" s="1"/>
    </row>
    <row r="140" spans="1:25" ht="15.75" customHeight="1" x14ac:dyDescent="0.3">
      <c r="A140" s="16">
        <v>4</v>
      </c>
      <c r="B140" s="14" t="s">
        <v>70</v>
      </c>
      <c r="C140" s="122">
        <f>COUNTIFS(Database!$T$5:$T$376,"ADMINISTRASI",Database!$BC$5:$BC$376,"D3")</f>
        <v>20</v>
      </c>
      <c r="D140" s="122">
        <f>COUNTIFS(Database!$T$5:$T$376,"TEKNISI",Database!$BC$5:$BC$376,"D3")</f>
        <v>29</v>
      </c>
      <c r="E140" s="16">
        <f t="shared" si="4"/>
        <v>49</v>
      </c>
      <c r="F140" s="1"/>
      <c r="G140" s="1"/>
    </row>
    <row r="141" spans="1:25" ht="15.75" customHeight="1" x14ac:dyDescent="0.3">
      <c r="A141" s="16">
        <v>5</v>
      </c>
      <c r="B141" s="14" t="s">
        <v>156</v>
      </c>
      <c r="C141" s="122">
        <f>COUNTIFS(Database!$T$5:$T$376,"ADMINISTRASI",Database!$BC$5:$BC$376,"D4")</f>
        <v>0</v>
      </c>
      <c r="D141" s="122">
        <f>COUNTIFS(Database!$T$5:$T$376,"TEKNISI",Database!$BC$5:$BC$376,"D4")</f>
        <v>3</v>
      </c>
      <c r="E141" s="16">
        <f t="shared" si="4"/>
        <v>3</v>
      </c>
      <c r="F141" s="1"/>
      <c r="G141" s="1"/>
    </row>
    <row r="142" spans="1:25" ht="15.75" customHeight="1" x14ac:dyDescent="0.3">
      <c r="A142" s="16">
        <v>6</v>
      </c>
      <c r="B142" s="14" t="s">
        <v>75</v>
      </c>
      <c r="C142" s="122">
        <f>COUNTIFS(Database!$T$5:$T$376,"ADMINISTRASI",Database!$BC$5:$BC$376,"S1")</f>
        <v>44</v>
      </c>
      <c r="D142" s="122">
        <f>COUNTIFS(Database!$T$5:$T$376,"TEKNISI",Database!$BC$5:$BC$376,"S1")</f>
        <v>17</v>
      </c>
      <c r="E142" s="16">
        <f t="shared" si="4"/>
        <v>61</v>
      </c>
      <c r="F142" s="1"/>
      <c r="G142" s="1"/>
    </row>
    <row r="143" spans="1:25" ht="15.75" customHeight="1" x14ac:dyDescent="0.3">
      <c r="A143" s="19">
        <v>7</v>
      </c>
      <c r="B143" s="45" t="s">
        <v>109</v>
      </c>
      <c r="C143" s="122">
        <f>COUNTIFS(Database!$T$5:$T$376,"ADMINISTRASI",Database!$BC$5:$BC$376,"S2")</f>
        <v>4</v>
      </c>
      <c r="D143" s="122">
        <f>COUNTIFS(Database!$T$5:$T$376,"TEKNISI",Database!$BC$5:$BC$376,"S2")</f>
        <v>0</v>
      </c>
      <c r="E143" s="19">
        <f t="shared" si="4"/>
        <v>4</v>
      </c>
      <c r="F143" s="1"/>
      <c r="G143" s="1"/>
    </row>
    <row r="144" spans="1:25" ht="15.75" customHeight="1" x14ac:dyDescent="0.3">
      <c r="A144" s="5"/>
      <c r="B144" s="9" t="s">
        <v>134</v>
      </c>
      <c r="C144" s="21">
        <f>SUM(C137:C143)</f>
        <v>81</v>
      </c>
      <c r="D144" s="21">
        <f>SUM(D137:D143)</f>
        <v>291</v>
      </c>
      <c r="E144" s="21">
        <f>SUM(E137:E143)</f>
        <v>372</v>
      </c>
      <c r="F144" s="1"/>
      <c r="G144" s="52"/>
      <c r="H144" s="52"/>
    </row>
    <row r="145" spans="1:11" ht="15.75" customHeight="1" x14ac:dyDescent="0.3">
      <c r="C145" s="1"/>
      <c r="D145" s="1"/>
      <c r="E145" s="1"/>
      <c r="F145" s="1"/>
      <c r="G145" s="53"/>
      <c r="H145" s="53"/>
    </row>
    <row r="146" spans="1:11" ht="15.75" customHeight="1" x14ac:dyDescent="0.3">
      <c r="A146" s="47" t="s">
        <v>157</v>
      </c>
      <c r="B146" s="47"/>
      <c r="C146" s="48"/>
      <c r="D146" s="48"/>
      <c r="E146" s="48"/>
      <c r="F146" s="1"/>
      <c r="G146" s="54"/>
      <c r="H146" s="54"/>
    </row>
    <row r="147" spans="1:11" ht="36" customHeight="1" x14ac:dyDescent="0.3">
      <c r="A147" s="49" t="s">
        <v>7</v>
      </c>
      <c r="B147" s="49" t="s">
        <v>146</v>
      </c>
      <c r="C147" s="49" t="s">
        <v>151</v>
      </c>
      <c r="D147" s="49" t="s">
        <v>152</v>
      </c>
      <c r="E147" s="49" t="s">
        <v>134</v>
      </c>
      <c r="F147" s="1"/>
      <c r="G147" s="1"/>
    </row>
    <row r="148" spans="1:11" ht="15.75" customHeight="1" x14ac:dyDescent="0.3">
      <c r="A148" s="12">
        <v>1</v>
      </c>
      <c r="B148" s="10" t="s">
        <v>153</v>
      </c>
      <c r="C148" s="122">
        <f>COUNTIFS(Database!$T$5:$T$376,"ADMINISTRASI",Database!$BC$5:$BC$376,"SMP")</f>
        <v>0</v>
      </c>
      <c r="D148" s="122">
        <f>COUNTIFS(Database!$T$5:$T$376,"TEKNISI",Database!$BC$5:$BC$376,"SMP")</f>
        <v>5</v>
      </c>
      <c r="E148" s="12">
        <f t="shared" ref="E148:E154" si="5">SUM(C148:D148)</f>
        <v>5</v>
      </c>
      <c r="F148" s="1"/>
      <c r="G148" s="55"/>
      <c r="H148" s="56"/>
      <c r="I148" s="56"/>
      <c r="J148" s="56"/>
      <c r="K148" s="56"/>
    </row>
    <row r="149" spans="1:11" ht="15.75" customHeight="1" x14ac:dyDescent="0.3">
      <c r="A149" s="16">
        <v>2</v>
      </c>
      <c r="B149" s="14" t="s">
        <v>154</v>
      </c>
      <c r="C149" s="122">
        <f>COUNTIFS(Database!$T$5:$T$376,"ADMINISTRASI",Database!$BC$5:$BC$376,"SMA")+COUNTIFS(Database!$T$5:$T$376,"ADMINISTRASI",Database!$BC$5:$BC$376,"SMK")</f>
        <v>12</v>
      </c>
      <c r="D149" s="122">
        <f>COUNTIFS(Database!$T$5:$T$376,"TEKNISI",Database!$BC$5:$BC$376,"SMA")+COUNTIFS(Database!$T$5:$T$376,"TEKNISI",Database!$BC$5:$BC$376,"SMK")</f>
        <v>237</v>
      </c>
      <c r="E149" s="16">
        <f t="shared" si="5"/>
        <v>249</v>
      </c>
      <c r="F149" s="1"/>
      <c r="G149" s="57"/>
      <c r="H149" s="58"/>
      <c r="I149" s="58"/>
      <c r="J149" s="58"/>
      <c r="K149" s="59"/>
    </row>
    <row r="150" spans="1:11" ht="15.75" customHeight="1" x14ac:dyDescent="0.3">
      <c r="A150" s="16">
        <v>3</v>
      </c>
      <c r="B150" s="14" t="s">
        <v>155</v>
      </c>
      <c r="C150" s="122">
        <f>COUNTIFS(Database!$T$5:$T$376,"ADMINISTRASI",Database!$BC$5:$BC$376,"D2")</f>
        <v>1</v>
      </c>
      <c r="D150" s="122">
        <f>COUNTIFS(Database!$T$5:$T$376,"TEKNISI",Database!$BC$5:$BC$376,"D2")</f>
        <v>0</v>
      </c>
      <c r="E150" s="16">
        <f t="shared" si="5"/>
        <v>1</v>
      </c>
      <c r="F150" s="1"/>
      <c r="G150" s="60"/>
      <c r="H150" s="61"/>
      <c r="I150" s="61"/>
      <c r="J150" s="58"/>
      <c r="K150" s="59"/>
    </row>
    <row r="151" spans="1:11" ht="15.75" customHeight="1" x14ac:dyDescent="0.3">
      <c r="A151" s="16">
        <v>4</v>
      </c>
      <c r="B151" s="14" t="s">
        <v>70</v>
      </c>
      <c r="C151" s="122">
        <f>COUNTIFS(Database!$T$5:$T$376,"ADMINISTRASI",Database!$BC$5:$BC$376,"D3")</f>
        <v>20</v>
      </c>
      <c r="D151" s="122">
        <f>COUNTIFS(Database!$T$5:$T$376,"TEKNISI",Database!$BC$5:$BC$376,"D3")</f>
        <v>29</v>
      </c>
      <c r="E151" s="16">
        <f t="shared" si="5"/>
        <v>49</v>
      </c>
      <c r="F151" s="1"/>
      <c r="G151" s="62"/>
      <c r="H151" s="63"/>
      <c r="I151" s="63"/>
      <c r="J151" s="63"/>
      <c r="K151" s="56"/>
    </row>
    <row r="152" spans="1:11" ht="15.75" customHeight="1" x14ac:dyDescent="0.3">
      <c r="A152" s="16">
        <v>5</v>
      </c>
      <c r="B152" s="14" t="s">
        <v>156</v>
      </c>
      <c r="C152" s="122">
        <f>COUNTIFS(Database!$T$5:$T$376,"ADMINISTRASI",Database!$BC$5:$BC$376,"D4")</f>
        <v>0</v>
      </c>
      <c r="D152" s="122">
        <f>COUNTIFS(Database!$T$5:$T$376,"TEKNISI",Database!$BC$5:$BC$376,"D4")</f>
        <v>3</v>
      </c>
      <c r="E152" s="16">
        <f t="shared" si="5"/>
        <v>3</v>
      </c>
      <c r="F152" s="1"/>
      <c r="G152" s="55"/>
      <c r="H152" s="56"/>
      <c r="I152" s="56"/>
      <c r="J152" s="56"/>
      <c r="K152" s="56"/>
    </row>
    <row r="153" spans="1:11" ht="15.75" customHeight="1" x14ac:dyDescent="0.3">
      <c r="A153" s="16">
        <v>6</v>
      </c>
      <c r="B153" s="14" t="s">
        <v>75</v>
      </c>
      <c r="C153" s="122">
        <f>COUNTIFS(Database!$T$5:$T$376,"ADMINISTRASI",Database!$BC$5:$BC$376,"S1")</f>
        <v>44</v>
      </c>
      <c r="D153" s="122">
        <f>COUNTIFS(Database!$T$5:$T$376,"TEKNISI",Database!$BC$5:$BC$376,"S1")</f>
        <v>17</v>
      </c>
      <c r="E153" s="16">
        <f t="shared" si="5"/>
        <v>61</v>
      </c>
      <c r="F153" s="1"/>
      <c r="G153" s="58"/>
      <c r="H153" s="58"/>
      <c r="I153" s="58"/>
      <c r="J153" s="56"/>
      <c r="K153" s="58"/>
    </row>
    <row r="154" spans="1:11" ht="15.75" customHeight="1" x14ac:dyDescent="0.3">
      <c r="A154" s="19">
        <v>7</v>
      </c>
      <c r="B154" s="45" t="s">
        <v>109</v>
      </c>
      <c r="C154" s="122">
        <f>COUNTIFS(Database!$T$5:$T$376,"ADMINISTRASI",Database!$BC$5:$BC$376,"S2")</f>
        <v>4</v>
      </c>
      <c r="D154" s="122">
        <f>COUNTIFS(Database!$T$5:$T$376,"TEKNISI",Database!$BC$5:$BC$376,"S2")</f>
        <v>0</v>
      </c>
      <c r="E154" s="19">
        <f t="shared" si="5"/>
        <v>4</v>
      </c>
      <c r="F154" s="1"/>
      <c r="G154" s="60"/>
      <c r="H154" s="61"/>
      <c r="I154" s="61"/>
      <c r="J154" s="58"/>
      <c r="K154" s="59"/>
    </row>
    <row r="155" spans="1:11" ht="15.75" customHeight="1" x14ac:dyDescent="0.3">
      <c r="A155" s="5"/>
      <c r="B155" s="9" t="s">
        <v>134</v>
      </c>
      <c r="C155" s="21">
        <f>SUM(C148:C154)</f>
        <v>81</v>
      </c>
      <c r="D155" s="21">
        <f>SUM(D148:D154)</f>
        <v>291</v>
      </c>
      <c r="E155" s="21">
        <f>SUM(E148:E154)</f>
        <v>372</v>
      </c>
      <c r="F155" s="1"/>
      <c r="G155" s="60"/>
      <c r="H155" s="61"/>
      <c r="I155" s="61"/>
      <c r="J155" s="58"/>
      <c r="K155" s="59"/>
    </row>
    <row r="156" spans="1:11" ht="15.75" customHeight="1" x14ac:dyDescent="0.3">
      <c r="C156" s="1"/>
      <c r="D156" s="1"/>
      <c r="E156" s="1"/>
      <c r="F156" s="1"/>
      <c r="G156" s="60"/>
      <c r="H156" s="61"/>
      <c r="I156" s="61"/>
      <c r="J156" s="58"/>
      <c r="K156" s="59"/>
    </row>
    <row r="157" spans="1:11" ht="15.75" customHeight="1" x14ac:dyDescent="0.3">
      <c r="C157" s="1"/>
      <c r="D157" s="1"/>
      <c r="E157" s="1"/>
      <c r="F157" s="1"/>
      <c r="G157" s="60"/>
      <c r="H157" s="125"/>
      <c r="I157" s="61"/>
      <c r="J157" s="58"/>
      <c r="K157" s="59"/>
    </row>
    <row r="158" spans="1:11" ht="15.75" customHeight="1" x14ac:dyDescent="0.3">
      <c r="A158" s="47" t="s">
        <v>158</v>
      </c>
      <c r="B158" s="47"/>
      <c r="C158" s="48"/>
      <c r="D158" s="48"/>
      <c r="E158" s="48"/>
      <c r="F158" s="39"/>
      <c r="G158" s="62"/>
      <c r="H158" s="63"/>
      <c r="I158" s="63"/>
      <c r="J158" s="58"/>
      <c r="K158" s="63"/>
    </row>
    <row r="159" spans="1:11" ht="15.75" customHeight="1" x14ac:dyDescent="0.3">
      <c r="A159" s="9" t="s">
        <v>7</v>
      </c>
      <c r="B159" s="9" t="s">
        <v>146</v>
      </c>
      <c r="C159" s="9" t="s">
        <v>159</v>
      </c>
      <c r="D159" s="9" t="s">
        <v>160</v>
      </c>
      <c r="E159" s="9" t="s">
        <v>134</v>
      </c>
      <c r="F159" s="39"/>
      <c r="G159" s="55"/>
      <c r="H159" s="56"/>
      <c r="I159" s="56"/>
      <c r="J159" s="56"/>
      <c r="K159" s="56"/>
    </row>
    <row r="160" spans="1:11" ht="15.75" customHeight="1" x14ac:dyDescent="0.3">
      <c r="A160" s="12">
        <v>1</v>
      </c>
      <c r="B160" s="10" t="s">
        <v>161</v>
      </c>
      <c r="C160" s="122">
        <f>COUNTIFS(Database!$T$5:$T$376,"ADMINISTRASI",Database!$BB$5:$BB$376,"ISLAM")</f>
        <v>76</v>
      </c>
      <c r="D160" s="122">
        <f>COUNTIFS(Database!$T$5:$T$376,"TEKNISI",Database!$BB$5:$BB$376,"ISLAM")</f>
        <v>288</v>
      </c>
      <c r="E160" s="12">
        <f>SUM(C160:D160)</f>
        <v>364</v>
      </c>
      <c r="F160" s="1"/>
      <c r="G160" s="55"/>
      <c r="H160" s="56"/>
      <c r="I160" s="56"/>
      <c r="J160" s="56"/>
      <c r="K160" s="56"/>
    </row>
    <row r="161" spans="1:25" ht="15.75" customHeight="1" x14ac:dyDescent="0.3">
      <c r="A161" s="16">
        <v>2</v>
      </c>
      <c r="B161" s="14" t="s">
        <v>162</v>
      </c>
      <c r="C161" s="122">
        <f>COUNTIFS(Database!$T$5:$T$376,"ADMINISTRASI",Database!$BB$5:$BB$376,"KRISTEN")</f>
        <v>1</v>
      </c>
      <c r="D161" s="122">
        <f>COUNTIFS(Database!$T$5:$T$376,"TEKNISI",Database!$BB$5:$BB$376,"KRISTEN")</f>
        <v>1</v>
      </c>
      <c r="E161" s="16">
        <f>SUM(C161:D161)</f>
        <v>2</v>
      </c>
      <c r="F161" s="1"/>
      <c r="G161" s="58"/>
      <c r="H161" s="58"/>
      <c r="I161" s="58"/>
      <c r="J161" s="56"/>
      <c r="K161" s="56"/>
    </row>
    <row r="162" spans="1:25" ht="15.75" customHeight="1" x14ac:dyDescent="0.3">
      <c r="A162" s="16">
        <v>3</v>
      </c>
      <c r="B162" s="14" t="s">
        <v>163</v>
      </c>
      <c r="C162" s="122">
        <f>COUNTIFS(Database!$T$5:$T$376,"ADMINISTRASI",Database!$BB$5:$BB$376,"KATOLIK")</f>
        <v>4</v>
      </c>
      <c r="D162" s="122">
        <f>COUNTIFS(Database!$T$5:$T$376,"TEKNISI",Database!$BB$5:$BB$376,"KATOLIK")</f>
        <v>1</v>
      </c>
      <c r="E162" s="16">
        <f>SUM(C162:D162)</f>
        <v>5</v>
      </c>
      <c r="F162" s="1"/>
      <c r="G162" s="64"/>
      <c r="H162" s="65"/>
      <c r="I162" s="59"/>
      <c r="J162" s="56"/>
      <c r="K162" s="56"/>
    </row>
    <row r="163" spans="1:25" ht="15.75" customHeight="1" x14ac:dyDescent="0.3">
      <c r="A163" s="16">
        <v>4</v>
      </c>
      <c r="B163" s="14" t="s">
        <v>164</v>
      </c>
      <c r="C163" s="122">
        <f>COUNTIFS(Database!$T$5:$T$376,"ADMINISTRASI",Database!$BB$5:$BB$376,"HINDU")</f>
        <v>0</v>
      </c>
      <c r="D163" s="122">
        <f>COUNTIFS(Database!$T$5:$T$376,"TEKNISI",Database!$BB$5:$BB$376,"HINDU")</f>
        <v>1</v>
      </c>
      <c r="E163" s="16">
        <f>SUM(C163:D163)</f>
        <v>1</v>
      </c>
      <c r="F163" s="1"/>
      <c r="G163" s="55"/>
      <c r="H163" s="56"/>
      <c r="I163" s="56"/>
      <c r="J163" s="56"/>
      <c r="K163" s="56"/>
    </row>
    <row r="164" spans="1:25" ht="15.75" customHeight="1" x14ac:dyDescent="0.3">
      <c r="A164" s="16">
        <v>5</v>
      </c>
      <c r="B164" s="14" t="s">
        <v>165</v>
      </c>
      <c r="C164" s="122">
        <f>COUNTIFS(Database!$T$5:$T$376,"ADMINISTRASI",Database!$BB$5:$BB$376,"BUDHA")</f>
        <v>0</v>
      </c>
      <c r="D164" s="122">
        <f>COUNTIFS(Database!$T$5:$T$376,"TEKNISI",Database!$BB$5:$BB$376,"BUDHA")</f>
        <v>0</v>
      </c>
      <c r="E164" s="16">
        <f>SUM(C164:D164)</f>
        <v>0</v>
      </c>
      <c r="F164" s="1"/>
      <c r="G164" s="1"/>
    </row>
    <row r="165" spans="1:25" ht="15.75" customHeight="1" x14ac:dyDescent="0.3">
      <c r="A165" s="5"/>
      <c r="B165" s="9" t="s">
        <v>134</v>
      </c>
      <c r="C165" s="21">
        <f>SUM(C160:C164)</f>
        <v>81</v>
      </c>
      <c r="D165" s="21">
        <f>SUM(D160:D164)</f>
        <v>291</v>
      </c>
      <c r="E165" s="21">
        <f>SUM(E160:E164)</f>
        <v>372</v>
      </c>
      <c r="F165" s="1"/>
      <c r="G165" s="1"/>
    </row>
    <row r="166" spans="1:25" ht="15.75" customHeight="1" x14ac:dyDescent="0.3">
      <c r="C166" s="1"/>
      <c r="D166" s="1"/>
      <c r="E166" s="1"/>
      <c r="F166" s="1"/>
      <c r="G166" s="1"/>
    </row>
    <row r="167" spans="1:25" ht="15.75" customHeight="1" x14ac:dyDescent="0.3">
      <c r="A167" s="6" t="s">
        <v>166</v>
      </c>
      <c r="B167" s="6"/>
      <c r="C167" s="39"/>
      <c r="D167" s="39"/>
      <c r="E167" s="39"/>
      <c r="F167" s="6"/>
      <c r="G167" s="6"/>
      <c r="H167" s="6"/>
    </row>
    <row r="168" spans="1:25" ht="15.75" customHeight="1" x14ac:dyDescent="0.3">
      <c r="A168" s="25" t="s">
        <v>7</v>
      </c>
      <c r="B168" s="25" t="s">
        <v>9</v>
      </c>
      <c r="C168" s="25" t="s">
        <v>15</v>
      </c>
      <c r="D168" s="49" t="s">
        <v>167</v>
      </c>
      <c r="E168" s="49" t="s">
        <v>168</v>
      </c>
      <c r="F168" s="25" t="s">
        <v>49</v>
      </c>
      <c r="G168" s="25" t="s">
        <v>169</v>
      </c>
      <c r="H168" s="22" t="s">
        <v>19</v>
      </c>
      <c r="I168" s="25" t="s">
        <v>5</v>
      </c>
      <c r="J168" s="40"/>
      <c r="K168" s="66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 spans="1:25" ht="15.75" customHeight="1" x14ac:dyDescent="0.3">
      <c r="A169" s="12">
        <v>1</v>
      </c>
      <c r="B169" s="68" t="s">
        <v>35</v>
      </c>
      <c r="C169" s="68">
        <f>COUNTIFS(Database!$W$5:$W$376,"5R",Database!$U$5:$U$376,"IMSS")</f>
        <v>0</v>
      </c>
      <c r="D169" s="68">
        <f>COUNTIFS(Database!$W$5:$W$376,"5R",Database!$U$5:$U$376,"INKA")</f>
        <v>0</v>
      </c>
      <c r="E169" s="68">
        <f>COUNTIFS(Database!$W$5:$W$376,"5R",Database!$U$5:$U$376,"MRO")</f>
        <v>0</v>
      </c>
      <c r="F169" s="68">
        <f>COUNTIFS(Database!$W$5:$W$376,"5R",Database!$U$5:$U$376,"GUDANG")</f>
        <v>0</v>
      </c>
      <c r="G169" s="68">
        <f>COUNTIFS(Database!$W$5:$W$376,"5R",Database!$U$5:$U$376,"Aceh")+COUNTIFS(Database!$W$5:$W$376,"5R",Database!$U$5:$U$376,"Bandung")+COUNTIFS(Database!$W$5:$W$376,"5R",Database!$U$5:$U$376,"Banyuwangi")+COUNTIFS(Database!$W$5:$W$376,"5R",Database!$U$5:$U$376,"jakarta")+COUNTIFS(Database!$W$5:$W$376,"5R",Database!$U$5:$U$376,"klaten")+COUNTIFS(Database!$W$5:$W$376,"5R",Database!$U$5:$U$376,"Lampung")+COUNTIFS(Database!$W$5:$W$376,"5R",Database!$U$5:$U$376,"makassar")+COUNTIFS(Database!$W$5:$W$376,"5R",Database!$U$5:$U$376,"medan")+COUNTIFS(Database!$W$5:$W$376,"5R",Database!$U$5:$U$376,"Padang")+COUNTIFS(Database!$W$5:$W$376,"5R",Database!$U$5:$U$376,"Palembang")+COUNTIFS(Database!$W$5:$W$376,"5R",Database!$U$5:$U$376,"Purwodadi")+COUNTIFS(Database!$W$5:$W$376,"5R",Database!$U$5:$U$376,"Solo")+COUNTIFS(Database!$W$5:$W$376,"5R",Database!$U$5:$U$376,"surabaya")</f>
        <v>0</v>
      </c>
      <c r="H169" s="68">
        <f>COUNTIFS(Database!$W$5:$W$376,"5R",Database!$U$5:$U$376,"PMU")</f>
        <v>0</v>
      </c>
      <c r="I169" s="21">
        <f t="shared" ref="I169:I211" si="6">SUM(C169:H169)</f>
        <v>0</v>
      </c>
      <c r="J169" s="1"/>
      <c r="K169" s="1"/>
    </row>
    <row r="170" spans="1:25" ht="15.75" customHeight="1" x14ac:dyDescent="0.3">
      <c r="A170" s="16">
        <v>2</v>
      </c>
      <c r="B170" s="69" t="s">
        <v>36</v>
      </c>
      <c r="C170" s="68">
        <f>COUNTIFS(Database!$W$5:$W$376,"AC",Database!$U$5:$U$376,"IMSS")</f>
        <v>0</v>
      </c>
      <c r="D170" s="68">
        <f>COUNTIFS(Database!$W$5:$W$376,"AC",Database!$U$5:$U$376,"INKA")</f>
        <v>0</v>
      </c>
      <c r="E170" s="68">
        <f>COUNTIFS(Database!$W$5:$W$376,"AC",Database!$U$5:$U$376,"MRO")</f>
        <v>0</v>
      </c>
      <c r="F170" s="68">
        <f>COUNTIFS(Database!$W$5:$W$376,"AC",Database!$U$5:$U$376,"GUDANG")</f>
        <v>0</v>
      </c>
      <c r="G170" s="68">
        <f>COUNTIFS(Database!$W$5:$W$376,"AC",Database!$U$5:$U$376,"Aceh")+COUNTIFS(Database!$W$5:$W$376,"AC",Database!$U$5:$U$376,"Bandung")+COUNTIFS(Database!$W$5:$W$376,"AC",Database!$U$5:$U$376,"Banyuwangi")+COUNTIFS(Database!$W$5:$W$376,"AC",Database!$U$5:$U$376,"jakarta")+COUNTIFS(Database!$W$5:$W$376,"AC",Database!$U$5:$U$376,"klaten")+COUNTIFS(Database!$W$5:$W$376,"AC",Database!$U$5:$U$376,"Lampung")+COUNTIFS(Database!$W$5:$W$376,"AC",Database!$U$5:$U$376,"makassar")+COUNTIFS(Database!$W$5:$W$376,"AC",Database!$U$5:$U$376,"medan")+COUNTIFS(Database!$W$5:$W$376,"AC",Database!$U$5:$U$376,"Padang")+COUNTIFS(Database!$W$5:$W$376,"AC",Database!$U$5:$U$376,"Palembang")+COUNTIFS(Database!$W$5:$W$376,"AC",Database!$U$5:$U$376,"Purwodadi")+COUNTIFS(Database!$W$5:$W$376,"AC",Database!$U$5:$U$376,"Solo")+COUNTIFS(Database!$W$5:$W$376,"AC",Database!$U$5:$U$376,"surabaya")+COUNTIFS(Database!$W$5:$W$376,"AC",Database!$U$5:$U$376,"yogyakarta")</f>
        <v>0</v>
      </c>
      <c r="H170" s="68">
        <f>COUNTIFS(Database!$W$5:$W$376,"AC",Database!$U$5:$U$376,"PMU")</f>
        <v>0</v>
      </c>
      <c r="I170" s="21">
        <f t="shared" si="6"/>
        <v>0</v>
      </c>
      <c r="J170" s="1"/>
      <c r="K170" s="1"/>
    </row>
    <row r="171" spans="1:25" ht="15.75" customHeight="1" x14ac:dyDescent="0.3">
      <c r="A171" s="16">
        <v>3</v>
      </c>
      <c r="B171" s="69" t="s">
        <v>41</v>
      </c>
      <c r="C171" s="68">
        <f>COUNTIFS(Database!$W$5:$W$376,"Aftersales GGW TEL",Database!$U$5:$U$376,"IMSS")</f>
        <v>0</v>
      </c>
      <c r="D171" s="68">
        <f>COUNTIFS(Database!$W$5:$W$376,"Aftersales GGW TEL",Database!$U$5:$U$376,"INKA")</f>
        <v>0</v>
      </c>
      <c r="E171" s="68">
        <f>COUNTIFS(Database!$W$5:$W$376,"Aftersales GGW TEL",Database!$U$5:$U$376,"MRO")</f>
        <v>0</v>
      </c>
      <c r="F171" s="68">
        <f>COUNTIFS(Database!$W$5:$W$376,"Aftersales GGW TEL",Database!$U$5:$U$376,"GUDANG")</f>
        <v>0</v>
      </c>
      <c r="G171" s="68">
        <f>COUNTIFS(Database!$W$5:$W$376,"Aftersales GGW TEL",Database!$U$5:$U$376,"Aftersales GGW TELeh")+COUNTIFS(Database!$W$5:$W$376,"Aftersales GGW TEL",Database!$U$5:$U$376,"Bandung")+COUNTIFS(Database!$W$5:$W$376,"Aftersales GGW TEL",Database!$U$5:$U$376,"Banyuwangi")+COUNTIFS(Database!$W$5:$W$376,"Aftersales GGW TEL",Database!$U$5:$U$376,"jakarta")+COUNTIFS(Database!$W$5:$W$376,"Aftersales GGW TEL",Database!$U$5:$U$376,"klaten")+COUNTIFS(Database!$W$5:$W$376,"Aftersales GGW TEL",Database!$U$5:$U$376,"Lampung")+COUNTIFS(Database!$W$5:$W$376,"Aftersales GGW TEL",Database!$U$5:$U$376,"makassar")+COUNTIFS(Database!$W$5:$W$376,"Aftersales GGW TEL",Database!$U$5:$U$376,"medan")+COUNTIFS(Database!$W$5:$W$376,"Aftersales GGW TEL",Database!$U$5:$U$376,"Padang")+COUNTIFS(Database!$W$5:$W$376,"Aftersales GGW TEL",Database!$U$5:$U$376,"Palembang")+COUNTIFS(Database!$W$5:$W$376,"Aftersales GGW TEL",Database!$U$5:$U$376,"Purwodadi")+COUNTIFS(Database!$W$5:$W$376,"Aftersales GGW TEL",Database!$U$5:$U$376,"Solo")+COUNTIFS(Database!$W$5:$W$376,"Aftersales GGW TEL",Database!$U$5:$U$376,"surabaya")+COUNTIFS(Database!$W$5:$W$376,"Aftersales GGW TEL",Database!$U$5:$U$376,"Yogyakarta")</f>
        <v>1</v>
      </c>
      <c r="H171" s="68">
        <f>COUNTIFS(Database!$W$5:$W$376,"Aftersales GGW TEL",Database!$U$5:$U$376,"PMU")</f>
        <v>0</v>
      </c>
      <c r="I171" s="21">
        <f t="shared" si="6"/>
        <v>1</v>
      </c>
      <c r="J171" s="1"/>
      <c r="K171" s="1"/>
    </row>
    <row r="172" spans="1:25" ht="15.75" customHeight="1" x14ac:dyDescent="0.3">
      <c r="A172" s="16">
        <v>4</v>
      </c>
      <c r="B172" s="69" t="s">
        <v>170</v>
      </c>
      <c r="C172" s="68">
        <f>COUNTIFS(Database!$W$5:$W$376,"Aftersales Stainless New Gen",Database!$U$5:$U$376,"IMSS")</f>
        <v>0</v>
      </c>
      <c r="D172" s="68">
        <f>COUNTIFS(Database!$W$5:$W$376,"Aftersales Stainless New Gen",Database!$U$5:$U$376,"INKA")</f>
        <v>0</v>
      </c>
      <c r="E172" s="68">
        <f>COUNTIFS(Database!$W$5:$W$376,"Aftersales Stainless New Gen",Database!$U$5:$U$376,"MRO")</f>
        <v>0</v>
      </c>
      <c r="F172" s="68">
        <f>COUNTIFS(Database!$W$5:$W$376,"Aftersales Stainless New Gen",Database!$U$5:$U$376,"GUDANG")</f>
        <v>0</v>
      </c>
      <c r="G172" s="68">
        <f>COUNTIFS(Database!$W$5:$W$376,"Aftersales Stainless New Gen",Database!$U$5:$U$376,"Aftersales Stainless New Geneh")+COUNTIFS(Database!$W$5:$W$376,"Aftersales Stainless New Gen",Database!$U$5:$U$376,"Bandung")+COUNTIFS(Database!$W$5:$W$376,"Aftersales Stainless New Gen",Database!$U$5:$U$376,"Banyuwangi")+COUNTIFS(Database!$W$5:$W$376,"Aftersales Stainless New Gen",Database!$U$5:$U$376,"jakarta")+COUNTIFS(Database!$W$5:$W$376,"Aftersales Stainless New Gen",Database!$U$5:$U$376,"klaten")+COUNTIFS(Database!$W$5:$W$376,"Aftersales Stainless New Gen",Database!$U$5:$U$376,"Lampung")+COUNTIFS(Database!$W$5:$W$376,"Aftersales Stainless New Gen",Database!$U$5:$U$376,"makassar")+COUNTIFS(Database!$W$5:$W$376,"Aftersales Stainless New Gen",Database!$U$5:$U$376,"medan")+COUNTIFS(Database!$W$5:$W$376,"Aftersales Stainless New Gen",Database!$U$5:$U$376,"Padang")+COUNTIFS(Database!$W$5:$W$376,"Aftersales Stainless New Gen",Database!$U$5:$U$376,"Palembang")+COUNTIFS(Database!$W$5:$W$376,"Aftersales Stainless New Gen",Database!$U$5:$U$376,"Purwodadi")+COUNTIFS(Database!$W$5:$W$376,"Aftersales Stainless New Gen",Database!$U$5:$U$376,"Solo")+COUNTIFS(Database!$W$5:$W$376,"Aftersales Stainless New Gen",Database!$U$5:$U$376,"surabaya")+COUNTIFS(Database!$W$5:$W$376,"Aftersales Stainless New Gen",Database!$U$5:$U$376,"yogyakarta")</f>
        <v>0</v>
      </c>
      <c r="H172" s="68">
        <f>COUNTIFS(Database!$W$5:$W$376,"Aftersales Stainless New Gen",Database!$U$5:$U$376,"PMU")</f>
        <v>0</v>
      </c>
      <c r="I172" s="21">
        <f t="shared" si="6"/>
        <v>0</v>
      </c>
      <c r="J172" s="1"/>
      <c r="K172" s="1"/>
    </row>
    <row r="173" spans="1:25" ht="15.75" customHeight="1" x14ac:dyDescent="0.3">
      <c r="A173" s="16">
        <v>5</v>
      </c>
      <c r="B173" s="69" t="s">
        <v>43</v>
      </c>
      <c r="C173" s="68">
        <f>COUNTIFS(Database!$W$5:$W$376,"Akuntansi",Database!$U$5:$U$376,"IMSS")</f>
        <v>4</v>
      </c>
      <c r="D173" s="68">
        <f>COUNTIFS(Database!$W$5:$W$376,"Akuntansi",Database!$U$5:$U$376,"INKA")</f>
        <v>0</v>
      </c>
      <c r="E173" s="68">
        <f>COUNTIFS(Database!$W$5:$W$376,"Akuntansi",Database!$U$5:$U$376,"MRO")</f>
        <v>0</v>
      </c>
      <c r="F173" s="68">
        <f>COUNTIFS(Database!$W$5:$W$376,"Akuntansi",Database!$U$5:$U$376,"GUDANG")</f>
        <v>0</v>
      </c>
      <c r="G173" s="68">
        <f>COUNTIFS(Database!$W$5:$W$376,"Akuntansi",Database!$U$5:$U$376,"Akuntansieh")+COUNTIFS(Database!$W$5:$W$376,"Akuntansi",Database!$U$5:$U$376,"Bandung")+COUNTIFS(Database!$W$5:$W$376,"Akuntansi",Database!$U$5:$U$376,"Banyuwangi")+COUNTIFS(Database!$W$5:$W$376,"Akuntansi",Database!$U$5:$U$376,"jakarta")+COUNTIFS(Database!$W$5:$W$376,"Akuntansi",Database!$U$5:$U$376,"klaten")+COUNTIFS(Database!$W$5:$W$376,"Akuntansi",Database!$U$5:$U$376,"Lampung")+COUNTIFS(Database!$W$5:$W$376,"Akuntansi",Database!$U$5:$U$376,"makassar")+COUNTIFS(Database!$W$5:$W$376,"Akuntansi",Database!$U$5:$U$376,"medan")+COUNTIFS(Database!$W$5:$W$376,"Akuntansi",Database!$U$5:$U$376,"Padang")+COUNTIFS(Database!$W$5:$W$376,"Akuntansi",Database!$U$5:$U$376,"Palembang")+COUNTIFS(Database!$W$5:$W$376,"Akuntansi",Database!$U$5:$U$376,"Purwodadi")+COUNTIFS(Database!$W$5:$W$376,"Akuntansi",Database!$U$5:$U$376,"Solo")+COUNTIFS(Database!$W$5:$W$376,"Akuntansi",Database!$U$5:$U$376,"surabaya")</f>
        <v>0</v>
      </c>
      <c r="H173" s="68">
        <f>COUNTIFS(Database!$W$5:$W$376,"Akuntansi",Database!$U$5:$U$376,"PMU")</f>
        <v>0</v>
      </c>
      <c r="I173" s="21">
        <f t="shared" si="6"/>
        <v>4</v>
      </c>
      <c r="J173" s="1"/>
      <c r="K173" s="1"/>
    </row>
    <row r="174" spans="1:25" ht="15.75" customHeight="1" x14ac:dyDescent="0.3">
      <c r="A174" s="16">
        <v>6</v>
      </c>
      <c r="B174" s="69" t="s">
        <v>44</v>
      </c>
      <c r="C174" s="68">
        <f>COUNTIFS(Database!$W$5:$W$376,"Bogie",Database!$U$5:$U$376,"IMSS")</f>
        <v>0</v>
      </c>
      <c r="D174" s="68">
        <f>COUNTIFS(Database!$W$5:$W$376,"Bogie",Database!$U$5:$U$376,"INKA")</f>
        <v>0</v>
      </c>
      <c r="E174" s="68">
        <f>COUNTIFS(Database!$W$5:$W$376,"Bogie",Database!$U$5:$U$376,"MRO")</f>
        <v>0</v>
      </c>
      <c r="F174" s="68">
        <f>COUNTIFS(Database!$W$5:$W$376,"Bogie",Database!$U$5:$U$376,"GUDANG")</f>
        <v>0</v>
      </c>
      <c r="G174" s="68">
        <f>COUNTIFS(Database!$W$5:$W$376,"Bogie",Database!$U$5:$U$376,"Bogieeh")+COUNTIFS(Database!$W$5:$W$376,"Bogie",Database!$U$5:$U$376,"Bandung")+COUNTIFS(Database!$W$5:$W$376,"Bogie",Database!$U$5:$U$376,"Banyuwangi")+COUNTIFS(Database!$W$5:$W$376,"Bogie",Database!$U$5:$U$376,"jakarta")+COUNTIFS(Database!$W$5:$W$376,"Bogie",Database!$U$5:$U$376,"klaten")+COUNTIFS(Database!$W$5:$W$376,"Bogie",Database!$U$5:$U$376,"Lampung")+COUNTIFS(Database!$W$5:$W$376,"Bogie",Database!$U$5:$U$376,"makassar")+COUNTIFS(Database!$W$5:$W$376,"Bogie",Database!$U$5:$U$376,"medan")+COUNTIFS(Database!$W$5:$W$376,"Bogie",Database!$U$5:$U$376,"Padang")+COUNTIFS(Database!$W$5:$W$376,"Bogie",Database!$U$5:$U$376,"Palembang")+COUNTIFS(Database!$W$5:$W$376,"Bogie",Database!$U$5:$U$376,"Purwodadi")+COUNTIFS(Database!$W$5:$W$376,"Bogie",Database!$U$5:$U$376,"Solo")+COUNTIFS(Database!$W$5:$W$376,"Bogie",Database!$U$5:$U$376,"surabaya")</f>
        <v>0</v>
      </c>
      <c r="H174" s="68">
        <f>COUNTIFS(Database!$W$5:$W$376,"Bogie",Database!$U$5:$U$376,"PMU")</f>
        <v>0</v>
      </c>
      <c r="I174" s="21">
        <f t="shared" si="6"/>
        <v>0</v>
      </c>
      <c r="J174" s="1"/>
      <c r="K174" s="1"/>
    </row>
    <row r="175" spans="1:25" ht="15.75" customHeight="1" x14ac:dyDescent="0.3">
      <c r="A175" s="16">
        <v>7</v>
      </c>
      <c r="B175" s="69" t="s">
        <v>171</v>
      </c>
      <c r="C175" s="68">
        <f>COUNTIFS(Database!$W$5:$W$376,"Bus Listrik",Database!$U$5:$U$376,"IMSS")</f>
        <v>0</v>
      </c>
      <c r="D175" s="68">
        <f>COUNTIFS(Database!$W$5:$W$376,"Bus Listrik",Database!$U$5:$U$376,"INKA")</f>
        <v>0</v>
      </c>
      <c r="E175" s="68">
        <f>COUNTIFS(Database!$W$5:$W$376,"Bus Listrik",Database!$U$5:$U$376,"MRO")</f>
        <v>0</v>
      </c>
      <c r="F175" s="68">
        <f>COUNTIFS(Database!$W$5:$W$376,"Bus Listrik",Database!$U$5:$U$376,"GUDANG")</f>
        <v>0</v>
      </c>
      <c r="G175" s="68">
        <f>COUNTIFS(Database!$W$5:$W$376,"Bus Listrik",Database!$U$5:$U$376,"Bus Listrikeh")+COUNTIFS(Database!$W$5:$W$376,"Bus Listrik",Database!$U$5:$U$376,"Bandung")+COUNTIFS(Database!$W$5:$W$376,"Bus Listrik",Database!$U$5:$U$376,"Banyuwangi")+COUNTIFS(Database!$W$5:$W$376,"Bus Listrik",Database!$U$5:$U$376,"jakarta")+COUNTIFS(Database!$W$5:$W$376,"Bus Listrik",Database!$U$5:$U$376,"klaten")+COUNTIFS(Database!$W$5:$W$376,"Bus Listrik",Database!$U$5:$U$376,"Lampung")+COUNTIFS(Database!$W$5:$W$376,"Bus Listrik",Database!$U$5:$U$376,"makassar")+COUNTIFS(Database!$W$5:$W$376,"Bus Listrik",Database!$U$5:$U$376,"medan")+COUNTIFS(Database!$W$5:$W$376,"Bus Listrik",Database!$U$5:$U$376,"Padang")+COUNTIFS(Database!$W$5:$W$376,"Bus Listrik",Database!$U$5:$U$376,"Palembang")+COUNTIFS(Database!$W$5:$W$376,"Bus Listrik",Database!$U$5:$U$376,"Purwodadi")+COUNTIFS(Database!$W$5:$W$376,"Bus Listrik",Database!$U$5:$U$376,"Solo")+COUNTIFS(Database!$W$5:$W$376,"Bus Listrik",Database!$U$5:$U$376,"surabaya")</f>
        <v>0</v>
      </c>
      <c r="H175" s="68">
        <f>COUNTIFS(Database!$W$5:$W$376,"Bus Listrik",Database!$U$5:$U$376,"PMU")</f>
        <v>0</v>
      </c>
      <c r="I175" s="21">
        <f t="shared" si="6"/>
        <v>0</v>
      </c>
      <c r="J175" s="1"/>
      <c r="K175" s="1"/>
    </row>
    <row r="176" spans="1:25" ht="15.75" customHeight="1" x14ac:dyDescent="0.3">
      <c r="A176" s="16">
        <v>8</v>
      </c>
      <c r="B176" s="69" t="s">
        <v>47</v>
      </c>
      <c r="C176" s="68">
        <f>COUNTIFS(Database!$W$5:$W$376,"Cut Meutia",Database!$U$5:$U$376,"IMSS")</f>
        <v>0</v>
      </c>
      <c r="D176" s="68">
        <f>COUNTIFS(Database!$W$5:$W$376,"Cut Meutia",Database!$U$5:$U$376,"INKA")</f>
        <v>0</v>
      </c>
      <c r="E176" s="68">
        <f>COUNTIFS(Database!$W$5:$W$376,"Cut Meutia",Database!$U$5:$U$376,"MRO")</f>
        <v>0</v>
      </c>
      <c r="F176" s="68">
        <f>COUNTIFS(Database!$W$5:$W$376,"Cut Meutia",Database!$U$5:$U$376,"GUDANG")</f>
        <v>0</v>
      </c>
      <c r="G176" s="68">
        <f>COUNTIFS(Database!$W$5:$W$376,"Cut Meutia",Database!$U$5:$U$376,"ACEH")+COUNTIFS(Database!$W$5:$W$376,"Cut Meutia",Database!$U$5:$U$376,"Bandung")+COUNTIFS(Database!$W$5:$W$376,"Cut Meutia",Database!$U$5:$U$376,"Banyuwangi")+COUNTIFS(Database!$W$5:$W$376,"Cut Meutia",Database!$U$5:$U$376,"jakarta")+COUNTIFS(Database!$W$5:$W$376,"Cut Meutia",Database!$U$5:$U$376,"klaten")+COUNTIFS(Database!$W$5:$W$376,"Cut Meutia",Database!$U$5:$U$376,"Lampung")+COUNTIFS(Database!$W$5:$W$376,"Cut Meutia",Database!$U$5:$U$376,"makassar")+COUNTIFS(Database!$W$5:$W$376,"Cut Meutia",Database!$U$5:$U$376,"medan")+COUNTIFS(Database!$W$5:$W$376,"Cut Meutia",Database!$U$5:$U$376,"Padang")+COUNTIFS(Database!$W$5:$W$376,"Cut Meutia",Database!$U$5:$U$376,"Palembang")+COUNTIFS(Database!$W$5:$W$376,"Cut Meutia",Database!$U$5:$U$376,"Purwodadi")+COUNTIFS(Database!$W$5:$W$376,"Cut Meutia",Database!$U$5:$U$376,"Solo")+COUNTIFS(Database!$W$5:$W$376,"Cut Meutia",Database!$U$5:$U$376,"surabaya")</f>
        <v>0</v>
      </c>
      <c r="H176" s="68">
        <f>COUNTIFS(Database!$W$5:$W$376,"Cut Meutia",Database!$U$5:$U$376,"PMU")</f>
        <v>0</v>
      </c>
      <c r="I176" s="21">
        <f t="shared" si="6"/>
        <v>0</v>
      </c>
      <c r="J176" s="1"/>
      <c r="K176" s="1"/>
    </row>
    <row r="177" spans="1:11" ht="15.75" customHeight="1" x14ac:dyDescent="0.3">
      <c r="A177" s="16">
        <v>9</v>
      </c>
      <c r="B177" s="69" t="s">
        <v>48</v>
      </c>
      <c r="C177" s="68">
        <f>COUNTIFS(Database!$W$5:$W$376,"DIREKSI",Database!$U$5:$U$376,"IMSS")</f>
        <v>0</v>
      </c>
      <c r="D177" s="68">
        <f>COUNTIFS(Database!$W$5:$W$376,"DIREKSI",Database!$U$5:$U$376,"INKA")</f>
        <v>0</v>
      </c>
      <c r="E177" s="68">
        <f>COUNTIFS(Database!$W$5:$W$376,"DIREKSI",Database!$U$5:$U$376,"MRO")</f>
        <v>0</v>
      </c>
      <c r="F177" s="68">
        <f>COUNTIFS(Database!$W$5:$W$376,"DIREKSI",Database!$U$5:$U$376,"GUDANG")</f>
        <v>0</v>
      </c>
      <c r="G177" s="68">
        <f>COUNTIFS(Database!$W$5:$W$376,"DIREKSI",Database!$U$5:$U$376,"Aceh")+COUNTIFS(Database!$W$5:$W$376,"DIREKSI",Database!$U$5:$U$376,"Bandung")+COUNTIFS(Database!$W$5:$W$376,"DIREKSI",Database!$U$5:$U$376,"Banyuwangi")+COUNTIFS(Database!$W$5:$W$376,"DIREKSI",Database!$U$5:$U$376,"jakarta")+COUNTIFS(Database!$W$5:$W$376,"DIREKSI",Database!$U$5:$U$376,"klaten")+COUNTIFS(Database!$W$5:$W$376,"DIREKSI",Database!$U$5:$U$376,"Lampung")+COUNTIFS(Database!$W$5:$W$376,"DIREKSI",Database!$U$5:$U$376,"makassar")+COUNTIFS(Database!$W$5:$W$376,"DIREKSI",Database!$U$5:$U$376,"medan")+COUNTIFS(Database!$W$5:$W$376,"DIREKSI",Database!$U$5:$U$376,"Padang")+COUNTIFS(Database!$W$5:$W$376,"DIREKSI",Database!$U$5:$U$376,"Palembang")+COUNTIFS(Database!$W$5:$W$376,"DIREKSI",Database!$U$5:$U$376,"Purwodadi")+COUNTIFS(Database!$W$5:$W$376,"DIREKSI",Database!$U$5:$U$376,"Solo")+COUNTIFS(Database!$W$5:$W$376,"DIREKSI",Database!$U$5:$U$376,"surabaya")</f>
        <v>0</v>
      </c>
      <c r="H177" s="68">
        <f>COUNTIFS(Database!$W$5:$W$376,"DIREKSI",Database!$U$5:$U$376,"PMU")</f>
        <v>0</v>
      </c>
      <c r="I177" s="21">
        <f t="shared" si="6"/>
        <v>0</v>
      </c>
      <c r="J177" s="1"/>
      <c r="K177" s="1"/>
    </row>
    <row r="178" spans="1:11" ht="15.75" customHeight="1" x14ac:dyDescent="0.3">
      <c r="A178" s="16">
        <v>10</v>
      </c>
      <c r="B178" s="69" t="s">
        <v>172</v>
      </c>
      <c r="C178" s="68">
        <f>COUNTIFS(Database!$W$5:$W$376,"Fasilitas Pemeliharaan dan Sipil",Database!$U$5:$U$376,"IMSS")</f>
        <v>0</v>
      </c>
      <c r="D178" s="68">
        <f>COUNTIFS(Database!$W$5:$W$376,"Fasilitas Pemeliharaan dan Sipil",Database!$U$5:$U$376,"INKA")</f>
        <v>0</v>
      </c>
      <c r="E178" s="68">
        <f>COUNTIFS(Database!$W$5:$W$376,"Fasilitas Pemeliharaan dan Sipil",Database!$U$5:$U$376,"MRO")</f>
        <v>0</v>
      </c>
      <c r="F178" s="68">
        <f>COUNTIFS(Database!$W$5:$W$376,"Fasilitas Pemeliharaan dan Sipil",Database!$U$5:$U$376,"GUDANG")</f>
        <v>0</v>
      </c>
      <c r="G178" s="68">
        <f>COUNTIFS(Database!$W$5:$W$376,"Fasilitas Pemeliharaan dan Sipil",Database!$U$5:$U$376,"Aceh")+COUNTIFS(Database!$W$5:$W$376,"Fasilitas Pemeliharaan dan Sipil",Database!$U$5:$U$376,"Bandung")+COUNTIFS(Database!$W$5:$W$376,"Fasilitas Pemeliharaan dan Sipil",Database!$U$5:$U$376,"Banyuwangi")+COUNTIFS(Database!$W$5:$W$376,"Fasilitas Pemeliharaan dan Sipil",Database!$U$5:$U$376,"jakarta")+COUNTIFS(Database!$W$5:$W$376,"Fasilitas Pemeliharaan dan Sipil",Database!$U$5:$U$376,"klaten")+COUNTIFS(Database!$W$5:$W$376,"Fasilitas Pemeliharaan dan Sipil",Database!$U$5:$U$376,"Lampung")+COUNTIFS(Database!$W$5:$W$376,"Fasilitas Pemeliharaan dan Sipil",Database!$U$5:$U$376,"makassar")+COUNTIFS(Database!$W$5:$W$376,"Fasilitas Pemeliharaan dan Sipil",Database!$U$5:$U$376,"medan")+COUNTIFS(Database!$W$5:$W$376,"Fasilitas Pemeliharaan dan Sipil",Database!$U$5:$U$376,"Padang")+COUNTIFS(Database!$W$5:$W$376,"Fasilitas Pemeliharaan dan Sipil",Database!$U$5:$U$376,"Palembang")+COUNTIFS(Database!$W$5:$W$376,"Fasilitas Pemeliharaan dan Sipil",Database!$U$5:$U$376,"Purwodadi")+COUNTIFS(Database!$W$5:$W$376,"Fasilitas Pemeliharaan dan Sipil",Database!$U$5:$U$376,"Solo")+COUNTIFS(Database!$W$5:$W$376,"Fasilitas Pemeliharaan dan Sipil",Database!$U$5:$U$376,"surabaya")</f>
        <v>0</v>
      </c>
      <c r="H178" s="68">
        <f>COUNTIFS(Database!$W$5:$W$376,"Fasilitas Pemeliharaan dan Sipil",Database!$U$5:$U$376,"PMU")</f>
        <v>0</v>
      </c>
      <c r="I178" s="21">
        <f t="shared" si="6"/>
        <v>0</v>
      </c>
      <c r="J178" s="1"/>
      <c r="K178" s="1"/>
    </row>
    <row r="179" spans="1:11" ht="15.75" customHeight="1" x14ac:dyDescent="0.3">
      <c r="A179" s="16">
        <v>11</v>
      </c>
      <c r="B179" s="69" t="s">
        <v>173</v>
      </c>
      <c r="C179" s="68">
        <f>COUNTIFS(Database!$W$5:$W$376,"Forklift",Database!$U$5:$U$376,"IMSS")</f>
        <v>0</v>
      </c>
      <c r="D179" s="68">
        <f>COUNTIFS(Database!$W$5:$W$376,"Forklift",Database!$U$5:$U$376,"INKA")</f>
        <v>0</v>
      </c>
      <c r="E179" s="68">
        <f>COUNTIFS(Database!$W$5:$W$376,"Forklift",Database!$U$5:$U$376,"MRO")</f>
        <v>0</v>
      </c>
      <c r="F179" s="68">
        <f>COUNTIFS(Database!$W$5:$W$376,"Forklift",Database!$U$5:$U$376,"GUDANG")</f>
        <v>0</v>
      </c>
      <c r="G179" s="68">
        <f>COUNTIFS(Database!$W$5:$W$376,"Forklift",Database!$U$5:$U$376,"Aceh")+COUNTIFS(Database!$W$5:$W$376,"Forklift",Database!$U$5:$U$376,"Bandung")+COUNTIFS(Database!$W$5:$W$376,"Forklift",Database!$U$5:$U$376,"Banyuwangi")+COUNTIFS(Database!$W$5:$W$376,"Forklift",Database!$U$5:$U$376,"jakarta")+COUNTIFS(Database!$W$5:$W$376,"Forklift",Database!$U$5:$U$376,"klaten")+COUNTIFS(Database!$W$5:$W$376,"Forklift",Database!$U$5:$U$376,"Lampung")+COUNTIFS(Database!$W$5:$W$376,"Forklift",Database!$U$5:$U$376,"makassar")+COUNTIFS(Database!$W$5:$W$376,"Forklift",Database!$U$5:$U$376,"medan")+COUNTIFS(Database!$W$5:$W$376,"Forklift",Database!$U$5:$U$376,"Padang")+COUNTIFS(Database!$W$5:$W$376,"Forklift",Database!$U$5:$U$376,"Palembang")+COUNTIFS(Database!$W$5:$W$376,"Forklift",Database!$U$5:$U$376,"Purwodadi")+COUNTIFS(Database!$W$5:$W$376,"Forklift",Database!$U$5:$U$376,"Solo")+COUNTIFS(Database!$W$5:$W$376,"Forklift",Database!$U$5:$U$376,"surabaya")</f>
        <v>0</v>
      </c>
      <c r="H179" s="68">
        <f>COUNTIFS(Database!$W$5:$W$376,"Forklift",Database!$U$5:$U$376,"PMU")</f>
        <v>0</v>
      </c>
      <c r="I179" s="21">
        <f t="shared" si="6"/>
        <v>0</v>
      </c>
      <c r="J179" s="1"/>
      <c r="K179" s="1"/>
    </row>
    <row r="180" spans="1:11" ht="15.75" customHeight="1" x14ac:dyDescent="0.3">
      <c r="A180" s="16">
        <v>12</v>
      </c>
      <c r="B180" s="69" t="s">
        <v>49</v>
      </c>
      <c r="C180" s="68">
        <f>COUNTIFS(Database!$W$5:$W$376,"GUDANG",Database!$U$5:$U$376,"IMSS")</f>
        <v>0</v>
      </c>
      <c r="D180" s="68">
        <f>COUNTIFS(Database!$W$5:$W$376,"GUDANG",Database!$U$5:$U$376,"INKA")</f>
        <v>0</v>
      </c>
      <c r="E180" s="68">
        <f>COUNTIFS(Database!$W$5:$W$376,"GUDANG",Database!$U$5:$U$376,"MRO")</f>
        <v>0</v>
      </c>
      <c r="F180" s="68">
        <f>COUNTIFS(Database!$W$5:$W$376,"GUDANG",Database!$U$5:$U$376,"GUDANG")</f>
        <v>0</v>
      </c>
      <c r="G180" s="68">
        <f>COUNTIFS(Database!$W$5:$W$376,"GUDANG",Database!$U$5:$U$376,"Aceh")+COUNTIFS(Database!$W$5:$W$376,"GUDANG",Database!$U$5:$U$376,"Bandung")+COUNTIFS(Database!$W$5:$W$376,"GUDANG",Database!$U$5:$U$376,"Banyuwangi")+COUNTIFS(Database!$W$5:$W$376,"GUDANG",Database!$U$5:$U$376,"jakarta")+COUNTIFS(Database!$W$5:$W$376,"GUDANG",Database!$U$5:$U$376,"klaten")+COUNTIFS(Database!$W$5:$W$376,"GUDANG",Database!$U$5:$U$376,"Lampung")+COUNTIFS(Database!$W$5:$W$376,"GUDANG",Database!$U$5:$U$376,"makassar")+COUNTIFS(Database!$W$5:$W$376,"GUDANG",Database!$U$5:$U$376,"medan")+COUNTIFS(Database!$W$5:$W$376,"GUDANG",Database!$U$5:$U$376,"Padang")+COUNTIFS(Database!$W$5:$W$376,"GUDANG",Database!$U$5:$U$376,"Palembang")+COUNTIFS(Database!$W$5:$W$376,"GUDANG",Database!$U$5:$U$376,"Purwodadi")+COUNTIFS(Database!$W$5:$W$376,"GUDANG",Database!$U$5:$U$376,"Solo")+COUNTIFS(Database!$W$5:$W$376,"GUDANG",Database!$U$5:$U$376,"surabaya")</f>
        <v>0</v>
      </c>
      <c r="H180" s="68">
        <f>COUNTIFS(Database!$W$5:$W$376,"GUDANG",Database!$U$5:$U$376,"PMU")</f>
        <v>0</v>
      </c>
      <c r="I180" s="21">
        <f t="shared" si="6"/>
        <v>0</v>
      </c>
      <c r="J180" s="1"/>
      <c r="K180" s="1"/>
    </row>
    <row r="181" spans="1:11" ht="15.75" customHeight="1" x14ac:dyDescent="0.3">
      <c r="A181" s="16">
        <v>13</v>
      </c>
      <c r="B181" s="69" t="s">
        <v>50</v>
      </c>
      <c r="C181" s="68">
        <f>COUNTIFS(Database!$W$5:$W$376,"Keuangan",Database!$U$5:$U$376,"IMSS")</f>
        <v>4</v>
      </c>
      <c r="D181" s="68">
        <f>COUNTIFS(Database!$W$5:$W$376,"Keuangan",Database!$U$5:$U$376,"INKA")</f>
        <v>0</v>
      </c>
      <c r="E181" s="68">
        <f>COUNTIFS(Database!$W$5:$W$376,"Keuangan",Database!$U$5:$U$376,"MRO")</f>
        <v>0</v>
      </c>
      <c r="F181" s="68">
        <f>COUNTIFS(Database!$W$5:$W$376,"Keuangan",Database!$U$5:$U$376,"GUDANG")</f>
        <v>0</v>
      </c>
      <c r="G181" s="68">
        <f>COUNTIFS(Database!$W$5:$W$376,"Keuangan",Database!$U$5:$U$376,"Aceh")+COUNTIFS(Database!$W$5:$W$376,"Keuangan",Database!$U$5:$U$376,"Bandung")+COUNTIFS(Database!$W$5:$W$376,"Keuangan",Database!$U$5:$U$376,"Banyuwangi")+COUNTIFS(Database!$W$5:$W$376,"Keuangan",Database!$U$5:$U$376,"jakarta")+COUNTIFS(Database!$W$5:$W$376,"Keuangan",Database!$U$5:$U$376,"klaten")+COUNTIFS(Database!$W$5:$W$376,"Keuangan",Database!$U$5:$U$376,"Lampung")+COUNTIFS(Database!$W$5:$W$376,"Keuangan",Database!$U$5:$U$376,"makassar")+COUNTIFS(Database!$W$5:$W$376,"Keuangan",Database!$U$5:$U$376,"medan")+COUNTIFS(Database!$W$5:$W$376,"Keuangan",Database!$U$5:$U$376,"Padang")+COUNTIFS(Database!$W$5:$W$376,"Keuangan",Database!$U$5:$U$376,"Palembang")+COUNTIFS(Database!$W$5:$W$376,"Keuangan",Database!$U$5:$U$376,"Purwodadi")+COUNTIFS(Database!$W$5:$W$376,"Keuangan",Database!$U$5:$U$376,"Solo")+COUNTIFS(Database!$W$5:$W$376,"Keuangan",Database!$U$5:$U$376,"surabaya")</f>
        <v>0</v>
      </c>
      <c r="H181" s="68">
        <f>COUNTIFS(Database!$W$5:$W$376,"Keuangan",Database!$U$5:$U$376,"PMU")</f>
        <v>0</v>
      </c>
      <c r="I181" s="21">
        <f t="shared" si="6"/>
        <v>4</v>
      </c>
      <c r="J181" s="1"/>
      <c r="K181" s="1"/>
    </row>
    <row r="182" spans="1:11" ht="15.75" customHeight="1" x14ac:dyDescent="0.3">
      <c r="A182" s="16">
        <v>14</v>
      </c>
      <c r="B182" s="69" t="s">
        <v>174</v>
      </c>
      <c r="C182" s="68">
        <f>COUNTIFS(Database!$W$5:$W$376,"KRDE Makassar- Parepare",Database!$U$5:$U$376,"IMSS")</f>
        <v>0</v>
      </c>
      <c r="D182" s="68">
        <f>COUNTIFS(Database!$W$5:$W$376,"KRDE Makassar- Parepare",Database!$U$5:$U$376,"INKA")</f>
        <v>0</v>
      </c>
      <c r="E182" s="68">
        <f>COUNTIFS(Database!$W$5:$W$376,"KRDE Makassar- Parepare",Database!$U$5:$U$376,"MRO")</f>
        <v>0</v>
      </c>
      <c r="F182" s="68">
        <f>COUNTIFS(Database!$W$5:$W$376,"KRDE Makassar- Parepare",Database!$U$5:$U$376,"GUDANG")</f>
        <v>0</v>
      </c>
      <c r="G182" s="68">
        <f>COUNTIFS(Database!$W$5:$W$376,"KRDE Makassar- Parepare",Database!$U$5:$U$376,"Aceh")+COUNTIFS(Database!$W$5:$W$376,"KRDE Makassar- Parepare",Database!$U$5:$U$376,"Bandung")+COUNTIFS(Database!$W$5:$W$376,"KRDE Makassar- Parepare",Database!$U$5:$U$376,"Banyuwangi")+COUNTIFS(Database!$W$5:$W$376,"KRDE Makassar- Parepare",Database!$U$5:$U$376,"jakarta")+COUNTIFS(Database!$W$5:$W$376,"KRDE Makassar- Parepare",Database!$U$5:$U$376,"klaten")+COUNTIFS(Database!$W$5:$W$376,"KRDE Makassar- Parepare",Database!$U$5:$U$376,"Lampung")+COUNTIFS(Database!$W$5:$W$376,"KRDE Makassar- Parepare",Database!$U$5:$U$376,"makassar")+COUNTIFS(Database!$W$5:$W$376,"KRDE Makassar- Parepare",Database!$U$5:$U$376,"medan")+COUNTIFS(Database!$W$5:$W$376,"KRDE Makassar- Parepare",Database!$U$5:$U$376,"Padang")+COUNTIFS(Database!$W$5:$W$376,"KRDE Makassar- Parepare",Database!$U$5:$U$376,"Palembang")+COUNTIFS(Database!$W$5:$W$376,"KRDE Makassar- Parepare",Database!$U$5:$U$376,"Purwodadi")+COUNTIFS(Database!$W$5:$W$376,"KRDE Makassar- Parepare",Database!$U$5:$U$376,"Solo")+COUNTIFS(Database!$W$5:$W$376,"KRDE Makassar- Parepare",Database!$U$5:$U$376,"surabaya")</f>
        <v>0</v>
      </c>
      <c r="H182" s="68">
        <f>COUNTIFS(Database!$W$5:$W$376,"KRDE Makassar- Parepare",Database!$U$5:$U$376,"PMU")</f>
        <v>0</v>
      </c>
      <c r="I182" s="21">
        <f t="shared" si="6"/>
        <v>0</v>
      </c>
      <c r="J182" s="1"/>
      <c r="K182" s="1"/>
    </row>
    <row r="183" spans="1:11" ht="15.75" customHeight="1" x14ac:dyDescent="0.3">
      <c r="A183" s="16">
        <v>15</v>
      </c>
      <c r="B183" s="69" t="s">
        <v>51</v>
      </c>
      <c r="C183" s="68">
        <f>COUNTIFS(Database!$W$5:$W$376,"KRL KfW",Database!$U$5:$U$376,"IMSS")</f>
        <v>0</v>
      </c>
      <c r="D183" s="68">
        <f>COUNTIFS(Database!$W$5:$W$376,"KRL KfW",Database!$U$5:$U$376,"INKA")</f>
        <v>0</v>
      </c>
      <c r="E183" s="68">
        <f>COUNTIFS(Database!$W$5:$W$376,"KRL KfW",Database!$U$5:$U$376,"MRO")</f>
        <v>0</v>
      </c>
      <c r="F183" s="68">
        <f>COUNTIFS(Database!$W$5:$W$376,"KRL KfW",Database!$U$5:$U$376,"GUDANG")</f>
        <v>0</v>
      </c>
      <c r="G183" s="68">
        <f>COUNTIFS(Database!$W$5:$W$376,"KRL KfW",Database!$U$5:$U$376,"Aceh")+COUNTIFS(Database!$W$5:$W$376,"KRL KfW",Database!$U$5:$U$376,"Bandung")+COUNTIFS(Database!$W$5:$W$376,"KRL KfW",Database!$U$5:$U$376,"Banyuwangi")+COUNTIFS(Database!$W$5:$W$376,"KRL KfW",Database!$U$5:$U$376,"jakarta")+COUNTIFS(Database!$W$5:$W$376,"KRL KfW",Database!$U$5:$U$376,"klaten")+COUNTIFS(Database!$W$5:$W$376,"KRL KfW",Database!$U$5:$U$376,"Lampung")+COUNTIFS(Database!$W$5:$W$376,"KRL KfW",Database!$U$5:$U$376,"makassar")+COUNTIFS(Database!$W$5:$W$376,"KRL KfW",Database!$U$5:$U$376,"medan")+COUNTIFS(Database!$W$5:$W$376,"KRL KfW",Database!$U$5:$U$376,"Padang")+COUNTIFS(Database!$W$5:$W$376,"KRL KfW",Database!$U$5:$U$376,"Palembang")+COUNTIFS(Database!$W$5:$W$376,"KRL KfW",Database!$U$5:$U$376,"Purwodadi")+COUNTIFS(Database!$W$5:$W$376,"KRL KfW",Database!$U$5:$U$376,"Solo")+COUNTIFS(Database!$W$5:$W$376,"KRL KfW",Database!$U$5:$U$376,"surabaya")</f>
        <v>39</v>
      </c>
      <c r="H183" s="68">
        <f>COUNTIFS(Database!$W$5:$W$376,"KRL KfW",Database!$U$5:$U$376,"PMU")</f>
        <v>0</v>
      </c>
      <c r="I183" s="21">
        <f t="shared" si="6"/>
        <v>39</v>
      </c>
      <c r="J183" s="1"/>
      <c r="K183" s="1"/>
    </row>
    <row r="184" spans="1:11" ht="15.75" customHeight="1" x14ac:dyDescent="0.3">
      <c r="A184" s="16">
        <v>16</v>
      </c>
      <c r="B184" s="69" t="s">
        <v>52</v>
      </c>
      <c r="C184" s="68">
        <f>COUNTIFS(Database!$W$5:$W$376,"KRL Soetta",Database!$U$5:$U$376,"IMSS")</f>
        <v>0</v>
      </c>
      <c r="D184" s="68">
        <f>COUNTIFS(Database!$W$5:$W$376,"KRL Soetta",Database!$U$5:$U$376,"INKA")</f>
        <v>0</v>
      </c>
      <c r="E184" s="68">
        <f>COUNTIFS(Database!$W$5:$W$376,"KRL Soetta",Database!$U$5:$U$376,"MRO")</f>
        <v>0</v>
      </c>
      <c r="F184" s="68">
        <f>COUNTIFS(Database!$W$5:$W$376,"KRL Soetta",Database!$U$5:$U$376,"GUDANG")</f>
        <v>0</v>
      </c>
      <c r="G184" s="68">
        <f>COUNTIFS(Database!$W$5:$W$376,"KRL Soetta",Database!$U$5:$U$376,"Aceh")+COUNTIFS(Database!$W$5:$W$376,"KRL Soetta",Database!$U$5:$U$376,"Bandung")+COUNTIFS(Database!$W$5:$W$376,"KRL Soetta",Database!$U$5:$U$376,"Banyuwangi")+COUNTIFS(Database!$W$5:$W$376,"KRL Soetta",Database!$U$5:$U$376,"jakarta")+COUNTIFS(Database!$W$5:$W$376,"KRL Soetta",Database!$U$5:$U$376,"klaten")+COUNTIFS(Database!$W$5:$W$376,"KRL Soetta",Database!$U$5:$U$376,"Lampung")+COUNTIFS(Database!$W$5:$W$376,"KRL Soetta",Database!$U$5:$U$376,"makassar")+COUNTIFS(Database!$W$5:$W$376,"KRL Soetta",Database!$U$5:$U$376,"medan")+COUNTIFS(Database!$W$5:$W$376,"KRL Soetta",Database!$U$5:$U$376,"Padang")+COUNTIFS(Database!$W$5:$W$376,"KRL Soetta",Database!$U$5:$U$376,"Palembang")+COUNTIFS(Database!$W$5:$W$376,"KRL Soetta",Database!$U$5:$U$376,"Purwodadi")+COUNTIFS(Database!$W$5:$W$376,"KRL Soetta",Database!$U$5:$U$376,"Solo")+COUNTIFS(Database!$W$5:$W$376,"KRL Soetta",Database!$U$5:$U$376,"surabaya")</f>
        <v>0</v>
      </c>
      <c r="H184" s="68">
        <f>COUNTIFS(Database!$W$5:$W$376,"KRL Soetta",Database!$U$5:$U$376,"PMU")</f>
        <v>0</v>
      </c>
      <c r="I184" s="21">
        <f t="shared" si="6"/>
        <v>0</v>
      </c>
      <c r="J184" s="1"/>
      <c r="K184" s="1"/>
    </row>
    <row r="185" spans="1:11" ht="15.75" customHeight="1" x14ac:dyDescent="0.3">
      <c r="A185" s="16">
        <v>17</v>
      </c>
      <c r="B185" s="69" t="s">
        <v>53</v>
      </c>
      <c r="C185" s="68">
        <f>COUNTIFS(Database!$W$5:$W$376,"LISTRIK",Database!$U$5:$U$376,"IMSS")</f>
        <v>0</v>
      </c>
      <c r="D185" s="68">
        <f>COUNTIFS(Database!$W$5:$W$376,"LISTRIK",Database!$U$5:$U$376,"INKA")</f>
        <v>0</v>
      </c>
      <c r="E185" s="68">
        <f>COUNTIFS(Database!$W$5:$W$376,"LISTRIK",Database!$U$5:$U$376,"MRO")</f>
        <v>0</v>
      </c>
      <c r="F185" s="68">
        <f>COUNTIFS(Database!$W$5:$W$376,"LISTRIK",Database!$U$5:$U$376,"GUDANG")</f>
        <v>0</v>
      </c>
      <c r="G185" s="68">
        <f>COUNTIFS(Database!$W$5:$W$376,"LISTRIK",Database!$U$5:$U$376,"Aceh")+COUNTIFS(Database!$W$5:$W$376,"LISTRIK",Database!$U$5:$U$376,"Bandung")+COUNTIFS(Database!$W$5:$W$376,"LISTRIK",Database!$U$5:$U$376,"Banyuwangi")+COUNTIFS(Database!$W$5:$W$376,"LISTRIK",Database!$U$5:$U$376,"jakarta")+COUNTIFS(Database!$W$5:$W$376,"LISTRIK",Database!$U$5:$U$376,"klaten")+COUNTIFS(Database!$W$5:$W$376,"LISTRIK",Database!$U$5:$U$376,"Lampung")+COUNTIFS(Database!$W$5:$W$376,"LISTRIK",Database!$U$5:$U$376,"makassar")+COUNTIFS(Database!$W$5:$W$376,"LISTRIK",Database!$U$5:$U$376,"medan")+COUNTIFS(Database!$W$5:$W$376,"LISTRIK",Database!$U$5:$U$376,"Padang")+COUNTIFS(Database!$W$5:$W$376,"LISTRIK",Database!$U$5:$U$376,"Palembang")+COUNTIFS(Database!$W$5:$W$376,"LISTRIK",Database!$U$5:$U$376,"Purwodadi")+COUNTIFS(Database!$W$5:$W$376,"LISTRIK",Database!$U$5:$U$376,"Solo")+COUNTIFS(Database!$W$5:$W$376,"LISTRIK",Database!$U$5:$U$376,"surabaya")</f>
        <v>0</v>
      </c>
      <c r="H185" s="68">
        <f>COUNTIFS(Database!$W$5:$W$376,"LISTRIK",Database!$U$5:$U$376,"PMU")</f>
        <v>0</v>
      </c>
      <c r="I185" s="21">
        <f t="shared" si="6"/>
        <v>0</v>
      </c>
      <c r="J185" s="1"/>
      <c r="K185" s="1"/>
    </row>
    <row r="186" spans="1:11" ht="15.75" customHeight="1" x14ac:dyDescent="0.3">
      <c r="A186" s="16">
        <v>18</v>
      </c>
      <c r="B186" s="69" t="s">
        <v>54</v>
      </c>
      <c r="C186" s="68">
        <f>COUNTIFS(Database!$W$5:$W$376,"Logistik",Database!$U$5:$U$376,"IMSS")</f>
        <v>8</v>
      </c>
      <c r="D186" s="68">
        <f>COUNTIFS(Database!$W$5:$W$376,"Logistik",Database!$U$5:$U$376,"INKA")</f>
        <v>0</v>
      </c>
      <c r="E186" s="68">
        <f>COUNTIFS(Database!$W$5:$W$376,"Logistik",Database!$U$5:$U$376,"MRO")</f>
        <v>0</v>
      </c>
      <c r="F186" s="68">
        <f>COUNTIFS(Database!$W$5:$W$376,"Logistik",Database!$U$5:$U$376,"GUDANG")</f>
        <v>0</v>
      </c>
      <c r="G186" s="68">
        <f>COUNTIFS(Database!$W$5:$W$376,"Logistik",Database!$U$5:$U$376,"Aceh")+COUNTIFS(Database!$W$5:$W$376,"Logistik",Database!$U$5:$U$376,"Bandung")+COUNTIFS(Database!$W$5:$W$376,"Logistik",Database!$U$5:$U$376,"Banyuwangi")+COUNTIFS(Database!$W$5:$W$376,"Logistik",Database!$U$5:$U$376,"jakarta")+COUNTIFS(Database!$W$5:$W$376,"Logistik",Database!$U$5:$U$376,"klaten")+COUNTIFS(Database!$W$5:$W$376,"Logistik",Database!$U$5:$U$376,"Lampung")+COUNTIFS(Database!$W$5:$W$376,"Logistik",Database!$U$5:$U$376,"makassar")+COUNTIFS(Database!$W$5:$W$376,"Logistik",Database!$U$5:$U$376,"medan")+COUNTIFS(Database!$W$5:$W$376,"Logistik",Database!$U$5:$U$376,"Padang")+COUNTIFS(Database!$W$5:$W$376,"Logistik",Database!$U$5:$U$376,"Palembang")+COUNTIFS(Database!$W$5:$W$376,"Logistik",Database!$U$5:$U$376,"Purwodadi")+COUNTIFS(Database!$W$5:$W$376,"Logistik",Database!$U$5:$U$376,"Solo")+COUNTIFS(Database!$W$5:$W$376,"Logistik",Database!$U$5:$U$376,"surabaya")</f>
        <v>1</v>
      </c>
      <c r="H186" s="68">
        <f>COUNTIFS(Database!$W$5:$W$376,"Logistik",Database!$U$5:$U$376,"PMU")</f>
        <v>0</v>
      </c>
      <c r="I186" s="21">
        <f t="shared" si="6"/>
        <v>9</v>
      </c>
      <c r="J186" s="1"/>
      <c r="K186" s="1"/>
    </row>
    <row r="187" spans="1:11" ht="15.75" customHeight="1" x14ac:dyDescent="0.3">
      <c r="A187" s="16">
        <v>19</v>
      </c>
      <c r="B187" s="69" t="s">
        <v>175</v>
      </c>
      <c r="C187" s="68">
        <f>COUNTIFS(Database!$W$5:$W$376,"LRT Jabodebek",Database!$U$5:$U$376,"IMSS")</f>
        <v>1</v>
      </c>
      <c r="D187" s="68">
        <f>COUNTIFS(Database!$W$5:$W$376,"LRT Jabodebek",Database!$U$5:$U$376,"INKA")</f>
        <v>0</v>
      </c>
      <c r="E187" s="68">
        <f>COUNTIFS(Database!$W$5:$W$376,"LRT Jabodebek",Database!$U$5:$U$376,"MRO")</f>
        <v>0</v>
      </c>
      <c r="F187" s="68">
        <f>COUNTIFS(Database!$W$5:$W$376,"LRT Jabodebek",Database!$U$5:$U$376,"GUDANG")</f>
        <v>0</v>
      </c>
      <c r="G187" s="68">
        <f>COUNTIFS(Database!$W$5:$W$376,"LRT Jabodebek",Database!$U$5:$U$376,"Aceh")+COUNTIFS(Database!$W$5:$W$376,"LRT Jabodebek",Database!$U$5:$U$376,"Bandung")+COUNTIFS(Database!$W$5:$W$376,"LRT Jabodebek",Database!$U$5:$U$376,"Banyuwangi")+COUNTIFS(Database!$W$5:$W$376,"LRT Jabodebek",Database!$U$5:$U$376,"jakarta")+COUNTIFS(Database!$W$5:$W$376,"LRT Jabodebek",Database!$U$5:$U$376,"klaten")+COUNTIFS(Database!$W$5:$W$376,"LRT Jabodebek",Database!$U$5:$U$376,"Lampung")+COUNTIFS(Database!$W$5:$W$376,"LRT Jabodebek",Database!$U$5:$U$376,"makassar")+COUNTIFS(Database!$W$5:$W$376,"LRT Jabodebek",Database!$U$5:$U$376,"medan")+COUNTIFS(Database!$W$5:$W$376,"LRT Jabodebek",Database!$U$5:$U$376,"Padang")+COUNTIFS(Database!$W$5:$W$376,"LRT Jabodebek",Database!$U$5:$U$376,"Palembang")+COUNTIFS(Database!$W$5:$W$376,"LRT Jabodebek",Database!$U$5:$U$376,"Purwodadi")+COUNTIFS(Database!$W$5:$W$376,"LRT Jabodebek",Database!$U$5:$U$376,"Solo")+COUNTIFS(Database!$W$5:$W$376,"LRT Jabodebek",Database!$U$5:$U$376,"surabaya")</f>
        <v>59</v>
      </c>
      <c r="H187" s="68">
        <f>COUNTIFS(Database!$W$5:$W$376,"LRT Jabodebek",Database!$U$5:$U$376,"PMU")</f>
        <v>0</v>
      </c>
      <c r="I187" s="21">
        <f t="shared" si="6"/>
        <v>60</v>
      </c>
      <c r="J187" s="1"/>
      <c r="K187" s="1"/>
    </row>
    <row r="188" spans="1:11" ht="15.75" customHeight="1" x14ac:dyDescent="0.3">
      <c r="A188" s="16">
        <v>20</v>
      </c>
      <c r="B188" s="69" t="s">
        <v>57</v>
      </c>
      <c r="C188" s="68">
        <f>COUNTIFS(Database!$W$5:$W$376,"LRT Palembang",Database!$U$5:$U$376,"IMSS")</f>
        <v>0</v>
      </c>
      <c r="D188" s="68">
        <f>COUNTIFS(Database!$W$5:$W$376,"LRT Palembang",Database!$U$5:$U$376,"INKA")</f>
        <v>0</v>
      </c>
      <c r="E188" s="68">
        <f>COUNTIFS(Database!$W$5:$W$376,"LRT Palembang",Database!$U$5:$U$376,"MRO")</f>
        <v>0</v>
      </c>
      <c r="F188" s="68">
        <f>COUNTIFS(Database!$W$5:$W$376,"LRT Palembang",Database!$U$5:$U$376,"GUDANG")</f>
        <v>0</v>
      </c>
      <c r="G188" s="68">
        <f>COUNTIFS(Database!$W$5:$W$376,"LRT Palembang",Database!$U$5:$U$376,"Aceh")+COUNTIFS(Database!$W$5:$W$376,"LRT Palembang",Database!$U$5:$U$376,"Bandung")+COUNTIFS(Database!$W$5:$W$376,"LRT Palembang",Database!$U$5:$U$376,"Banyuwangi")+COUNTIFS(Database!$W$5:$W$376,"LRT Palembang",Database!$U$5:$U$376,"jakarta")+COUNTIFS(Database!$W$5:$W$376,"LRT Palembang",Database!$U$5:$U$376,"klaten")+COUNTIFS(Database!$W$5:$W$376,"LRT Palembang",Database!$U$5:$U$376,"Lampung")+COUNTIFS(Database!$W$5:$W$376,"LRT Palembang",Database!$U$5:$U$376,"makassar")+COUNTIFS(Database!$W$5:$W$376,"LRT Palembang",Database!$U$5:$U$376,"medan")+COUNTIFS(Database!$W$5:$W$376,"LRT Palembang",Database!$U$5:$U$376,"Padang")+COUNTIFS(Database!$W$5:$W$376,"LRT Palembang",Database!$U$5:$U$376,"Palembang")+COUNTIFS(Database!$W$5:$W$376,"LRT Palembang",Database!$U$5:$U$376,"Purwodadi")+COUNTIFS(Database!$W$5:$W$376,"LRT Palembang",Database!$U$5:$U$376,"Solo")+COUNTIFS(Database!$W$5:$W$376,"LRT Palembang",Database!$U$5:$U$376,"surabaya")</f>
        <v>0</v>
      </c>
      <c r="H188" s="68">
        <f>COUNTIFS(Database!$W$5:$W$376,"LRT Palembang",Database!$U$5:$U$376,"PMU")</f>
        <v>0</v>
      </c>
      <c r="I188" s="21">
        <f t="shared" si="6"/>
        <v>0</v>
      </c>
      <c r="J188" s="1"/>
      <c r="K188" s="1"/>
    </row>
    <row r="189" spans="1:11" ht="15.75" customHeight="1" x14ac:dyDescent="0.3">
      <c r="A189" s="16">
        <v>21</v>
      </c>
      <c r="B189" s="69" t="s">
        <v>144</v>
      </c>
      <c r="C189" s="68">
        <f>COUNTIFS(Database!$W$5:$W$376,"Maintenance Repair Overhaul",Database!$U$5:$U$376,"IMSS")</f>
        <v>0</v>
      </c>
      <c r="D189" s="68">
        <f>COUNTIFS(Database!$W$5:$W$376,"Maintenance Repair Overhaul",Database!$U$5:$U$376,"INKA")</f>
        <v>0</v>
      </c>
      <c r="E189" s="68">
        <f>COUNTIFS(Database!$W$5:$W$376,"Maintenance Repair Overhaul",Database!$U$5:$U$376,"MRO")</f>
        <v>0</v>
      </c>
      <c r="F189" s="68">
        <f>COUNTIFS(Database!$W$5:$W$376,"Maintenance Repair Overhaul",Database!$U$5:$U$376,"GUDANG")</f>
        <v>0</v>
      </c>
      <c r="G189" s="68">
        <f>COUNTIFS(Database!$W$5:$W$376,"Maintenance Repair Overhaul",Database!$U$5:$U$376,"Aceh")+COUNTIFS(Database!$W$5:$W$376,"Maintenance Repair Overhaul",Database!$U$5:$U$376,"Bandung")+COUNTIFS(Database!$W$5:$W$376,"Maintenance Repair Overhaul",Database!$U$5:$U$376,"Banyuwangi")+COUNTIFS(Database!$W$5:$W$376,"Maintenance Repair Overhaul",Database!$U$5:$U$376,"jakarta")+COUNTIFS(Database!$W$5:$W$376,"Maintenance Repair Overhaul",Database!$U$5:$U$376,"klaten")+COUNTIFS(Database!$W$5:$W$376,"Maintenance Repair Overhaul",Database!$U$5:$U$376,"Lampung")+COUNTIFS(Database!$W$5:$W$376,"Maintenance Repair Overhaul",Database!$U$5:$U$376,"makassar")+COUNTIFS(Database!$W$5:$W$376,"Maintenance Repair Overhaul",Database!$U$5:$U$376,"medan")+COUNTIFS(Database!$W$5:$W$376,"Maintenance Repair Overhaul",Database!$U$5:$U$376,"Padang")+COUNTIFS(Database!$W$5:$W$376,"Maintenance Repair Overhaul",Database!$U$5:$U$376,"Palembang")+COUNTIFS(Database!$W$5:$W$376,"Maintenance Repair Overhaul",Database!$U$5:$U$376,"Purwodadi")+COUNTIFS(Database!$W$5:$W$376,"Maintenance Repair Overhaul",Database!$U$5:$U$376,"Solo")+COUNTIFS(Database!$W$5:$W$376,"Maintenance Repair Overhaul",Database!$U$5:$U$376,"surabaya")</f>
        <v>0</v>
      </c>
      <c r="H189" s="68">
        <f>COUNTIFS(Database!$W$5:$W$376,"Maintenance Repair Overhaul",Database!$U$5:$U$376,"PMU")</f>
        <v>0</v>
      </c>
      <c r="I189" s="21">
        <f t="shared" si="6"/>
        <v>0</v>
      </c>
      <c r="J189" s="1"/>
      <c r="K189" s="1"/>
    </row>
    <row r="190" spans="1:11" ht="15.75" customHeight="1" x14ac:dyDescent="0.3">
      <c r="A190" s="16">
        <v>22</v>
      </c>
      <c r="B190" s="69" t="s">
        <v>176</v>
      </c>
      <c r="C190" s="68">
        <f>COUNTIFS(Database!$W$5:$W$376,"MRO Banyuwangi",Database!$U$5:$U$376,"IMSS")</f>
        <v>0</v>
      </c>
      <c r="D190" s="68">
        <f>COUNTIFS(Database!$W$5:$W$376,"MRO Banyuwangi",Database!$U$5:$U$376,"INKA")</f>
        <v>0</v>
      </c>
      <c r="E190" s="68">
        <f>COUNTIFS(Database!$W$5:$W$376,"MRO Banyuwangi",Database!$U$5:$U$376,"MRO")</f>
        <v>0</v>
      </c>
      <c r="F190" s="68">
        <f>COUNTIFS(Database!$W$5:$W$376,"MRO Banyuwangi",Database!$U$5:$U$376,"GUDANG")</f>
        <v>0</v>
      </c>
      <c r="G190" s="68">
        <f>COUNTIFS(Database!$W$5:$W$376,"MRO Banyuwangi",Database!$U$5:$U$376,"Aceh")+COUNTIFS(Database!$W$5:$W$376,"MRO Banyuwangi",Database!$U$5:$U$376,"Bandung")+COUNTIFS(Database!$W$5:$W$376,"MRO Banyuwangi",Database!$U$5:$U$376,"Banyuwangi")+COUNTIFS(Database!$W$5:$W$376,"MRO Banyuwangi",Database!$U$5:$U$376,"jakarta")+COUNTIFS(Database!$W$5:$W$376,"MRO Banyuwangi",Database!$U$5:$U$376,"klaten")+COUNTIFS(Database!$W$5:$W$376,"MRO Banyuwangi",Database!$U$5:$U$376,"Lampung")+COUNTIFS(Database!$W$5:$W$376,"MRO Banyuwangi",Database!$U$5:$U$376,"makassar")+COUNTIFS(Database!$W$5:$W$376,"MRO Banyuwangi",Database!$U$5:$U$376,"medan")+COUNTIFS(Database!$W$5:$W$376,"MRO Banyuwangi",Database!$U$5:$U$376,"Padang")+COUNTIFS(Database!$W$5:$W$376,"MRO Banyuwangi",Database!$U$5:$U$376,"Palembang")+COUNTIFS(Database!$W$5:$W$376,"MRO Banyuwangi",Database!$U$5:$U$376,"Purwodadi")+COUNTIFS(Database!$W$5:$W$376,"MRO Banyuwangi",Database!$U$5:$U$376,"Solo")+COUNTIFS(Database!$W$5:$W$376,"MRO Banyuwangi",Database!$U$5:$U$376,"surabaya")</f>
        <v>0</v>
      </c>
      <c r="H190" s="68">
        <f>COUNTIFS(Database!$W$5:$W$376,"MRO Banyuwangi",Database!$U$5:$U$376,"PMU")</f>
        <v>0</v>
      </c>
      <c r="I190" s="21">
        <f t="shared" si="6"/>
        <v>0</v>
      </c>
      <c r="J190" s="1"/>
      <c r="K190" s="1"/>
    </row>
    <row r="191" spans="1:11" ht="15.75" customHeight="1" x14ac:dyDescent="0.3">
      <c r="A191" s="16">
        <v>23</v>
      </c>
      <c r="B191" s="69" t="s">
        <v>59</v>
      </c>
      <c r="C191" s="68">
        <f>COUNTIFS(Database!$W$5:$W$376,"Pemasaran",Database!$U$5:$U$376,"IMSS")</f>
        <v>1</v>
      </c>
      <c r="D191" s="68">
        <f>COUNTIFS(Database!$W$5:$W$376,"Pemasaran",Database!$U$5:$U$376,"INKA")</f>
        <v>0</v>
      </c>
      <c r="E191" s="68">
        <f>COUNTIFS(Database!$W$5:$W$376,"Pemasaran",Database!$U$5:$U$376,"MRO")</f>
        <v>0</v>
      </c>
      <c r="F191" s="68">
        <f>COUNTIFS(Database!$W$5:$W$376,"Pemasaran",Database!$U$5:$U$376,"GUDANG")</f>
        <v>0</v>
      </c>
      <c r="G191" s="68">
        <f>COUNTIFS(Database!$W$5:$W$376,"Pemasaran",Database!$U$5:$U$376,"Aceh")+COUNTIFS(Database!$W$5:$W$376,"Pemasaran",Database!$U$5:$U$376,"Bandung")+COUNTIFS(Database!$W$5:$W$376,"Pemasaran",Database!$U$5:$U$376,"Banyuwangi")+COUNTIFS(Database!$W$5:$W$376,"Pemasaran",Database!$U$5:$U$376,"jakarta")+COUNTIFS(Database!$W$5:$W$376,"Pemasaran",Database!$U$5:$U$376,"klaten")+COUNTIFS(Database!$W$5:$W$376,"Pemasaran",Database!$U$5:$U$376,"Lampung")+COUNTIFS(Database!$W$5:$W$376,"Pemasaran",Database!$U$5:$U$376,"makassar")+COUNTIFS(Database!$W$5:$W$376,"Pemasaran",Database!$U$5:$U$376,"medan")+COUNTIFS(Database!$W$5:$W$376,"Pemasaran",Database!$U$5:$U$376,"Padang")+COUNTIFS(Database!$W$5:$W$376,"Pemasaran",Database!$U$5:$U$376,"Palembang")+COUNTIFS(Database!$W$5:$W$376,"Pemasaran",Database!$U$5:$U$376,"Purwodadi")+COUNTIFS(Database!$W$5:$W$376,"Pemasaran",Database!$U$5:$U$376,"Solo")+COUNTIFS(Database!$W$5:$W$376,"Pemasaran",Database!$U$5:$U$376,"surabaya")</f>
        <v>0</v>
      </c>
      <c r="H191" s="68">
        <f>COUNTIFS(Database!$W$5:$W$376,"Pemasaran",Database!$U$5:$U$376,"PMU")</f>
        <v>0</v>
      </c>
      <c r="I191" s="21">
        <f t="shared" si="6"/>
        <v>1</v>
      </c>
      <c r="J191" s="1"/>
      <c r="K191" s="1"/>
    </row>
    <row r="192" spans="1:11" ht="15.75" customHeight="1" x14ac:dyDescent="0.3">
      <c r="A192" s="16">
        <v>24</v>
      </c>
      <c r="B192" s="69" t="s">
        <v>177</v>
      </c>
      <c r="C192" s="68">
        <f>COUNTIFS(Database!$W$5:$W$376,"Pemeliharaan Aset",Database!$U$5:$U$376,"IMSS")</f>
        <v>0</v>
      </c>
      <c r="D192" s="68">
        <f>COUNTIFS(Database!$W$5:$W$376,"Pemeliharaan Aset",Database!$U$5:$U$376,"INKA")</f>
        <v>0</v>
      </c>
      <c r="E192" s="68">
        <f>COUNTIFS(Database!$W$5:$W$376,"Pemeliharaan Aset",Database!$U$5:$U$376,"MRO")</f>
        <v>0</v>
      </c>
      <c r="F192" s="68">
        <f>COUNTIFS(Database!$W$5:$W$376,"Pemeliharaan Aset",Database!$U$5:$U$376,"GUDANG")</f>
        <v>0</v>
      </c>
      <c r="G192" s="68">
        <f>COUNTIFS(Database!$W$5:$W$376,"Pemeliharaan Aset",Database!$U$5:$U$376,"Aceh")+COUNTIFS(Database!$W$5:$W$376,"Pemeliharaan Aset",Database!$U$5:$U$376,"Bandung")+COUNTIFS(Database!$W$5:$W$376,"Pemeliharaan Aset",Database!$U$5:$U$376,"Banyuwangi")+COUNTIFS(Database!$W$5:$W$376,"Pemeliharaan Aset",Database!$U$5:$U$376,"jakarta")+COUNTIFS(Database!$W$5:$W$376,"Pemeliharaan Aset",Database!$U$5:$U$376,"klaten")+COUNTIFS(Database!$W$5:$W$376,"Pemeliharaan Aset",Database!$U$5:$U$376,"Lampung")+COUNTIFS(Database!$W$5:$W$376,"Pemeliharaan Aset",Database!$U$5:$U$376,"makassar")+COUNTIFS(Database!$W$5:$W$376,"Pemeliharaan Aset",Database!$U$5:$U$376,"medan")+COUNTIFS(Database!$W$5:$W$376,"Pemeliharaan Aset",Database!$U$5:$U$376,"Padang")+COUNTIFS(Database!$W$5:$W$376,"Pemeliharaan Aset",Database!$U$5:$U$376,"Palembang")+COUNTIFS(Database!$W$5:$W$376,"Pemeliharaan Aset",Database!$U$5:$U$376,"Purwodadi")+COUNTIFS(Database!$W$5:$W$376,"Pemeliharaan Aset",Database!$U$5:$U$376,"Solo")+COUNTIFS(Database!$W$5:$W$376,"Pemeliharaan Aset",Database!$U$5:$U$376,"surabaya")</f>
        <v>0</v>
      </c>
      <c r="H192" s="68">
        <f>COUNTIFS(Database!$W$5:$W$376,"Pemeliharaan Aset",Database!$U$5:$U$376,"PMU")</f>
        <v>0</v>
      </c>
      <c r="I192" s="21">
        <f t="shared" si="6"/>
        <v>0</v>
      </c>
      <c r="J192" s="1"/>
      <c r="K192" s="1"/>
    </row>
    <row r="193" spans="1:11" ht="15.75" customHeight="1" x14ac:dyDescent="0.3">
      <c r="A193" s="16">
        <v>25</v>
      </c>
      <c r="B193" s="69" t="s">
        <v>65</v>
      </c>
      <c r="C193" s="68">
        <f>COUNTIFS(Database!$W$5:$W$376,"Pengelolaan Proyek Wilayah I",Database!$U$5:$U$376,"IMSS")</f>
        <v>5</v>
      </c>
      <c r="D193" s="68">
        <f>COUNTIFS(Database!$W$5:$W$376,"Pengelolaan Proyek Wilayah I",Database!$U$5:$U$376,"INKA")</f>
        <v>0</v>
      </c>
      <c r="E193" s="68">
        <f>COUNTIFS(Database!$W$5:$W$376,"Pengelolaan Proyek Wilayah I",Database!$U$5:$U$376,"MRO")</f>
        <v>0</v>
      </c>
      <c r="F193" s="68">
        <f>COUNTIFS(Database!$W$5:$W$376,"Pengelolaan Proyek Wilayah I",Database!$U$5:$U$376,"GUDANG")</f>
        <v>0</v>
      </c>
      <c r="G193" s="68">
        <f>COUNTIFS(Database!$W$5:$W$376,"Pengelolaan Proyek Wilayah I",Database!$U$5:$U$376,"Aceh")+COUNTIFS(Database!$W$5:$W$376,"Pengelolaan Proyek Wilayah I",Database!$U$5:$U$376,"Bandung")+COUNTIFS(Database!$W$5:$W$376,"Pengelolaan Proyek Wilayah I",Database!$U$5:$U$376,"Banyuwangi")+COUNTIFS(Database!$W$5:$W$376,"Pengelolaan Proyek Wilayah I",Database!$U$5:$U$376,"jakarta")+COUNTIFS(Database!$W$5:$W$376,"Pengelolaan Proyek Wilayah I",Database!$U$5:$U$376,"klaten")+COUNTIFS(Database!$W$5:$W$376,"Pengelolaan Proyek Wilayah I",Database!$U$5:$U$376,"Lampung")+COUNTIFS(Database!$W$5:$W$376,"Pengelolaan Proyek Wilayah I",Database!$U$5:$U$376,"makassar")+COUNTIFS(Database!$W$5:$W$376,"Pengelolaan Proyek Wilayah I",Database!$U$5:$U$376,"medan")+COUNTIFS(Database!$W$5:$W$376,"Pengelolaan Proyek Wilayah I",Database!$U$5:$U$376,"Padang")+COUNTIFS(Database!$W$5:$W$376,"Pengelolaan Proyek Wilayah I",Database!$U$5:$U$376,"Palembang")+COUNTIFS(Database!$W$5:$W$376,"Pengelolaan Proyek Wilayah I",Database!$U$5:$U$376,"Purwodadi")+COUNTIFS(Database!$W$5:$W$376,"Pengelolaan Proyek Wilayah I",Database!$U$5:$U$376,"Solo")+COUNTIFS(Database!$W$5:$W$376,"Pengelolaan Proyek Wilayah I",Database!$U$5:$U$376,"surabaya")</f>
        <v>0</v>
      </c>
      <c r="H193" s="68">
        <f>COUNTIFS(Database!$W$5:$W$376,"Pengelolaan Proyek Wilayah I",Database!$U$5:$U$376,"PMU")</f>
        <v>0</v>
      </c>
      <c r="I193" s="21">
        <f t="shared" si="6"/>
        <v>5</v>
      </c>
      <c r="J193" s="1"/>
      <c r="K193" s="1"/>
    </row>
    <row r="194" spans="1:11" ht="15.75" customHeight="1" x14ac:dyDescent="0.3">
      <c r="A194" s="16">
        <v>27</v>
      </c>
      <c r="B194" s="69" t="s">
        <v>73</v>
      </c>
      <c r="C194" s="68">
        <f>COUNTIFS(Database!$W$5:$W$376,"Pengelolaan Proyek Wilayah Ii",Database!$U$5:$U$376,"IMSS")</f>
        <v>12</v>
      </c>
      <c r="D194" s="68">
        <f>COUNTIFS(Database!$W$5:$W$376,"Pengelolaan Proyek Wilayah Ii",Database!$U$5:$U$376,"INKA")</f>
        <v>0</v>
      </c>
      <c r="E194" s="68">
        <f>COUNTIFS(Database!$W$5:$W$376,"Pengelolaan Proyek Wilayah Ii",Database!$U$5:$U$376,"MRO")</f>
        <v>0</v>
      </c>
      <c r="F194" s="68">
        <f>COUNTIFS(Database!$W$5:$W$376,"Pengelolaan Proyek Wilayah Ii",Database!$U$5:$U$376,"GUDANG")</f>
        <v>0</v>
      </c>
      <c r="G194" s="68">
        <f>COUNTIFS(Database!$W$5:$W$376,"Pengelolaan Proyek Wilayah Ii",Database!$U$5:$U$376,"Aceh")+COUNTIFS(Database!$W$5:$W$376,"Pengelolaan Proyek Wilayah Ii",Database!$U$5:$U$376,"Bandung")+COUNTIFS(Database!$W$5:$W$376,"Pengelolaan Proyek Wilayah Ii",Database!$U$5:$U$376,"Banyuwangi")+COUNTIFS(Database!$W$5:$W$376,"Pengelolaan Proyek Wilayah Ii",Database!$U$5:$U$376,"jakarta")+COUNTIFS(Database!$W$5:$W$376,"Pengelolaan Proyek Wilayah Ii",Database!$U$5:$U$376,"klaten")+COUNTIFS(Database!$W$5:$W$376,"Pengelolaan Proyek Wilayah Ii",Database!$U$5:$U$376,"Lampung")+COUNTIFS(Database!$W$5:$W$376,"Pengelolaan Proyek Wilayah Ii",Database!$U$5:$U$376,"makassar")+COUNTIFS(Database!$W$5:$W$376,"Pengelolaan Proyek Wilayah Ii",Database!$U$5:$U$376,"medan")+COUNTIFS(Database!$W$5:$W$376,"Pengelolaan Proyek Wilayah Ii",Database!$U$5:$U$376,"Padang")+COUNTIFS(Database!$W$5:$W$376,"Pengelolaan Proyek Wilayah Ii",Database!$U$5:$U$376,"Palembang")+COUNTIFS(Database!$W$5:$W$376,"Pengelolaan Proyek Wilayah Ii",Database!$U$5:$U$376,"Purwodadi")+COUNTIFS(Database!$W$5:$W$376,"Pengelolaan Proyek Wilayah Ii",Database!$U$5:$U$376,"Solo")+COUNTIFS(Database!$W$5:$W$376,"Pengelolaan Proyek Wilayah Ii",Database!$U$5:$U$376,"surabaya")</f>
        <v>0</v>
      </c>
      <c r="H194" s="68">
        <f>COUNTIFS(Database!$W$5:$W$376,"Pengelolaan Proyek Wilayah Ii",Database!$U$5:$U$376,"PMU")</f>
        <v>0</v>
      </c>
      <c r="I194" s="21">
        <f t="shared" si="6"/>
        <v>12</v>
      </c>
      <c r="J194" s="1"/>
      <c r="K194" s="1"/>
    </row>
    <row r="195" spans="1:11" ht="15.75" customHeight="1" x14ac:dyDescent="0.3">
      <c r="A195" s="16">
        <v>28</v>
      </c>
      <c r="B195" s="69" t="s">
        <v>19</v>
      </c>
      <c r="C195" s="68">
        <f>COUNTIFS(Database!$W$5:$W$376,"PMU",Database!$U$5:$U$376,"IMSS")</f>
        <v>0</v>
      </c>
      <c r="D195" s="68">
        <f>COUNTIFS(Database!$W$5:$W$376,"PMU",Database!$U$5:$U$376,"INKA")</f>
        <v>0</v>
      </c>
      <c r="E195" s="68">
        <f>COUNTIFS(Database!$W$5:$W$376,"PMU",Database!$U$5:$U$376,"MRO")</f>
        <v>0</v>
      </c>
      <c r="F195" s="68">
        <f>COUNTIFS(Database!$W$5:$W$376,"PMU",Database!$U$5:$U$376,"GUDANG")</f>
        <v>0</v>
      </c>
      <c r="G195" s="68">
        <f>COUNTIFS(Database!$W$5:$W$376,"PMU",Database!$U$5:$U$376,"Aceh")+COUNTIFS(Database!$W$5:$W$376,"PMU",Database!$U$5:$U$376,"Bandung")+COUNTIFS(Database!$W$5:$W$376,"PMU",Database!$U$5:$U$376,"Banyuwangi")+COUNTIFS(Database!$W$5:$W$376,"PMU",Database!$U$5:$U$376,"jakarta")+COUNTIFS(Database!$W$5:$W$376,"PMU",Database!$U$5:$U$376,"klaten")+COUNTIFS(Database!$W$5:$W$376,"PMU",Database!$U$5:$U$376,"Lampung")+COUNTIFS(Database!$W$5:$W$376,"PMU",Database!$U$5:$U$376,"makassar")+COUNTIFS(Database!$W$5:$W$376,"PMU",Database!$U$5:$U$376,"medan")+COUNTIFS(Database!$W$5:$W$376,"PMU",Database!$U$5:$U$376,"Padang")+COUNTIFS(Database!$W$5:$W$376,"PMU",Database!$U$5:$U$376,"Palembang")+COUNTIFS(Database!$W$5:$W$376,"PMU",Database!$U$5:$U$376,"Purwodadi")+COUNTIFS(Database!$W$5:$W$376,"PMU",Database!$U$5:$U$376,"Solo")+COUNTIFS(Database!$W$5:$W$376,"PMU",Database!$U$5:$U$376,"surabaya")</f>
        <v>0</v>
      </c>
      <c r="H195" s="68">
        <f>COUNTIFS(Database!$W$5:$W$376,"PMU",Database!$U$5:$U$376,"PMU")</f>
        <v>0</v>
      </c>
      <c r="I195" s="21">
        <f t="shared" si="6"/>
        <v>0</v>
      </c>
      <c r="J195" s="1"/>
      <c r="K195" s="1"/>
    </row>
    <row r="196" spans="1:11" ht="15.75" customHeight="1" x14ac:dyDescent="0.3">
      <c r="A196" s="16">
        <v>29</v>
      </c>
      <c r="B196" s="69" t="s">
        <v>178</v>
      </c>
      <c r="C196" s="68">
        <f>COUNTIFS(Database!$W$5:$W$376,"QC FINAL",Database!$U$5:$U$376,"IMSS")</f>
        <v>0</v>
      </c>
      <c r="D196" s="68">
        <f>COUNTIFS(Database!$W$5:$W$376,"QC FINAL",Database!$U$5:$U$376,"INKA")</f>
        <v>0</v>
      </c>
      <c r="E196" s="68">
        <f>COUNTIFS(Database!$W$5:$W$376,"QC FINAL",Database!$U$5:$U$376,"MRO")</f>
        <v>0</v>
      </c>
      <c r="F196" s="68">
        <f>COUNTIFS(Database!$W$5:$W$376,"QC FINAL",Database!$U$5:$U$376,"GUDANG")</f>
        <v>0</v>
      </c>
      <c r="G196" s="68">
        <f>COUNTIFS(Database!$W$5:$W$376,"QC FINAL",Database!$U$5:$U$376,"Aceh")+COUNTIFS(Database!$W$5:$W$376,"QC FINAL",Database!$U$5:$U$376,"Bandung")+COUNTIFS(Database!$W$5:$W$376,"QC FINAL",Database!$U$5:$U$376,"Banyuwangi")+COUNTIFS(Database!$W$5:$W$376,"QC FINAL",Database!$U$5:$U$376,"jakarta")+COUNTIFS(Database!$W$5:$W$376,"QC FINAL",Database!$U$5:$U$376,"klaten")+COUNTIFS(Database!$W$5:$W$376,"QC FINAL",Database!$U$5:$U$376,"Lampung")+COUNTIFS(Database!$W$5:$W$376,"QC FINAL",Database!$U$5:$U$376,"makassar")+COUNTIFS(Database!$W$5:$W$376,"QC FINAL",Database!$U$5:$U$376,"medan")+COUNTIFS(Database!$W$5:$W$376,"QC FINAL",Database!$U$5:$U$376,"Padang")+COUNTIFS(Database!$W$5:$W$376,"QC FINAL",Database!$U$5:$U$376,"Palembang")+COUNTIFS(Database!$W$5:$W$376,"QC FINAL",Database!$U$5:$U$376,"Purwodadi")+COUNTIFS(Database!$W$5:$W$376,"QC FINAL",Database!$U$5:$U$376,"Solo")+COUNTIFS(Database!$W$5:$W$376,"QC FINAL",Database!$U$5:$U$376,"surabaya")</f>
        <v>0</v>
      </c>
      <c r="H196" s="68">
        <f>COUNTIFS(Database!$W$5:$W$376,"QC FINAL",Database!$U$5:$U$376,"PMU")</f>
        <v>0</v>
      </c>
      <c r="I196" s="21">
        <f t="shared" si="6"/>
        <v>0</v>
      </c>
      <c r="J196" s="1"/>
      <c r="K196" s="1"/>
    </row>
    <row r="197" spans="1:11" ht="15.75" customHeight="1" x14ac:dyDescent="0.3">
      <c r="A197" s="16">
        <v>30</v>
      </c>
      <c r="B197" s="69" t="s">
        <v>93</v>
      </c>
      <c r="C197" s="68">
        <f>COUNTIFS(Database!$W$5:$W$376,"RB Bathara Kresna",Database!$U$5:$U$376,"IMSS")</f>
        <v>0</v>
      </c>
      <c r="D197" s="68">
        <f>COUNTIFS(Database!$W$5:$W$376,"RB Bathara Kresna",Database!$U$5:$U$376,"INKA")</f>
        <v>0</v>
      </c>
      <c r="E197" s="68">
        <f>COUNTIFS(Database!$W$5:$W$376,"RB Bathara Kresna",Database!$U$5:$U$376,"MRO")</f>
        <v>0</v>
      </c>
      <c r="F197" s="68">
        <f>COUNTIFS(Database!$W$5:$W$376,"RB Bathara Kresna",Database!$U$5:$U$376,"GUDANG")</f>
        <v>0</v>
      </c>
      <c r="G197" s="68">
        <f>COUNTIFS(Database!$W$5:$W$376,"RB Bathara Kresna",Database!$U$5:$U$376,"Aceh")+COUNTIFS(Database!$W$5:$W$376,"RB Bathara Kresna",Database!$U$5:$U$376,"Bandung")+COUNTIFS(Database!$W$5:$W$376,"RB Bathara Kresna",Database!$U$5:$U$376,"Banyuwangi")+COUNTIFS(Database!$W$5:$W$376,"RB Bathara Kresna",Database!$U$5:$U$376,"jakarta")+COUNTIFS(Database!$W$5:$W$376,"RB Bathara Kresna",Database!$U$5:$U$376,"klaten")+COUNTIFS(Database!$W$5:$W$376,"RB Bathara Kresna",Database!$U$5:$U$376,"Lampung")+COUNTIFS(Database!$W$5:$W$376,"RB Bathara Kresna",Database!$U$5:$U$376,"makassar")+COUNTIFS(Database!$W$5:$W$376,"RB Bathara Kresna",Database!$U$5:$U$376,"medan")+COUNTIFS(Database!$W$5:$W$376,"RB Bathara Kresna",Database!$U$5:$U$376,"Padang")+COUNTIFS(Database!$W$5:$W$376,"RB Bathara Kresna",Database!$U$5:$U$376,"Palembang")+COUNTIFS(Database!$W$5:$W$376,"RB Bathara Kresna",Database!$U$5:$U$376,"Purwodadi")+COUNTIFS(Database!$W$5:$W$376,"RB Bathara Kresna",Database!$U$5:$U$376,"Solo")+COUNTIFS(Database!$W$5:$W$376,"RB Bathara Kresna",Database!$U$5:$U$376,"surabaya")</f>
        <v>0</v>
      </c>
      <c r="H197" s="68">
        <f>COUNTIFS(Database!$W$5:$W$376,"RB Bathara Kresna",Database!$U$5:$U$376,"PMU")</f>
        <v>0</v>
      </c>
      <c r="I197" s="21">
        <f t="shared" si="6"/>
        <v>0</v>
      </c>
      <c r="J197" s="1"/>
      <c r="K197" s="1"/>
    </row>
    <row r="198" spans="1:11" ht="15.75" customHeight="1" x14ac:dyDescent="0.3">
      <c r="A198" s="16">
        <v>31</v>
      </c>
      <c r="B198" s="69" t="s">
        <v>97</v>
      </c>
      <c r="C198" s="68">
        <f>COUNTIFS(Database!$W$5:$W$376,"RB Lembah Anai",Database!$U$5:$U$376,"IMSS")</f>
        <v>0</v>
      </c>
      <c r="D198" s="68">
        <f>COUNTIFS(Database!$W$5:$W$376,"RB Lembah Anai",Database!$U$5:$U$376,"INKA")</f>
        <v>0</v>
      </c>
      <c r="E198" s="68">
        <f>COUNTIFS(Database!$W$5:$W$376,"RB Lembah Anai",Database!$U$5:$U$376,"MRO")</f>
        <v>0</v>
      </c>
      <c r="F198" s="68">
        <f>COUNTIFS(Database!$W$5:$W$376,"RB Lembah Anai",Database!$U$5:$U$376,"GUDANG")</f>
        <v>0</v>
      </c>
      <c r="G198" s="68">
        <f>COUNTIFS(Database!$W$5:$W$376,"RB Lembah Anai",Database!$U$5:$U$376,"Aceh")+COUNTIFS(Database!$W$5:$W$376,"RB Lembah Anai",Database!$U$5:$U$376,"Bandung")+COUNTIFS(Database!$W$5:$W$376,"RB Lembah Anai",Database!$U$5:$U$376,"Banyuwangi")+COUNTIFS(Database!$W$5:$W$376,"RB Lembah Anai",Database!$U$5:$U$376,"jakarta")+COUNTIFS(Database!$W$5:$W$376,"RB Lembah Anai",Database!$U$5:$U$376,"klaten")+COUNTIFS(Database!$W$5:$W$376,"RB Lembah Anai",Database!$U$5:$U$376,"Lampung")+COUNTIFS(Database!$W$5:$W$376,"RB Lembah Anai",Database!$U$5:$U$376,"makassar")+COUNTIFS(Database!$W$5:$W$376,"RB Lembah Anai",Database!$U$5:$U$376,"medan")+COUNTIFS(Database!$W$5:$W$376,"RB Lembah Anai",Database!$U$5:$U$376,"Padang")+COUNTIFS(Database!$W$5:$W$376,"RB Lembah Anai",Database!$U$5:$U$376,"Palembang")+COUNTIFS(Database!$W$5:$W$376,"RB Lembah Anai",Database!$U$5:$U$376,"Purwodadi")+COUNTIFS(Database!$W$5:$W$376,"RB Lembah Anai",Database!$U$5:$U$376,"Solo")+COUNTIFS(Database!$W$5:$W$376,"RB Lembah Anai",Database!$U$5:$U$376,"surabaya")</f>
        <v>1</v>
      </c>
      <c r="H198" s="68">
        <f>COUNTIFS(Database!$W$5:$W$376,"RB Lembah Anai",Database!$U$5:$U$376,"PMU")</f>
        <v>0</v>
      </c>
      <c r="I198" s="21">
        <f t="shared" si="6"/>
        <v>1</v>
      </c>
      <c r="J198" s="1"/>
      <c r="K198" s="1"/>
    </row>
    <row r="199" spans="1:11" ht="15.75" customHeight="1" x14ac:dyDescent="0.3">
      <c r="A199" s="16">
        <v>32</v>
      </c>
      <c r="B199" s="69" t="s">
        <v>104</v>
      </c>
      <c r="C199" s="68">
        <f>COUNTIFS(Database!$W$5:$W$376,"SDM dan Umum",Database!$U$5:$U$376,"IMSS")</f>
        <v>0</v>
      </c>
      <c r="D199" s="68">
        <f>COUNTIFS(Database!$W$5:$W$376,"SDM dan Umum",Database!$U$5:$U$376,"INKA")</f>
        <v>0</v>
      </c>
      <c r="E199" s="68">
        <f>COUNTIFS(Database!$W$5:$W$376,"SDM dan Umum",Database!$U$5:$U$376,"MRO")</f>
        <v>0</v>
      </c>
      <c r="F199" s="68">
        <f>COUNTIFS(Database!$W$5:$W$376,"SDM dan Umum",Database!$U$5:$U$376,"GUDANG")</f>
        <v>0</v>
      </c>
      <c r="G199" s="68">
        <f>COUNTIFS(Database!$W$5:$W$376,"SDM dan Umum",Database!$U$5:$U$376,"Aceh")+COUNTIFS(Database!$W$5:$W$376,"SDM dan Umum",Database!$U$5:$U$376,"Bandung")+COUNTIFS(Database!$W$5:$W$376,"SDM dan Umum",Database!$U$5:$U$376,"Banyuwangi")+COUNTIFS(Database!$W$5:$W$376,"SDM dan Umum",Database!$U$5:$U$376,"jakarta")+COUNTIFS(Database!$W$5:$W$376,"SDM dan Umum",Database!$U$5:$U$376,"klaten")+COUNTIFS(Database!$W$5:$W$376,"SDM dan Umum",Database!$U$5:$U$376,"Lampung")+COUNTIFS(Database!$W$5:$W$376,"SDM dan Umum",Database!$U$5:$U$376,"makassar")+COUNTIFS(Database!$W$5:$W$376,"SDM dan Umum",Database!$U$5:$U$376,"medan")+COUNTIFS(Database!$W$5:$W$376,"SDM dan Umum",Database!$U$5:$U$376,"Padang")+COUNTIFS(Database!$W$5:$W$376,"SDM dan Umum",Database!$U$5:$U$376,"Palembang")+COUNTIFS(Database!$W$5:$W$376,"SDM dan Umum",Database!$U$5:$U$376,"Purwodadi")+COUNTIFS(Database!$W$5:$W$376,"SDM dan Umum",Database!$U$5:$U$376,"Solo")+COUNTIFS(Database!$W$5:$W$376,"SDM dan Umum",Database!$U$5:$U$376,"surabaya")</f>
        <v>0</v>
      </c>
      <c r="H199" s="68">
        <f>COUNTIFS(Database!$W$5:$W$376,"SDM dan Umum",Database!$U$5:$U$376,"PMU")</f>
        <v>0</v>
      </c>
      <c r="I199" s="21">
        <f t="shared" si="6"/>
        <v>0</v>
      </c>
      <c r="J199" s="1"/>
      <c r="K199" s="1"/>
    </row>
    <row r="200" spans="1:11" ht="15.75" customHeight="1" x14ac:dyDescent="0.3">
      <c r="A200" s="16">
        <v>33</v>
      </c>
      <c r="B200" s="69" t="s">
        <v>107</v>
      </c>
      <c r="C200" s="68">
        <f>COUNTIFS(Database!$W$5:$W$376,"Sekper, Legal dan Tata Kelola",Database!$U$5:$U$376,"IMSS")</f>
        <v>4</v>
      </c>
      <c r="D200" s="68">
        <f>COUNTIFS(Database!$W$5:$W$376,"Sekper, Legal dan Tata Kelola",Database!$U$5:$U$376,"INKA")</f>
        <v>0</v>
      </c>
      <c r="E200" s="68">
        <f>COUNTIFS(Database!$W$5:$W$376,"Sekper, Legal dan Tata Kelola",Database!$U$5:$U$376,"MRO")</f>
        <v>0</v>
      </c>
      <c r="F200" s="68">
        <f>COUNTIFS(Database!$W$5:$W$376,"Sekper, Legal dan Tata Kelola",Database!$U$5:$U$376,"GUDANG")</f>
        <v>0</v>
      </c>
      <c r="G200" s="68">
        <f>COUNTIFS(Database!$W$5:$W$376,"Sekper, Legal dan Tata Kelola",Database!$U$5:$U$376,"Aceh")+COUNTIFS(Database!$W$5:$W$376,"Sekper, Legal dan Tata Kelola",Database!$U$5:$U$376,"Bandung")+COUNTIFS(Database!$W$5:$W$376,"Sekper, Legal dan Tata Kelola",Database!$U$5:$U$376,"Banyuwangi")+COUNTIFS(Database!$W$5:$W$376,"Sekper, Legal dan Tata Kelola",Database!$U$5:$U$376,"jakarta")+COUNTIFS(Database!$W$5:$W$376,"Sekper, Legal dan Tata Kelola",Database!$U$5:$U$376,"klaten")+COUNTIFS(Database!$W$5:$W$376,"Sekper, Legal dan Tata Kelola",Database!$U$5:$U$376,"Lampung")+COUNTIFS(Database!$W$5:$W$376,"Sekper, Legal dan Tata Kelola",Database!$U$5:$U$376,"makassar")+COUNTIFS(Database!$W$5:$W$376,"Sekper, Legal dan Tata Kelola",Database!$U$5:$U$376,"medan")+COUNTIFS(Database!$W$5:$W$376,"Sekper, Legal dan Tata Kelola",Database!$U$5:$U$376,"Padang")+COUNTIFS(Database!$W$5:$W$376,"Sekper, Legal dan Tata Kelola",Database!$U$5:$U$376,"Palembang")+COUNTIFS(Database!$W$5:$W$376,"Sekper, Legal dan Tata Kelola",Database!$U$5:$U$376,"Purwodadi")+COUNTIFS(Database!$W$5:$W$376,"Sekper, Legal dan Tata Kelola",Database!$U$5:$U$376,"Solo")+COUNTIFS(Database!$W$5:$W$376,"Sekper, Legal dan Tata Kelola",Database!$U$5:$U$376,"surabaya")</f>
        <v>0</v>
      </c>
      <c r="H200" s="68">
        <f>COUNTIFS(Database!$W$5:$W$376,"Sekper, Legal dan Tata Kelola",Database!$U$5:$U$376,"PMU")</f>
        <v>0</v>
      </c>
      <c r="I200" s="21">
        <f t="shared" si="6"/>
        <v>4</v>
      </c>
      <c r="J200" s="1"/>
      <c r="K200" s="1"/>
    </row>
    <row r="201" spans="1:11" ht="15.75" customHeight="1" x14ac:dyDescent="0.3">
      <c r="A201" s="16">
        <v>34</v>
      </c>
      <c r="B201" s="69" t="s">
        <v>112</v>
      </c>
      <c r="C201" s="68">
        <f>COUNTIFS(Database!$W$5:$W$376,"Sipil",Database!$U$5:$U$376,"IMSS")</f>
        <v>0</v>
      </c>
      <c r="D201" s="68">
        <f>COUNTIFS(Database!$W$5:$W$376,"Sipil",Database!$U$5:$U$376,"INKA")</f>
        <v>0</v>
      </c>
      <c r="E201" s="68">
        <f>COUNTIFS(Database!$W$5:$W$376,"Sipil",Database!$U$5:$U$376,"MRO")</f>
        <v>0</v>
      </c>
      <c r="F201" s="68">
        <f>COUNTIFS(Database!$W$5:$W$376,"Sipil",Database!$U$5:$U$376,"GUDANG")</f>
        <v>0</v>
      </c>
      <c r="G201" s="68">
        <f>COUNTIFS(Database!$W$5:$W$376,"Sipil",Database!$U$5:$U$376,"Aceh")+COUNTIFS(Database!$W$5:$W$376,"Sipil",Database!$U$5:$U$376,"Bandung")+COUNTIFS(Database!$W$5:$W$376,"Sipil",Database!$U$5:$U$376,"Banyuwangi")+COUNTIFS(Database!$W$5:$W$376,"Sipil",Database!$U$5:$U$376,"jakarta")+COUNTIFS(Database!$W$5:$W$376,"Sipil",Database!$U$5:$U$376,"klaten")+COUNTIFS(Database!$W$5:$W$376,"Sipil",Database!$U$5:$U$376,"Lampung")+COUNTIFS(Database!$W$5:$W$376,"Sipil",Database!$U$5:$U$376,"makassar")+COUNTIFS(Database!$W$5:$W$376,"Sipil",Database!$U$5:$U$376,"medan")+COUNTIFS(Database!$W$5:$W$376,"Sipil",Database!$U$5:$U$376,"Padang")+COUNTIFS(Database!$W$5:$W$376,"Sipil",Database!$U$5:$U$376,"Palembang")+COUNTIFS(Database!$W$5:$W$376,"Sipil",Database!$U$5:$U$376,"Purwodadi")+COUNTIFS(Database!$W$5:$W$376,"Sipil",Database!$U$5:$U$376,"Solo")+COUNTIFS(Database!$W$5:$W$376,"Sipil",Database!$U$5:$U$376,"surabaya")</f>
        <v>0</v>
      </c>
      <c r="H201" s="68">
        <f>COUNTIFS(Database!$W$5:$W$376,"Sipil",Database!$U$5:$U$376,"PMU")</f>
        <v>0</v>
      </c>
      <c r="I201" s="21">
        <f t="shared" si="6"/>
        <v>0</v>
      </c>
      <c r="J201" s="1"/>
      <c r="K201" s="1"/>
    </row>
    <row r="202" spans="1:11" ht="15.75" customHeight="1" x14ac:dyDescent="0.3">
      <c r="A202" s="16">
        <v>35</v>
      </c>
      <c r="B202" s="69" t="s">
        <v>115</v>
      </c>
      <c r="C202" s="68">
        <f>COUNTIFS(Database!$W$5:$W$376,"SMK3",Database!$U$5:$U$376,"IMSS")</f>
        <v>0</v>
      </c>
      <c r="D202" s="68">
        <f>COUNTIFS(Database!$W$5:$W$376,"SMK3",Database!$U$5:$U$376,"INKA")</f>
        <v>0</v>
      </c>
      <c r="E202" s="68">
        <f>COUNTIFS(Database!$W$5:$W$376,"SMK3",Database!$U$5:$U$376,"MRO")</f>
        <v>0</v>
      </c>
      <c r="F202" s="68">
        <f>COUNTIFS(Database!$W$5:$W$376,"SMK3",Database!$U$5:$U$376,"GUDANG")</f>
        <v>0</v>
      </c>
      <c r="G202" s="68">
        <f>COUNTIFS(Database!$W$5:$W$376,"SMK3",Database!$U$5:$U$376,"Aceh")+COUNTIFS(Database!$W$5:$W$376,"SMK3",Database!$U$5:$U$376,"Bandung")+COUNTIFS(Database!$W$5:$W$376,"SMK3",Database!$U$5:$U$376,"Banyuwangi")+COUNTIFS(Database!$W$5:$W$376,"SMK3",Database!$U$5:$U$376,"jakarta")+COUNTIFS(Database!$W$5:$W$376,"SMK3",Database!$U$5:$U$376,"klaten")+COUNTIFS(Database!$W$5:$W$376,"SMK3",Database!$U$5:$U$376,"Lampung")+COUNTIFS(Database!$W$5:$W$376,"SMK3",Database!$U$5:$U$376,"makassar")+COUNTIFS(Database!$W$5:$W$376,"SMK3",Database!$U$5:$U$376,"medan")+COUNTIFS(Database!$W$5:$W$376,"SMK3",Database!$U$5:$U$376,"Padang")+COUNTIFS(Database!$W$5:$W$376,"SMK3",Database!$U$5:$U$376,"Palembang")+COUNTIFS(Database!$W$5:$W$376,"SMK3",Database!$U$5:$U$376,"Purwodadi")+COUNTIFS(Database!$W$5:$W$376,"SMK3",Database!$U$5:$U$376,"Solo")+COUNTIFS(Database!$W$5:$W$376,"SMK3",Database!$U$5:$U$376,"surabaya")</f>
        <v>0</v>
      </c>
      <c r="H202" s="68">
        <f>COUNTIFS(Database!$W$5:$W$376,"SMK3",Database!$U$5:$U$376,"PMU")</f>
        <v>0</v>
      </c>
      <c r="I202" s="21">
        <f t="shared" si="6"/>
        <v>0</v>
      </c>
      <c r="J202" s="1"/>
      <c r="K202" s="1"/>
    </row>
    <row r="203" spans="1:11" ht="15.75" customHeight="1" x14ac:dyDescent="0.3">
      <c r="A203" s="16">
        <v>36</v>
      </c>
      <c r="B203" s="69" t="s">
        <v>179</v>
      </c>
      <c r="C203" s="68">
        <f>COUNTIFS(Database!$W$5:$W$376,"SMN loko Admin",Database!$U$5:$U$376,"IMSS")</f>
        <v>0</v>
      </c>
      <c r="D203" s="68">
        <f>COUNTIFS(Database!$W$5:$W$376,"SMN loko Admin",Database!$U$5:$U$376,"INKA")</f>
        <v>0</v>
      </c>
      <c r="E203" s="68">
        <f>COUNTIFS(Database!$W$5:$W$376,"SMN loko Admin",Database!$U$5:$U$376,"MRO")</f>
        <v>0</v>
      </c>
      <c r="F203" s="68">
        <f>COUNTIFS(Database!$W$5:$W$376,"SMN loko Admin",Database!$U$5:$U$376,"GUDANG")</f>
        <v>0</v>
      </c>
      <c r="G203" s="68">
        <f>COUNTIFS(Database!$W$5:$W$376,"SMN loko Admin",Database!$U$5:$U$376,"Aceh")+COUNTIFS(Database!$W$5:$W$376,"SMN loko Admin",Database!$U$5:$U$376,"Bandung")+COUNTIFS(Database!$W$5:$W$376,"SMN loko Admin",Database!$U$5:$U$376,"Banyuwangi")+COUNTIFS(Database!$W$5:$W$376,"SMN loko Admin",Database!$U$5:$U$376,"jakarta")+COUNTIFS(Database!$W$5:$W$376,"SMN loko Admin",Database!$U$5:$U$376,"klaten")+COUNTIFS(Database!$W$5:$W$376,"SMN loko Admin",Database!$U$5:$U$376,"Lampung")+COUNTIFS(Database!$W$5:$W$376,"SMN loko Admin",Database!$U$5:$U$376,"makassar")+COUNTIFS(Database!$W$5:$W$376,"SMN loko Admin",Database!$U$5:$U$376,"medan")+COUNTIFS(Database!$W$5:$W$376,"SMN loko Admin",Database!$U$5:$U$376,"Padang")+COUNTIFS(Database!$W$5:$W$376,"SMN loko Admin",Database!$U$5:$U$376,"Palembang")+COUNTIFS(Database!$W$5:$W$376,"SMN loko Admin",Database!$U$5:$U$376,"Purwodadi")+COUNTIFS(Database!$W$5:$W$376,"SMN loko Admin",Database!$U$5:$U$376,"Solo")+COUNTIFS(Database!$W$5:$W$376,"SMN loko Admin",Database!$U$5:$U$376,"surabaya")</f>
        <v>0</v>
      </c>
      <c r="H203" s="68">
        <f>COUNTIFS(Database!$W$5:$W$376,"SMN loko Admin",Database!$U$5:$U$376,"PMU")</f>
        <v>0</v>
      </c>
      <c r="I203" s="21">
        <f t="shared" si="6"/>
        <v>0</v>
      </c>
      <c r="J203" s="1"/>
      <c r="K203" s="1"/>
    </row>
    <row r="204" spans="1:11" ht="15.75" customHeight="1" x14ac:dyDescent="0.3">
      <c r="A204" s="16">
        <v>37</v>
      </c>
      <c r="B204" s="69" t="s">
        <v>126</v>
      </c>
      <c r="C204" s="68">
        <f>COUNTIFS(Database!$W$5:$W$376,"SMN Loko Jakarta",Database!$U$5:$U$376,"IMSS")</f>
        <v>0</v>
      </c>
      <c r="D204" s="68">
        <f>COUNTIFS(Database!$W$5:$W$376,"SMN Loko Jakarta",Database!$U$5:$U$376,"INKA")</f>
        <v>0</v>
      </c>
      <c r="E204" s="68">
        <f>COUNTIFS(Database!$W$5:$W$376,"SMN Loko Jakarta",Database!$U$5:$U$376,"MRO")</f>
        <v>0</v>
      </c>
      <c r="F204" s="68">
        <f>COUNTIFS(Database!$W$5:$W$376,"SMN Loko Jakarta",Database!$U$5:$U$376,"GUDANG")</f>
        <v>0</v>
      </c>
      <c r="G204" s="68">
        <f>COUNTIFS(Database!$W$5:$W$376,"SMN Loko Jakarta",Database!$U$5:$U$376,"Aceh")+COUNTIFS(Database!$W$5:$W$376,"SMN Loko Jakarta",Database!$U$5:$U$376,"Bandung")+COUNTIFS(Database!$W$5:$W$376,"SMN Loko Jakarta",Database!$U$5:$U$376,"Banyuwangi")+COUNTIFS(Database!$W$5:$W$376,"SMN Loko Jakarta",Database!$U$5:$U$376,"jakarta")+COUNTIFS(Database!$W$5:$W$376,"SMN Loko Jakarta",Database!$U$5:$U$376,"klaten")+COUNTIFS(Database!$W$5:$W$376,"SMN Loko Jakarta",Database!$U$5:$U$376,"Lampung")+COUNTIFS(Database!$W$5:$W$376,"SMN Loko Jakarta",Database!$U$5:$U$376,"makassar")+COUNTIFS(Database!$W$5:$W$376,"SMN Loko Jakarta",Database!$U$5:$U$376,"medan")+COUNTIFS(Database!$W$5:$W$376,"SMN Loko Jakarta",Database!$U$5:$U$376,"Padang")+COUNTIFS(Database!$W$5:$W$376,"SMN Loko Jakarta",Database!$U$5:$U$376,"Palembang")+COUNTIFS(Database!$W$5:$W$376,"SMN Loko Jakarta",Database!$U$5:$U$376,"Purwodadi")+COUNTIFS(Database!$W$5:$W$376,"SMN Loko Jakarta",Database!$U$5:$U$376,"Solo")+COUNTIFS(Database!$W$5:$W$376,"SMN Loko Jakarta",Database!$U$5:$U$376,"surabaya")</f>
        <v>0</v>
      </c>
      <c r="H204" s="68">
        <f>COUNTIFS(Database!$W$5:$W$376,"SMN Loko Jakarta",Database!$U$5:$U$376,"PMU")</f>
        <v>0</v>
      </c>
      <c r="I204" s="21">
        <f t="shared" si="6"/>
        <v>0</v>
      </c>
      <c r="J204" s="1"/>
      <c r="K204" s="1"/>
    </row>
    <row r="205" spans="1:11" ht="15.75" customHeight="1" x14ac:dyDescent="0.3">
      <c r="A205" s="16">
        <v>38</v>
      </c>
      <c r="B205" s="69" t="s">
        <v>128</v>
      </c>
      <c r="C205" s="68">
        <f>COUNTIFS(Database!$W$5:$W$376,"SMN Loko Medan",Database!$U$5:$U$376,"IMSS")</f>
        <v>0</v>
      </c>
      <c r="D205" s="68">
        <f>COUNTIFS(Database!$W$5:$W$376,"SMN Loko Medan",Database!$U$5:$U$376,"INKA")</f>
        <v>0</v>
      </c>
      <c r="E205" s="68">
        <f>COUNTIFS(Database!$W$5:$W$376,"SMN Loko Medan",Database!$U$5:$U$376,"MRO")</f>
        <v>0</v>
      </c>
      <c r="F205" s="68">
        <f>COUNTIFS(Database!$W$5:$W$376,"SMN Loko Medan",Database!$U$5:$U$376,"GUDANG")</f>
        <v>0</v>
      </c>
      <c r="G205" s="68">
        <f>COUNTIFS(Database!$W$5:$W$376,"SMN Loko Medan",Database!$U$5:$U$376,"Aceh")+COUNTIFS(Database!$W$5:$W$376,"SMN Loko Medan",Database!$U$5:$U$376,"Bandung")+COUNTIFS(Database!$W$5:$W$376,"SMN Loko Medan",Database!$U$5:$U$376,"Banyuwangi")+COUNTIFS(Database!$W$5:$W$376,"SMN Loko Medan",Database!$U$5:$U$376,"jakarta")+COUNTIFS(Database!$W$5:$W$376,"SMN Loko Medan",Database!$U$5:$U$376,"klaten")+COUNTIFS(Database!$W$5:$W$376,"SMN Loko Medan",Database!$U$5:$U$376,"Lampung")+COUNTIFS(Database!$W$5:$W$376,"SMN Loko Medan",Database!$U$5:$U$376,"makassar")+COUNTIFS(Database!$W$5:$W$376,"SMN Loko Medan",Database!$U$5:$U$376,"medan")+COUNTIFS(Database!$W$5:$W$376,"SMN Loko Medan",Database!$U$5:$U$376,"Padang")+COUNTIFS(Database!$W$5:$W$376,"SMN Loko Medan",Database!$U$5:$U$376,"Palembang")+COUNTIFS(Database!$W$5:$W$376,"SMN Loko Medan",Database!$U$5:$U$376,"Purwodadi")+COUNTIFS(Database!$W$5:$W$376,"SMN Loko Medan",Database!$U$5:$U$376,"Solo")+COUNTIFS(Database!$W$5:$W$376,"SMN Loko Medan",Database!$U$5:$U$376,"surabaya")</f>
        <v>1</v>
      </c>
      <c r="H205" s="68">
        <f>COUNTIFS(Database!$W$5:$W$376,"SMN Loko Medan",Database!$U$5:$U$376,"PMU")</f>
        <v>0</v>
      </c>
      <c r="I205" s="21">
        <f t="shared" si="6"/>
        <v>1</v>
      </c>
      <c r="J205" s="1"/>
      <c r="K205" s="1"/>
    </row>
    <row r="206" spans="1:11" ht="15.75" customHeight="1" x14ac:dyDescent="0.3">
      <c r="A206" s="16">
        <v>40</v>
      </c>
      <c r="B206" s="69" t="s">
        <v>129</v>
      </c>
      <c r="C206" s="68">
        <f>COUNTIFS(Database!$W$5:$W$376,"SMN Loko Purwodadi",Database!$U$5:$U$376,"IMSS")</f>
        <v>0</v>
      </c>
      <c r="D206" s="68">
        <f>COUNTIFS(Database!$W$5:$W$376,"SMN Loko Purwodadi",Database!$U$5:$U$376,"INKA")</f>
        <v>0</v>
      </c>
      <c r="E206" s="68">
        <f>COUNTIFS(Database!$W$5:$W$376,"SMN Loko Purwodadi",Database!$U$5:$U$376,"MRO")</f>
        <v>0</v>
      </c>
      <c r="F206" s="68">
        <f>COUNTIFS(Database!$W$5:$W$376,"SMN Loko Purwodadi",Database!$U$5:$U$376,"GUDANG")</f>
        <v>0</v>
      </c>
      <c r="G206" s="68">
        <f>COUNTIFS(Database!$W$5:$W$376,"SMN Loko Purwodadi",Database!$U$5:$U$376,"Aceh")+COUNTIFS(Database!$W$5:$W$376,"SMN Loko Purwodadi",Database!$U$5:$U$376,"Bandung")+COUNTIFS(Database!$W$5:$W$376,"SMN Loko Purwodadi",Database!$U$5:$U$376,"Banyuwangi")+COUNTIFS(Database!$W$5:$W$376,"SMN Loko Purwodadi",Database!$U$5:$U$376,"jakarta")+COUNTIFS(Database!$W$5:$W$376,"SMN Loko Purwodadi",Database!$U$5:$U$376,"klaten")+COUNTIFS(Database!$W$5:$W$376,"SMN Loko Purwodadi",Database!$U$5:$U$376,"Lampung")+COUNTIFS(Database!$W$5:$W$376,"SMN Loko Purwodadi",Database!$U$5:$U$376,"makassar")+COUNTIFS(Database!$W$5:$W$376,"SMN Loko Purwodadi",Database!$U$5:$U$376,"medan")+COUNTIFS(Database!$W$5:$W$376,"SMN Loko Purwodadi",Database!$U$5:$U$376,"Padang")+COUNTIFS(Database!$W$5:$W$376,"SMN Loko Purwodadi",Database!$U$5:$U$376,"Palembang")+COUNTIFS(Database!$W$5:$W$376,"SMN Loko Purwodadi",Database!$U$5:$U$376,"Purwodadi")+COUNTIFS(Database!$W$5:$W$376,"SMN Loko Purwodadi",Database!$U$5:$U$376,"Solo")+COUNTIFS(Database!$W$5:$W$376,"SMN Loko Purwodadi",Database!$U$5:$U$376,"surabaya")</f>
        <v>5</v>
      </c>
      <c r="H206" s="68">
        <f>COUNTIFS(Database!$W$5:$W$376,"SMN Loko Purwodadi",Database!$U$5:$U$376,"PMU")</f>
        <v>0</v>
      </c>
      <c r="I206" s="21">
        <f t="shared" si="6"/>
        <v>5</v>
      </c>
      <c r="J206" s="1"/>
      <c r="K206" s="1"/>
    </row>
    <row r="207" spans="1:11" ht="15.75" customHeight="1" x14ac:dyDescent="0.3">
      <c r="A207" s="16">
        <v>42</v>
      </c>
      <c r="B207" s="70" t="s">
        <v>116</v>
      </c>
      <c r="C207" s="68">
        <f>COUNTIFS(Database!$W$5:$W$376,"SPI",Database!$U$5:$U$376,"IMSS")</f>
        <v>1</v>
      </c>
      <c r="D207" s="68">
        <f>COUNTIFS(Database!$W$5:$W$376,"SPI",Database!$U$5:$U$376,"INKA")</f>
        <v>0</v>
      </c>
      <c r="E207" s="68">
        <f>COUNTIFS(Database!$W$5:$W$376,"SPI",Database!$U$5:$U$376,"MRO")</f>
        <v>0</v>
      </c>
      <c r="F207" s="68">
        <f>COUNTIFS(Database!$W$5:$W$376,"SPI",Database!$U$5:$U$376,"GUDANG")</f>
        <v>0</v>
      </c>
      <c r="G207" s="68">
        <f>COUNTIFS(Database!$W$5:$W$376,"SPI",Database!$U$5:$U$376,"Aceh")+COUNTIFS(Database!$W$5:$W$376,"SPI",Database!$U$5:$U$376,"Bandung")+COUNTIFS(Database!$W$5:$W$376,"SPI",Database!$U$5:$U$376,"Banyuwangi")+COUNTIFS(Database!$W$5:$W$376,"SPI",Database!$U$5:$U$376,"jakarta")+COUNTIFS(Database!$W$5:$W$376,"SPI",Database!$U$5:$U$376,"klaten")+COUNTIFS(Database!$W$5:$W$376,"SPI",Database!$U$5:$U$376,"Lampung")+COUNTIFS(Database!$W$5:$W$376,"SPI",Database!$U$5:$U$376,"makassar")+COUNTIFS(Database!$W$5:$W$376,"SPI",Database!$U$5:$U$376,"medan")+COUNTIFS(Database!$W$5:$W$376,"SPI",Database!$U$5:$U$376,"Padang")+COUNTIFS(Database!$W$5:$W$376,"SPI",Database!$U$5:$U$376,"Palembang")+COUNTIFS(Database!$W$5:$W$376,"SPI",Database!$U$5:$U$376,"Purwodadi")+COUNTIFS(Database!$W$5:$W$376,"SPI",Database!$U$5:$U$376,"Solo")+COUNTIFS(Database!$W$5:$W$376,"SPI",Database!$U$5:$U$376,"surabaya")</f>
        <v>0</v>
      </c>
      <c r="H207" s="68">
        <f>COUNTIFS(Database!$W$5:$W$376,"SPI",Database!$U$5:$U$376,"PMU")</f>
        <v>0</v>
      </c>
      <c r="I207" s="21">
        <f t="shared" si="6"/>
        <v>1</v>
      </c>
      <c r="J207" s="1"/>
      <c r="K207" s="1"/>
    </row>
    <row r="208" spans="1:11" ht="15.75" customHeight="1" x14ac:dyDescent="0.3">
      <c r="A208" s="16">
        <v>44</v>
      </c>
      <c r="B208" s="71" t="s">
        <v>119</v>
      </c>
      <c r="C208" s="68">
        <f>COUNTIFS(Database!$W$5:$W$376,"Teknik",Database!$U$5:$U$376,"IMSS")</f>
        <v>10</v>
      </c>
      <c r="D208" s="68">
        <f>COUNTIFS(Database!$W$5:$W$376,"Teknik",Database!$U$5:$U$376,"INKA")</f>
        <v>0</v>
      </c>
      <c r="E208" s="68">
        <f>COUNTIFS(Database!$W$5:$W$376,"Teknik",Database!$U$5:$U$376,"MRO")</f>
        <v>0</v>
      </c>
      <c r="F208" s="68">
        <f>COUNTIFS(Database!$W$5:$W$376,"Teknik",Database!$U$5:$U$376,"GUDANG")</f>
        <v>1</v>
      </c>
      <c r="G208" s="68">
        <f>COUNTIFS(Database!$W$5:$W$376,"Teknik",Database!$U$5:$U$376,"Aceh")+COUNTIFS(Database!$W$5:$W$376,"Teknik",Database!$U$5:$U$376,"Bandung")+COUNTIFS(Database!$W$5:$W$376,"Teknik",Database!$U$5:$U$376,"Banyuwangi")+COUNTIFS(Database!$W$5:$W$376,"Teknik",Database!$U$5:$U$376,"jakarta")+COUNTIFS(Database!$W$5:$W$376,"Teknik",Database!$U$5:$U$376,"klaten")+COUNTIFS(Database!$W$5:$W$376,"Teknik",Database!$U$5:$U$376,"Lampung")+COUNTIFS(Database!$W$5:$W$376,"Teknik",Database!$U$5:$U$376,"makassar")+COUNTIFS(Database!$W$5:$W$376,"Teknik",Database!$U$5:$U$376,"medan")+COUNTIFS(Database!$W$5:$W$376,"Teknik",Database!$U$5:$U$376,"Padang")+COUNTIFS(Database!$W$5:$W$376,"Teknik",Database!$U$5:$U$376,"Palembang")+COUNTIFS(Database!$W$5:$W$376,"Teknik",Database!$U$5:$U$376,"Purwodadi")+COUNTIFS(Database!$W$5:$W$376,"Teknik",Database!$U$5:$U$376,"Solo")+COUNTIFS(Database!$W$5:$W$376,"Teknik",Database!$U$5:$U$376,"surabaya")</f>
        <v>1</v>
      </c>
      <c r="H208" s="68">
        <f>COUNTIFS(Database!$W$5:$W$376,"Teknik",Database!$U$5:$U$376,"PMU")</f>
        <v>0</v>
      </c>
      <c r="I208" s="21">
        <f t="shared" si="6"/>
        <v>12</v>
      </c>
      <c r="J208" s="1"/>
      <c r="K208" s="1"/>
    </row>
    <row r="209" spans="1:11" ht="15.75" customHeight="1" x14ac:dyDescent="0.3">
      <c r="A209" s="16">
        <v>46</v>
      </c>
      <c r="B209" s="71" t="s">
        <v>120</v>
      </c>
      <c r="C209" s="68">
        <f>COUNTIFS(Database!$W$5:$W$376,"Teknik dan Logistik",Database!$U$5:$U$376,"IMSS")</f>
        <v>1</v>
      </c>
      <c r="D209" s="68">
        <f>COUNTIFS(Database!$W$5:$W$376,"Teknik dan Logistik",Database!$U$5:$U$376,"INKA")</f>
        <v>0</v>
      </c>
      <c r="E209" s="68">
        <f>COUNTIFS(Database!$W$5:$W$376,"Teknik dan Logistik",Database!$U$5:$U$376,"MRO")</f>
        <v>0</v>
      </c>
      <c r="F209" s="68">
        <f>COUNTIFS(Database!$W$5:$W$376,"Teknik dan Logistik",Database!$U$5:$U$376,"GUDANG")</f>
        <v>0</v>
      </c>
      <c r="G209" s="68">
        <f>COUNTIFS(Database!$W$5:$W$376,"Teknik dan Logistik",Database!$U$5:$U$376,"Aceh")+COUNTIFS(Database!$W$5:$W$376,"Teknik dan Logistik",Database!$U$5:$U$376,"Bandung")+COUNTIFS(Database!$W$5:$W$376,"Teknik dan Logistik",Database!$U$5:$U$376,"Banyuwangi")+COUNTIFS(Database!$W$5:$W$376,"Teknik dan Logistik",Database!$U$5:$U$376,"jakarta")+COUNTIFS(Database!$W$5:$W$376,"Teknik dan Logistik",Database!$U$5:$U$376,"klaten")+COUNTIFS(Database!$W$5:$W$376,"Teknik dan Logistik",Database!$U$5:$U$376,"Lampung")+COUNTIFS(Database!$W$5:$W$376,"Teknik dan Logistik",Database!$U$5:$U$376,"makassar")+COUNTIFS(Database!$W$5:$W$376,"Teknik dan Logistik",Database!$U$5:$U$376,"medan")+COUNTIFS(Database!$W$5:$W$376,"Teknik dan Logistik",Database!$U$5:$U$376,"Padang")+COUNTIFS(Database!$W$5:$W$376,"Teknik dan Logistik",Database!$U$5:$U$376,"Palembang")+COUNTIFS(Database!$W$5:$W$376,"Teknik dan Logistik",Database!$U$5:$U$376,"Purwodadi")+COUNTIFS(Database!$W$5:$W$376,"Teknik dan Logistik",Database!$U$5:$U$376,"Solo")+COUNTIFS(Database!$W$5:$W$376,"Teknik dan Logistik",Database!$U$5:$U$376,"surabaya")</f>
        <v>0</v>
      </c>
      <c r="H209" s="68">
        <f>COUNTIFS(Database!$W$5:$W$376,"Teknik dan Logistik",Database!$U$5:$U$376,"PMU")</f>
        <v>0</v>
      </c>
      <c r="I209" s="21">
        <f t="shared" si="6"/>
        <v>1</v>
      </c>
      <c r="J209" s="1"/>
      <c r="K209" s="1"/>
    </row>
    <row r="210" spans="1:11" ht="15.75" customHeight="1" x14ac:dyDescent="0.3">
      <c r="A210" s="16">
        <v>48</v>
      </c>
      <c r="B210" s="71" t="s">
        <v>121</v>
      </c>
      <c r="C210" s="68">
        <f>COUNTIFS(Database!$W$5:$W$376,"Wilayah I",Database!$U$5:$U$376,"IMSS")</f>
        <v>0</v>
      </c>
      <c r="D210" s="68">
        <f>COUNTIFS(Database!$W$5:$W$376,"Wilayah I",Database!$U$5:$U$376,"INKA")</f>
        <v>12</v>
      </c>
      <c r="E210" s="68">
        <f>COUNTIFS(Database!$W$5:$W$376,"Wilayah I",Database!$U$5:$U$376,"MRO")</f>
        <v>0</v>
      </c>
      <c r="F210" s="68">
        <f>COUNTIFS(Database!$W$5:$W$376,"Wilayah I",Database!$U$5:$U$376,"GUDANG")</f>
        <v>0</v>
      </c>
      <c r="G210" s="68">
        <f>COUNTIFS(Database!$W$5:$W$376,"Wilayah I",Database!$U$5:$U$376,"Aceh")+COUNTIFS(Database!$W$5:$W$376,"Wilayah I",Database!$U$5:$U$376,"Bandung")+COUNTIFS(Database!$W$5:$W$376,"Wilayah I",Database!$U$5:$U$376,"Banyuwangi")+COUNTIFS(Database!$W$5:$W$376,"Wilayah I",Database!$U$5:$U$376,"jakarta")+COUNTIFS(Database!$W$5:$W$376,"Wilayah I",Database!$U$5:$U$376,"klaten")+COUNTIFS(Database!$W$5:$W$376,"Wilayah I",Database!$U$5:$U$376,"Lampung")+COUNTIFS(Database!$W$5:$W$376,"Wilayah I",Database!$U$5:$U$376,"makassar")+COUNTIFS(Database!$W$5:$W$376,"Wilayah I",Database!$U$5:$U$376,"medan")+COUNTIFS(Database!$W$5:$W$376,"Wilayah I",Database!$U$5:$U$376,"Padang")+COUNTIFS(Database!$W$5:$W$376,"Wilayah I",Database!$U$5:$U$376,"Palembang")+COUNTIFS(Database!$W$5:$W$376,"Wilayah I",Database!$U$5:$U$376,"Purwodadi")+COUNTIFS(Database!$W$5:$W$376,"Wilayah I",Database!$U$5:$U$376,"Solo")+COUNTIFS(Database!$W$5:$W$376,"Wilayah I",Database!$U$5:$U$376,"surabaya")</f>
        <v>0</v>
      </c>
      <c r="H210" s="68">
        <f>COUNTIFS(Database!$W$5:$W$376,"Wilayah I",Database!$U$5:$U$376,"PMU")</f>
        <v>0</v>
      </c>
      <c r="I210" s="21">
        <f t="shared" si="6"/>
        <v>12</v>
      </c>
      <c r="J210" s="1"/>
      <c r="K210" s="1"/>
    </row>
    <row r="211" spans="1:11" ht="15.75" customHeight="1" x14ac:dyDescent="0.3">
      <c r="A211" s="336" t="s">
        <v>180</v>
      </c>
      <c r="B211" s="337"/>
      <c r="C211" s="5">
        <f t="shared" ref="C211:H211" si="7">SUM(C169:C210)</f>
        <v>51</v>
      </c>
      <c r="D211" s="5">
        <f t="shared" si="7"/>
        <v>12</v>
      </c>
      <c r="E211" s="5">
        <f t="shared" si="7"/>
        <v>0</v>
      </c>
      <c r="F211" s="5">
        <f t="shared" si="7"/>
        <v>1</v>
      </c>
      <c r="G211" s="5">
        <f t="shared" si="7"/>
        <v>108</v>
      </c>
      <c r="H211" s="5">
        <f t="shared" si="7"/>
        <v>0</v>
      </c>
      <c r="I211" s="21">
        <f t="shared" si="6"/>
        <v>172</v>
      </c>
      <c r="J211" s="1"/>
      <c r="K211" s="1"/>
    </row>
    <row r="212" spans="1:11" ht="15.75" customHeight="1" x14ac:dyDescent="0.3">
      <c r="C212" s="1"/>
      <c r="D212" s="1"/>
      <c r="E212" s="1"/>
      <c r="F212" s="1"/>
      <c r="G212" s="1"/>
    </row>
    <row r="213" spans="1:11" ht="15.75" customHeight="1" x14ac:dyDescent="0.3">
      <c r="C213" s="1"/>
      <c r="D213" s="1"/>
      <c r="E213" s="1"/>
      <c r="F213" s="1"/>
      <c r="G213" s="1"/>
    </row>
    <row r="214" spans="1:11" ht="15.75" customHeight="1" x14ac:dyDescent="0.3">
      <c r="C214" s="1"/>
      <c r="D214" s="1"/>
      <c r="E214" s="1"/>
      <c r="F214" s="1"/>
      <c r="G214" s="1"/>
    </row>
    <row r="215" spans="1:11" ht="15.75" customHeight="1" x14ac:dyDescent="0.3">
      <c r="C215" s="1"/>
      <c r="D215" s="1"/>
      <c r="E215" s="1"/>
      <c r="F215" s="1"/>
      <c r="G215" s="1"/>
    </row>
    <row r="216" spans="1:11" ht="15.75" customHeight="1" x14ac:dyDescent="0.3">
      <c r="B216" s="6" t="s">
        <v>181</v>
      </c>
      <c r="C216" s="1"/>
      <c r="D216" s="1"/>
      <c r="E216" s="1"/>
      <c r="F216" s="1"/>
      <c r="G216" s="1"/>
    </row>
    <row r="217" spans="1:11" ht="15.75" customHeight="1" x14ac:dyDescent="0.3">
      <c r="B217" s="72" t="s">
        <v>60</v>
      </c>
      <c r="C217" s="73" t="s">
        <v>61</v>
      </c>
      <c r="D217" s="74" t="s">
        <v>182</v>
      </c>
      <c r="E217" s="74" t="s">
        <v>183</v>
      </c>
      <c r="F217" s="74" t="s">
        <v>8</v>
      </c>
    </row>
    <row r="218" spans="1:11" ht="15.75" customHeight="1" x14ac:dyDescent="0.3">
      <c r="B218" s="75" t="s">
        <v>184</v>
      </c>
      <c r="C218" s="76" t="s">
        <v>185</v>
      </c>
      <c r="D218" s="75" t="s">
        <v>185</v>
      </c>
      <c r="E218" s="75" t="s">
        <v>186</v>
      </c>
      <c r="F218" s="75" t="s">
        <v>187</v>
      </c>
    </row>
    <row r="219" spans="1:11" ht="15.75" customHeight="1" x14ac:dyDescent="0.3">
      <c r="B219" s="77" t="s">
        <v>188</v>
      </c>
      <c r="C219" s="78" t="s">
        <v>185</v>
      </c>
      <c r="D219" s="77" t="s">
        <v>185</v>
      </c>
      <c r="E219" s="77" t="s">
        <v>189</v>
      </c>
      <c r="F219" s="77" t="s">
        <v>187</v>
      </c>
    </row>
    <row r="220" spans="1:11" ht="15.75" customHeight="1" x14ac:dyDescent="0.3">
      <c r="B220" s="77" t="s">
        <v>190</v>
      </c>
      <c r="C220" s="78" t="s">
        <v>185</v>
      </c>
      <c r="D220" s="77" t="s">
        <v>185</v>
      </c>
      <c r="E220" s="77" t="s">
        <v>189</v>
      </c>
      <c r="F220" s="77" t="s">
        <v>187</v>
      </c>
    </row>
    <row r="221" spans="1:11" ht="15.75" customHeight="1" x14ac:dyDescent="0.3">
      <c r="B221" s="77" t="s">
        <v>191</v>
      </c>
      <c r="C221" s="78" t="s">
        <v>185</v>
      </c>
      <c r="D221" s="77" t="s">
        <v>185</v>
      </c>
      <c r="E221" s="77" t="s">
        <v>186</v>
      </c>
      <c r="F221" s="77" t="s">
        <v>187</v>
      </c>
    </row>
    <row r="222" spans="1:11" ht="15.75" customHeight="1" x14ac:dyDescent="0.3">
      <c r="B222" s="77" t="s">
        <v>192</v>
      </c>
      <c r="C222" s="78" t="s">
        <v>185</v>
      </c>
      <c r="D222" s="77" t="s">
        <v>185</v>
      </c>
      <c r="E222" s="77" t="s">
        <v>193</v>
      </c>
      <c r="F222" s="77" t="s">
        <v>187</v>
      </c>
    </row>
    <row r="223" spans="1:11" ht="15.75" customHeight="1" x14ac:dyDescent="0.3">
      <c r="B223" s="77" t="s">
        <v>194</v>
      </c>
      <c r="C223" s="78" t="s">
        <v>185</v>
      </c>
      <c r="D223" s="77" t="s">
        <v>185</v>
      </c>
      <c r="E223" s="77" t="s">
        <v>193</v>
      </c>
      <c r="F223" s="77" t="s">
        <v>187</v>
      </c>
    </row>
    <row r="224" spans="1:11" ht="15.75" customHeight="1" x14ac:dyDescent="0.3">
      <c r="B224" s="77" t="s">
        <v>195</v>
      </c>
      <c r="C224" s="78" t="s">
        <v>185</v>
      </c>
      <c r="D224" s="77" t="s">
        <v>185</v>
      </c>
      <c r="E224" s="77" t="s">
        <v>193</v>
      </c>
      <c r="F224" s="77" t="s">
        <v>187</v>
      </c>
    </row>
    <row r="225" spans="2:7" ht="15.75" customHeight="1" x14ac:dyDescent="0.3">
      <c r="B225" s="77" t="s">
        <v>196</v>
      </c>
      <c r="C225" s="78" t="s">
        <v>185</v>
      </c>
      <c r="D225" s="77" t="s">
        <v>185</v>
      </c>
      <c r="E225" s="77" t="s">
        <v>186</v>
      </c>
      <c r="F225" s="77" t="s">
        <v>187</v>
      </c>
    </row>
    <row r="226" spans="2:7" ht="15.75" customHeight="1" x14ac:dyDescent="0.3">
      <c r="B226" s="79" t="s">
        <v>197</v>
      </c>
      <c r="C226" s="80" t="s">
        <v>185</v>
      </c>
      <c r="D226" s="79" t="s">
        <v>185</v>
      </c>
      <c r="E226" s="79" t="s">
        <v>189</v>
      </c>
      <c r="F226" s="79" t="s">
        <v>187</v>
      </c>
    </row>
    <row r="227" spans="2:7" ht="15.75" customHeight="1" x14ac:dyDescent="0.3">
      <c r="C227" s="1"/>
      <c r="D227" s="1"/>
      <c r="E227" s="1"/>
    </row>
    <row r="228" spans="2:7" ht="15.75" customHeight="1" x14ac:dyDescent="0.3">
      <c r="C228" s="1"/>
      <c r="D228" s="1"/>
      <c r="E228" s="1"/>
    </row>
    <row r="229" spans="2:7" ht="15.75" customHeight="1" x14ac:dyDescent="0.3">
      <c r="C229" s="1"/>
      <c r="D229" s="1"/>
      <c r="E229" s="1"/>
    </row>
    <row r="230" spans="2:7" ht="15.75" customHeight="1" x14ac:dyDescent="0.3">
      <c r="C230" s="1"/>
      <c r="D230" s="1"/>
      <c r="E230" s="1"/>
    </row>
    <row r="231" spans="2:7" ht="15.75" customHeight="1" x14ac:dyDescent="0.3">
      <c r="C231" s="1"/>
      <c r="D231" s="1"/>
      <c r="E231" s="1"/>
      <c r="F231" s="1"/>
      <c r="G231" s="1"/>
    </row>
    <row r="232" spans="2:7" ht="15.75" customHeight="1" x14ac:dyDescent="0.3">
      <c r="C232" s="1"/>
      <c r="D232" s="1"/>
      <c r="E232" s="1"/>
      <c r="F232" s="1"/>
      <c r="G232" s="1"/>
    </row>
    <row r="233" spans="2:7" ht="15.75" customHeight="1" x14ac:dyDescent="0.3">
      <c r="C233" s="1"/>
      <c r="D233" s="1"/>
      <c r="E233" s="1"/>
      <c r="F233" s="1"/>
      <c r="G233" s="1"/>
    </row>
    <row r="234" spans="2:7" ht="15.75" customHeight="1" x14ac:dyDescent="0.3">
      <c r="C234" s="1"/>
      <c r="D234" s="1"/>
      <c r="E234" s="1"/>
      <c r="F234" s="1"/>
      <c r="G234" s="1"/>
    </row>
    <row r="235" spans="2:7" ht="15.75" customHeight="1" x14ac:dyDescent="0.3">
      <c r="C235" s="1"/>
      <c r="D235" s="1"/>
      <c r="E235" s="1"/>
      <c r="F235" s="1"/>
      <c r="G235" s="1"/>
    </row>
    <row r="236" spans="2:7" ht="15.75" customHeight="1" x14ac:dyDescent="0.3">
      <c r="C236" s="1"/>
      <c r="D236" s="1"/>
      <c r="E236" s="1"/>
      <c r="F236" s="1"/>
      <c r="G236" s="1"/>
    </row>
    <row r="237" spans="2:7" ht="15.75" customHeight="1" x14ac:dyDescent="0.3">
      <c r="C237" s="1"/>
      <c r="D237" s="1"/>
      <c r="E237" s="1"/>
      <c r="F237" s="1"/>
      <c r="G237" s="1"/>
    </row>
    <row r="238" spans="2:7" ht="15.75" customHeight="1" x14ac:dyDescent="0.3">
      <c r="C238" s="1"/>
      <c r="D238" s="1"/>
      <c r="E238" s="1"/>
      <c r="F238" s="1"/>
      <c r="G238" s="1"/>
    </row>
    <row r="239" spans="2:7" ht="15.75" customHeight="1" x14ac:dyDescent="0.3">
      <c r="C239" s="1"/>
      <c r="D239" s="1"/>
      <c r="E239" s="1"/>
      <c r="F239" s="1"/>
      <c r="G239" s="1"/>
    </row>
    <row r="240" spans="2:7" ht="15.75" customHeight="1" x14ac:dyDescent="0.3">
      <c r="C240" s="1"/>
      <c r="D240" s="1"/>
      <c r="E240" s="1"/>
      <c r="F240" s="1"/>
      <c r="G240" s="1"/>
    </row>
    <row r="241" spans="3:7" ht="15.75" customHeight="1" x14ac:dyDescent="0.3">
      <c r="C241" s="1"/>
      <c r="D241" s="1"/>
      <c r="E241" s="1"/>
      <c r="F241" s="1"/>
      <c r="G241" s="1"/>
    </row>
    <row r="242" spans="3:7" ht="15.75" customHeight="1" x14ac:dyDescent="0.3">
      <c r="C242" s="1"/>
      <c r="D242" s="1"/>
      <c r="E242" s="1"/>
      <c r="F242" s="1"/>
      <c r="G242" s="1"/>
    </row>
    <row r="243" spans="3:7" ht="15.75" customHeight="1" x14ac:dyDescent="0.3">
      <c r="C243" s="1"/>
      <c r="D243" s="1"/>
      <c r="E243" s="1"/>
      <c r="F243" s="1"/>
      <c r="G243" s="1"/>
    </row>
    <row r="244" spans="3:7" ht="15.75" customHeight="1" x14ac:dyDescent="0.3">
      <c r="C244" s="1"/>
      <c r="D244" s="1"/>
      <c r="E244" s="1"/>
      <c r="F244" s="1"/>
      <c r="G244" s="1"/>
    </row>
    <row r="245" spans="3:7" ht="15.75" customHeight="1" x14ac:dyDescent="0.3">
      <c r="C245" s="1"/>
      <c r="D245" s="1"/>
      <c r="E245" s="1"/>
      <c r="F245" s="1"/>
      <c r="G245" s="1"/>
    </row>
    <row r="246" spans="3:7" ht="15.75" customHeight="1" x14ac:dyDescent="0.3">
      <c r="C246" s="1"/>
      <c r="D246" s="1"/>
      <c r="E246" s="1"/>
      <c r="F246" s="1"/>
      <c r="G246" s="1"/>
    </row>
    <row r="247" spans="3:7" ht="15.75" customHeight="1" x14ac:dyDescent="0.3">
      <c r="C247" s="1"/>
      <c r="D247" s="1"/>
      <c r="E247" s="1"/>
      <c r="F247" s="1"/>
      <c r="G247" s="1"/>
    </row>
    <row r="248" spans="3:7" ht="15.75" customHeight="1" x14ac:dyDescent="0.3">
      <c r="C248" s="1"/>
      <c r="D248" s="1"/>
      <c r="E248" s="1"/>
      <c r="F248" s="1"/>
      <c r="G248" s="1"/>
    </row>
    <row r="249" spans="3:7" ht="15.75" customHeight="1" x14ac:dyDescent="0.3">
      <c r="C249" s="1"/>
      <c r="D249" s="1"/>
      <c r="E249" s="1"/>
      <c r="F249" s="1"/>
      <c r="G249" s="1"/>
    </row>
    <row r="250" spans="3:7" ht="15.75" customHeight="1" x14ac:dyDescent="0.3">
      <c r="C250" s="1"/>
      <c r="D250" s="1"/>
      <c r="E250" s="1"/>
      <c r="F250" s="1"/>
      <c r="G250" s="1"/>
    </row>
    <row r="251" spans="3:7" ht="15.75" customHeight="1" x14ac:dyDescent="0.3">
      <c r="C251" s="1"/>
      <c r="D251" s="1"/>
      <c r="E251" s="1"/>
      <c r="F251" s="1"/>
      <c r="G251" s="1"/>
    </row>
    <row r="252" spans="3:7" ht="15.75" customHeight="1" x14ac:dyDescent="0.3">
      <c r="C252" s="1"/>
      <c r="D252" s="1"/>
      <c r="E252" s="1"/>
      <c r="F252" s="1"/>
      <c r="G252" s="1"/>
    </row>
    <row r="253" spans="3:7" ht="15.75" customHeight="1" x14ac:dyDescent="0.3">
      <c r="C253" s="1"/>
      <c r="D253" s="1"/>
      <c r="E253" s="1"/>
      <c r="F253" s="1"/>
      <c r="G253" s="1"/>
    </row>
    <row r="254" spans="3:7" ht="15.75" customHeight="1" x14ac:dyDescent="0.3">
      <c r="C254" s="1"/>
      <c r="D254" s="1"/>
      <c r="E254" s="1"/>
      <c r="F254" s="1"/>
      <c r="G254" s="1"/>
    </row>
    <row r="255" spans="3:7" ht="15.75" customHeight="1" x14ac:dyDescent="0.3">
      <c r="C255" s="1"/>
      <c r="D255" s="1"/>
      <c r="E255" s="1"/>
      <c r="F255" s="1"/>
      <c r="G255" s="1"/>
    </row>
    <row r="256" spans="3:7" ht="15.75" customHeight="1" x14ac:dyDescent="0.3">
      <c r="C256" s="1"/>
      <c r="D256" s="1"/>
      <c r="E256" s="1"/>
      <c r="F256" s="1"/>
      <c r="G256" s="1"/>
    </row>
    <row r="257" spans="3:7" ht="15.75" customHeight="1" x14ac:dyDescent="0.3">
      <c r="C257" s="1"/>
      <c r="D257" s="1"/>
      <c r="E257" s="1"/>
      <c r="F257" s="1"/>
      <c r="G257" s="1"/>
    </row>
    <row r="258" spans="3:7" ht="15.75" customHeight="1" x14ac:dyDescent="0.3">
      <c r="C258" s="1"/>
      <c r="D258" s="1"/>
      <c r="E258" s="1"/>
      <c r="F258" s="1"/>
      <c r="G258" s="1"/>
    </row>
    <row r="259" spans="3:7" ht="15.75" customHeight="1" x14ac:dyDescent="0.3">
      <c r="C259" s="1"/>
      <c r="D259" s="1"/>
      <c r="E259" s="1"/>
      <c r="F259" s="1"/>
      <c r="G259" s="1"/>
    </row>
    <row r="260" spans="3:7" ht="15.75" customHeight="1" x14ac:dyDescent="0.3">
      <c r="C260" s="1"/>
      <c r="D260" s="1"/>
      <c r="E260" s="1"/>
      <c r="F260" s="1"/>
      <c r="G260" s="1"/>
    </row>
    <row r="261" spans="3:7" ht="15.75" customHeight="1" x14ac:dyDescent="0.3">
      <c r="C261" s="1"/>
      <c r="D261" s="1"/>
      <c r="E261" s="1"/>
      <c r="F261" s="1"/>
      <c r="G261" s="1"/>
    </row>
    <row r="262" spans="3:7" ht="15.75" customHeight="1" x14ac:dyDescent="0.3">
      <c r="C262" s="1"/>
      <c r="D262" s="1"/>
      <c r="E262" s="1"/>
      <c r="F262" s="1"/>
      <c r="G262" s="1"/>
    </row>
    <row r="263" spans="3:7" ht="15.75" customHeight="1" x14ac:dyDescent="0.3">
      <c r="C263" s="1"/>
      <c r="D263" s="1"/>
      <c r="E263" s="1"/>
      <c r="F263" s="1"/>
      <c r="G263" s="1"/>
    </row>
    <row r="264" spans="3:7" ht="15.75" customHeight="1" x14ac:dyDescent="0.3">
      <c r="C264" s="1"/>
      <c r="D264" s="1"/>
      <c r="E264" s="1"/>
      <c r="F264" s="1"/>
      <c r="G264" s="1"/>
    </row>
    <row r="265" spans="3:7" ht="15.75" customHeight="1" x14ac:dyDescent="0.3">
      <c r="C265" s="1"/>
      <c r="D265" s="1"/>
      <c r="E265" s="1"/>
      <c r="F265" s="1"/>
      <c r="G265" s="1"/>
    </row>
    <row r="266" spans="3:7" ht="15.75" customHeight="1" x14ac:dyDescent="0.3">
      <c r="C266" s="1"/>
      <c r="D266" s="1"/>
      <c r="E266" s="1"/>
      <c r="F266" s="1"/>
      <c r="G266" s="1"/>
    </row>
    <row r="267" spans="3:7" ht="15.75" customHeight="1" x14ac:dyDescent="0.3">
      <c r="C267" s="1"/>
      <c r="D267" s="1"/>
      <c r="E267" s="1"/>
      <c r="F267" s="1"/>
      <c r="G267" s="1"/>
    </row>
    <row r="268" spans="3:7" ht="15.75" customHeight="1" x14ac:dyDescent="0.3">
      <c r="C268" s="1"/>
      <c r="D268" s="1"/>
      <c r="E268" s="1"/>
      <c r="F268" s="1"/>
      <c r="G268" s="1"/>
    </row>
    <row r="269" spans="3:7" ht="15.75" customHeight="1" x14ac:dyDescent="0.3">
      <c r="C269" s="1"/>
      <c r="D269" s="1"/>
      <c r="E269" s="1"/>
      <c r="F269" s="1"/>
      <c r="G269" s="1"/>
    </row>
    <row r="270" spans="3:7" ht="15.75" customHeight="1" x14ac:dyDescent="0.3">
      <c r="C270" s="1"/>
      <c r="D270" s="1"/>
      <c r="E270" s="1"/>
      <c r="F270" s="1"/>
      <c r="G270" s="1"/>
    </row>
    <row r="271" spans="3:7" ht="15.75" customHeight="1" x14ac:dyDescent="0.3">
      <c r="C271" s="1"/>
      <c r="D271" s="1"/>
      <c r="E271" s="1"/>
      <c r="F271" s="1"/>
      <c r="G271" s="1"/>
    </row>
    <row r="272" spans="3:7" ht="15.75" customHeight="1" x14ac:dyDescent="0.3">
      <c r="C272" s="1"/>
      <c r="D272" s="1"/>
      <c r="E272" s="1"/>
      <c r="F272" s="1"/>
      <c r="G272" s="1"/>
    </row>
    <row r="273" spans="3:7" ht="15.75" customHeight="1" x14ac:dyDescent="0.3">
      <c r="C273" s="1"/>
      <c r="D273" s="1"/>
      <c r="E273" s="1"/>
      <c r="F273" s="1"/>
      <c r="G273" s="1"/>
    </row>
    <row r="274" spans="3:7" ht="15.75" customHeight="1" x14ac:dyDescent="0.3">
      <c r="C274" s="1"/>
      <c r="D274" s="1"/>
      <c r="E274" s="1"/>
      <c r="F274" s="1"/>
      <c r="G274" s="1"/>
    </row>
    <row r="275" spans="3:7" ht="15.75" customHeight="1" x14ac:dyDescent="0.3">
      <c r="C275" s="1"/>
      <c r="D275" s="1"/>
      <c r="E275" s="1"/>
      <c r="F275" s="1"/>
      <c r="G275" s="1"/>
    </row>
    <row r="276" spans="3:7" ht="15.75" customHeight="1" x14ac:dyDescent="0.3">
      <c r="C276" s="1"/>
      <c r="D276" s="1"/>
      <c r="E276" s="1"/>
      <c r="F276" s="1"/>
      <c r="G276" s="1"/>
    </row>
    <row r="277" spans="3:7" ht="15.75" customHeight="1" x14ac:dyDescent="0.3">
      <c r="C277" s="1"/>
      <c r="D277" s="1"/>
      <c r="E277" s="1"/>
      <c r="F277" s="1"/>
      <c r="G277" s="1"/>
    </row>
    <row r="278" spans="3:7" ht="15.75" customHeight="1" x14ac:dyDescent="0.3">
      <c r="C278" s="1"/>
      <c r="D278" s="1"/>
      <c r="E278" s="1"/>
      <c r="F278" s="1"/>
      <c r="G278" s="1"/>
    </row>
    <row r="279" spans="3:7" ht="15.75" customHeight="1" x14ac:dyDescent="0.3">
      <c r="C279" s="1"/>
      <c r="D279" s="1"/>
      <c r="E279" s="1"/>
      <c r="F279" s="1"/>
      <c r="G279" s="1"/>
    </row>
    <row r="280" spans="3:7" ht="15.75" customHeight="1" x14ac:dyDescent="0.3">
      <c r="C280" s="1"/>
      <c r="D280" s="1"/>
      <c r="E280" s="1"/>
      <c r="F280" s="1"/>
      <c r="G280" s="1"/>
    </row>
    <row r="281" spans="3:7" ht="15.75" customHeight="1" x14ac:dyDescent="0.3">
      <c r="C281" s="1"/>
      <c r="D281" s="1"/>
      <c r="E281" s="1"/>
      <c r="F281" s="1"/>
      <c r="G281" s="1"/>
    </row>
    <row r="282" spans="3:7" ht="15.75" customHeight="1" x14ac:dyDescent="0.3">
      <c r="C282" s="1"/>
      <c r="D282" s="1"/>
      <c r="E282" s="1"/>
      <c r="F282" s="1"/>
      <c r="G282" s="1"/>
    </row>
    <row r="283" spans="3:7" ht="15.75" customHeight="1" x14ac:dyDescent="0.3">
      <c r="C283" s="1"/>
      <c r="D283" s="1"/>
      <c r="E283" s="1"/>
      <c r="F283" s="1"/>
      <c r="G283" s="1"/>
    </row>
    <row r="284" spans="3:7" ht="15.75" customHeight="1" x14ac:dyDescent="0.3">
      <c r="C284" s="1"/>
      <c r="D284" s="1"/>
      <c r="E284" s="1"/>
      <c r="F284" s="1"/>
      <c r="G284" s="1"/>
    </row>
    <row r="285" spans="3:7" ht="15.75" customHeight="1" x14ac:dyDescent="0.3">
      <c r="C285" s="1"/>
      <c r="D285" s="1"/>
      <c r="E285" s="1"/>
      <c r="F285" s="1"/>
      <c r="G285" s="1"/>
    </row>
    <row r="286" spans="3:7" ht="15.75" customHeight="1" x14ac:dyDescent="0.3">
      <c r="C286" s="1"/>
      <c r="D286" s="1"/>
      <c r="E286" s="1"/>
      <c r="F286" s="1"/>
      <c r="G286" s="1"/>
    </row>
    <row r="287" spans="3:7" ht="15.75" customHeight="1" x14ac:dyDescent="0.3">
      <c r="C287" s="1"/>
      <c r="D287" s="1"/>
      <c r="E287" s="1"/>
      <c r="F287" s="1"/>
      <c r="G287" s="1"/>
    </row>
    <row r="288" spans="3:7" ht="15.75" customHeight="1" x14ac:dyDescent="0.3">
      <c r="C288" s="1"/>
      <c r="D288" s="1"/>
      <c r="E288" s="1"/>
      <c r="F288" s="1"/>
      <c r="G288" s="1"/>
    </row>
    <row r="289" spans="3:7" ht="15.75" customHeight="1" x14ac:dyDescent="0.3">
      <c r="C289" s="1"/>
      <c r="D289" s="1"/>
      <c r="E289" s="1"/>
      <c r="F289" s="1"/>
      <c r="G289" s="1"/>
    </row>
    <row r="290" spans="3:7" ht="15.75" customHeight="1" x14ac:dyDescent="0.3">
      <c r="C290" s="1"/>
      <c r="D290" s="1"/>
      <c r="E290" s="1"/>
      <c r="F290" s="1"/>
      <c r="G290" s="1"/>
    </row>
    <row r="291" spans="3:7" ht="15.75" customHeight="1" x14ac:dyDescent="0.3">
      <c r="C291" s="1"/>
      <c r="D291" s="1"/>
      <c r="E291" s="1"/>
      <c r="F291" s="1"/>
      <c r="G291" s="1"/>
    </row>
    <row r="292" spans="3:7" ht="15.75" customHeight="1" x14ac:dyDescent="0.3">
      <c r="C292" s="1"/>
      <c r="D292" s="1"/>
      <c r="E292" s="1"/>
      <c r="F292" s="1"/>
      <c r="G292" s="1"/>
    </row>
    <row r="293" spans="3:7" ht="15.75" customHeight="1" x14ac:dyDescent="0.3">
      <c r="C293" s="1"/>
      <c r="D293" s="1"/>
      <c r="E293" s="1"/>
      <c r="F293" s="1"/>
      <c r="G293" s="1"/>
    </row>
    <row r="294" spans="3:7" ht="15.75" customHeight="1" x14ac:dyDescent="0.3">
      <c r="C294" s="1"/>
      <c r="D294" s="1"/>
      <c r="E294" s="1"/>
      <c r="F294" s="1"/>
      <c r="G294" s="1"/>
    </row>
    <row r="295" spans="3:7" ht="15.75" customHeight="1" x14ac:dyDescent="0.3">
      <c r="C295" s="1"/>
      <c r="D295" s="1"/>
      <c r="E295" s="1"/>
      <c r="F295" s="1"/>
      <c r="G295" s="1"/>
    </row>
    <row r="296" spans="3:7" ht="15.75" customHeight="1" x14ac:dyDescent="0.3">
      <c r="C296" s="1"/>
      <c r="D296" s="1"/>
      <c r="E296" s="1"/>
      <c r="F296" s="1"/>
      <c r="G296" s="1"/>
    </row>
    <row r="297" spans="3:7" ht="15.75" customHeight="1" x14ac:dyDescent="0.3">
      <c r="C297" s="1"/>
      <c r="D297" s="1"/>
      <c r="E297" s="1"/>
      <c r="F297" s="1"/>
      <c r="G297" s="1"/>
    </row>
    <row r="298" spans="3:7" ht="15.75" customHeight="1" x14ac:dyDescent="0.3">
      <c r="C298" s="1"/>
      <c r="D298" s="1"/>
      <c r="E298" s="1"/>
      <c r="F298" s="1"/>
      <c r="G298" s="1"/>
    </row>
    <row r="299" spans="3:7" ht="15.75" customHeight="1" x14ac:dyDescent="0.3">
      <c r="C299" s="1"/>
      <c r="D299" s="1"/>
      <c r="E299" s="1"/>
      <c r="F299" s="1"/>
      <c r="G299" s="1"/>
    </row>
    <row r="300" spans="3:7" ht="15.75" customHeight="1" x14ac:dyDescent="0.3">
      <c r="C300" s="1"/>
      <c r="D300" s="1"/>
      <c r="E300" s="1"/>
      <c r="F300" s="1"/>
      <c r="G300" s="1"/>
    </row>
    <row r="301" spans="3:7" ht="15.75" customHeight="1" x14ac:dyDescent="0.3">
      <c r="C301" s="1"/>
      <c r="D301" s="1"/>
      <c r="E301" s="1"/>
      <c r="F301" s="1"/>
      <c r="G301" s="1"/>
    </row>
    <row r="302" spans="3:7" ht="15.75" customHeight="1" x14ac:dyDescent="0.3">
      <c r="C302" s="1"/>
      <c r="D302" s="1"/>
      <c r="E302" s="1"/>
      <c r="F302" s="1"/>
      <c r="G302" s="1"/>
    </row>
    <row r="303" spans="3:7" ht="15.75" customHeight="1" x14ac:dyDescent="0.3">
      <c r="C303" s="1"/>
      <c r="D303" s="1"/>
      <c r="E303" s="1"/>
      <c r="F303" s="1"/>
      <c r="G303" s="1"/>
    </row>
    <row r="304" spans="3:7" ht="15.75" customHeight="1" x14ac:dyDescent="0.3">
      <c r="C304" s="1"/>
      <c r="D304" s="1"/>
      <c r="E304" s="1"/>
      <c r="F304" s="1"/>
      <c r="G304" s="1"/>
    </row>
    <row r="305" spans="3:7" ht="15.75" customHeight="1" x14ac:dyDescent="0.3">
      <c r="C305" s="1"/>
      <c r="D305" s="1"/>
      <c r="E305" s="1"/>
      <c r="F305" s="1"/>
      <c r="G305" s="1"/>
    </row>
    <row r="306" spans="3:7" ht="15.75" customHeight="1" x14ac:dyDescent="0.3">
      <c r="C306" s="1"/>
      <c r="D306" s="1"/>
      <c r="E306" s="1"/>
      <c r="F306" s="1"/>
      <c r="G306" s="1"/>
    </row>
    <row r="307" spans="3:7" ht="15.75" customHeight="1" x14ac:dyDescent="0.3">
      <c r="C307" s="1"/>
      <c r="D307" s="1"/>
      <c r="E307" s="1"/>
      <c r="F307" s="1"/>
      <c r="G307" s="1"/>
    </row>
    <row r="308" spans="3:7" ht="15.75" customHeight="1" x14ac:dyDescent="0.3">
      <c r="C308" s="1"/>
      <c r="D308" s="1"/>
      <c r="E308" s="1"/>
      <c r="F308" s="1"/>
      <c r="G308" s="1"/>
    </row>
    <row r="309" spans="3:7" ht="15.75" customHeight="1" x14ac:dyDescent="0.3">
      <c r="C309" s="1"/>
      <c r="D309" s="1"/>
      <c r="E309" s="1"/>
      <c r="F309" s="1"/>
      <c r="G309" s="1"/>
    </row>
    <row r="310" spans="3:7" ht="15.75" customHeight="1" x14ac:dyDescent="0.3">
      <c r="C310" s="1"/>
      <c r="D310" s="1"/>
      <c r="E310" s="1"/>
      <c r="F310" s="1"/>
      <c r="G310" s="1"/>
    </row>
    <row r="311" spans="3:7" ht="15.75" customHeight="1" x14ac:dyDescent="0.3">
      <c r="C311" s="1"/>
      <c r="D311" s="1"/>
      <c r="E311" s="1"/>
      <c r="F311" s="1"/>
      <c r="G311" s="1"/>
    </row>
    <row r="312" spans="3:7" ht="15.75" customHeight="1" x14ac:dyDescent="0.3">
      <c r="C312" s="1"/>
      <c r="D312" s="1"/>
      <c r="E312" s="1"/>
      <c r="F312" s="1"/>
      <c r="G312" s="1"/>
    </row>
    <row r="313" spans="3:7" ht="15.75" customHeight="1" x14ac:dyDescent="0.3">
      <c r="C313" s="1"/>
      <c r="D313" s="1"/>
      <c r="E313" s="1"/>
      <c r="F313" s="1"/>
      <c r="G313" s="1"/>
    </row>
    <row r="314" spans="3:7" ht="15.75" customHeight="1" x14ac:dyDescent="0.3">
      <c r="C314" s="1"/>
      <c r="D314" s="1"/>
      <c r="E314" s="1"/>
      <c r="F314" s="1"/>
      <c r="G314" s="1"/>
    </row>
    <row r="315" spans="3:7" ht="15.75" customHeight="1" x14ac:dyDescent="0.3">
      <c r="C315" s="1"/>
      <c r="D315" s="1"/>
      <c r="E315" s="1"/>
      <c r="F315" s="1"/>
      <c r="G315" s="1"/>
    </row>
    <row r="316" spans="3:7" ht="15.75" customHeight="1" x14ac:dyDescent="0.3">
      <c r="C316" s="1"/>
      <c r="D316" s="1"/>
      <c r="E316" s="1"/>
      <c r="F316" s="1"/>
      <c r="G316" s="1"/>
    </row>
    <row r="317" spans="3:7" ht="15.75" customHeight="1" x14ac:dyDescent="0.3">
      <c r="C317" s="1"/>
      <c r="D317" s="1"/>
      <c r="E317" s="1"/>
      <c r="F317" s="1"/>
      <c r="G317" s="1"/>
    </row>
    <row r="318" spans="3:7" ht="15.75" customHeight="1" x14ac:dyDescent="0.3">
      <c r="C318" s="1"/>
      <c r="D318" s="1"/>
      <c r="E318" s="1"/>
      <c r="F318" s="1"/>
      <c r="G318" s="1"/>
    </row>
    <row r="319" spans="3:7" ht="15.75" customHeight="1" x14ac:dyDescent="0.3">
      <c r="C319" s="1"/>
      <c r="D319" s="1"/>
      <c r="E319" s="1"/>
      <c r="F319" s="1"/>
      <c r="G319" s="1"/>
    </row>
    <row r="320" spans="3:7" ht="15.75" customHeight="1" x14ac:dyDescent="0.3">
      <c r="C320" s="1"/>
      <c r="D320" s="1"/>
      <c r="E320" s="1"/>
      <c r="F320" s="1"/>
      <c r="G320" s="1"/>
    </row>
    <row r="321" spans="3:7" ht="15.75" customHeight="1" x14ac:dyDescent="0.3">
      <c r="C321" s="1"/>
      <c r="D321" s="1"/>
      <c r="E321" s="1"/>
      <c r="F321" s="1"/>
      <c r="G321" s="1"/>
    </row>
    <row r="322" spans="3:7" ht="15.75" customHeight="1" x14ac:dyDescent="0.3">
      <c r="C322" s="1"/>
      <c r="D322" s="1"/>
      <c r="E322" s="1"/>
      <c r="F322" s="1"/>
      <c r="G322" s="1"/>
    </row>
    <row r="323" spans="3:7" ht="15.75" customHeight="1" x14ac:dyDescent="0.3">
      <c r="C323" s="1"/>
      <c r="D323" s="1"/>
      <c r="E323" s="1"/>
      <c r="F323" s="1"/>
      <c r="G323" s="1"/>
    </row>
    <row r="324" spans="3:7" ht="15.75" customHeight="1" x14ac:dyDescent="0.3">
      <c r="C324" s="1"/>
      <c r="D324" s="1"/>
      <c r="E324" s="1"/>
      <c r="F324" s="1"/>
      <c r="G324" s="1"/>
    </row>
    <row r="325" spans="3:7" ht="15.75" customHeight="1" x14ac:dyDescent="0.3">
      <c r="C325" s="1"/>
      <c r="D325" s="1"/>
      <c r="E325" s="1"/>
      <c r="F325" s="1"/>
      <c r="G325" s="1"/>
    </row>
    <row r="326" spans="3:7" ht="15.75" customHeight="1" x14ac:dyDescent="0.3">
      <c r="C326" s="1"/>
      <c r="D326" s="1"/>
      <c r="E326" s="1"/>
      <c r="F326" s="1"/>
      <c r="G326" s="1"/>
    </row>
    <row r="327" spans="3:7" ht="15.75" customHeight="1" x14ac:dyDescent="0.3">
      <c r="C327" s="1"/>
      <c r="D327" s="1"/>
      <c r="E327" s="1"/>
      <c r="F327" s="1"/>
      <c r="G327" s="1"/>
    </row>
    <row r="328" spans="3:7" ht="15.75" customHeight="1" x14ac:dyDescent="0.3">
      <c r="C328" s="1"/>
      <c r="D328" s="1"/>
      <c r="E328" s="1"/>
      <c r="F328" s="1"/>
      <c r="G328" s="1"/>
    </row>
    <row r="329" spans="3:7" ht="15.75" customHeight="1" x14ac:dyDescent="0.3">
      <c r="C329" s="1"/>
      <c r="D329" s="1"/>
      <c r="E329" s="1"/>
      <c r="F329" s="1"/>
      <c r="G329" s="1"/>
    </row>
    <row r="330" spans="3:7" ht="15.75" customHeight="1" x14ac:dyDescent="0.3">
      <c r="C330" s="1"/>
      <c r="D330" s="1"/>
      <c r="E330" s="1"/>
      <c r="F330" s="1"/>
      <c r="G330" s="1"/>
    </row>
    <row r="331" spans="3:7" ht="15.75" customHeight="1" x14ac:dyDescent="0.3">
      <c r="C331" s="1"/>
      <c r="D331" s="1"/>
      <c r="E331" s="1"/>
      <c r="F331" s="1"/>
      <c r="G331" s="1"/>
    </row>
    <row r="332" spans="3:7" ht="15.75" customHeight="1" x14ac:dyDescent="0.3">
      <c r="C332" s="1"/>
      <c r="D332" s="1"/>
      <c r="E332" s="1"/>
      <c r="F332" s="1"/>
      <c r="G332" s="1"/>
    </row>
    <row r="333" spans="3:7" ht="15.75" customHeight="1" x14ac:dyDescent="0.3">
      <c r="C333" s="1"/>
      <c r="D333" s="1"/>
      <c r="E333" s="1"/>
      <c r="F333" s="1"/>
      <c r="G333" s="1"/>
    </row>
    <row r="334" spans="3:7" ht="15.75" customHeight="1" x14ac:dyDescent="0.3">
      <c r="C334" s="1"/>
      <c r="D334" s="1"/>
      <c r="E334" s="1"/>
      <c r="F334" s="1"/>
      <c r="G334" s="1"/>
    </row>
    <row r="335" spans="3:7" ht="15.75" customHeight="1" x14ac:dyDescent="0.3">
      <c r="C335" s="1"/>
      <c r="D335" s="1"/>
      <c r="E335" s="1"/>
      <c r="F335" s="1"/>
      <c r="G335" s="1"/>
    </row>
    <row r="336" spans="3:7" ht="15.75" customHeight="1" x14ac:dyDescent="0.3">
      <c r="C336" s="1"/>
      <c r="D336" s="1"/>
      <c r="E336" s="1"/>
      <c r="F336" s="1"/>
      <c r="G336" s="1"/>
    </row>
    <row r="337" spans="3:7" ht="15.75" customHeight="1" x14ac:dyDescent="0.3">
      <c r="C337" s="1"/>
      <c r="D337" s="1"/>
      <c r="E337" s="1"/>
      <c r="F337" s="1"/>
      <c r="G337" s="1"/>
    </row>
    <row r="338" spans="3:7" ht="15.75" customHeight="1" x14ac:dyDescent="0.3">
      <c r="C338" s="1"/>
      <c r="D338" s="1"/>
      <c r="E338" s="1"/>
      <c r="F338" s="1"/>
      <c r="G338" s="1"/>
    </row>
    <row r="339" spans="3:7" ht="15.75" customHeight="1" x14ac:dyDescent="0.3">
      <c r="C339" s="1"/>
      <c r="D339" s="1"/>
      <c r="E339" s="1"/>
      <c r="F339" s="1"/>
      <c r="G339" s="1"/>
    </row>
    <row r="340" spans="3:7" ht="15.75" customHeight="1" x14ac:dyDescent="0.3">
      <c r="C340" s="1"/>
      <c r="D340" s="1"/>
      <c r="E340" s="1"/>
      <c r="F340" s="1"/>
      <c r="G340" s="1"/>
    </row>
    <row r="341" spans="3:7" ht="15.75" customHeight="1" x14ac:dyDescent="0.3">
      <c r="C341" s="1"/>
      <c r="D341" s="1"/>
      <c r="E341" s="1"/>
      <c r="F341" s="1"/>
      <c r="G341" s="1"/>
    </row>
    <row r="342" spans="3:7" ht="15.75" customHeight="1" x14ac:dyDescent="0.3">
      <c r="C342" s="1"/>
      <c r="D342" s="1"/>
      <c r="E342" s="1"/>
      <c r="F342" s="1"/>
      <c r="G342" s="1"/>
    </row>
    <row r="343" spans="3:7" ht="15.75" customHeight="1" x14ac:dyDescent="0.3">
      <c r="C343" s="1"/>
      <c r="D343" s="1"/>
      <c r="E343" s="1"/>
      <c r="F343" s="1"/>
      <c r="G343" s="1"/>
    </row>
    <row r="344" spans="3:7" ht="15.75" customHeight="1" x14ac:dyDescent="0.3">
      <c r="C344" s="1"/>
      <c r="D344" s="1"/>
      <c r="E344" s="1"/>
      <c r="F344" s="1"/>
      <c r="G344" s="1"/>
    </row>
    <row r="345" spans="3:7" ht="15.75" customHeight="1" x14ac:dyDescent="0.3">
      <c r="C345" s="1"/>
      <c r="D345" s="1"/>
      <c r="E345" s="1"/>
      <c r="F345" s="1"/>
      <c r="G345" s="1"/>
    </row>
    <row r="346" spans="3:7" ht="15.75" customHeight="1" x14ac:dyDescent="0.3">
      <c r="C346" s="1"/>
      <c r="D346" s="1"/>
      <c r="E346" s="1"/>
      <c r="F346" s="1"/>
      <c r="G346" s="1"/>
    </row>
    <row r="347" spans="3:7" ht="15.75" customHeight="1" x14ac:dyDescent="0.3">
      <c r="C347" s="1"/>
      <c r="D347" s="1"/>
      <c r="E347" s="1"/>
      <c r="F347" s="1"/>
      <c r="G347" s="1"/>
    </row>
    <row r="348" spans="3:7" ht="15.75" customHeight="1" x14ac:dyDescent="0.3">
      <c r="C348" s="1"/>
      <c r="D348" s="1"/>
      <c r="E348" s="1"/>
      <c r="F348" s="1"/>
      <c r="G348" s="1"/>
    </row>
    <row r="349" spans="3:7" ht="15.75" customHeight="1" x14ac:dyDescent="0.3">
      <c r="C349" s="1"/>
      <c r="D349" s="1"/>
      <c r="E349" s="1"/>
      <c r="F349" s="1"/>
      <c r="G349" s="1"/>
    </row>
    <row r="350" spans="3:7" ht="15.75" customHeight="1" x14ac:dyDescent="0.3">
      <c r="C350" s="1"/>
      <c r="D350" s="1"/>
      <c r="E350" s="1"/>
      <c r="F350" s="1"/>
      <c r="G350" s="1"/>
    </row>
    <row r="351" spans="3:7" ht="15.75" customHeight="1" x14ac:dyDescent="0.3">
      <c r="C351" s="1"/>
      <c r="D351" s="1"/>
      <c r="E351" s="1"/>
      <c r="F351" s="1"/>
      <c r="G351" s="1"/>
    </row>
    <row r="352" spans="3:7" ht="15.75" customHeight="1" x14ac:dyDescent="0.3">
      <c r="C352" s="1"/>
      <c r="D352" s="1"/>
      <c r="E352" s="1"/>
      <c r="F352" s="1"/>
      <c r="G352" s="1"/>
    </row>
    <row r="353" spans="3:7" ht="15.75" customHeight="1" x14ac:dyDescent="0.3">
      <c r="C353" s="1"/>
      <c r="D353" s="1"/>
      <c r="E353" s="1"/>
      <c r="F353" s="1"/>
      <c r="G353" s="1"/>
    </row>
    <row r="354" spans="3:7" ht="15.75" customHeight="1" x14ac:dyDescent="0.3">
      <c r="C354" s="1"/>
      <c r="D354" s="1"/>
      <c r="E354" s="1"/>
      <c r="F354" s="1"/>
      <c r="G354" s="1"/>
    </row>
    <row r="355" spans="3:7" ht="15.75" customHeight="1" x14ac:dyDescent="0.3">
      <c r="C355" s="1"/>
      <c r="D355" s="1"/>
      <c r="E355" s="1"/>
      <c r="F355" s="1"/>
      <c r="G355" s="1"/>
    </row>
    <row r="356" spans="3:7" ht="15.75" customHeight="1" x14ac:dyDescent="0.3">
      <c r="C356" s="1"/>
      <c r="D356" s="1"/>
      <c r="E356" s="1"/>
      <c r="F356" s="1"/>
      <c r="G356" s="1"/>
    </row>
    <row r="357" spans="3:7" ht="15.75" customHeight="1" x14ac:dyDescent="0.3">
      <c r="C357" s="1"/>
      <c r="D357" s="1"/>
      <c r="E357" s="1"/>
      <c r="F357" s="1"/>
      <c r="G357" s="1"/>
    </row>
    <row r="358" spans="3:7" ht="15.75" customHeight="1" x14ac:dyDescent="0.3">
      <c r="C358" s="1"/>
      <c r="D358" s="1"/>
      <c r="E358" s="1"/>
      <c r="F358" s="1"/>
      <c r="G358" s="1"/>
    </row>
    <row r="359" spans="3:7" ht="15.75" customHeight="1" x14ac:dyDescent="0.3">
      <c r="C359" s="1"/>
      <c r="D359" s="1"/>
      <c r="E359" s="1"/>
      <c r="F359" s="1"/>
      <c r="G359" s="1"/>
    </row>
    <row r="360" spans="3:7" ht="15.75" customHeight="1" x14ac:dyDescent="0.3">
      <c r="C360" s="1"/>
      <c r="D360" s="1"/>
      <c r="E360" s="1"/>
      <c r="F360" s="1"/>
      <c r="G360" s="1"/>
    </row>
    <row r="361" spans="3:7" ht="15.75" customHeight="1" x14ac:dyDescent="0.3">
      <c r="C361" s="1"/>
      <c r="D361" s="1"/>
      <c r="E361" s="1"/>
      <c r="F361" s="1"/>
      <c r="G361" s="1"/>
    </row>
    <row r="362" spans="3:7" ht="15.75" customHeight="1" x14ac:dyDescent="0.3">
      <c r="C362" s="1"/>
      <c r="D362" s="1"/>
      <c r="E362" s="1"/>
      <c r="F362" s="1"/>
      <c r="G362" s="1"/>
    </row>
    <row r="363" spans="3:7" ht="15.75" customHeight="1" x14ac:dyDescent="0.3">
      <c r="C363" s="1"/>
      <c r="D363" s="1"/>
      <c r="E363" s="1"/>
      <c r="F363" s="1"/>
      <c r="G363" s="1"/>
    </row>
    <row r="364" spans="3:7" ht="15.75" customHeight="1" x14ac:dyDescent="0.3">
      <c r="C364" s="1"/>
      <c r="D364" s="1"/>
      <c r="E364" s="1"/>
      <c r="F364" s="1"/>
      <c r="G364" s="1"/>
    </row>
    <row r="365" spans="3:7" ht="15.75" customHeight="1" x14ac:dyDescent="0.3">
      <c r="C365" s="1"/>
      <c r="D365" s="1"/>
      <c r="E365" s="1"/>
      <c r="F365" s="1"/>
      <c r="G365" s="1"/>
    </row>
    <row r="366" spans="3:7" ht="15.75" customHeight="1" x14ac:dyDescent="0.3">
      <c r="C366" s="1"/>
      <c r="D366" s="1"/>
      <c r="E366" s="1"/>
      <c r="F366" s="1"/>
      <c r="G366" s="1"/>
    </row>
    <row r="367" spans="3:7" ht="15.75" customHeight="1" x14ac:dyDescent="0.3">
      <c r="C367" s="1"/>
      <c r="D367" s="1"/>
      <c r="E367" s="1"/>
      <c r="F367" s="1"/>
      <c r="G367" s="1"/>
    </row>
    <row r="368" spans="3:7" ht="15.75" customHeight="1" x14ac:dyDescent="0.3">
      <c r="C368" s="1"/>
      <c r="D368" s="1"/>
      <c r="E368" s="1"/>
      <c r="F368" s="1"/>
      <c r="G368" s="1"/>
    </row>
    <row r="369" spans="3:7" ht="15.75" customHeight="1" x14ac:dyDescent="0.3">
      <c r="C369" s="1"/>
      <c r="D369" s="1"/>
      <c r="E369" s="1"/>
      <c r="F369" s="1"/>
      <c r="G369" s="1"/>
    </row>
    <row r="370" spans="3:7" ht="15.75" customHeight="1" x14ac:dyDescent="0.3">
      <c r="C370" s="1"/>
      <c r="D370" s="1"/>
      <c r="E370" s="1"/>
      <c r="F370" s="1"/>
      <c r="G370" s="1"/>
    </row>
    <row r="371" spans="3:7" ht="15.75" customHeight="1" x14ac:dyDescent="0.3">
      <c r="C371" s="1"/>
      <c r="D371" s="1"/>
      <c r="E371" s="1"/>
      <c r="F371" s="1"/>
      <c r="G371" s="1"/>
    </row>
    <row r="372" spans="3:7" ht="15.75" customHeight="1" x14ac:dyDescent="0.3">
      <c r="C372" s="1"/>
      <c r="D372" s="1"/>
      <c r="E372" s="1"/>
      <c r="F372" s="1"/>
      <c r="G372" s="1"/>
    </row>
    <row r="373" spans="3:7" ht="15.75" customHeight="1" x14ac:dyDescent="0.3">
      <c r="C373" s="1"/>
      <c r="D373" s="1"/>
      <c r="E373" s="1"/>
      <c r="F373" s="1"/>
      <c r="G373" s="1"/>
    </row>
    <row r="374" spans="3:7" ht="15.75" customHeight="1" x14ac:dyDescent="0.3">
      <c r="C374" s="1"/>
      <c r="D374" s="1"/>
      <c r="E374" s="1"/>
      <c r="F374" s="1"/>
      <c r="G374" s="1"/>
    </row>
    <row r="375" spans="3:7" ht="15.75" customHeight="1" x14ac:dyDescent="0.3">
      <c r="C375" s="1"/>
      <c r="D375" s="1"/>
      <c r="E375" s="1"/>
      <c r="F375" s="1"/>
      <c r="G375" s="1"/>
    </row>
    <row r="376" spans="3:7" ht="15.75" customHeight="1" x14ac:dyDescent="0.3">
      <c r="C376" s="1"/>
      <c r="D376" s="1"/>
      <c r="E376" s="1"/>
      <c r="F376" s="1"/>
      <c r="G376" s="1"/>
    </row>
    <row r="377" spans="3:7" ht="15.75" customHeight="1" x14ac:dyDescent="0.3">
      <c r="C377" s="1"/>
      <c r="D377" s="1"/>
      <c r="E377" s="1"/>
      <c r="F377" s="1"/>
      <c r="G377" s="1"/>
    </row>
    <row r="378" spans="3:7" ht="15.75" customHeight="1" x14ac:dyDescent="0.3">
      <c r="C378" s="1"/>
      <c r="D378" s="1"/>
      <c r="E378" s="1"/>
      <c r="F378" s="1"/>
      <c r="G378" s="1"/>
    </row>
    <row r="379" spans="3:7" ht="15.75" customHeight="1" x14ac:dyDescent="0.3">
      <c r="C379" s="1"/>
      <c r="D379" s="1"/>
      <c r="E379" s="1"/>
      <c r="F379" s="1"/>
      <c r="G379" s="1"/>
    </row>
    <row r="380" spans="3:7" ht="15.75" customHeight="1" x14ac:dyDescent="0.3">
      <c r="C380" s="1"/>
      <c r="D380" s="1"/>
      <c r="E380" s="1"/>
      <c r="F380" s="1"/>
      <c r="G380" s="1"/>
    </row>
    <row r="381" spans="3:7" ht="15.75" customHeight="1" x14ac:dyDescent="0.3">
      <c r="C381" s="1"/>
      <c r="D381" s="1"/>
      <c r="E381" s="1"/>
      <c r="F381" s="1"/>
      <c r="G381" s="1"/>
    </row>
    <row r="382" spans="3:7" ht="15.75" customHeight="1" x14ac:dyDescent="0.3">
      <c r="C382" s="1"/>
      <c r="D382" s="1"/>
      <c r="E382" s="1"/>
      <c r="F382" s="1"/>
      <c r="G382" s="1"/>
    </row>
    <row r="383" spans="3:7" ht="15.75" customHeight="1" x14ac:dyDescent="0.3">
      <c r="C383" s="1"/>
      <c r="D383" s="1"/>
      <c r="E383" s="1"/>
      <c r="F383" s="1"/>
      <c r="G383" s="1"/>
    </row>
    <row r="384" spans="3:7" ht="15.75" customHeight="1" x14ac:dyDescent="0.3">
      <c r="C384" s="1"/>
      <c r="D384" s="1"/>
      <c r="E384" s="1"/>
      <c r="F384" s="1"/>
      <c r="G384" s="1"/>
    </row>
    <row r="385" spans="3:7" ht="15.75" customHeight="1" x14ac:dyDescent="0.3">
      <c r="C385" s="1"/>
      <c r="D385" s="1"/>
      <c r="E385" s="1"/>
      <c r="F385" s="1"/>
      <c r="G385" s="1"/>
    </row>
    <row r="386" spans="3:7" ht="15.75" customHeight="1" x14ac:dyDescent="0.3">
      <c r="C386" s="1"/>
      <c r="D386" s="1"/>
      <c r="E386" s="1"/>
      <c r="F386" s="1"/>
      <c r="G386" s="1"/>
    </row>
    <row r="387" spans="3:7" ht="15.75" customHeight="1" x14ac:dyDescent="0.3">
      <c r="C387" s="1"/>
      <c r="D387" s="1"/>
      <c r="E387" s="1"/>
      <c r="F387" s="1"/>
      <c r="G387" s="1"/>
    </row>
    <row r="388" spans="3:7" ht="15.75" customHeight="1" x14ac:dyDescent="0.3">
      <c r="C388" s="1"/>
      <c r="D388" s="1"/>
      <c r="E388" s="1"/>
      <c r="F388" s="1"/>
      <c r="G388" s="1"/>
    </row>
    <row r="389" spans="3:7" ht="15.75" customHeight="1" x14ac:dyDescent="0.3">
      <c r="C389" s="1"/>
      <c r="D389" s="1"/>
      <c r="E389" s="1"/>
      <c r="F389" s="1"/>
      <c r="G389" s="1"/>
    </row>
    <row r="390" spans="3:7" ht="15.75" customHeight="1" x14ac:dyDescent="0.3">
      <c r="C390" s="1"/>
      <c r="D390" s="1"/>
      <c r="E390" s="1"/>
      <c r="F390" s="1"/>
      <c r="G390" s="1"/>
    </row>
    <row r="391" spans="3:7" ht="15.75" customHeight="1" x14ac:dyDescent="0.3">
      <c r="C391" s="1"/>
      <c r="D391" s="1"/>
      <c r="E391" s="1"/>
      <c r="F391" s="1"/>
      <c r="G391" s="1"/>
    </row>
    <row r="392" spans="3:7" ht="15.75" customHeight="1" x14ac:dyDescent="0.3">
      <c r="C392" s="1"/>
      <c r="D392" s="1"/>
      <c r="E392" s="1"/>
      <c r="F392" s="1"/>
      <c r="G392" s="1"/>
    </row>
    <row r="393" spans="3:7" ht="15.75" customHeight="1" x14ac:dyDescent="0.3">
      <c r="C393" s="1"/>
      <c r="D393" s="1"/>
      <c r="E393" s="1"/>
      <c r="F393" s="1"/>
      <c r="G393" s="1"/>
    </row>
    <row r="394" spans="3:7" ht="15.75" customHeight="1" x14ac:dyDescent="0.3">
      <c r="C394" s="1"/>
      <c r="D394" s="1"/>
      <c r="E394" s="1"/>
      <c r="F394" s="1"/>
      <c r="G394" s="1"/>
    </row>
    <row r="395" spans="3:7" ht="15.75" customHeight="1" x14ac:dyDescent="0.3">
      <c r="C395" s="1"/>
      <c r="D395" s="1"/>
      <c r="E395" s="1"/>
      <c r="F395" s="1"/>
      <c r="G395" s="1"/>
    </row>
    <row r="396" spans="3:7" ht="15.75" customHeight="1" x14ac:dyDescent="0.3">
      <c r="C396" s="1"/>
      <c r="D396" s="1"/>
      <c r="E396" s="1"/>
      <c r="F396" s="1"/>
      <c r="G396" s="1"/>
    </row>
    <row r="397" spans="3:7" ht="15.75" customHeight="1" x14ac:dyDescent="0.3">
      <c r="C397" s="1"/>
      <c r="D397" s="1"/>
      <c r="E397" s="1"/>
      <c r="F397" s="1"/>
      <c r="G397" s="1"/>
    </row>
    <row r="398" spans="3:7" ht="15.75" customHeight="1" x14ac:dyDescent="0.3">
      <c r="C398" s="1"/>
      <c r="D398" s="1"/>
      <c r="E398" s="1"/>
      <c r="F398" s="1"/>
      <c r="G398" s="1"/>
    </row>
    <row r="399" spans="3:7" ht="15.75" customHeight="1" x14ac:dyDescent="0.3">
      <c r="C399" s="1"/>
      <c r="D399" s="1"/>
      <c r="E399" s="1"/>
      <c r="F399" s="1"/>
      <c r="G399" s="1"/>
    </row>
    <row r="400" spans="3:7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34:F35" xr:uid="{CA842111-D83B-4711-A1AE-B632367BBC25}">
    <sortState xmlns:xlrd2="http://schemas.microsoft.com/office/spreadsheetml/2017/richdata2" ref="A34:F35">
      <sortCondition descending="1" sortBy="cellColor" ref="B34:B35" dxfId="114"/>
    </sortState>
  </autoFilter>
  <mergeCells count="7">
    <mergeCell ref="G10:G11"/>
    <mergeCell ref="A31:B31"/>
    <mergeCell ref="C34:E34"/>
    <mergeCell ref="A211:B211"/>
    <mergeCell ref="A10:A11"/>
    <mergeCell ref="B10:B11"/>
    <mergeCell ref="C10:F10"/>
  </mergeCells>
  <printOptions horizontalCentered="1"/>
  <pageMargins left="0.11811023622047245" right="0.11811023622047245" top="0.74803149606299213" bottom="0.74803149606299213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B31AE-E1BC-4BE1-9D2A-4208F24ADFC9}">
  <sheetPr codeName="Sheet2">
    <tabColor rgb="FF92D050"/>
    <pageSetUpPr fitToPage="1"/>
  </sheetPr>
  <dimension ref="A1:AA1000"/>
  <sheetViews>
    <sheetView topLeftCell="A14" zoomScale="85" zoomScaleNormal="85" workbookViewId="0">
      <selection activeCell="C13" sqref="C13"/>
    </sheetView>
  </sheetViews>
  <sheetFormatPr defaultColWidth="14.44140625" defaultRowHeight="15" customHeight="1" x14ac:dyDescent="0.3"/>
  <cols>
    <col min="1" max="1" width="8.77734375" style="7" customWidth="1"/>
    <col min="2" max="2" width="23.21875" style="7" customWidth="1"/>
    <col min="3" max="7" width="15.21875" style="7" customWidth="1"/>
    <col min="8" max="8" width="16.5546875" style="7" customWidth="1"/>
    <col min="9" max="9" width="3.21875" style="7" customWidth="1"/>
    <col min="10" max="10" width="5.21875" style="7" customWidth="1"/>
    <col min="11" max="11" width="17.21875" style="7" customWidth="1"/>
    <col min="12" max="16384" width="14.44140625" style="7"/>
  </cols>
  <sheetData>
    <row r="1" spans="1:12" ht="14.4" x14ac:dyDescent="0.3">
      <c r="C1" s="1"/>
      <c r="D1" s="1"/>
      <c r="E1" s="1"/>
      <c r="F1" s="1"/>
      <c r="G1" s="1"/>
    </row>
    <row r="2" spans="1:12" ht="14.4" x14ac:dyDescent="0.3">
      <c r="A2" s="2" t="s">
        <v>0</v>
      </c>
      <c r="C2" s="1"/>
      <c r="D2" s="1"/>
      <c r="E2" s="1"/>
      <c r="F2" s="1"/>
      <c r="G2" s="1"/>
    </row>
    <row r="3" spans="1:12" ht="14.4" x14ac:dyDescent="0.3">
      <c r="A3" s="3" t="s">
        <v>1</v>
      </c>
      <c r="B3" s="4" t="s">
        <v>0</v>
      </c>
      <c r="C3" s="4" t="s">
        <v>2</v>
      </c>
      <c r="D3" s="1"/>
      <c r="E3" s="1"/>
      <c r="F3" s="1"/>
      <c r="G3" s="1"/>
    </row>
    <row r="4" spans="1:12" ht="14.4" x14ac:dyDescent="0.3">
      <c r="A4" s="3">
        <v>1</v>
      </c>
      <c r="B4" s="4" t="s">
        <v>3</v>
      </c>
      <c r="C4" s="269">
        <f>COUNTIF(Database!AB4:AB439,"Laki-laki")</f>
        <v>401</v>
      </c>
      <c r="D4" s="81">
        <f>C4/C6*100%</f>
        <v>0.92183908045977014</v>
      </c>
      <c r="E4" s="1"/>
      <c r="F4" s="1"/>
      <c r="G4" s="1"/>
    </row>
    <row r="5" spans="1:12" ht="14.4" x14ac:dyDescent="0.3">
      <c r="A5" s="3">
        <v>2</v>
      </c>
      <c r="B5" s="4" t="s">
        <v>4</v>
      </c>
      <c r="C5" s="4">
        <f>COUNTIF(Database!AB5:AB439,"Perempuan")</f>
        <v>34</v>
      </c>
      <c r="D5" s="81">
        <f>C5/C6*100%</f>
        <v>7.8160919540229884E-2</v>
      </c>
      <c r="E5" s="1"/>
      <c r="F5" s="1"/>
      <c r="G5" s="1"/>
    </row>
    <row r="6" spans="1:12" ht="14.4" x14ac:dyDescent="0.3">
      <c r="A6" s="341" t="s">
        <v>5</v>
      </c>
      <c r="B6" s="337"/>
      <c r="C6" s="4">
        <f>SUM(C4:C5)</f>
        <v>435</v>
      </c>
      <c r="D6" s="1"/>
      <c r="E6" s="1"/>
      <c r="F6" s="1"/>
      <c r="G6" s="1"/>
    </row>
    <row r="7" spans="1:12" ht="14.4" x14ac:dyDescent="0.3">
      <c r="C7" s="1"/>
      <c r="D7" s="1"/>
      <c r="E7" s="1"/>
      <c r="F7" s="1"/>
      <c r="G7" s="1"/>
    </row>
    <row r="8" spans="1:12" ht="14.4" x14ac:dyDescent="0.3">
      <c r="C8" s="1"/>
      <c r="D8" s="1"/>
      <c r="E8" s="1"/>
      <c r="F8" s="1"/>
      <c r="G8" s="1"/>
    </row>
    <row r="9" spans="1:12" ht="14.4" x14ac:dyDescent="0.3">
      <c r="A9" s="2" t="s">
        <v>198</v>
      </c>
      <c r="C9" s="1"/>
      <c r="D9" s="1"/>
      <c r="E9" s="1"/>
      <c r="F9" s="1"/>
      <c r="G9" s="1"/>
    </row>
    <row r="10" spans="1:12" ht="14.4" x14ac:dyDescent="0.3">
      <c r="A10" s="3" t="s">
        <v>1</v>
      </c>
      <c r="B10" s="4" t="s">
        <v>0</v>
      </c>
      <c r="C10" s="4" t="s">
        <v>2</v>
      </c>
      <c r="D10" s="1"/>
      <c r="E10" s="318" t="s">
        <v>7137</v>
      </c>
      <c r="F10" s="1"/>
      <c r="G10" s="1"/>
    </row>
    <row r="11" spans="1:12" ht="14.4" x14ac:dyDescent="0.3">
      <c r="A11" s="3">
        <v>1</v>
      </c>
      <c r="B11" s="4" t="s">
        <v>199</v>
      </c>
      <c r="C11" s="4">
        <f>COUNTIFS(Database!AN5:AN382,"BELUM MENIKAH")</f>
        <v>186</v>
      </c>
      <c r="D11" s="81">
        <f>C11/$C$14*100%</f>
        <v>0.49206349206349204</v>
      </c>
      <c r="E11" s="318">
        <f>COUNTIF(Database!$AN$5:$AN$439,"BELUM MENIKAH")</f>
        <v>230</v>
      </c>
      <c r="F11" s="1"/>
      <c r="G11" s="1"/>
      <c r="H11" s="7" t="s">
        <v>199</v>
      </c>
      <c r="I11" s="7" t="s">
        <v>200</v>
      </c>
      <c r="J11" s="7">
        <v>196</v>
      </c>
      <c r="K11" s="7" t="s">
        <v>201</v>
      </c>
      <c r="L11" s="82">
        <v>0.4962025316455696</v>
      </c>
    </row>
    <row r="12" spans="1:12" ht="14.4" x14ac:dyDescent="0.3">
      <c r="A12" s="3">
        <v>2</v>
      </c>
      <c r="B12" s="4" t="s">
        <v>202</v>
      </c>
      <c r="C12" s="4">
        <f>COUNTIFS(Database!AN5:AN382,"MENIKAH")</f>
        <v>188</v>
      </c>
      <c r="D12" s="81">
        <f>C12/$C$14*100%</f>
        <v>0.49735449735449733</v>
      </c>
      <c r="E12" s="318">
        <f>COUNTIF(Database!$AN$5:$AN$439,"MENIKAH")</f>
        <v>200</v>
      </c>
      <c r="F12" s="1"/>
      <c r="G12" s="1"/>
      <c r="H12" s="7" t="s">
        <v>202</v>
      </c>
      <c r="I12" s="7" t="s">
        <v>200</v>
      </c>
      <c r="J12" s="7">
        <v>194</v>
      </c>
      <c r="K12" s="7" t="s">
        <v>201</v>
      </c>
      <c r="L12" s="82">
        <v>0.49113924050632912</v>
      </c>
    </row>
    <row r="13" spans="1:12" ht="14.4" x14ac:dyDescent="0.3">
      <c r="A13" s="83">
        <v>3</v>
      </c>
      <c r="B13" s="84" t="s">
        <v>203</v>
      </c>
      <c r="C13" s="4">
        <f>COUNTIFS(Database!AN5:AN382,"CERAI")</f>
        <v>4</v>
      </c>
      <c r="D13" s="81">
        <f>C13/$C$14*100%</f>
        <v>1.0582010582010581E-2</v>
      </c>
      <c r="E13" s="318">
        <f>COUNTIF(Database!AN7:AN440,"CERAI")</f>
        <v>5</v>
      </c>
      <c r="F13" s="1"/>
      <c r="G13" s="1"/>
      <c r="H13" s="7" t="s">
        <v>203</v>
      </c>
      <c r="I13" s="7" t="s">
        <v>200</v>
      </c>
      <c r="J13" s="7">
        <v>5</v>
      </c>
      <c r="K13" s="7" t="s">
        <v>201</v>
      </c>
      <c r="L13" s="82">
        <v>1.2658227848101266E-2</v>
      </c>
    </row>
    <row r="14" spans="1:12" ht="14.4" x14ac:dyDescent="0.3">
      <c r="A14" s="341" t="s">
        <v>5</v>
      </c>
      <c r="B14" s="337"/>
      <c r="C14" s="4">
        <f>SUM(C11:C13)</f>
        <v>378</v>
      </c>
      <c r="D14" s="1"/>
      <c r="E14" s="318">
        <f>E11+E12+E13</f>
        <v>435</v>
      </c>
      <c r="F14" s="1"/>
      <c r="G14" s="1"/>
      <c r="L14" s="82"/>
    </row>
    <row r="15" spans="1:12" ht="14.4" x14ac:dyDescent="0.3">
      <c r="A15" s="85"/>
      <c r="C15" s="85"/>
      <c r="D15" s="1"/>
      <c r="E15" s="1"/>
      <c r="F15" s="1"/>
      <c r="G15" s="1"/>
    </row>
    <row r="16" spans="1:12" ht="14.4" x14ac:dyDescent="0.3">
      <c r="A16" s="6" t="s">
        <v>6</v>
      </c>
      <c r="C16" s="1"/>
      <c r="D16" s="1"/>
      <c r="E16" s="1"/>
      <c r="F16" s="1"/>
      <c r="G16" s="1"/>
    </row>
    <row r="17" spans="1:9" ht="14.4" x14ac:dyDescent="0.3">
      <c r="A17" s="334" t="s">
        <v>7</v>
      </c>
      <c r="B17" s="334" t="s">
        <v>8</v>
      </c>
      <c r="C17" s="340" t="s">
        <v>9</v>
      </c>
      <c r="D17" s="339"/>
      <c r="E17" s="339"/>
      <c r="F17" s="337"/>
      <c r="G17" s="334" t="s">
        <v>10</v>
      </c>
      <c r="H17" s="6"/>
    </row>
    <row r="18" spans="1:9" ht="14.4" x14ac:dyDescent="0.3">
      <c r="A18" s="335"/>
      <c r="B18" s="335"/>
      <c r="C18" s="9" t="s">
        <v>11</v>
      </c>
      <c r="D18" s="9" t="s">
        <v>12</v>
      </c>
      <c r="E18" s="9" t="s">
        <v>13</v>
      </c>
      <c r="F18" s="9" t="s">
        <v>14</v>
      </c>
      <c r="G18" s="335"/>
      <c r="H18" s="6"/>
    </row>
    <row r="19" spans="1:9" ht="14.4" x14ac:dyDescent="0.3">
      <c r="A19" s="10">
        <v>1</v>
      </c>
      <c r="B19" s="11" t="s">
        <v>15</v>
      </c>
      <c r="C19" s="266">
        <f>COUNTIFS(Database!$N$5:$N$439,"Direksi",Database!$V$5:$V$439,"IMSS")</f>
        <v>0</v>
      </c>
      <c r="D19" s="266">
        <f>COUNTIFS(Database!$N$5:$N$439,"ORGANIK",Database!$V$5:$V$439,"IMSS")</f>
        <v>0</v>
      </c>
      <c r="E19" s="266">
        <f>COUNTIFS(Database!$N$5:$N$439,"TETAP",Database!$V$5:$V$439,"IMSS")</f>
        <v>0</v>
      </c>
      <c r="F19" s="266">
        <f>COUNTIFS(Database!$N$5:$N$439,"PKWT",Database!$V$5:$V$439,"IMSS")</f>
        <v>0</v>
      </c>
      <c r="G19" s="12">
        <f t="shared" ref="G19:G36" si="0">SUM(C19:F19)</f>
        <v>0</v>
      </c>
      <c r="H19" s="94"/>
      <c r="I19" s="94"/>
    </row>
    <row r="20" spans="1:9" ht="14.4" x14ac:dyDescent="0.3">
      <c r="A20" s="14">
        <v>2</v>
      </c>
      <c r="B20" s="15" t="s">
        <v>16</v>
      </c>
      <c r="C20" s="268">
        <f>COUNTIFS(Database!$N$5:$N$439,"Direksi",Database!$V$5:$V$439,"GUDANG")</f>
        <v>0</v>
      </c>
      <c r="D20" s="268">
        <f>COUNTIFS(Database!$N$5:$N$439,"ORGANIK",Database!$V$5:$V$439,"GUDANG")</f>
        <v>0</v>
      </c>
      <c r="E20" s="268">
        <f>COUNTIFS(Database!$N$5:$N$439,"TETAP",Database!$V$5:$V$439,"GUDANG")</f>
        <v>0</v>
      </c>
      <c r="F20" s="268">
        <f>COUNTIFS(Database!$N$5:$N$439,"PKWT",Database!$V$5:$V$439,"GUDANG")</f>
        <v>0</v>
      </c>
      <c r="G20" s="16">
        <f t="shared" si="0"/>
        <v>0</v>
      </c>
      <c r="H20" s="94"/>
      <c r="I20" s="94"/>
    </row>
    <row r="21" spans="1:9" ht="15.75" customHeight="1" x14ac:dyDescent="0.3">
      <c r="A21" s="14">
        <v>3</v>
      </c>
      <c r="B21" s="15" t="s">
        <v>204</v>
      </c>
      <c r="C21" s="268">
        <f>COUNTIFS(Database!$N$5:$N$439,"Direksi",Database!$V$5:$V$439,"INKA")</f>
        <v>0</v>
      </c>
      <c r="D21" s="268">
        <f>COUNTIFS(Database!$N$5:$N$439,"ORGANIK",Database!$V$5:$V$439,"INKA")</f>
        <v>0</v>
      </c>
      <c r="E21" s="268">
        <f>COUNTIFS(Database!$N$5:$N$439,"TETAP",Database!$V$5:$V$439,"INKA")</f>
        <v>0</v>
      </c>
      <c r="F21" s="268">
        <f>COUNTIFS(Database!$N$5:$N$439,"PKWT",Database!$V$5:$V$439,"INKA")</f>
        <v>0</v>
      </c>
      <c r="G21" s="16">
        <f t="shared" si="0"/>
        <v>0</v>
      </c>
      <c r="H21" s="94"/>
      <c r="I21" s="94"/>
    </row>
    <row r="22" spans="1:9" ht="15.75" customHeight="1" x14ac:dyDescent="0.3">
      <c r="A22" s="14">
        <v>5</v>
      </c>
      <c r="B22" s="15" t="s">
        <v>19</v>
      </c>
      <c r="C22" s="268">
        <f>COUNTIFS(Database!$N$5:$N$439,"Direksi",Database!$V$5:$V$439,"PMU")</f>
        <v>0</v>
      </c>
      <c r="D22" s="268">
        <f>COUNTIFS(Database!$N$5:$N$439,"ORGANIK",Database!$V$5:$V$439,"PMU")</f>
        <v>0</v>
      </c>
      <c r="E22" s="268">
        <f>COUNTIFS(Database!$N$5:$N$439,"TETAP",Database!$V$5:$V$439,"PMU")</f>
        <v>0</v>
      </c>
      <c r="F22" s="268">
        <f>COUNTIFS(Database!$N$5:$N$439,"PKWT",Database!$V$5:$V$439,"PMU")</f>
        <v>0</v>
      </c>
      <c r="G22" s="16">
        <f t="shared" si="0"/>
        <v>0</v>
      </c>
      <c r="H22" s="94"/>
      <c r="I22" s="94"/>
    </row>
    <row r="23" spans="1:9" ht="15.75" customHeight="1" x14ac:dyDescent="0.3">
      <c r="A23" s="14">
        <v>6</v>
      </c>
      <c r="B23" s="17" t="s">
        <v>20</v>
      </c>
      <c r="C23" s="268">
        <f>COUNTIFS(Database!$N$5:$N$439,"Direksi",Database!$V$5:$V$439,"BANDUNG")</f>
        <v>0</v>
      </c>
      <c r="D23" s="268">
        <f>COUNTIFS(Database!$N$5:$N$439,"ORGANIK",Database!$V$5:$V$439,"BANDUNG")</f>
        <v>0</v>
      </c>
      <c r="E23" s="268">
        <f>COUNTIFS(Database!$N$5:$N$439,"TETAP",Database!$V$5:$V$439,"BANDUNG")</f>
        <v>0</v>
      </c>
      <c r="F23" s="268">
        <f>COUNTIFS(Database!$N$5:$N$439,"PKWT",Database!$V$5:$V$439,"BANDUNG")</f>
        <v>0</v>
      </c>
      <c r="G23" s="16">
        <f t="shared" si="0"/>
        <v>0</v>
      </c>
      <c r="H23" s="94"/>
      <c r="I23" s="94"/>
    </row>
    <row r="24" spans="1:9" ht="15.75" customHeight="1" x14ac:dyDescent="0.3">
      <c r="A24" s="14">
        <v>7</v>
      </c>
      <c r="B24" s="17" t="s">
        <v>21</v>
      </c>
      <c r="C24" s="268">
        <f>COUNTIFS(Database!$N$5:$N$439,"Direksi",Database!$V$5:$V$439,"ACEH")</f>
        <v>0</v>
      </c>
      <c r="D24" s="268">
        <f>COUNTIFS(Database!$N$5:$N$439,"ORGANIK",Database!$V$5:$V$439,"ACEH")</f>
        <v>0</v>
      </c>
      <c r="E24" s="268">
        <f>COUNTIFS(Database!$N$5:$N$439,"TETAP",Database!$V$5:$V$439,"ACEH")</f>
        <v>0</v>
      </c>
      <c r="F24" s="268">
        <f>COUNTIFS(Database!$N$5:$N$439,"PKWT",Database!$V$5:$V$439,"ACEH")</f>
        <v>0</v>
      </c>
      <c r="G24" s="16">
        <f t="shared" si="0"/>
        <v>0</v>
      </c>
      <c r="H24" s="94"/>
      <c r="I24" s="94"/>
    </row>
    <row r="25" spans="1:9" ht="15.75" customHeight="1" x14ac:dyDescent="0.3">
      <c r="A25" s="14">
        <v>8</v>
      </c>
      <c r="B25" s="17" t="s">
        <v>22</v>
      </c>
      <c r="C25" s="268">
        <f>COUNTIFS(Database!$N$5:$N$439,"Direksi",Database!$V$5:$V$439,"MAKASSAR")</f>
        <v>0</v>
      </c>
      <c r="D25" s="268">
        <f>COUNTIFS(Database!$N$5:$N$439,"ORGANIK",Database!$V$5:$V$439,"MAKASSAR")</f>
        <v>0</v>
      </c>
      <c r="E25" s="268">
        <f>COUNTIFS(Database!$N$5:$N$439,"TETAP",Database!$V$5:$V$439,"MAKASSAR")</f>
        <v>0</v>
      </c>
      <c r="F25" s="268">
        <f>COUNTIFS(Database!$N$5:$N$439,"PKWT",Database!$V$5:$V$439,"MAKASSAR")</f>
        <v>0</v>
      </c>
      <c r="G25" s="16">
        <f t="shared" si="0"/>
        <v>0</v>
      </c>
      <c r="H25" s="94"/>
      <c r="I25" s="94"/>
    </row>
    <row r="26" spans="1:9" ht="15.75" customHeight="1" x14ac:dyDescent="0.3">
      <c r="A26" s="14">
        <v>9</v>
      </c>
      <c r="B26" s="17" t="s">
        <v>23</v>
      </c>
      <c r="C26" s="268">
        <f>COUNTIFS(Database!$N$5:$N$439,"Direksi",Database!$V$5:$V$439,"KLATEN")</f>
        <v>0</v>
      </c>
      <c r="D26" s="268">
        <f>COUNTIFS(Database!$N$5:$N$439,"ORGANIK",Database!$V$5:$V$439,"KLATEN")</f>
        <v>0</v>
      </c>
      <c r="E26" s="268">
        <f>COUNTIFS(Database!$N$5:$N$439,"TETAP",Database!$V$5:$V$439,"KLATEN")</f>
        <v>0</v>
      </c>
      <c r="F26" s="268">
        <f>COUNTIFS(Database!$N$5:$N$439,"PKWT",Database!$V$5:$V$439,"KLATEN")</f>
        <v>0</v>
      </c>
      <c r="G26" s="16">
        <f t="shared" si="0"/>
        <v>0</v>
      </c>
      <c r="H26" s="94"/>
      <c r="I26" s="94"/>
    </row>
    <row r="27" spans="1:9" ht="15.75" customHeight="1" x14ac:dyDescent="0.3">
      <c r="A27" s="14">
        <v>10</v>
      </c>
      <c r="B27" s="17" t="s">
        <v>24</v>
      </c>
      <c r="C27" s="268">
        <f>COUNTIFS(Database!$N$5:$N$439,"Direksi",Database!$V$5:$V$439,"JAKARTA")</f>
        <v>0</v>
      </c>
      <c r="D27" s="268">
        <f>COUNTIFS(Database!$N$5:$N$439,"ORGANIK",Database!$V$5:$V$439,"JAKARTA")</f>
        <v>0</v>
      </c>
      <c r="E27" s="268">
        <f>COUNTIFS(Database!$N$5:$N$439,"TETAP",Database!$V$5:$V$439,"JAKARTA")</f>
        <v>0</v>
      </c>
      <c r="F27" s="268">
        <f>COUNTIFS(Database!$N$5:$N$439,"PKWT",Database!$V$5:$V$439,"JAKARTA")</f>
        <v>0</v>
      </c>
      <c r="G27" s="16">
        <f t="shared" si="0"/>
        <v>0</v>
      </c>
      <c r="H27" s="94"/>
      <c r="I27" s="94"/>
    </row>
    <row r="28" spans="1:9" ht="15.75" customHeight="1" x14ac:dyDescent="0.3">
      <c r="A28" s="14">
        <v>11</v>
      </c>
      <c r="B28" s="17" t="s">
        <v>25</v>
      </c>
      <c r="C28" s="268">
        <f>COUNTIFS(Database!$N$5:$N$439,"Direksi",Database!$V$5:$V$439,"PALEMBANG")</f>
        <v>0</v>
      </c>
      <c r="D28" s="268">
        <f>COUNTIFS(Database!$N$5:$N$439,"ORGANIK",Database!$V$5:$V$439,"PALEMBANG")</f>
        <v>0</v>
      </c>
      <c r="E28" s="268">
        <f>COUNTIFS(Database!$N$5:$N$439,"TETAP",Database!$V$5:$V$439,"PALEMBANG")</f>
        <v>0</v>
      </c>
      <c r="F28" s="268">
        <f>COUNTIFS(Database!$N$5:$N$439,"PKWT",Database!$V$5:$V$439,"PALEMBANG")</f>
        <v>0</v>
      </c>
      <c r="G28" s="16">
        <f t="shared" si="0"/>
        <v>0</v>
      </c>
      <c r="H28" s="94"/>
      <c r="I28" s="94"/>
    </row>
    <row r="29" spans="1:9" ht="15.75" customHeight="1" x14ac:dyDescent="0.3">
      <c r="A29" s="14">
        <v>12</v>
      </c>
      <c r="B29" s="17" t="s">
        <v>26</v>
      </c>
      <c r="C29" s="268">
        <f>COUNTIFS(Database!$N$5:$N$439,"Direksi",Database!$V$5:$V$439,"PADANG")</f>
        <v>0</v>
      </c>
      <c r="D29" s="268">
        <f>COUNTIFS(Database!$N$5:$N$439,"ORGANIK",Database!$V$5:$V$439,"PADANG")</f>
        <v>0</v>
      </c>
      <c r="E29" s="268">
        <f>COUNTIFS(Database!$N$5:$N$439,"TETAP",Database!$V$5:$V$439,"PADANG")</f>
        <v>0</v>
      </c>
      <c r="F29" s="268">
        <f>COUNTIFS(Database!$N$5:$N$439,"PKWT",Database!$V$5:$V$439,"PADANG")</f>
        <v>0</v>
      </c>
      <c r="G29" s="16">
        <f t="shared" si="0"/>
        <v>0</v>
      </c>
      <c r="H29" s="94"/>
      <c r="I29" s="94"/>
    </row>
    <row r="30" spans="1:9" ht="15.75" customHeight="1" x14ac:dyDescent="0.3">
      <c r="A30" s="14">
        <v>13</v>
      </c>
      <c r="B30" s="17" t="s">
        <v>27</v>
      </c>
      <c r="C30" s="268">
        <f>COUNTIFS(Database!$N$5:$N$439,"Direksi",Database!$V$5:$V$439,"SOLO")</f>
        <v>0</v>
      </c>
      <c r="D30" s="268">
        <f>COUNTIFS(Database!$N$5:$N$439,"ORGANIK",Database!$V$5:$V$439,"SOLO")</f>
        <v>0</v>
      </c>
      <c r="E30" s="268">
        <f>COUNTIFS(Database!$N$5:$N$439,"TETAP",Database!$V$5:$V$439,"SOLO")</f>
        <v>0</v>
      </c>
      <c r="F30" s="268">
        <f>COUNTIFS(Database!$N$5:$N$439,"PKWT",Database!$V$5:$V$439,"SOLO")</f>
        <v>0</v>
      </c>
      <c r="G30" s="16">
        <f t="shared" si="0"/>
        <v>0</v>
      </c>
      <c r="H30" s="94"/>
      <c r="I30" s="94"/>
    </row>
    <row r="31" spans="1:9" ht="15.75" customHeight="1" x14ac:dyDescent="0.3">
      <c r="A31" s="14">
        <v>14</v>
      </c>
      <c r="B31" s="17" t="s">
        <v>28</v>
      </c>
      <c r="C31" s="268">
        <f>COUNTIFS(Database!$N$5:$N$439,"Direksi",Database!$V$5:$V$439,"PURWODADI")</f>
        <v>0</v>
      </c>
      <c r="D31" s="268">
        <f>COUNTIFS(Database!$N$5:$N$439,"ORGANIK",Database!$V$5:$V$439,"PURWODADI")</f>
        <v>0</v>
      </c>
      <c r="E31" s="268">
        <f>COUNTIFS(Database!$N$5:$N$439,"TETAP",Database!$V$5:$V$439,"PURWODADI")</f>
        <v>0</v>
      </c>
      <c r="F31" s="268">
        <f>COUNTIFS(Database!$N$5:$N$439,"PKWT",Database!$V$5:$V$439,"PURWODADI")</f>
        <v>0</v>
      </c>
      <c r="G31" s="16">
        <f t="shared" si="0"/>
        <v>0</v>
      </c>
      <c r="H31" s="94"/>
      <c r="I31" s="94"/>
    </row>
    <row r="32" spans="1:9" ht="15.75" customHeight="1" x14ac:dyDescent="0.3">
      <c r="A32" s="14">
        <v>15</v>
      </c>
      <c r="B32" s="17" t="s">
        <v>29</v>
      </c>
      <c r="C32" s="268">
        <f>COUNTIFS(Database!$N$5:$N$439,"Direksi",Database!$V$5:$V$439,"LAMPUNG")</f>
        <v>0</v>
      </c>
      <c r="D32" s="268">
        <f>COUNTIFS(Database!$N$5:$N$439,"ORGANIK",Database!$V$5:$V$439,"LAMPUNG")</f>
        <v>0</v>
      </c>
      <c r="E32" s="268">
        <f>COUNTIFS(Database!$N$5:$N$439,"TETAP",Database!$V$5:$V$439,"LAMPUNG")</f>
        <v>0</v>
      </c>
      <c r="F32" s="268">
        <f>COUNTIFS(Database!$N$5:$N$439,"PKWT",Database!$V$5:$V$439,"LAMPUNG")</f>
        <v>0</v>
      </c>
      <c r="G32" s="16">
        <f t="shared" si="0"/>
        <v>0</v>
      </c>
      <c r="H32" s="94"/>
      <c r="I32" s="94"/>
    </row>
    <row r="33" spans="1:27" ht="15.75" customHeight="1" x14ac:dyDescent="0.3">
      <c r="A33" s="14">
        <v>16</v>
      </c>
      <c r="B33" s="18" t="s">
        <v>30</v>
      </c>
      <c r="C33" s="267">
        <f>COUNTIFS(Database!$N$5:$N$439,"Direksi",Database!$V$5:$V$439,"MEDAN")</f>
        <v>0</v>
      </c>
      <c r="D33" s="267">
        <f>COUNTIFS(Database!$N$5:$N$439,"ORGANIK",Database!$V$5:$V$439,"MEDAN")</f>
        <v>0</v>
      </c>
      <c r="E33" s="267">
        <f>COUNTIFS(Database!$N$5:$N$439,"TETAP",Database!$V$5:$V$439,"MEDAN")</f>
        <v>0</v>
      </c>
      <c r="F33" s="267">
        <f>COUNTIFS(Database!$N$5:$N$439,"PKWT",Database!$V$5:$V$439,"MEDAN")</f>
        <v>0</v>
      </c>
      <c r="G33" s="19">
        <f t="shared" si="0"/>
        <v>0</v>
      </c>
      <c r="H33" s="94"/>
      <c r="I33" s="94"/>
    </row>
    <row r="34" spans="1:27" ht="15.75" customHeight="1" x14ac:dyDescent="0.3">
      <c r="A34" s="14">
        <v>17</v>
      </c>
      <c r="B34" s="20" t="s">
        <v>31</v>
      </c>
      <c r="C34" s="267">
        <f>COUNTIFS(Database!$N$5:$N$439,"Direksi",Database!$V$5:$V$439,"SURABAYA")</f>
        <v>0</v>
      </c>
      <c r="D34" s="267">
        <f>COUNTIFS(Database!$N$5:$N$439,"ORGANIK",Database!$V$5:$V$439,"SURABAYA")</f>
        <v>0</v>
      </c>
      <c r="E34" s="267">
        <f>COUNTIFS(Database!$N$5:$N$439,"TETAP",Database!$V$5:$V$439,"SURABAYA")</f>
        <v>0</v>
      </c>
      <c r="F34" s="267">
        <f>COUNTIFS(Database!$N$5:$N$439,"PKWT",Database!$V$5:$V$439,"SURABAYA")</f>
        <v>0</v>
      </c>
      <c r="G34" s="19">
        <f t="shared" si="0"/>
        <v>0</v>
      </c>
      <c r="H34" s="94"/>
      <c r="I34" s="94"/>
    </row>
    <row r="35" spans="1:27" ht="15.75" customHeight="1" x14ac:dyDescent="0.3">
      <c r="A35" s="14">
        <v>18</v>
      </c>
      <c r="B35" s="20" t="s">
        <v>32</v>
      </c>
      <c r="C35" s="267">
        <f>COUNTIFS(Database!$N$5:$N$439,"Direksi",Database!$V$5:$V$439,"BANYUWANGI")</f>
        <v>0</v>
      </c>
      <c r="D35" s="267">
        <f>COUNTIFS(Database!$N$5:$N$439,"ORGANIK",Database!$V$5:$V$439,"BANYUWANGI")</f>
        <v>0</v>
      </c>
      <c r="E35" s="267">
        <f>COUNTIFS(Database!$N$5:$N$439,"TETAP",Database!$V$5:$V$439,"BANYUWANGI")</f>
        <v>0</v>
      </c>
      <c r="F35" s="267">
        <f>COUNTIFS(Database!$N$5:$N$439,"PKWT",Database!$V$5:$V$439,"BANYUWANGI")</f>
        <v>0</v>
      </c>
      <c r="G35" s="19">
        <f t="shared" si="0"/>
        <v>0</v>
      </c>
      <c r="H35" s="94"/>
      <c r="I35" s="94"/>
    </row>
    <row r="36" spans="1:27" ht="15.75" customHeight="1" x14ac:dyDescent="0.3">
      <c r="A36" s="14">
        <v>19</v>
      </c>
      <c r="B36" s="20" t="s">
        <v>33</v>
      </c>
      <c r="C36" s="267">
        <f>COUNTIFS(Database!$N$5:$N$439,"Direksi",Database!$V$5:$V$439,"yogyakarta")</f>
        <v>0</v>
      </c>
      <c r="D36" s="267">
        <f>COUNTIFS(Database!$N$5:$N$439,"ORGANIK",Database!$V$5:$V$439,"yogyakarta")</f>
        <v>0</v>
      </c>
      <c r="E36" s="267">
        <f>COUNTIFS(Database!$N$5:$N$439,"TETAP",Database!$V$5:$V$439,"yogyakarta")</f>
        <v>0</v>
      </c>
      <c r="F36" s="267">
        <f>COUNTIFS(Database!$N$5:$N$439,"PKWT",Database!$V$5:$V$439,"yogyakarta")</f>
        <v>0</v>
      </c>
      <c r="G36" s="19">
        <f t="shared" si="0"/>
        <v>0</v>
      </c>
      <c r="H36" s="94"/>
    </row>
    <row r="37" spans="1:27" ht="15.75" customHeight="1" x14ac:dyDescent="0.3">
      <c r="A37" s="336" t="s">
        <v>5</v>
      </c>
      <c r="B37" s="337"/>
      <c r="C37" s="21">
        <f>SUM(C19:C36)</f>
        <v>0</v>
      </c>
      <c r="D37" s="21">
        <f>SUM(D19:D36)</f>
        <v>0</v>
      </c>
      <c r="E37" s="21">
        <f>SUM(E19:E36)</f>
        <v>0</v>
      </c>
      <c r="F37" s="21">
        <f>SUM(F19:F36)</f>
        <v>0</v>
      </c>
      <c r="G37" s="21">
        <f>SUM(G19:G36)</f>
        <v>0</v>
      </c>
    </row>
    <row r="38" spans="1:27" ht="15.75" customHeight="1" x14ac:dyDescent="0.3">
      <c r="C38" s="1"/>
      <c r="D38" s="1"/>
      <c r="E38" s="1"/>
      <c r="F38" s="1"/>
      <c r="G38" s="1"/>
    </row>
    <row r="39" spans="1:27" ht="15.75" customHeight="1" x14ac:dyDescent="0.3">
      <c r="C39" s="1"/>
      <c r="D39" s="1"/>
      <c r="E39" s="1"/>
      <c r="F39" s="1"/>
      <c r="G39" s="1"/>
    </row>
    <row r="40" spans="1:27" ht="15.75" customHeight="1" x14ac:dyDescent="0.3">
      <c r="A40" s="8" t="s">
        <v>7</v>
      </c>
      <c r="B40" s="8" t="s">
        <v>34</v>
      </c>
      <c r="C40" s="338" t="s">
        <v>9</v>
      </c>
      <c r="D40" s="339"/>
      <c r="E40" s="337"/>
      <c r="F40" s="8" t="s">
        <v>10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spans="1:27" ht="15.75" customHeight="1" x14ac:dyDescent="0.3">
      <c r="A41" s="24"/>
      <c r="B41" s="24"/>
      <c r="C41" s="25" t="s">
        <v>12</v>
      </c>
      <c r="D41" s="25" t="s">
        <v>13</v>
      </c>
      <c r="E41" s="25" t="s">
        <v>14</v>
      </c>
      <c r="F41" s="24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spans="1:27" ht="15.75" customHeight="1" x14ac:dyDescent="0.3">
      <c r="A42" s="10">
        <v>1</v>
      </c>
      <c r="B42" s="94" t="s">
        <v>35</v>
      </c>
      <c r="C42" s="266">
        <f>COUNTIFS(Database!$N$5:$N$439,"ORGANIK",Database!$X$5:$X$439,"5R")</f>
        <v>0</v>
      </c>
      <c r="D42" s="266">
        <f>COUNTIFS(Database!$N$5:$N$439,"TETAP",Database!$X$5:$X$439,"5R")</f>
        <v>0</v>
      </c>
      <c r="E42" s="266">
        <f>COUNTIFS(Database!$N$5:$N$439,"PKWT",Database!$X$5:$X$439,"5R")</f>
        <v>0</v>
      </c>
      <c r="F42" s="12">
        <f t="shared" ref="F42:F96" si="1">SUM(C42:E42)</f>
        <v>0</v>
      </c>
      <c r="G42" s="26"/>
      <c r="I42" s="26"/>
    </row>
    <row r="43" spans="1:27" ht="15.75" customHeight="1" x14ac:dyDescent="0.3">
      <c r="A43" s="14">
        <v>2</v>
      </c>
      <c r="B43" s="94" t="s">
        <v>36</v>
      </c>
      <c r="C43" s="266">
        <f>COUNTIFS(Database!$N$5:$N$439,"ORGANIK",Database!$X$5:$X$439,"AC")</f>
        <v>0</v>
      </c>
      <c r="D43" s="266">
        <f>COUNTIFS(Database!$N$5:$N$439,"TETAP",Database!$X$5:$X$439,"AC")</f>
        <v>0</v>
      </c>
      <c r="E43" s="266">
        <f>COUNTIFS(Database!$N$5:$N$439,"PKWT",Database!$X$5:$X$439,"AC")</f>
        <v>0</v>
      </c>
      <c r="F43" s="16">
        <f t="shared" si="1"/>
        <v>0</v>
      </c>
      <c r="H43" s="94"/>
    </row>
    <row r="44" spans="1:27" ht="15.75" customHeight="1" x14ac:dyDescent="0.3">
      <c r="A44" s="10">
        <v>3</v>
      </c>
      <c r="B44" s="94" t="s">
        <v>37</v>
      </c>
      <c r="C44" s="266">
        <f>COUNTIFS(Database!$N$5:$N$439,"ORGANIK",Database!$X$5:$X$439,"Aftersales 612 Jogja")</f>
        <v>0</v>
      </c>
      <c r="D44" s="266">
        <f>COUNTIFS(Database!$N$5:$N$439,"TETAP",Database!$X$5:$X$439,"Aftersales 612 Jogja")</f>
        <v>0</v>
      </c>
      <c r="E44" s="266">
        <f>COUNTIFS(Database!$N$5:$N$439,"PKWT",Database!$X$5:$X$439,"Aftersales 612 Jogja")</f>
        <v>0</v>
      </c>
      <c r="F44" s="16">
        <f t="shared" si="1"/>
        <v>0</v>
      </c>
      <c r="H44" s="94"/>
    </row>
    <row r="45" spans="1:27" ht="15.75" customHeight="1" x14ac:dyDescent="0.3">
      <c r="A45" s="14">
        <v>4</v>
      </c>
      <c r="B45" s="94" t="s">
        <v>38</v>
      </c>
      <c r="C45" s="266">
        <f>COUNTIFS(Database!$N$5:$N$439,"ORGANIK",Database!$X$5:$X$439,"Aftersales 612 Malang")</f>
        <v>0</v>
      </c>
      <c r="D45" s="266">
        <f>COUNTIFS(Database!$N$5:$N$439,"TETAP",Database!$X$5:$X$439,"Aftersales 612 Malang")</f>
        <v>0</v>
      </c>
      <c r="E45" s="266">
        <f>COUNTIFS(Database!$N$5:$N$439,"PKWT",Database!$X$5:$X$439,"Aftersales 612 Malang")</f>
        <v>0</v>
      </c>
      <c r="F45" s="16">
        <f t="shared" si="1"/>
        <v>0</v>
      </c>
      <c r="H45" s="94"/>
    </row>
    <row r="46" spans="1:27" ht="15.75" customHeight="1" x14ac:dyDescent="0.3">
      <c r="A46" s="10">
        <v>5</v>
      </c>
      <c r="B46" s="94" t="s">
        <v>39</v>
      </c>
      <c r="C46" s="266">
        <f>COUNTIFS(Database!$N$5:$N$439,"ORGANIK",Database!$X$5:$X$439,"Aftersales 612 Solo")</f>
        <v>0</v>
      </c>
      <c r="D46" s="266">
        <f>COUNTIFS(Database!$N$5:$N$439,"TETAP",Database!$X$5:$X$439,"Aftersales 612 Solo")</f>
        <v>0</v>
      </c>
      <c r="E46" s="266">
        <f>COUNTIFS(Database!$N$5:$N$439,"PKWT",Database!$X$5:$X$439,"Aftersales 612 Solo")</f>
        <v>0</v>
      </c>
      <c r="F46" s="16">
        <f t="shared" si="1"/>
        <v>0</v>
      </c>
      <c r="H46" s="94"/>
    </row>
    <row r="47" spans="1:27" ht="15.75" customHeight="1" x14ac:dyDescent="0.3">
      <c r="A47" s="14">
        <v>6</v>
      </c>
      <c r="B47" s="94" t="s">
        <v>40</v>
      </c>
      <c r="C47" s="266">
        <f>COUNTIFS(Database!$N$5:$N$439,"ORGANIK",Database!$X$5:$X$439,"Aftersales 612 Surabaya")</f>
        <v>0</v>
      </c>
      <c r="D47" s="266">
        <f>COUNTIFS(Database!$N$5:$N$439,"TETAP",Database!$X$5:$X$439,"Aftersales 612 Surabaya")</f>
        <v>0</v>
      </c>
      <c r="E47" s="266">
        <f>COUNTIFS(Database!$N$5:$N$439,"PKWT",Database!$X$5:$X$439,"Aftersales 612 Surabaya")</f>
        <v>0</v>
      </c>
      <c r="F47" s="16">
        <f t="shared" si="1"/>
        <v>0</v>
      </c>
      <c r="H47" s="94"/>
    </row>
    <row r="48" spans="1:27" ht="15.75" customHeight="1" x14ac:dyDescent="0.3">
      <c r="A48" s="10">
        <v>7</v>
      </c>
      <c r="B48" s="94" t="s">
        <v>41</v>
      </c>
      <c r="C48" s="266">
        <f>COUNTIFS(Database!$N$5:$N$439,"ORGANIK",Database!$X$5:$X$439,"Aftersales GGW TEL")</f>
        <v>0</v>
      </c>
      <c r="D48" s="266">
        <f>COUNTIFS(Database!$N$5:$N$439,"TETAP",Database!$X$5:$X$439,"Aftersales GGW TEL")</f>
        <v>0</v>
      </c>
      <c r="E48" s="266">
        <f>COUNTIFS(Database!$N$5:$N$439,"PKWT",Database!$X$5:$X$439,"Aftersales GGW TEL")</f>
        <v>0</v>
      </c>
      <c r="F48" s="16">
        <f t="shared" si="1"/>
        <v>0</v>
      </c>
      <c r="H48" s="94"/>
    </row>
    <row r="49" spans="1:10" ht="15.75" customHeight="1" x14ac:dyDescent="0.3">
      <c r="A49" s="14">
        <v>8</v>
      </c>
      <c r="B49" s="94" t="s">
        <v>42</v>
      </c>
      <c r="C49" s="266">
        <f>COUNTIFS(Database!$N$5:$N$439,"ORGANIK",Database!$X$5:$X$439,"Aftersales KRDE Makassar-Parepare")</f>
        <v>0</v>
      </c>
      <c r="D49" s="266">
        <f>COUNTIFS(Database!$N$5:$N$439,"TETAP",Database!$X$5:$X$439,"Aftersales KRDE Makassar-Parepare")</f>
        <v>0</v>
      </c>
      <c r="E49" s="266">
        <f>COUNTIFS(Database!$N$5:$N$439,"PKWT",Database!$X$5:$X$439,"Aftersales KRDE Makassar-Parepare")</f>
        <v>0</v>
      </c>
      <c r="F49" s="16">
        <f t="shared" si="1"/>
        <v>0</v>
      </c>
      <c r="H49" s="94"/>
    </row>
    <row r="50" spans="1:10" ht="15.75" customHeight="1" x14ac:dyDescent="0.3">
      <c r="A50" s="10">
        <v>9</v>
      </c>
      <c r="B50" s="94" t="s">
        <v>43</v>
      </c>
      <c r="C50" s="266">
        <f>COUNTIFS(Database!$N$5:$N$439,"ORGANIK",Database!$X$5:$X$439,"Akuntansi")</f>
        <v>0</v>
      </c>
      <c r="D50" s="266">
        <f>COUNTIFS(Database!$N$5:$N$439,"TETAP",Database!$X$5:$X$439,"Akuntansi")</f>
        <v>0</v>
      </c>
      <c r="E50" s="266">
        <f>COUNTIFS(Database!$N$5:$N$439,"PKWT",Database!$X$5:$X$439,"Akuntansi")</f>
        <v>0</v>
      </c>
      <c r="F50" s="16">
        <f t="shared" si="1"/>
        <v>0</v>
      </c>
      <c r="H50" s="94"/>
    </row>
    <row r="51" spans="1:10" ht="15.75" customHeight="1" x14ac:dyDescent="0.3">
      <c r="A51" s="14">
        <v>10</v>
      </c>
      <c r="B51" s="94" t="s">
        <v>32</v>
      </c>
      <c r="C51" s="266">
        <f>COUNTIFS(Database!$N$5:$N$439,"ORGANIK",Database!$X$5:$X$439,"Banyuwangi")</f>
        <v>0</v>
      </c>
      <c r="D51" s="266">
        <f>COUNTIFS(Database!$N$5:$N$439,"TETAP",Database!$X$5:$X$439,"Banyuwangi")</f>
        <v>0</v>
      </c>
      <c r="E51" s="266">
        <f>COUNTIFS(Database!$N$5:$N$439,"PKWT",Database!$X$5:$X$439,"Banyuwangi")</f>
        <v>0</v>
      </c>
      <c r="F51" s="16">
        <f t="shared" si="1"/>
        <v>0</v>
      </c>
      <c r="H51" s="94"/>
    </row>
    <row r="52" spans="1:10" ht="15.75" customHeight="1" x14ac:dyDescent="0.3">
      <c r="A52" s="10">
        <v>11</v>
      </c>
      <c r="B52" s="94" t="s">
        <v>44</v>
      </c>
      <c r="C52" s="266">
        <f>COUNTIFS(Database!$N$5:$N$439,"ORGANIK",Database!$X$5:$X$439,"Bogie")</f>
        <v>0</v>
      </c>
      <c r="D52" s="266">
        <f>COUNTIFS(Database!$N$5:$N$439,"TETAP",Database!$X$5:$X$439,"Bogie")</f>
        <v>0</v>
      </c>
      <c r="E52" s="266">
        <f>COUNTIFS(Database!$N$5:$N$439,"PKWT",Database!$X$5:$X$439,"Bogie")</f>
        <v>0</v>
      </c>
      <c r="F52" s="16">
        <f t="shared" si="1"/>
        <v>0</v>
      </c>
      <c r="H52" s="94"/>
      <c r="J52" s="94"/>
    </row>
    <row r="53" spans="1:10" ht="15.75" customHeight="1" x14ac:dyDescent="0.3">
      <c r="A53" s="14">
        <v>12</v>
      </c>
      <c r="B53" s="94" t="s">
        <v>45</v>
      </c>
      <c r="C53" s="266">
        <f>COUNTIFS(Database!$N$5:$N$439,"ORGANIK",Database!$X$5:$X$439,"Bus Bandung")</f>
        <v>0</v>
      </c>
      <c r="D53" s="266">
        <f>COUNTIFS(Database!$N$5:$N$439,"TETAP",Database!$X$5:$X$439,"Bus Bandung")</f>
        <v>0</v>
      </c>
      <c r="E53" s="266">
        <f>COUNTIFS(Database!$N$5:$N$439,"PKWT",Database!$X$5:$X$439,"Bus Bandung")</f>
        <v>0</v>
      </c>
      <c r="F53" s="16">
        <f t="shared" si="1"/>
        <v>0</v>
      </c>
      <c r="H53" s="94"/>
    </row>
    <row r="54" spans="1:10" ht="15.75" customHeight="1" x14ac:dyDescent="0.3">
      <c r="A54" s="10">
        <v>13</v>
      </c>
      <c r="B54" s="94" t="s">
        <v>46</v>
      </c>
      <c r="C54" s="266">
        <f>COUNTIFS(Database!$N$5:$N$439,"ORGANIK",Database!$X$5:$X$439,"Bus Surabaya")</f>
        <v>0</v>
      </c>
      <c r="D54" s="266">
        <f>COUNTIFS(Database!$N$5:$N$439,"TETAP",Database!$X$5:$X$439,"Bus Surabaya")</f>
        <v>0</v>
      </c>
      <c r="E54" s="266">
        <f>COUNTIFS(Database!$N$5:$N$439,"PKWT",Database!$X$5:$X$439,"Bus Surabaya")</f>
        <v>0</v>
      </c>
      <c r="F54" s="16">
        <f t="shared" si="1"/>
        <v>0</v>
      </c>
      <c r="H54" s="94"/>
    </row>
    <row r="55" spans="1:10" ht="15.75" customHeight="1" x14ac:dyDescent="0.3">
      <c r="A55" s="14">
        <v>14</v>
      </c>
      <c r="B55" s="94" t="s">
        <v>47</v>
      </c>
      <c r="C55" s="266">
        <f>COUNTIFS(Database!$N$5:$N$439,"ORGANIK",Database!$X$5:$X$439,"Cut Meutia")</f>
        <v>0</v>
      </c>
      <c r="D55" s="266">
        <f>COUNTIFS(Database!$N$5:$N$439,"TETAP",Database!$X$5:$X$439,"Cut Meutia")</f>
        <v>0</v>
      </c>
      <c r="E55" s="266">
        <f>COUNTIFS(Database!$N$5:$N$439,"PKWT",Database!$X$5:$X$439,"Cut Meutia")</f>
        <v>0</v>
      </c>
      <c r="F55" s="16">
        <f t="shared" si="1"/>
        <v>0</v>
      </c>
      <c r="H55" s="94"/>
    </row>
    <row r="56" spans="1:10" ht="15.75" customHeight="1" x14ac:dyDescent="0.3">
      <c r="A56" s="10">
        <v>15</v>
      </c>
      <c r="B56" s="94" t="s">
        <v>48</v>
      </c>
      <c r="C56" s="266">
        <f>COUNTIFS(Database!$N$5:$N$439,"ORGANIK",Database!$X$5:$X$439,"DIREKSI")</f>
        <v>0</v>
      </c>
      <c r="D56" s="266">
        <f>COUNTIFS(Database!$N$5:$N$439,"TETAP",Database!$X$5:$X$439,"DIREKSI")</f>
        <v>0</v>
      </c>
      <c r="E56" s="266">
        <f>COUNTIFS(Database!$N$5:$N$439,"PKWT",Database!$X$5:$X$439,"DIREKSI")</f>
        <v>0</v>
      </c>
      <c r="F56" s="16">
        <f t="shared" si="1"/>
        <v>0</v>
      </c>
      <c r="H56" s="94"/>
    </row>
    <row r="57" spans="1:10" ht="15.75" customHeight="1" x14ac:dyDescent="0.3">
      <c r="A57" s="14">
        <v>16</v>
      </c>
      <c r="B57" s="94" t="s">
        <v>49</v>
      </c>
      <c r="C57" s="266">
        <f>COUNTIFS(Database!$N$5:$N$439,"ORGANIK",Database!$X$5:$X$439,"Gudang")</f>
        <v>0</v>
      </c>
      <c r="D57" s="266">
        <f>COUNTIFS(Database!$N$5:$N$439,"TETAP",Database!$X$5:$X$439,"Gudang")</f>
        <v>0</v>
      </c>
      <c r="E57" s="266">
        <f>COUNTIFS(Database!$N$5:$N$439,"PKWT",Database!$X$5:$X$439,"Gudang")</f>
        <v>0</v>
      </c>
      <c r="F57" s="16">
        <f t="shared" si="1"/>
        <v>0</v>
      </c>
      <c r="H57" s="94"/>
    </row>
    <row r="58" spans="1:10" ht="15.75" customHeight="1" x14ac:dyDescent="0.3">
      <c r="A58" s="10">
        <v>17</v>
      </c>
      <c r="B58" s="94" t="s">
        <v>50</v>
      </c>
      <c r="C58" s="266">
        <f>COUNTIFS(Database!$N$5:$N$439,"ORGANIK",Database!$X$5:$X$439,"keuangan")</f>
        <v>0</v>
      </c>
      <c r="D58" s="266">
        <f>COUNTIFS(Database!$N$5:$N$439,"TETAP",Database!$X$5:$X$439,"keuangan")</f>
        <v>0</v>
      </c>
      <c r="E58" s="266">
        <f>COUNTIFS(Database!$N$5:$N$439,"PKWT",Database!$X$5:$X$439,"keuangan")</f>
        <v>0</v>
      </c>
      <c r="F58" s="16">
        <f t="shared" si="1"/>
        <v>0</v>
      </c>
      <c r="H58" s="94"/>
    </row>
    <row r="59" spans="1:10" ht="15.75" customHeight="1" x14ac:dyDescent="0.3">
      <c r="A59" s="14">
        <v>18</v>
      </c>
      <c r="B59" s="94" t="s">
        <v>51</v>
      </c>
      <c r="C59" s="266">
        <f>COUNTIFS(Database!$N$5:$N$439,"ORGANIK",Database!$X$5:$X$439,"KRL KFW")</f>
        <v>0</v>
      </c>
      <c r="D59" s="266">
        <f>COUNTIFS(Database!$N$5:$N$439,"TETAP",Database!$X$5:$X$439,"KRL KFW")</f>
        <v>0</v>
      </c>
      <c r="E59" s="266">
        <f>COUNTIFS(Database!$N$5:$N$439,"PKWT",Database!$X$5:$X$439,"KRL KFW")</f>
        <v>0</v>
      </c>
      <c r="F59" s="16">
        <f t="shared" si="1"/>
        <v>0</v>
      </c>
      <c r="H59" s="94"/>
    </row>
    <row r="60" spans="1:10" ht="15.75" customHeight="1" x14ac:dyDescent="0.3">
      <c r="A60" s="10">
        <v>19</v>
      </c>
      <c r="B60" s="126" t="s">
        <v>52</v>
      </c>
      <c r="C60" s="266">
        <f>COUNTIFS(Database!$N$5:$N$439,"ORGANIK",Database!$X$5:$X$439,"KRL soetta")</f>
        <v>0</v>
      </c>
      <c r="D60" s="266">
        <f>COUNTIFS(Database!$N$5:$N$439,"TETAP",Database!$X$5:$X$439,"KRL soetta")</f>
        <v>0</v>
      </c>
      <c r="E60" s="266">
        <f>COUNTIFS(Database!$N$5:$N$439,"PKWT",Database!$X$5:$X$439,"KRL soetta")</f>
        <v>0</v>
      </c>
      <c r="F60" s="16">
        <f t="shared" si="1"/>
        <v>0</v>
      </c>
      <c r="H60" s="94"/>
    </row>
    <row r="61" spans="1:10" ht="15.75" customHeight="1" x14ac:dyDescent="0.3">
      <c r="A61" s="14">
        <v>20</v>
      </c>
      <c r="B61" s="126" t="s">
        <v>53</v>
      </c>
      <c r="C61" s="266">
        <f>COUNTIFS(Database!$N$5:$N$439,"ORGANIK",Database!$X$5:$X$439,"Listrik")</f>
        <v>0</v>
      </c>
      <c r="D61" s="266">
        <f>COUNTIFS(Database!$N$5:$N$439,"TETAP",Database!$X$5:$X$439,"Listrik")</f>
        <v>0</v>
      </c>
      <c r="E61" s="266">
        <f>COUNTIFS(Database!$N$5:$N$439,"PKWT",Database!$X$5:$X$439,"Listrik")</f>
        <v>0</v>
      </c>
      <c r="F61" s="16">
        <f t="shared" si="1"/>
        <v>0</v>
      </c>
      <c r="H61" s="94"/>
    </row>
    <row r="62" spans="1:10" ht="15.75" customHeight="1" x14ac:dyDescent="0.3">
      <c r="A62" s="10">
        <v>21</v>
      </c>
      <c r="B62" s="126" t="s">
        <v>54</v>
      </c>
      <c r="C62" s="266">
        <f>COUNTIFS(Database!$N$5:$N$439,"ORGANIK",Database!$X$5:$X$439,"Logistik")</f>
        <v>0</v>
      </c>
      <c r="D62" s="266">
        <f>COUNTIFS(Database!$N$5:$N$439,"TETAP",Database!$X$5:$X$439,"Logistik")</f>
        <v>0</v>
      </c>
      <c r="E62" s="266">
        <f>COUNTIFS(Database!$N$5:$N$439,"PKWT",Database!$X$5:$X$439,"Logistik")</f>
        <v>0</v>
      </c>
      <c r="F62" s="16">
        <f t="shared" si="1"/>
        <v>0</v>
      </c>
      <c r="H62" s="94"/>
    </row>
    <row r="63" spans="1:10" ht="15.75" customHeight="1" x14ac:dyDescent="0.3">
      <c r="A63" s="14">
        <v>22</v>
      </c>
      <c r="B63" s="126" t="s">
        <v>55</v>
      </c>
      <c r="C63" s="266">
        <f>COUNTIFS(Database!$N$5:$N$439,"ORGANIK",Database!$X$5:$X$439,"LRT Jabo Aftersales")</f>
        <v>0</v>
      </c>
      <c r="D63" s="266">
        <f>COUNTIFS(Database!$N$5:$N$439,"TETAP",Database!$X$5:$X$439,"LRT Jabo Aftersales")</f>
        <v>0</v>
      </c>
      <c r="E63" s="266">
        <f>COUNTIFS(Database!$N$5:$N$439,"PKWT",Database!$X$5:$X$439,"LRT Jabo Aftersales")</f>
        <v>0</v>
      </c>
      <c r="F63" s="16">
        <f t="shared" si="1"/>
        <v>0</v>
      </c>
      <c r="H63" s="94"/>
    </row>
    <row r="64" spans="1:10" ht="15.75" customHeight="1" x14ac:dyDescent="0.3">
      <c r="A64" s="10">
        <v>23</v>
      </c>
      <c r="B64" s="126" t="s">
        <v>56</v>
      </c>
      <c r="C64" s="266">
        <f>COUNTIFS(Database!$N$5:$N$439,"ORGANIK",Database!$X$5:$X$439,"LRT Jabo Helper")</f>
        <v>0</v>
      </c>
      <c r="D64" s="266">
        <f>COUNTIFS(Database!$N$5:$N$439,"TETAP",Database!$X$5:$X$439,"LRT Jabo Helper")</f>
        <v>0</v>
      </c>
      <c r="E64" s="266">
        <f>COUNTIFS(Database!$N$5:$N$439,"PKWT",Database!$X$5:$X$439,"LRT Jabo Helper")</f>
        <v>0</v>
      </c>
      <c r="F64" s="16">
        <f t="shared" si="1"/>
        <v>0</v>
      </c>
      <c r="H64" s="94"/>
    </row>
    <row r="65" spans="1:8" ht="15.75" customHeight="1" x14ac:dyDescent="0.3">
      <c r="A65" s="14">
        <v>24</v>
      </c>
      <c r="B65" s="126" t="s">
        <v>57</v>
      </c>
      <c r="C65" s="266">
        <f>COUNTIFS(Database!$N$5:$N$439,"ORGANIK",Database!$X$5:$X$439,"LRT Palembang")</f>
        <v>0</v>
      </c>
      <c r="D65" s="266">
        <f>COUNTIFS(Database!$N$5:$N$439,"TETAP",Database!$X$5:$X$439,"LRT Palembang")</f>
        <v>0</v>
      </c>
      <c r="E65" s="266">
        <f>COUNTIFS(Database!$N$5:$N$439,"PKWT",Database!$X$5:$X$439,"LRT Palembang")</f>
        <v>0</v>
      </c>
      <c r="F65" s="16">
        <f t="shared" si="1"/>
        <v>0</v>
      </c>
      <c r="H65" s="94"/>
    </row>
    <row r="66" spans="1:8" ht="15.75" customHeight="1" x14ac:dyDescent="0.3">
      <c r="A66" s="10">
        <v>25</v>
      </c>
      <c r="B66" s="126" t="s">
        <v>18</v>
      </c>
      <c r="C66" s="266">
        <f>COUNTIFS(Database!$N$5:$N$439,"ORGANIK",Database!$X$5:$X$439,"MRO")</f>
        <v>0</v>
      </c>
      <c r="D66" s="266">
        <f>COUNTIFS(Database!$N$5:$N$439,"TETAP",Database!$X$5:$X$439,"MRO")</f>
        <v>0</v>
      </c>
      <c r="E66" s="266">
        <f>COUNTIFS(Database!$N$5:$N$439,"PKWT",Database!$X$5:$X$439,"MRO")</f>
        <v>0</v>
      </c>
      <c r="F66" s="16">
        <f t="shared" si="1"/>
        <v>0</v>
      </c>
      <c r="H66" s="94"/>
    </row>
    <row r="67" spans="1:8" ht="15.75" customHeight="1" x14ac:dyDescent="0.3">
      <c r="A67" s="14">
        <v>26</v>
      </c>
      <c r="B67" s="126" t="s">
        <v>58</v>
      </c>
      <c r="C67" s="266">
        <f>COUNTIFS(Database!$N$5:$N$439,"ORGANIK",Database!$X$5:$X$439,"Op Forklift")</f>
        <v>0</v>
      </c>
      <c r="D67" s="266">
        <f>COUNTIFS(Database!$N$5:$N$439,"TETAP",Database!$X$5:$X$439,"Op Forklift")</f>
        <v>0</v>
      </c>
      <c r="E67" s="266">
        <f>COUNTIFS(Database!$N$5:$N$439,"PKWT",Database!$X$5:$X$439,"Op Forklift")</f>
        <v>0</v>
      </c>
      <c r="F67" s="16">
        <f t="shared" si="1"/>
        <v>0</v>
      </c>
      <c r="H67" s="94"/>
    </row>
    <row r="68" spans="1:8" ht="15.75" customHeight="1" x14ac:dyDescent="0.3">
      <c r="A68" s="10">
        <v>27</v>
      </c>
      <c r="B68" s="126" t="s">
        <v>59</v>
      </c>
      <c r="C68" s="266">
        <f>COUNTIFS(Database!$N$5:$N$439,"ORGANIK",Database!$X$5:$X$439,"pemasaran")</f>
        <v>0</v>
      </c>
      <c r="D68" s="266">
        <f>COUNTIFS(Database!$N$5:$N$439,"TETAP",Database!$X$5:$X$439,"pemasaran")</f>
        <v>0</v>
      </c>
      <c r="E68" s="266">
        <f>COUNTIFS(Database!$N$5:$N$439,"PKWT",Database!$X$5:$X$439,"pemasaran")</f>
        <v>0</v>
      </c>
      <c r="F68" s="16">
        <f t="shared" si="1"/>
        <v>0</v>
      </c>
      <c r="H68" s="94"/>
    </row>
    <row r="69" spans="1:8" ht="15.75" customHeight="1" x14ac:dyDescent="0.3">
      <c r="A69" s="14">
        <v>28</v>
      </c>
      <c r="B69" s="126" t="s">
        <v>65</v>
      </c>
      <c r="C69" s="266">
        <f>COUNTIFS(Database!$N$5:$N$439,"ORGANIK",Database!$X$5:$X$439,"Pengelolaan Proyek Wilayah I")</f>
        <v>0</v>
      </c>
      <c r="D69" s="266">
        <f>COUNTIFS(Database!$N$5:$N$439,"TETAP",Database!$X$5:$X$439,"Pengelolaan Proyek Wilayah I")</f>
        <v>0</v>
      </c>
      <c r="E69" s="266">
        <f>COUNTIFS(Database!$N$5:$N$439,"PKWT",Database!$X$5:$X$439,"Pengelolaan Proyek Wilayah I")</f>
        <v>0</v>
      </c>
      <c r="F69" s="16">
        <f t="shared" si="1"/>
        <v>0</v>
      </c>
      <c r="H69" s="94"/>
    </row>
    <row r="70" spans="1:8" ht="15.75" customHeight="1" x14ac:dyDescent="0.3">
      <c r="A70" s="10">
        <v>29</v>
      </c>
      <c r="B70" s="126" t="s">
        <v>73</v>
      </c>
      <c r="C70" s="266">
        <f>COUNTIFS(Database!$N$5:$N$439,"ORGANIK",Database!$X$5:$X$439,"Pengelolaan Proyek Wilayah II")</f>
        <v>0</v>
      </c>
      <c r="D70" s="266">
        <f>COUNTIFS(Database!$N$5:$N$439,"TETAP",Database!$X$5:$X$439,"Pengelolaan Proyek Wilayah II")</f>
        <v>0</v>
      </c>
      <c r="E70" s="266">
        <f>COUNTIFS(Database!$N$5:$N$439,"PKWT",Database!$X$5:$X$439,"Pengelolaan Proyek Wilayah II")</f>
        <v>0</v>
      </c>
      <c r="F70" s="16">
        <f t="shared" si="1"/>
        <v>0</v>
      </c>
      <c r="H70" s="94"/>
    </row>
    <row r="71" spans="1:8" ht="15.75" customHeight="1" x14ac:dyDescent="0.3">
      <c r="A71" s="14">
        <v>30</v>
      </c>
      <c r="B71" s="126" t="s">
        <v>78</v>
      </c>
      <c r="C71" s="266">
        <f>COUNTIFS(Database!$N$5:$N$439,"ORGANIK",Database!$X$5:$X$439,"Perawatan KRDE Makassar- Parepare")</f>
        <v>0</v>
      </c>
      <c r="D71" s="266">
        <f>COUNTIFS(Database!$N$5:$N$439,"TETAP",Database!$X$5:$X$439,"Perawatan KRDE Makassar- Parepare")</f>
        <v>0</v>
      </c>
      <c r="E71" s="266">
        <f>COUNTIFS(Database!$N$5:$N$439,"PKWT",Database!$X$5:$X$439,"Perawatan KRDE Makassar- Parepare")</f>
        <v>0</v>
      </c>
      <c r="F71" s="16">
        <f t="shared" si="1"/>
        <v>0</v>
      </c>
      <c r="H71" s="94"/>
    </row>
    <row r="72" spans="1:8" ht="15.75" customHeight="1" x14ac:dyDescent="0.3">
      <c r="A72" s="10">
        <v>31</v>
      </c>
      <c r="B72" s="126" t="s">
        <v>19</v>
      </c>
      <c r="C72" s="266">
        <f>COUNTIFS(Database!$N$5:$N$439,"ORGANIK",Database!$X$5:$X$439,"pmu")</f>
        <v>0</v>
      </c>
      <c r="D72" s="266">
        <f>COUNTIFS(Database!$N$5:$N$439,"TETAP",Database!$X$5:$X$439,"pmu")</f>
        <v>0</v>
      </c>
      <c r="E72" s="266">
        <f>COUNTIFS(Database!$N$5:$N$439,"PKWT",Database!$X$5:$X$439,"pmu")</f>
        <v>0</v>
      </c>
      <c r="F72" s="16">
        <f t="shared" si="1"/>
        <v>0</v>
      </c>
      <c r="H72" s="94"/>
    </row>
    <row r="73" spans="1:8" ht="15.75" customHeight="1" x14ac:dyDescent="0.3">
      <c r="A73" s="14">
        <v>32</v>
      </c>
      <c r="B73" s="126" t="s">
        <v>85</v>
      </c>
      <c r="C73" s="266">
        <f>COUNTIFS(Database!$N$5:$N$439,"ORGANIK",Database!$X$5:$X$439,"qc")</f>
        <v>0</v>
      </c>
      <c r="D73" s="266">
        <f>COUNTIFS(Database!$N$5:$N$439,"TETAP",Database!$X$5:$X$439,"qc")</f>
        <v>0</v>
      </c>
      <c r="E73" s="266">
        <f>COUNTIFS(Database!$N$5:$N$439,"PKWT",Database!$X$5:$X$439,"qc")</f>
        <v>0</v>
      </c>
      <c r="F73" s="16">
        <f t="shared" si="1"/>
        <v>0</v>
      </c>
      <c r="H73" s="94"/>
    </row>
    <row r="74" spans="1:8" ht="15.75" customHeight="1" x14ac:dyDescent="0.3">
      <c r="A74" s="10">
        <v>33</v>
      </c>
      <c r="B74" s="126" t="s">
        <v>88</v>
      </c>
      <c r="C74" s="266">
        <f>COUNTIFS(Database!$N$5:$N$439,"ORGANIK",Database!$X$5:$X$439,"qc inka")</f>
        <v>0</v>
      </c>
      <c r="D74" s="266">
        <f>COUNTIFS(Database!$N$5:$N$439,"TETAP",Database!$X$5:$X$439,"qc inka")</f>
        <v>0</v>
      </c>
      <c r="E74" s="266">
        <f>COUNTIFS(Database!$N$5:$N$439,"PKWT",Database!$X$5:$X$439,"qc inka")</f>
        <v>0</v>
      </c>
      <c r="F74" s="16">
        <f t="shared" si="1"/>
        <v>0</v>
      </c>
      <c r="H74" s="94"/>
    </row>
    <row r="75" spans="1:8" ht="15.75" customHeight="1" x14ac:dyDescent="0.3">
      <c r="A75" s="14">
        <v>34</v>
      </c>
      <c r="B75" s="126" t="s">
        <v>93</v>
      </c>
      <c r="C75" s="266">
        <f>COUNTIFS(Database!$N$5:$N$439,"ORGANIK",Database!$X$5:$X$439,"RB Bathara Kresna")</f>
        <v>0</v>
      </c>
      <c r="D75" s="266">
        <f>COUNTIFS(Database!$N$5:$N$439,"TETAP",Database!$X$5:$X$439,"RB Bathara Kresna")</f>
        <v>0</v>
      </c>
      <c r="E75" s="266">
        <f>COUNTIFS(Database!$N$5:$N$439,"PKWT",Database!$X$5:$X$439,"RB Bathara Kresna")</f>
        <v>0</v>
      </c>
      <c r="F75" s="16">
        <f t="shared" si="1"/>
        <v>0</v>
      </c>
      <c r="H75" s="94"/>
    </row>
    <row r="76" spans="1:8" ht="15.75" customHeight="1" x14ac:dyDescent="0.3">
      <c r="A76" s="10">
        <v>35</v>
      </c>
      <c r="B76" s="126" t="s">
        <v>97</v>
      </c>
      <c r="C76" s="266">
        <f>COUNTIFS(Database!$N$5:$N$439,"ORGANIK",Database!$X$5:$X$439,"RB Lembah Anai")</f>
        <v>0</v>
      </c>
      <c r="D76" s="266">
        <f>COUNTIFS(Database!$N$5:$N$439,"TETAP",Database!$X$5:$X$439,"RB Lembah Anai")</f>
        <v>0</v>
      </c>
      <c r="E76" s="266">
        <f>COUNTIFS(Database!$N$5:$N$439,"PKWT",Database!$X$5:$X$439,"RB Lembah Anai")</f>
        <v>0</v>
      </c>
      <c r="F76" s="16">
        <f t="shared" si="1"/>
        <v>0</v>
      </c>
      <c r="H76" s="94"/>
    </row>
    <row r="77" spans="1:8" ht="15.75" customHeight="1" x14ac:dyDescent="0.3">
      <c r="A77" s="14">
        <v>36</v>
      </c>
      <c r="B77" s="126" t="s">
        <v>101</v>
      </c>
      <c r="C77" s="266">
        <f>COUNTIFS(Database!$N$5:$N$439,"ORGANIK",Database!$X$5:$X$439,"rendal ppa")</f>
        <v>0</v>
      </c>
      <c r="D77" s="266">
        <f>COUNTIFS(Database!$N$5:$N$439,"TETAP",Database!$X$5:$X$439,"rendal ppa")</f>
        <v>0</v>
      </c>
      <c r="E77" s="266">
        <f>COUNTIFS(Database!$N$5:$N$439,"PKWT",Database!$X$5:$X$439,"rendal ppa")</f>
        <v>0</v>
      </c>
      <c r="F77" s="16">
        <f t="shared" si="1"/>
        <v>0</v>
      </c>
      <c r="H77" s="94"/>
    </row>
    <row r="78" spans="1:8" ht="15.75" customHeight="1" x14ac:dyDescent="0.3">
      <c r="A78" s="10">
        <v>37</v>
      </c>
      <c r="B78" s="126" t="s">
        <v>104</v>
      </c>
      <c r="C78" s="266">
        <f>COUNTIFS(Database!$N$5:$N$439,"ORGANIK",Database!$X$5:$X$439,"SDM dan Umum")</f>
        <v>0</v>
      </c>
      <c r="D78" s="266">
        <f>COUNTIFS(Database!$N$5:$N$439,"TETAP",Database!$X$5:$X$439,"SDM dan Umum")</f>
        <v>0</v>
      </c>
      <c r="E78" s="266">
        <f>COUNTIFS(Database!$N$5:$N$439,"PKWT",Database!$X$5:$X$439,"SDM dan Umum")</f>
        <v>0</v>
      </c>
      <c r="F78" s="16">
        <f t="shared" si="1"/>
        <v>0</v>
      </c>
      <c r="H78" s="94"/>
    </row>
    <row r="79" spans="1:8" ht="15.75" customHeight="1" x14ac:dyDescent="0.3">
      <c r="A79" s="14">
        <v>38</v>
      </c>
      <c r="B79" s="126" t="s">
        <v>107</v>
      </c>
      <c r="C79" s="266">
        <f>COUNTIFS(Database!$N$5:$N$439,"ORGANIK",Database!$X$5:$X$439,"Sekper, Legal dan Tata Kelola")</f>
        <v>0</v>
      </c>
      <c r="D79" s="266">
        <f>COUNTIFS(Database!$N$5:$N$439,"TETAP",Database!$X$5:$X$439,"Sekper, Legal dan Tata Kelola")</f>
        <v>0</v>
      </c>
      <c r="E79" s="266">
        <f>COUNTIFS(Database!$N$5:$N$439,"PKWT",Database!$X$5:$X$439,"Sekper, Legal dan Tata Kelola")</f>
        <v>0</v>
      </c>
      <c r="F79" s="16">
        <f t="shared" si="1"/>
        <v>0</v>
      </c>
      <c r="H79" s="94"/>
    </row>
    <row r="80" spans="1:8" ht="15.75" customHeight="1" x14ac:dyDescent="0.3">
      <c r="A80" s="10">
        <v>39</v>
      </c>
      <c r="B80" s="126" t="s">
        <v>112</v>
      </c>
      <c r="C80" s="266">
        <f>COUNTIFS(Database!$N$5:$N$439,"ORGANIK",Database!$X$5:$X$439,"sipil")</f>
        <v>0</v>
      </c>
      <c r="D80" s="266">
        <f>COUNTIFS(Database!$N$5:$N$439,"TETAP",Database!$X$5:$X$439,"sipil")</f>
        <v>0</v>
      </c>
      <c r="E80" s="266">
        <f>COUNTIFS(Database!$N$5:$N$439,"PKWT",Database!$X$5:$X$439,"sipil")</f>
        <v>0</v>
      </c>
      <c r="F80" s="16">
        <f t="shared" si="1"/>
        <v>0</v>
      </c>
      <c r="H80" s="94"/>
    </row>
    <row r="81" spans="1:8" ht="15.75" customHeight="1" x14ac:dyDescent="0.3">
      <c r="A81" s="14">
        <v>40</v>
      </c>
      <c r="B81" s="126" t="s">
        <v>115</v>
      </c>
      <c r="C81" s="266">
        <f>COUNTIFS(Database!$N$5:$N$439,"ORGANIK",Database!$X$5:$X$439,"smk3")</f>
        <v>0</v>
      </c>
      <c r="D81" s="266">
        <f>COUNTIFS(Database!$N$5:$N$439,"TETAP",Database!$X$5:$X$439,"smk3")</f>
        <v>0</v>
      </c>
      <c r="E81" s="266">
        <f>COUNTIFS(Database!$N$5:$N$439,"PKWT",Database!$X$5:$X$439,"smk3")</f>
        <v>0</v>
      </c>
      <c r="F81" s="16">
        <f t="shared" si="1"/>
        <v>0</v>
      </c>
      <c r="H81" s="94"/>
    </row>
    <row r="82" spans="1:8" ht="15.75" customHeight="1" x14ac:dyDescent="0.3">
      <c r="A82" s="10">
        <v>41</v>
      </c>
      <c r="B82" s="126" t="s">
        <v>116</v>
      </c>
      <c r="C82" s="266">
        <f>COUNTIFS(Database!$N$5:$N$439,"ORGANIK",Database!$X$5:$X$439,"spi")</f>
        <v>0</v>
      </c>
      <c r="D82" s="266">
        <f>COUNTIFS(Database!$N$5:$N$439,"TETAP",Database!$X$5:$X$439,"spi")</f>
        <v>0</v>
      </c>
      <c r="E82" s="266">
        <f>COUNTIFS(Database!$N$5:$N$439,"PKWT",Database!$X$5:$X$439,"spi")</f>
        <v>0</v>
      </c>
      <c r="F82" s="16">
        <f t="shared" si="1"/>
        <v>0</v>
      </c>
      <c r="H82" s="94"/>
    </row>
    <row r="83" spans="1:8" ht="15.75" customHeight="1" x14ac:dyDescent="0.3">
      <c r="A83" s="14">
        <v>42</v>
      </c>
      <c r="B83" s="126" t="s">
        <v>117</v>
      </c>
      <c r="C83" s="266">
        <f>COUNTIFS(Database!$N$5:$N$439,"ORGANIK",Database!$X$5:$X$439,"ta bias")</f>
        <v>0</v>
      </c>
      <c r="D83" s="266">
        <f>COUNTIFS(Database!$N$5:$N$439,"TETAP",Database!$X$5:$X$439,"ta bias")</f>
        <v>0</v>
      </c>
      <c r="E83" s="266">
        <f>COUNTIFS(Database!$N$5:$N$439,"PKWT",Database!$X$5:$X$439,"ta bias")</f>
        <v>0</v>
      </c>
      <c r="F83" s="16">
        <f t="shared" si="1"/>
        <v>0</v>
      </c>
      <c r="H83" s="94"/>
    </row>
    <row r="84" spans="1:8" ht="15.75" customHeight="1" x14ac:dyDescent="0.3">
      <c r="A84" s="10">
        <v>43</v>
      </c>
      <c r="B84" s="126" t="s">
        <v>118</v>
      </c>
      <c r="C84" s="266">
        <f>COUNTIFS(Database!$N$5:$N$439,"ORGANIK",Database!$X$5:$X$439,"teklog")</f>
        <v>0</v>
      </c>
      <c r="D84" s="266">
        <f>COUNTIFS(Database!$N$5:$N$439,"TETAP",Database!$X$5:$X$439,"teklog")</f>
        <v>0</v>
      </c>
      <c r="E84" s="266">
        <f>COUNTIFS(Database!$N$5:$N$439,"PKWT",Database!$X$5:$X$439,"teklog")</f>
        <v>0</v>
      </c>
      <c r="F84" s="16">
        <f t="shared" si="1"/>
        <v>0</v>
      </c>
      <c r="H84" s="94"/>
    </row>
    <row r="85" spans="1:8" ht="15.75" customHeight="1" x14ac:dyDescent="0.3">
      <c r="A85" s="14">
        <v>44</v>
      </c>
      <c r="B85" s="126" t="s">
        <v>119</v>
      </c>
      <c r="C85" s="266">
        <f>COUNTIFS(Database!$N$5:$N$439,"ORGANIK",Database!$X$5:$X$439,"Teknik")</f>
        <v>0</v>
      </c>
      <c r="D85" s="266">
        <f>COUNTIFS(Database!$N$5:$N$439,"TETAP",Database!$X$5:$X$439,"Teknik")</f>
        <v>0</v>
      </c>
      <c r="E85" s="266">
        <f>COUNTIFS(Database!$N$5:$N$439,"PKWT",Database!$X$5:$X$439,"Teknik")</f>
        <v>0</v>
      </c>
      <c r="F85" s="16">
        <f t="shared" si="1"/>
        <v>0</v>
      </c>
      <c r="H85" s="94"/>
    </row>
    <row r="86" spans="1:8" ht="15.75" customHeight="1" x14ac:dyDescent="0.3">
      <c r="A86" s="10">
        <v>45</v>
      </c>
      <c r="B86" s="126" t="s">
        <v>120</v>
      </c>
      <c r="C86" s="266">
        <f>COUNTIFS(Database!$N$5:$N$439,"ORGANIK",Database!$X$5:$X$439,"Teknik dan Logistik")</f>
        <v>0</v>
      </c>
      <c r="D86" s="266">
        <f>COUNTIFS(Database!$N$5:$N$439,"TETAP",Database!$X$5:$X$439,"Teknik dan Logistik")</f>
        <v>0</v>
      </c>
      <c r="E86" s="266">
        <f>COUNTIFS(Database!$N$5:$N$439,"PKWT",Database!$X$5:$X$439,"Teknik dan Logistik")</f>
        <v>0</v>
      </c>
      <c r="F86" s="16">
        <f t="shared" si="1"/>
        <v>0</v>
      </c>
      <c r="H86" s="94"/>
    </row>
    <row r="87" spans="1:8" ht="15.75" customHeight="1" x14ac:dyDescent="0.3">
      <c r="A87" s="14">
        <v>46</v>
      </c>
      <c r="B87" s="126" t="s">
        <v>121</v>
      </c>
      <c r="C87" s="266">
        <f>COUNTIFS(Database!$N$5:$N$439,"ORGANIK",Database!$X$5:$X$439,"Wilayah I")</f>
        <v>0</v>
      </c>
      <c r="D87" s="266">
        <f>COUNTIFS(Database!$N$5:$N$439,"TETAP",Database!$X$5:$X$439,"Wilayah I")</f>
        <v>0</v>
      </c>
      <c r="E87" s="266">
        <f>COUNTIFS(Database!$N$5:$N$439,"PKWT",Database!$X$5:$X$439,"Wilayah I")</f>
        <v>0</v>
      </c>
      <c r="F87" s="16">
        <f t="shared" si="1"/>
        <v>0</v>
      </c>
      <c r="H87" s="94"/>
    </row>
    <row r="88" spans="1:8" ht="15.75" customHeight="1" x14ac:dyDescent="0.3">
      <c r="A88" s="10">
        <v>47</v>
      </c>
      <c r="B88" s="126" t="s">
        <v>122</v>
      </c>
      <c r="C88" s="266">
        <f>COUNTIFS(Database!$N$5:$N$439,"ORGANIK",Database!$X$5:$X$439,"Wilayah II")</f>
        <v>0</v>
      </c>
      <c r="D88" s="266">
        <f>COUNTIFS(Database!$N$5:$N$439,"TETAP",Database!$X$5:$X$439,"Wilayah II")</f>
        <v>0</v>
      </c>
      <c r="E88" s="266">
        <f>COUNTIFS(Database!$N$5:$N$439,"PKWT",Database!$X$5:$X$439,"Wilayah II")</f>
        <v>0</v>
      </c>
      <c r="F88" s="16">
        <f t="shared" si="1"/>
        <v>0</v>
      </c>
      <c r="H88" s="94"/>
    </row>
    <row r="89" spans="1:8" ht="15.75" customHeight="1" x14ac:dyDescent="0.3">
      <c r="A89" s="14">
        <v>48</v>
      </c>
      <c r="B89" s="126" t="s">
        <v>123</v>
      </c>
      <c r="C89" s="266">
        <f>COUNTIFS(Database!$N$5:$N$439,"ORGANIK",Database!$X$5:$X$439,"Aftersales 612 Jakarta")</f>
        <v>0</v>
      </c>
      <c r="D89" s="266">
        <f>COUNTIFS(Database!$N$5:$N$439,"TETAP",Database!$X$5:$X$439,"Aftersales 612 Jakarta")</f>
        <v>0</v>
      </c>
      <c r="E89" s="266">
        <f>COUNTIFS(Database!$N$5:$N$439,"PKWT",Database!$X$5:$X$439,"Aftersales 612 Jakarta")</f>
        <v>0</v>
      </c>
      <c r="F89" s="16">
        <f t="shared" si="1"/>
        <v>0</v>
      </c>
      <c r="H89" s="94"/>
    </row>
    <row r="90" spans="1:8" ht="15.75" customHeight="1" x14ac:dyDescent="0.3">
      <c r="A90" s="10">
        <v>49</v>
      </c>
      <c r="B90" s="94" t="s">
        <v>124</v>
      </c>
      <c r="C90" s="266">
        <f>COUNTIFS(Database!$N$5:$N$439,"ORGANIK",Database!$X$5:$X$439,"LRT Jabo VM Helper Testing")</f>
        <v>0</v>
      </c>
      <c r="D90" s="266">
        <f>COUNTIFS(Database!$N$5:$N$439,"TETAP",Database!$X$5:$X$439,"LRT Jabo VM Helper Testing")</f>
        <v>0</v>
      </c>
      <c r="E90" s="266">
        <f>COUNTIFS(Database!$N$5:$N$439,"PKWT",Database!$X$5:$X$439,"LRT Jabo VM Helper Testing")</f>
        <v>0</v>
      </c>
      <c r="F90" s="16">
        <f t="shared" si="1"/>
        <v>0</v>
      </c>
      <c r="H90" s="94"/>
    </row>
    <row r="91" spans="1:8" ht="15.75" customHeight="1" x14ac:dyDescent="0.3">
      <c r="A91" s="14">
        <v>50</v>
      </c>
      <c r="B91" s="126" t="s">
        <v>125</v>
      </c>
      <c r="C91" s="266">
        <f>COUNTIFS(Database!$N$5:$N$439,"ORGANIK",Database!$X$5:$X$439,"SMN loko Administrasi")</f>
        <v>0</v>
      </c>
      <c r="D91" s="266">
        <f>COUNTIFS(Database!$N$5:$N$439,"TETAP",Database!$X$5:$X$439,"SMN loko Administrasi")</f>
        <v>0</v>
      </c>
      <c r="E91" s="266">
        <f>COUNTIFS(Database!$N$5:$N$439,"PKWT",Database!$X$5:$X$439,"SMN loko Administrasi")</f>
        <v>0</v>
      </c>
      <c r="F91" s="16">
        <f t="shared" si="1"/>
        <v>0</v>
      </c>
      <c r="H91" s="94"/>
    </row>
    <row r="92" spans="1:8" ht="15.75" customHeight="1" x14ac:dyDescent="0.3">
      <c r="A92" s="10">
        <v>51</v>
      </c>
      <c r="B92" s="126" t="s">
        <v>126</v>
      </c>
      <c r="C92" s="266">
        <f>COUNTIFS(Database!$N$5:$N$439,"ORGANIK",Database!$X$5:$X$439,"SMN Loko Jakarta")</f>
        <v>0</v>
      </c>
      <c r="D92" s="266">
        <f>COUNTIFS(Database!$N$5:$N$439,"TETAP",Database!$X$5:$X$439,"SMN Loko Jakarta")</f>
        <v>0</v>
      </c>
      <c r="E92" s="266">
        <f>COUNTIFS(Database!$N$5:$N$439,"PKWT",Database!$X$5:$X$439,"SMN Loko Jakarta")</f>
        <v>0</v>
      </c>
      <c r="F92" s="16">
        <f t="shared" si="1"/>
        <v>0</v>
      </c>
      <c r="H92" s="94"/>
    </row>
    <row r="93" spans="1:8" ht="15.75" customHeight="1" x14ac:dyDescent="0.3">
      <c r="A93" s="14">
        <v>52</v>
      </c>
      <c r="B93" s="126" t="s">
        <v>127</v>
      </c>
      <c r="C93" s="266">
        <f>COUNTIFS(Database!$N$5:$N$439,"ORGANIK",Database!$X$5:$X$439,"SMN Loko Lampung")</f>
        <v>0</v>
      </c>
      <c r="D93" s="266">
        <f>COUNTIFS(Database!$N$5:$N$439,"TETAP",Database!$X$5:$X$439,"SMN Loko Lampung")</f>
        <v>0</v>
      </c>
      <c r="E93" s="266">
        <f>COUNTIFS(Database!$N$5:$N$439,"PKWT",Database!$X$5:$X$439,"SMN Loko Lampung")</f>
        <v>0</v>
      </c>
      <c r="F93" s="16">
        <f t="shared" si="1"/>
        <v>0</v>
      </c>
      <c r="H93" s="94"/>
    </row>
    <row r="94" spans="1:8" ht="15.75" customHeight="1" x14ac:dyDescent="0.3">
      <c r="A94" s="10">
        <v>53</v>
      </c>
      <c r="B94" s="126" t="s">
        <v>128</v>
      </c>
      <c r="C94" s="266">
        <f>COUNTIFS(Database!$N$5:$N$439,"ORGANIK",Database!$X$5:$X$439,"SMN Loko Medan")</f>
        <v>0</v>
      </c>
      <c r="D94" s="266">
        <f>COUNTIFS(Database!$N$5:$N$439,"TETAP",Database!$X$5:$X$439,"SMN Loko Medan")</f>
        <v>0</v>
      </c>
      <c r="E94" s="266">
        <f>COUNTIFS(Database!$N$5:$N$439,"PKWT",Database!$X$5:$X$439,"SMN Loko Medan")</f>
        <v>0</v>
      </c>
      <c r="F94" s="16">
        <f t="shared" si="1"/>
        <v>0</v>
      </c>
      <c r="H94" s="94"/>
    </row>
    <row r="95" spans="1:8" ht="15.75" customHeight="1" x14ac:dyDescent="0.3">
      <c r="A95" s="14">
        <v>54</v>
      </c>
      <c r="B95" s="126" t="s">
        <v>129</v>
      </c>
      <c r="C95" s="266">
        <f>COUNTIFS(Database!$N$5:$N$439,"ORGANIK",Database!$X$5:$X$439,"SMN Loko Purwodadi")</f>
        <v>0</v>
      </c>
      <c r="D95" s="266">
        <f>COUNTIFS(Database!$N$5:$N$439,"TETAP",Database!$X$5:$X$439,"SMN Loko Purwodadi")</f>
        <v>0</v>
      </c>
      <c r="E95" s="266">
        <f>COUNTIFS(Database!$N$5:$N$439,"PKWT",Database!$X$5:$X$439,"SMN Loko Purwodadi")</f>
        <v>0</v>
      </c>
      <c r="F95" s="16">
        <f t="shared" si="1"/>
        <v>0</v>
      </c>
      <c r="H95" s="94"/>
    </row>
    <row r="96" spans="1:8" ht="15.75" customHeight="1" x14ac:dyDescent="0.3">
      <c r="A96" s="10">
        <v>55</v>
      </c>
      <c r="B96" s="126" t="s">
        <v>130</v>
      </c>
      <c r="C96" s="266">
        <f>COUNTIFS(Database!$N$5:$N$439,"ORGANIK",Database!$X$5:$X$439,"STRUKTURAL &amp; FUNGSIONAL")</f>
        <v>0</v>
      </c>
      <c r="D96" s="266">
        <f>COUNTIFS(Database!$N$5:$N$439,"TETAP",Database!$X$5:$X$439,"STRUKTURAL &amp; FUNGSIONAL")</f>
        <v>0</v>
      </c>
      <c r="E96" s="266">
        <f>COUNTIFS(Database!$N$5:$N$439,"PKWT",Database!$X$5:$X$439,"STRUKTURAL &amp; FUNGSIONAL")</f>
        <v>0</v>
      </c>
      <c r="F96" s="16">
        <f t="shared" si="1"/>
        <v>0</v>
      </c>
      <c r="H96" s="94"/>
    </row>
    <row r="97" spans="1:15" ht="15.75" customHeight="1" x14ac:dyDescent="0.3">
      <c r="C97" s="1"/>
      <c r="D97" s="1"/>
      <c r="E97" s="1"/>
      <c r="F97" s="1">
        <f>SUM(F42:F96)</f>
        <v>0</v>
      </c>
      <c r="G97" s="1"/>
      <c r="H97" s="94"/>
    </row>
    <row r="98" spans="1:15" ht="15.75" customHeight="1" x14ac:dyDescent="0.3">
      <c r="C98" s="1"/>
      <c r="D98" s="1"/>
      <c r="E98" s="1"/>
      <c r="F98" s="1"/>
      <c r="G98" s="1"/>
      <c r="H98" s="94"/>
    </row>
    <row r="99" spans="1:15" ht="15.75" customHeight="1" x14ac:dyDescent="0.3">
      <c r="A99" s="6" t="s">
        <v>131</v>
      </c>
      <c r="C99" s="1"/>
      <c r="D99" s="1"/>
      <c r="E99" s="1"/>
      <c r="F99" s="1"/>
      <c r="G99" s="1"/>
      <c r="H99" s="94"/>
    </row>
    <row r="100" spans="1:15" ht="15.75" customHeight="1" x14ac:dyDescent="0.3">
      <c r="A100" s="25" t="s">
        <v>7</v>
      </c>
      <c r="B100" s="25" t="s">
        <v>9</v>
      </c>
      <c r="C100" s="25" t="s">
        <v>132</v>
      </c>
      <c r="D100" s="25" t="s">
        <v>133</v>
      </c>
      <c r="E100" s="9" t="s">
        <v>134</v>
      </c>
      <c r="F100" s="39"/>
      <c r="G100" s="40"/>
      <c r="H100" s="94"/>
    </row>
    <row r="101" spans="1:15" ht="15.75" customHeight="1" x14ac:dyDescent="0.3">
      <c r="A101" s="12">
        <v>1</v>
      </c>
      <c r="B101" s="10" t="s">
        <v>11</v>
      </c>
      <c r="C101" s="263">
        <f>COUNTIFS(Database!$N$5:$N$439,"Direksi",Database!$AC$5:$AC$439,"Laki-laki")</f>
        <v>0</v>
      </c>
      <c r="D101" s="263">
        <f>COUNTIFS(Database!$N$5:$N$439,"Direksi",Database!$AC$5:$AC$439,"Perempuan")</f>
        <v>0</v>
      </c>
      <c r="E101" s="12">
        <f>SUM(C101:D101)</f>
        <v>0</v>
      </c>
      <c r="F101" s="81" t="e">
        <f>E101/$E$105*100%</f>
        <v>#DIV/0!</v>
      </c>
      <c r="G101" s="1"/>
      <c r="H101" s="94"/>
    </row>
    <row r="102" spans="1:15" ht="15.75" customHeight="1" x14ac:dyDescent="0.3">
      <c r="A102" s="16">
        <v>2</v>
      </c>
      <c r="B102" s="14" t="s">
        <v>12</v>
      </c>
      <c r="C102" s="263">
        <f>COUNTIFS(Database!$N$5:$N$439,"ORGANIK",Database!$AC$5:$AC$439,"Laki-laki")</f>
        <v>0</v>
      </c>
      <c r="D102" s="263">
        <f>COUNTIFS(Database!$N$5:$N$439,"ORGANIK",Database!$AC$5:$AC$439,"Perempuan")</f>
        <v>0</v>
      </c>
      <c r="E102" s="16">
        <f>SUM(C102:D102)</f>
        <v>0</v>
      </c>
      <c r="F102" s="81" t="e">
        <f>E102/$E$105*100%</f>
        <v>#DIV/0!</v>
      </c>
      <c r="G102" s="1"/>
      <c r="O102" s="82"/>
    </row>
    <row r="103" spans="1:15" ht="15.75" customHeight="1" x14ac:dyDescent="0.3">
      <c r="A103" s="16">
        <v>3</v>
      </c>
      <c r="B103" s="14" t="s">
        <v>13</v>
      </c>
      <c r="C103" s="263">
        <f>COUNTIFS(Database!$N$5:$N$439,"TETAP",Database!$AC$5:$AC$439,"Laki-laki")</f>
        <v>0</v>
      </c>
      <c r="D103" s="263">
        <f>COUNTIFS(Database!$N$5:$N$439,"TETAP",Database!$AC$5:$AC$439,"Perempuan")</f>
        <v>0</v>
      </c>
      <c r="E103" s="16">
        <f>SUM(C103:D103)</f>
        <v>0</v>
      </c>
      <c r="F103" s="81" t="e">
        <f>E103/$E$105*100%</f>
        <v>#DIV/0!</v>
      </c>
      <c r="G103" s="1"/>
      <c r="K103" s="7" t="s">
        <v>12</v>
      </c>
      <c r="L103" s="7" t="s">
        <v>200</v>
      </c>
      <c r="M103" s="7">
        <v>19</v>
      </c>
      <c r="N103" s="7" t="s">
        <v>201</v>
      </c>
      <c r="O103" s="82">
        <v>4.810126582278481E-2</v>
      </c>
    </row>
    <row r="104" spans="1:15" ht="15.75" customHeight="1" x14ac:dyDescent="0.3">
      <c r="A104" s="16">
        <v>5</v>
      </c>
      <c r="B104" s="14" t="s">
        <v>135</v>
      </c>
      <c r="C104" s="263">
        <f>COUNTIFS(Database!$N$5:$N$439,"PKWT",Database!$AC$5:$AC$439,"Laki-laki")</f>
        <v>0</v>
      </c>
      <c r="D104" s="263">
        <f>COUNTIFS(Database!$N$5:$N$439,"PKWT",Database!$AC$5:$AC$439,"Perempuan")</f>
        <v>0</v>
      </c>
      <c r="E104" s="16">
        <f>SUM(C104:D104)</f>
        <v>0</v>
      </c>
      <c r="F104" s="81" t="e">
        <f>E104/$E$105*100%</f>
        <v>#DIV/0!</v>
      </c>
      <c r="G104" s="1"/>
      <c r="K104" s="7" t="s">
        <v>13</v>
      </c>
      <c r="L104" s="7" t="s">
        <v>200</v>
      </c>
      <c r="M104" s="7">
        <v>57</v>
      </c>
      <c r="N104" s="7" t="s">
        <v>201</v>
      </c>
      <c r="O104" s="82">
        <v>0.14430379746835442</v>
      </c>
    </row>
    <row r="105" spans="1:15" ht="15.75" customHeight="1" x14ac:dyDescent="0.3">
      <c r="A105" s="9"/>
      <c r="B105" s="9" t="s">
        <v>134</v>
      </c>
      <c r="C105" s="9">
        <f>SUM(C101:C104)</f>
        <v>0</v>
      </c>
      <c r="D105" s="9">
        <f>SUM(D101:D104)</f>
        <v>0</v>
      </c>
      <c r="E105" s="9">
        <f>C105+D105</f>
        <v>0</v>
      </c>
      <c r="F105" s="39"/>
      <c r="G105" s="39"/>
      <c r="H105" s="6"/>
      <c r="K105" s="7" t="s">
        <v>135</v>
      </c>
      <c r="L105" s="7" t="s">
        <v>200</v>
      </c>
      <c r="M105" s="7">
        <v>319</v>
      </c>
      <c r="N105" s="7" t="s">
        <v>201</v>
      </c>
      <c r="O105" s="82">
        <v>0.80759493670886073</v>
      </c>
    </row>
    <row r="106" spans="1:15" ht="15.75" customHeight="1" x14ac:dyDescent="0.3">
      <c r="C106" s="1"/>
      <c r="D106" s="1"/>
      <c r="E106" s="1"/>
      <c r="F106" s="1"/>
      <c r="G106" s="1"/>
    </row>
    <row r="107" spans="1:15" ht="15.75" customHeight="1" x14ac:dyDescent="0.3">
      <c r="A107" s="6" t="s">
        <v>136</v>
      </c>
      <c r="C107" s="1"/>
      <c r="D107" s="1"/>
      <c r="E107" s="1"/>
      <c r="F107" s="1"/>
      <c r="G107" s="1"/>
    </row>
    <row r="108" spans="1:15" ht="15.75" customHeight="1" x14ac:dyDescent="0.3">
      <c r="A108" s="41" t="s">
        <v>7</v>
      </c>
      <c r="B108" s="41" t="s">
        <v>9</v>
      </c>
      <c r="C108" s="41" t="s">
        <v>132</v>
      </c>
      <c r="D108" s="41" t="s">
        <v>133</v>
      </c>
      <c r="E108" s="42" t="s">
        <v>134</v>
      </c>
      <c r="F108" s="39"/>
      <c r="G108" s="40"/>
      <c r="H108" s="40"/>
    </row>
    <row r="109" spans="1:15" ht="15.75" customHeight="1" x14ac:dyDescent="0.3">
      <c r="A109" s="12">
        <v>1</v>
      </c>
      <c r="B109" s="126" t="s">
        <v>11</v>
      </c>
      <c r="C109" s="263">
        <f>COUNTIFS(Database!$AC$5:$AC$439,"Laki-laki",Database!$T$5:$T$439,"Direksi")</f>
        <v>0</v>
      </c>
      <c r="D109" s="263">
        <f>COUNTIFS(Database!$AC$5:$AC$439,"Perempuan",Database!$T$5:$T$439,"Direksi")</f>
        <v>0</v>
      </c>
      <c r="E109" s="12">
        <f t="shared" ref="E109:E115" si="2">SUM(C109:D109)</f>
        <v>0</v>
      </c>
      <c r="F109" s="126"/>
      <c r="G109" s="94" t="s">
        <v>11</v>
      </c>
      <c r="H109" s="123"/>
    </row>
    <row r="110" spans="1:15" ht="15.75" customHeight="1" x14ac:dyDescent="0.3">
      <c r="A110" s="16">
        <v>2</v>
      </c>
      <c r="B110" s="126" t="s">
        <v>138</v>
      </c>
      <c r="C110" s="263">
        <f>COUNTIFS(Database!$AC$5:$AC$439,"Laki-laki",Database!$T$5:$T$439,"Kepala Bagian")</f>
        <v>0</v>
      </c>
      <c r="D110" s="263">
        <f>COUNTIFS(Database!$AC$5:$AC$439,"Perempuan",Database!$T$5:$T$439,"Kepala Bagian")</f>
        <v>0</v>
      </c>
      <c r="E110" s="12">
        <f t="shared" si="2"/>
        <v>0</v>
      </c>
      <c r="F110" s="126"/>
      <c r="G110" s="94" t="s">
        <v>138</v>
      </c>
    </row>
    <row r="111" spans="1:15" ht="15.75" customHeight="1" x14ac:dyDescent="0.3">
      <c r="A111" s="12">
        <v>3</v>
      </c>
      <c r="B111" s="126" t="s">
        <v>137</v>
      </c>
      <c r="C111" s="263">
        <f>COUNTIFS(Database!$AC$5:$AC$439,"Laki-laki",Database!$T$5:$T$439,"Kepala Departemen")</f>
        <v>0</v>
      </c>
      <c r="D111" s="263">
        <f>COUNTIFS(Database!$AC$5:$AC$439,"Perempuan",Database!$T$5:$T$439,"Kepala Departemen")</f>
        <v>0</v>
      </c>
      <c r="E111" s="12">
        <f t="shared" si="2"/>
        <v>0</v>
      </c>
      <c r="F111" s="126"/>
      <c r="G111" s="94" t="s">
        <v>137</v>
      </c>
    </row>
    <row r="112" spans="1:15" ht="15.75" customHeight="1" x14ac:dyDescent="0.3">
      <c r="A112" s="12">
        <v>4</v>
      </c>
      <c r="B112" s="126" t="s">
        <v>142</v>
      </c>
      <c r="C112" s="263">
        <f>COUNTIFS(Database!$AC$5:$AC$439,"Laki-laki",Database!$T$5:$T$439,"Kepala Divisi")</f>
        <v>0</v>
      </c>
      <c r="D112" s="263">
        <f>COUNTIFS(Database!$AC$5:$AC$439,"Perempuan",Database!$T$5:$T$439,"Kepala Divisi")</f>
        <v>0</v>
      </c>
      <c r="E112" s="12">
        <f t="shared" si="2"/>
        <v>0</v>
      </c>
      <c r="F112" s="126"/>
      <c r="G112" s="94" t="s">
        <v>142</v>
      </c>
    </row>
    <row r="113" spans="1:14" ht="15.75" customHeight="1" x14ac:dyDescent="0.3">
      <c r="A113" s="16">
        <v>5</v>
      </c>
      <c r="B113" s="126" t="s">
        <v>205</v>
      </c>
      <c r="C113" s="263">
        <f>COUNTIFS(Database!$AC$5:$AC$439,"Laki-laki",Database!$T$5:$T$439,"Staf / Leader")</f>
        <v>0</v>
      </c>
      <c r="D113" s="263">
        <f>COUNTIFS(Database!$AC$5:$AC$439,"Perempuan",Database!$T$5:$T$439,"Staf / Leader")</f>
        <v>0</v>
      </c>
      <c r="E113" s="12">
        <f t="shared" si="2"/>
        <v>0</v>
      </c>
      <c r="F113" s="126"/>
      <c r="G113" s="94" t="s">
        <v>205</v>
      </c>
    </row>
    <row r="114" spans="1:14" ht="15.75" customHeight="1" x14ac:dyDescent="0.3">
      <c r="A114" s="12">
        <v>6</v>
      </c>
      <c r="B114" s="126" t="s">
        <v>206</v>
      </c>
      <c r="C114" s="263">
        <f>COUNTIFS(Database!$AC$5:$AC$439,"Laki-laki",Database!$T$5:$T$439,"Staf / Pelaksana / Teknisi")</f>
        <v>0</v>
      </c>
      <c r="D114" s="263">
        <f>COUNTIFS(Database!$AC$5:$AC$439,"Perempuan",Database!$T$5:$T$439,"Staf / Pelaksana / Teknisi")</f>
        <v>0</v>
      </c>
      <c r="E114" s="12">
        <f t="shared" si="2"/>
        <v>0</v>
      </c>
      <c r="F114" s="126"/>
      <c r="G114" s="94" t="s">
        <v>206</v>
      </c>
    </row>
    <row r="115" spans="1:14" ht="15.75" customHeight="1" x14ac:dyDescent="0.3">
      <c r="A115" s="12">
        <v>7</v>
      </c>
      <c r="B115" s="126" t="s">
        <v>139</v>
      </c>
      <c r="C115" s="263">
        <f>COUNTIFS(Database!$AC$5:$AC$439,"Laki-laki",Database!$T$5:$T$439,"Staff")</f>
        <v>0</v>
      </c>
      <c r="D115" s="263">
        <f>COUNTIFS(Database!$AC$5:$AC$439,"Perempuan",Database!$T$5:$T$439,"Staff")</f>
        <v>0</v>
      </c>
      <c r="E115" s="12">
        <f t="shared" si="2"/>
        <v>0</v>
      </c>
      <c r="F115" s="126"/>
      <c r="G115" s="128" t="s">
        <v>139</v>
      </c>
    </row>
    <row r="116" spans="1:14" ht="15.75" customHeight="1" x14ac:dyDescent="0.3">
      <c r="A116" s="9"/>
      <c r="B116" s="9" t="s">
        <v>134</v>
      </c>
      <c r="C116" s="9">
        <f>SUM(C110:C115)</f>
        <v>0</v>
      </c>
      <c r="D116" s="9">
        <f>SUM(D110:D115)</f>
        <v>0</v>
      </c>
      <c r="E116" s="9">
        <f>SUM(E109:E115)</f>
        <v>0</v>
      </c>
      <c r="F116" s="39"/>
      <c r="G116" s="39"/>
      <c r="H116" s="6"/>
    </row>
    <row r="117" spans="1:14" ht="15.75" customHeight="1" x14ac:dyDescent="0.3">
      <c r="C117" s="1"/>
      <c r="D117" s="1"/>
      <c r="E117" s="1"/>
      <c r="F117" s="1"/>
      <c r="G117" s="1"/>
    </row>
    <row r="118" spans="1:14" ht="15.75" customHeight="1" x14ac:dyDescent="0.3">
      <c r="A118" s="6" t="s">
        <v>143</v>
      </c>
      <c r="C118" s="1"/>
      <c r="D118" s="1"/>
      <c r="E118" s="1"/>
      <c r="F118" s="1"/>
      <c r="G118" s="1"/>
    </row>
    <row r="119" spans="1:14" ht="15.75" customHeight="1" x14ac:dyDescent="0.3">
      <c r="A119" s="41" t="s">
        <v>7</v>
      </c>
      <c r="B119" s="41" t="s">
        <v>9</v>
      </c>
      <c r="C119" s="41" t="s">
        <v>132</v>
      </c>
      <c r="D119" s="41" t="s">
        <v>133</v>
      </c>
      <c r="E119" s="42" t="s">
        <v>134</v>
      </c>
      <c r="F119" s="39"/>
      <c r="G119" s="40"/>
      <c r="H119" s="40"/>
    </row>
    <row r="120" spans="1:14" ht="15.75" customHeight="1" x14ac:dyDescent="0.3">
      <c r="A120" s="12">
        <v>1</v>
      </c>
      <c r="B120" s="126" t="s">
        <v>144</v>
      </c>
      <c r="C120" s="263">
        <f>COUNTIFS(Database!$O$5:$O$439,"IMSS",Database!$AC$5:$AC$439,"Laki-laki",Database!$Y$5:$Y$439,"Fasilitas Pemeliharaan dan Pemeliharaan Fasilitas Sipil")+COUNTIFS(Database!$O$5:$O$439,"IMSS",Database!$AC$5:$AC$439,"Laki-laki",Database!$Y$5:$Y$439,"Pengelolaan dan Pengendalian Aset INKA")</f>
        <v>0</v>
      </c>
      <c r="D120" s="263">
        <f>COUNTIFS(Database!$O$5:$O$439,"IMSS",Database!$AC$5:$AC$439,"PEREMPUAN",Database!$Y$5:$Y$439,"Fasilitas Pemeliharaan dan Pemeliharaan Fasilitas Sipil")+COUNTIFS(Database!$O$5:$O$439,"IMSS",Database!$AC$5:$AC$439,"PEREMPUAN",Database!$Y$5:$Y$439,"Pengelolaan dan Pengendalian Aset INKA")</f>
        <v>0</v>
      </c>
      <c r="E120" s="12">
        <f t="shared" ref="E120:E129" si="3">SUM(C120:D120)</f>
        <v>0</v>
      </c>
      <c r="F120" s="81" t="e">
        <f t="shared" ref="F120:F129" si="4">E120/$E$130*100%</f>
        <v>#DIV/0!</v>
      </c>
      <c r="G120" s="1"/>
      <c r="H120" s="94" t="s">
        <v>207</v>
      </c>
    </row>
    <row r="121" spans="1:14" ht="15.75" customHeight="1" x14ac:dyDescent="0.3">
      <c r="A121" s="16">
        <v>2</v>
      </c>
      <c r="B121" s="126" t="s">
        <v>59</v>
      </c>
      <c r="C121" s="263">
        <f>COUNTIFS(Database!$O$5:$O$439,"IMSS",Database!$AC$5:$AC$439,"Laki-laki",Database!$Y$5:$Y$439,"PEMASARAN")</f>
        <v>0</v>
      </c>
      <c r="D121" s="263">
        <f>COUNTIFS(Database!$O$5:$O$439,"IMSS",Database!$AC$5:$AC$439,"Perempuan",Database!$Y$5:$Y$439,"PEMASARAN")</f>
        <v>0</v>
      </c>
      <c r="E121" s="16">
        <f t="shared" si="3"/>
        <v>0</v>
      </c>
      <c r="F121" s="81" t="e">
        <f t="shared" si="4"/>
        <v>#DIV/0!</v>
      </c>
      <c r="G121" s="1"/>
      <c r="H121" s="94" t="s">
        <v>50</v>
      </c>
      <c r="L121" s="7" t="s">
        <v>144</v>
      </c>
      <c r="M121" s="7">
        <v>57</v>
      </c>
      <c r="N121" s="82">
        <v>0.15240641711229946</v>
      </c>
    </row>
    <row r="122" spans="1:14" ht="15.75" customHeight="1" x14ac:dyDescent="0.3">
      <c r="A122" s="12">
        <v>3</v>
      </c>
      <c r="B122" s="126" t="s">
        <v>104</v>
      </c>
      <c r="C122" s="263">
        <f>COUNTIFS(Database!$O$5:$O$439,"IMSS",Database!$AC$5:$AC$439,"Laki-laki",Database!$Y$5:$Y$439,"SDM dan Umum")</f>
        <v>0</v>
      </c>
      <c r="D122" s="263">
        <f>COUNTIFS(Database!$O$5:$O$439,"IMSS",Database!$AC$5:$AC$439,"Perempuan",Database!$Y$5:$Y$439,"SDM dan Umum")</f>
        <v>0</v>
      </c>
      <c r="E122" s="16">
        <f t="shared" si="3"/>
        <v>0</v>
      </c>
      <c r="F122" s="81" t="e">
        <f t="shared" si="4"/>
        <v>#DIV/0!</v>
      </c>
      <c r="G122" s="1"/>
      <c r="H122" s="94" t="s">
        <v>59</v>
      </c>
      <c r="L122" s="7" t="s">
        <v>59</v>
      </c>
      <c r="M122" s="7">
        <v>8</v>
      </c>
      <c r="N122" s="82">
        <v>2.1390374331550801E-2</v>
      </c>
    </row>
    <row r="123" spans="1:14" ht="15.75" customHeight="1" x14ac:dyDescent="0.3">
      <c r="A123" s="16">
        <v>4</v>
      </c>
      <c r="B123" s="126" t="s">
        <v>107</v>
      </c>
      <c r="C123" s="263">
        <f>COUNTIFS(Database!$O$5:$O$439,"IMSS",Database!$AC$5:$AC$439,"Laki-laki",Database!$Y$5:$Y$439,"Sekper, Legal dan Tata Kelola")</f>
        <v>0</v>
      </c>
      <c r="D123" s="263">
        <f>COUNTIFS(Database!$O$5:$O$439,"IMSS",Database!$AC$5:$AC$439,"Perempuan",Database!$Y$5:$Y$439,"Sekper, Legal dan Tata Kelola")</f>
        <v>0</v>
      </c>
      <c r="E123" s="16">
        <f t="shared" si="3"/>
        <v>0</v>
      </c>
      <c r="F123" s="81" t="e">
        <f t="shared" si="4"/>
        <v>#DIV/0!</v>
      </c>
      <c r="G123" s="1"/>
      <c r="H123" s="94" t="s">
        <v>208</v>
      </c>
      <c r="L123" s="7" t="s">
        <v>104</v>
      </c>
      <c r="M123" s="7">
        <v>7</v>
      </c>
      <c r="N123" s="82">
        <v>1.871657754010695E-2</v>
      </c>
    </row>
    <row r="124" spans="1:14" ht="15.75" customHeight="1" x14ac:dyDescent="0.3">
      <c r="A124" s="12">
        <v>5</v>
      </c>
      <c r="B124" s="126" t="s">
        <v>115</v>
      </c>
      <c r="C124" s="263">
        <f>COUNTIFS(Database!$O$5:$O$439,"IMSS",Database!$AC$5:$AC$439,"Laki-laki",Database!$Y$5:$Y$439,"SMK3")</f>
        <v>0</v>
      </c>
      <c r="D124" s="263">
        <f>COUNTIFS(Database!$O$5:$O$439,"IMSS",Database!$AC$5:$AC$439,"Perempuan",Database!$Y$5:$Y$439,"SMK3")</f>
        <v>0</v>
      </c>
      <c r="E124" s="16">
        <f t="shared" si="3"/>
        <v>0</v>
      </c>
      <c r="F124" s="81" t="e">
        <f t="shared" si="4"/>
        <v>#DIV/0!</v>
      </c>
      <c r="G124" s="1"/>
      <c r="H124" s="94" t="s">
        <v>104</v>
      </c>
      <c r="L124" s="7" t="s">
        <v>107</v>
      </c>
      <c r="M124" s="7">
        <v>3</v>
      </c>
      <c r="N124" s="82">
        <v>8.0213903743315516E-3</v>
      </c>
    </row>
    <row r="125" spans="1:14" ht="15.75" customHeight="1" x14ac:dyDescent="0.3">
      <c r="A125" s="16">
        <v>6</v>
      </c>
      <c r="B125" s="126" t="s">
        <v>116</v>
      </c>
      <c r="C125" s="263">
        <f>COUNTIFS(Database!$O$5:$O$439,"IMSS",Database!$AC$5:$AC$439,"Laki-laki",Database!$Y$5:$Y$439,"SPI")</f>
        <v>0</v>
      </c>
      <c r="D125" s="263">
        <f>COUNTIFS(Database!$O$5:$O$439,"IMSS",Database!$AC$5:$AC$439,"Perempuan",Database!$Y$5:$Y$439,"SPI")</f>
        <v>0</v>
      </c>
      <c r="E125" s="16">
        <f t="shared" si="3"/>
        <v>0</v>
      </c>
      <c r="F125" s="81" t="e">
        <f t="shared" si="4"/>
        <v>#DIV/0!</v>
      </c>
      <c r="G125" s="1"/>
      <c r="H125" s="94" t="s">
        <v>107</v>
      </c>
      <c r="L125" s="7" t="s">
        <v>115</v>
      </c>
      <c r="M125" s="7">
        <v>2</v>
      </c>
      <c r="N125" s="82">
        <v>5.3475935828877002E-3</v>
      </c>
    </row>
    <row r="126" spans="1:14" ht="15.75" customHeight="1" x14ac:dyDescent="0.3">
      <c r="A126" s="12">
        <v>7</v>
      </c>
      <c r="B126" s="126" t="s">
        <v>120</v>
      </c>
      <c r="C126" s="263">
        <f>COUNTIFS(Database!$O$5:$O$439,"IMSS",Database!$AC$5:$AC$439,"Laki-laki",Database!$Y$5:$Y$439,"Teknik dan logistik")</f>
        <v>0</v>
      </c>
      <c r="D126" s="263">
        <f>COUNTIFS(Database!$O$5:$O$439,"IMSS",Database!$AC$5:$AC$439,"Perempuan",Database!$Y$5:$Y$439,"Teknik dan logistik")</f>
        <v>0</v>
      </c>
      <c r="E126" s="16">
        <f t="shared" si="3"/>
        <v>0</v>
      </c>
      <c r="F126" s="81" t="e">
        <f t="shared" si="4"/>
        <v>#DIV/0!</v>
      </c>
      <c r="G126" s="1"/>
      <c r="H126" s="94" t="s">
        <v>115</v>
      </c>
      <c r="L126" s="7" t="s">
        <v>116</v>
      </c>
      <c r="M126" s="7">
        <v>0</v>
      </c>
      <c r="N126" s="82">
        <v>0</v>
      </c>
    </row>
    <row r="127" spans="1:14" ht="15.75" customHeight="1" x14ac:dyDescent="0.3">
      <c r="A127" s="16">
        <v>8</v>
      </c>
      <c r="B127" s="126" t="s">
        <v>121</v>
      </c>
      <c r="C127" s="263">
        <f>COUNTIFS(Database!$O$5:$O$439,"IMSS",Database!$AC$5:$AC$439,"Laki-laki",Database!$Y$5:$Y$439,"Wilayah I")</f>
        <v>0</v>
      </c>
      <c r="D127" s="263">
        <f>COUNTIFS(Database!$O$5:$O$439,"IMSS",Database!$AC$5:$AC$439,"Perempuan",Database!$Y$5:$Y$439,"Wilayah I")</f>
        <v>0</v>
      </c>
      <c r="E127" s="16">
        <f t="shared" si="3"/>
        <v>0</v>
      </c>
      <c r="F127" s="81" t="e">
        <f t="shared" si="4"/>
        <v>#DIV/0!</v>
      </c>
      <c r="G127" s="1"/>
      <c r="H127" s="94" t="s">
        <v>116</v>
      </c>
      <c r="L127" s="7" t="s">
        <v>120</v>
      </c>
      <c r="M127" s="7">
        <v>23</v>
      </c>
      <c r="N127" s="82">
        <v>6.1497326203208559E-2</v>
      </c>
    </row>
    <row r="128" spans="1:14" ht="15.75" customHeight="1" x14ac:dyDescent="0.3">
      <c r="A128" s="12">
        <v>9</v>
      </c>
      <c r="B128" s="126" t="s">
        <v>122</v>
      </c>
      <c r="C128" s="263">
        <f>COUNTIFS(Database!$O$5:$O$439,"IMSS",Database!$AC$5:$AC$439,"Laki-laki",Database!$Y$5:$Y$439,"Wilayah II")</f>
        <v>0</v>
      </c>
      <c r="D128" s="263">
        <f>COUNTIFS(Database!$O$5:$O$439,"IMSS",Database!$AC$5:$AC$439,"Perempuan",Database!$Y$5:$Y$439,"Wilayah II")</f>
        <v>0</v>
      </c>
      <c r="E128" s="16">
        <f t="shared" si="3"/>
        <v>0</v>
      </c>
      <c r="F128" s="81" t="e">
        <f t="shared" si="4"/>
        <v>#DIV/0!</v>
      </c>
      <c r="G128" s="1"/>
      <c r="H128" s="94" t="s">
        <v>209</v>
      </c>
      <c r="L128" s="7" t="s">
        <v>121</v>
      </c>
      <c r="M128" s="7">
        <v>176</v>
      </c>
      <c r="N128" s="82">
        <v>0.47058823529411764</v>
      </c>
    </row>
    <row r="129" spans="1:14" ht="15.75" customHeight="1" x14ac:dyDescent="0.3">
      <c r="A129" s="16">
        <v>10</v>
      </c>
      <c r="B129" s="126" t="s">
        <v>50</v>
      </c>
      <c r="C129" s="263">
        <f>COUNTIFS(Database!$O$5:$O$439,"IMSS",Database!$AC$5:$AC$439,"Laki-laki",Database!$Y$5:$Y$439,"KEUANGAN")</f>
        <v>0</v>
      </c>
      <c r="D129" s="263">
        <f>COUNTIFS(Database!$O$5:$O$439,"IMSS",Database!$AC$5:$AC$439,"Perempuan",Database!$Y$5:$Y$439,"KEUANGAN")</f>
        <v>0</v>
      </c>
      <c r="E129" s="16">
        <f t="shared" si="3"/>
        <v>0</v>
      </c>
      <c r="F129" s="81" t="e">
        <f t="shared" si="4"/>
        <v>#DIV/0!</v>
      </c>
      <c r="G129" s="1"/>
      <c r="H129" s="94" t="s">
        <v>120</v>
      </c>
      <c r="L129" s="7" t="s">
        <v>122</v>
      </c>
      <c r="M129" s="7">
        <v>92</v>
      </c>
      <c r="N129" s="82">
        <v>0.24598930481283424</v>
      </c>
    </row>
    <row r="130" spans="1:14" ht="15.75" customHeight="1" x14ac:dyDescent="0.3">
      <c r="A130" s="9"/>
      <c r="B130" s="9" t="s">
        <v>134</v>
      </c>
      <c r="C130" s="9">
        <f>SUM(C120:C129)</f>
        <v>0</v>
      </c>
      <c r="D130" s="9">
        <f>SUM(D120:D129)</f>
        <v>0</v>
      </c>
      <c r="E130" s="9">
        <f>SUM(E120:E129)</f>
        <v>0</v>
      </c>
      <c r="F130" s="39"/>
      <c r="G130" s="39"/>
      <c r="H130" s="94" t="s">
        <v>121</v>
      </c>
      <c r="L130" s="7" t="s">
        <v>50</v>
      </c>
      <c r="M130" s="7">
        <v>6</v>
      </c>
      <c r="N130" s="82">
        <v>1.6042780748663103E-2</v>
      </c>
    </row>
    <row r="131" spans="1:14" ht="15.75" customHeight="1" x14ac:dyDescent="0.3">
      <c r="C131" s="1"/>
      <c r="D131" s="1"/>
      <c r="E131" s="1"/>
      <c r="F131" s="1"/>
      <c r="G131" s="1"/>
      <c r="H131" s="94" t="s">
        <v>122</v>
      </c>
    </row>
    <row r="132" spans="1:14" ht="15.75" customHeight="1" x14ac:dyDescent="0.3">
      <c r="C132" s="1"/>
      <c r="D132" s="1"/>
      <c r="E132" s="1"/>
      <c r="F132" s="1"/>
      <c r="G132" s="1"/>
      <c r="H132" s="94"/>
    </row>
    <row r="133" spans="1:14" ht="15.75" customHeight="1" x14ac:dyDescent="0.3">
      <c r="C133" s="1"/>
      <c r="D133" s="1"/>
      <c r="E133" s="1"/>
      <c r="F133" s="1"/>
      <c r="G133" s="1"/>
      <c r="H133" s="94"/>
    </row>
    <row r="134" spans="1:14" ht="15.75" customHeight="1" x14ac:dyDescent="0.3">
      <c r="A134" s="6" t="s">
        <v>210</v>
      </c>
      <c r="C134" s="1"/>
      <c r="D134" s="1"/>
      <c r="E134" s="1"/>
      <c r="F134" s="1"/>
      <c r="G134" s="1"/>
      <c r="H134" s="94"/>
    </row>
    <row r="135" spans="1:14" ht="15.75" customHeight="1" x14ac:dyDescent="0.3">
      <c r="A135" s="41" t="s">
        <v>7</v>
      </c>
      <c r="B135" s="41" t="s">
        <v>9</v>
      </c>
      <c r="C135" s="41" t="s">
        <v>132</v>
      </c>
      <c r="D135" s="41" t="s">
        <v>133</v>
      </c>
      <c r="E135" s="42" t="s">
        <v>134</v>
      </c>
      <c r="F135" s="39"/>
      <c r="G135" s="1"/>
      <c r="H135" s="94"/>
    </row>
    <row r="136" spans="1:14" ht="15.75" customHeight="1" x14ac:dyDescent="0.3">
      <c r="A136" s="12">
        <v>1</v>
      </c>
      <c r="B136" s="126" t="s">
        <v>144</v>
      </c>
      <c r="C136" s="263">
        <f>COUNTIFS(Database!$AC$5:$AC$439,"Laki-laki",Database!$Y$5:$Y$439,"Fasilitas Pemeliharaan dan Pemeliharaan Fasilitas Sipil")+COUNTIFS(Database!$AC$5:$AC$439,"Laki-laki",Database!$Y$5:$Y$439,"Pengelolaan dan Pengendalian Aset INKA")</f>
        <v>0</v>
      </c>
      <c r="D136" s="263">
        <f>COUNTIFS(Database!$AC$5:$AC$439,"PEREMPUAN",Database!$Y$5:$Y$439,"Fasilitas Pemeliharaan dan Pemeliharaan Fasilitas Sipil")+COUNTIFS(Database!$AC$5:$AC$439,"PEREMPUAN",Database!$Y$5:$Y$439,"Pengelolaan dan Pengendalian Aset INKA")</f>
        <v>0</v>
      </c>
      <c r="E136" s="12">
        <f t="shared" ref="E136:E145" si="5">SUM(C136:D136)</f>
        <v>0</v>
      </c>
      <c r="F136" s="81" t="e">
        <f t="shared" ref="F136:F145" si="6">E136/$E$130*100%</f>
        <v>#DIV/0!</v>
      </c>
      <c r="G136" s="1"/>
      <c r="H136" s="94"/>
    </row>
    <row r="137" spans="1:14" ht="15.75" customHeight="1" x14ac:dyDescent="0.3">
      <c r="A137" s="16">
        <v>2</v>
      </c>
      <c r="B137" s="126" t="s">
        <v>59</v>
      </c>
      <c r="C137" s="263">
        <f>COUNTIFS(Database!$AC$5:$AC$439,"Laki-laki",Database!$Y$5:$Y$439,"PEMASARAN")</f>
        <v>0</v>
      </c>
      <c r="D137" s="263">
        <f>COUNTIFS(Database!$AC$5:$AC$439,"Perempuan",Database!$Y$5:$Y$439,"PEMASARAN")</f>
        <v>0</v>
      </c>
      <c r="E137" s="16">
        <f t="shared" si="5"/>
        <v>0</v>
      </c>
      <c r="F137" s="81" t="e">
        <f t="shared" si="6"/>
        <v>#DIV/0!</v>
      </c>
      <c r="G137" s="1"/>
      <c r="H137" s="94"/>
      <c r="J137" s="126" t="s">
        <v>144</v>
      </c>
      <c r="K137" s="127" t="s">
        <v>200</v>
      </c>
      <c r="L137" s="12">
        <v>57</v>
      </c>
      <c r="M137" s="1" t="s">
        <v>201</v>
      </c>
      <c r="N137" s="81">
        <v>0.15240641711229946</v>
      </c>
    </row>
    <row r="138" spans="1:14" ht="15.75" customHeight="1" x14ac:dyDescent="0.3">
      <c r="A138" s="12">
        <v>3</v>
      </c>
      <c r="B138" s="126" t="s">
        <v>104</v>
      </c>
      <c r="C138" s="263">
        <f>COUNTIFS(Database!$AC$5:$AC$439,"Laki-laki",Database!$Y$5:$Y$439,"SDM dan Umum")</f>
        <v>0</v>
      </c>
      <c r="D138" s="263">
        <f>COUNTIFS(Database!$AC$5:$AC$439,"Perempuan",Database!$Y$5:$Y$439,"SDM dan Umum")</f>
        <v>0</v>
      </c>
      <c r="E138" s="16">
        <f t="shared" si="5"/>
        <v>0</v>
      </c>
      <c r="F138" s="81" t="e">
        <f t="shared" si="6"/>
        <v>#DIV/0!</v>
      </c>
      <c r="G138" s="1"/>
      <c r="H138" s="94"/>
      <c r="J138" s="126" t="s">
        <v>59</v>
      </c>
      <c r="K138" s="127" t="s">
        <v>200</v>
      </c>
      <c r="L138" s="16">
        <v>12</v>
      </c>
      <c r="M138" s="1" t="s">
        <v>201</v>
      </c>
      <c r="N138" s="81">
        <v>3.2085561497326207E-2</v>
      </c>
    </row>
    <row r="139" spans="1:14" ht="15.75" customHeight="1" x14ac:dyDescent="0.3">
      <c r="A139" s="16">
        <v>4</v>
      </c>
      <c r="B139" s="126" t="s">
        <v>107</v>
      </c>
      <c r="C139" s="263">
        <f>COUNTIFS(Database!$AC$5:$AC$439,"Laki-laki",Database!$Y$5:$Y$439,"Sekper, Legal dan Tata Kelola")</f>
        <v>0</v>
      </c>
      <c r="D139" s="263">
        <f>COUNTIFS(Database!$AC$5:$AC$439,"Perempuan",Database!$Y$5:$Y$439,"Sekper, Legal dan Tata Kelola")</f>
        <v>0</v>
      </c>
      <c r="E139" s="16">
        <f t="shared" si="5"/>
        <v>0</v>
      </c>
      <c r="F139" s="81" t="e">
        <f t="shared" si="6"/>
        <v>#DIV/0!</v>
      </c>
      <c r="G139" s="1"/>
      <c r="H139" s="94"/>
      <c r="J139" s="126" t="s">
        <v>104</v>
      </c>
      <c r="K139" s="127" t="s">
        <v>200</v>
      </c>
      <c r="L139" s="16">
        <v>8</v>
      </c>
      <c r="M139" s="1" t="s">
        <v>201</v>
      </c>
      <c r="N139" s="81">
        <v>2.1390374331550801E-2</v>
      </c>
    </row>
    <row r="140" spans="1:14" ht="15.75" customHeight="1" x14ac:dyDescent="0.3">
      <c r="A140" s="12">
        <v>5</v>
      </c>
      <c r="B140" s="126" t="s">
        <v>115</v>
      </c>
      <c r="C140" s="263">
        <f>COUNTIFS(Database!$AC$5:$AC$439,"Laki-laki",Database!$Y$5:$Y$439,"SMK3")</f>
        <v>0</v>
      </c>
      <c r="D140" s="263">
        <f>COUNTIFS(Database!$AC$5:$AC$439,"Perempuan",Database!$Y$5:$Y$439,"SMK3")</f>
        <v>0</v>
      </c>
      <c r="E140" s="16">
        <f t="shared" si="5"/>
        <v>0</v>
      </c>
      <c r="F140" s="81" t="e">
        <f t="shared" si="6"/>
        <v>#DIV/0!</v>
      </c>
      <c r="G140" s="1"/>
      <c r="H140" s="94"/>
      <c r="J140" s="126" t="s">
        <v>107</v>
      </c>
      <c r="K140" s="127" t="s">
        <v>200</v>
      </c>
      <c r="L140" s="16">
        <v>3</v>
      </c>
      <c r="M140" s="1" t="s">
        <v>201</v>
      </c>
      <c r="N140" s="81">
        <v>8.0213903743315516E-3</v>
      </c>
    </row>
    <row r="141" spans="1:14" ht="15.75" customHeight="1" x14ac:dyDescent="0.3">
      <c r="A141" s="16">
        <v>6</v>
      </c>
      <c r="B141" s="126" t="s">
        <v>116</v>
      </c>
      <c r="C141" s="263">
        <f>COUNTIFS(Database!$AC$5:$AC$439,"Laki-laki",Database!$Y$5:$Y$439,"SPI")</f>
        <v>0</v>
      </c>
      <c r="D141" s="263">
        <f>COUNTIFS(Database!$AC$5:$AC$439,"Perempuan",Database!$Y$5:$Y$439,"SPI")</f>
        <v>0</v>
      </c>
      <c r="E141" s="16">
        <f t="shared" si="5"/>
        <v>0</v>
      </c>
      <c r="F141" s="81" t="e">
        <f t="shared" si="6"/>
        <v>#DIV/0!</v>
      </c>
      <c r="G141" s="1"/>
      <c r="H141" s="94"/>
      <c r="J141" s="126" t="s">
        <v>115</v>
      </c>
      <c r="K141" s="127" t="s">
        <v>200</v>
      </c>
      <c r="L141" s="16">
        <v>2</v>
      </c>
      <c r="M141" s="1" t="s">
        <v>201</v>
      </c>
      <c r="N141" s="81">
        <v>5.3475935828877002E-3</v>
      </c>
    </row>
    <row r="142" spans="1:14" ht="15.75" customHeight="1" x14ac:dyDescent="0.3">
      <c r="A142" s="12">
        <v>7</v>
      </c>
      <c r="B142" s="126" t="s">
        <v>120</v>
      </c>
      <c r="C142" s="263">
        <f>COUNTIFS(Database!$AC$5:$AC$439,"Laki-laki",Database!$Y$5:$Y$439,"Teknik dan logistik")</f>
        <v>0</v>
      </c>
      <c r="D142" s="263">
        <f>COUNTIFS(Database!$AC$5:$AC$439,"Perempuan",Database!$Y$5:$Y$439,"Teknik dan logistik")</f>
        <v>0</v>
      </c>
      <c r="E142" s="16">
        <f t="shared" si="5"/>
        <v>0</v>
      </c>
      <c r="F142" s="81" t="e">
        <f t="shared" si="6"/>
        <v>#DIV/0!</v>
      </c>
      <c r="G142" s="1"/>
      <c r="H142" s="94"/>
      <c r="J142" s="126" t="s">
        <v>116</v>
      </c>
      <c r="K142" s="127" t="s">
        <v>200</v>
      </c>
      <c r="L142" s="16">
        <v>1</v>
      </c>
      <c r="M142" s="1" t="s">
        <v>201</v>
      </c>
      <c r="N142" s="81">
        <v>2.6737967914438501E-3</v>
      </c>
    </row>
    <row r="143" spans="1:14" ht="15.75" customHeight="1" x14ac:dyDescent="0.3">
      <c r="A143" s="16">
        <v>8</v>
      </c>
      <c r="B143" s="126" t="s">
        <v>121</v>
      </c>
      <c r="C143" s="263">
        <f>COUNTIFS(Database!$AC$5:$AC$439,"Laki-laki",Database!$Y$5:$Y$439,"Wilayah I")</f>
        <v>0</v>
      </c>
      <c r="D143" s="263">
        <f>COUNTIFS(Database!$AC$5:$AC$439,"Perempuan",Database!$Y$5:$Y$439,"Wilayah I")</f>
        <v>0</v>
      </c>
      <c r="E143" s="16">
        <f t="shared" si="5"/>
        <v>0</v>
      </c>
      <c r="F143" s="81" t="e">
        <f t="shared" si="6"/>
        <v>#DIV/0!</v>
      </c>
      <c r="G143" s="1"/>
      <c r="H143" s="94"/>
      <c r="J143" s="126" t="s">
        <v>120</v>
      </c>
      <c r="K143" s="127" t="s">
        <v>200</v>
      </c>
      <c r="L143" s="16">
        <v>26</v>
      </c>
      <c r="M143" s="1" t="s">
        <v>201</v>
      </c>
      <c r="N143" s="81">
        <v>6.9518716577540107E-2</v>
      </c>
    </row>
    <row r="144" spans="1:14" ht="15.75" customHeight="1" x14ac:dyDescent="0.3">
      <c r="A144" s="12">
        <v>9</v>
      </c>
      <c r="B144" s="126" t="s">
        <v>122</v>
      </c>
      <c r="C144" s="263">
        <f>COUNTIFS(Database!$AC$5:$AC$439,"Laki-laki",Database!$Y$5:$Y$439,"Wilayah II")</f>
        <v>0</v>
      </c>
      <c r="D144" s="263">
        <f>COUNTIFS(Database!$AC$5:$AC$439,"Perempuan",Database!$Y$5:$Y$439,"Wilayah II")</f>
        <v>0</v>
      </c>
      <c r="E144" s="16">
        <f t="shared" si="5"/>
        <v>0</v>
      </c>
      <c r="F144" s="81" t="e">
        <f t="shared" si="6"/>
        <v>#DIV/0!</v>
      </c>
      <c r="G144" s="1"/>
      <c r="H144" s="94"/>
      <c r="J144" s="126" t="s">
        <v>121</v>
      </c>
      <c r="K144" s="127" t="s">
        <v>200</v>
      </c>
      <c r="L144" s="16">
        <v>178</v>
      </c>
      <c r="M144" s="1" t="s">
        <v>201</v>
      </c>
      <c r="N144" s="81">
        <v>0.47593582887700536</v>
      </c>
    </row>
    <row r="145" spans="1:14" ht="15.75" customHeight="1" x14ac:dyDescent="0.3">
      <c r="A145" s="16">
        <v>10</v>
      </c>
      <c r="B145" s="126" t="s">
        <v>50</v>
      </c>
      <c r="C145" s="263">
        <f>COUNTIFS(Database!$AC$5:$AC$439,"Laki-laki",Database!$Y$5:$Y$439,"KEUANGAN")</f>
        <v>0</v>
      </c>
      <c r="D145" s="263">
        <f>COUNTIFS(Database!$AC$5:$AC$439,"Perempuan",Database!$Y$5:$Y$439,"KEUANGAN")</f>
        <v>0</v>
      </c>
      <c r="E145" s="16">
        <f t="shared" si="5"/>
        <v>0</v>
      </c>
      <c r="F145" s="81" t="e">
        <f t="shared" si="6"/>
        <v>#DIV/0!</v>
      </c>
      <c r="G145" s="1"/>
      <c r="H145" s="94"/>
      <c r="J145" s="126" t="s">
        <v>122</v>
      </c>
      <c r="K145" s="127" t="s">
        <v>200</v>
      </c>
      <c r="L145" s="16">
        <v>95</v>
      </c>
      <c r="M145" s="1" t="s">
        <v>201</v>
      </c>
      <c r="N145" s="81">
        <v>0.25401069518716579</v>
      </c>
    </row>
    <row r="146" spans="1:14" ht="15.75" customHeight="1" x14ac:dyDescent="0.3">
      <c r="A146" s="9"/>
      <c r="B146" s="9" t="s">
        <v>134</v>
      </c>
      <c r="C146" s="9">
        <f>SUM(C136:C145)</f>
        <v>0</v>
      </c>
      <c r="D146" s="9">
        <f>SUM(D136:D145)</f>
        <v>0</v>
      </c>
      <c r="E146" s="9">
        <f>SUM(E136:E145)</f>
        <v>0</v>
      </c>
      <c r="F146" s="39"/>
      <c r="G146" s="1"/>
      <c r="H146" s="94"/>
      <c r="J146" s="126" t="s">
        <v>50</v>
      </c>
      <c r="K146" s="127" t="s">
        <v>200</v>
      </c>
      <c r="L146" s="16">
        <v>7</v>
      </c>
      <c r="M146" s="1" t="s">
        <v>201</v>
      </c>
      <c r="N146" s="81">
        <v>1.871657754010695E-2</v>
      </c>
    </row>
    <row r="147" spans="1:14" ht="15.75" customHeight="1" x14ac:dyDescent="0.3">
      <c r="C147" s="1"/>
      <c r="D147" s="1"/>
      <c r="E147" s="1"/>
      <c r="F147" s="1"/>
      <c r="G147" s="1"/>
      <c r="H147" s="94"/>
    </row>
    <row r="148" spans="1:14" ht="15.75" customHeight="1" x14ac:dyDescent="0.3">
      <c r="C148" s="1"/>
      <c r="D148" s="1"/>
      <c r="E148" s="1"/>
      <c r="F148" s="1"/>
      <c r="G148" s="1"/>
      <c r="H148" s="94"/>
    </row>
    <row r="149" spans="1:14" ht="15.75" customHeight="1" x14ac:dyDescent="0.3">
      <c r="C149" s="1"/>
      <c r="D149" s="1"/>
      <c r="E149" s="1"/>
      <c r="F149" s="1"/>
      <c r="G149" s="1"/>
      <c r="H149" s="94"/>
    </row>
    <row r="150" spans="1:14" ht="15.75" customHeight="1" x14ac:dyDescent="0.3">
      <c r="C150" s="1"/>
      <c r="D150" s="1"/>
      <c r="E150" s="1"/>
      <c r="F150" s="1"/>
      <c r="G150" s="1"/>
      <c r="H150" s="94"/>
    </row>
    <row r="151" spans="1:14" ht="15.75" customHeight="1" x14ac:dyDescent="0.3">
      <c r="C151" s="1"/>
      <c r="D151" s="1"/>
      <c r="E151" s="1"/>
      <c r="F151" s="1"/>
      <c r="G151" s="1"/>
      <c r="H151" s="94"/>
    </row>
    <row r="152" spans="1:14" ht="15.75" customHeight="1" x14ac:dyDescent="0.3">
      <c r="C152" s="1"/>
      <c r="D152" s="1"/>
      <c r="E152" s="1"/>
      <c r="F152" s="1"/>
      <c r="G152" s="1"/>
      <c r="H152" s="94"/>
    </row>
    <row r="153" spans="1:14" ht="15.75" customHeight="1" x14ac:dyDescent="0.3">
      <c r="C153" s="1"/>
      <c r="D153" s="1"/>
      <c r="E153" s="1"/>
      <c r="F153" s="1"/>
      <c r="G153" s="1"/>
    </row>
    <row r="154" spans="1:14" ht="15.75" customHeight="1" x14ac:dyDescent="0.3">
      <c r="A154" s="6" t="s">
        <v>145</v>
      </c>
      <c r="C154" s="1"/>
      <c r="D154" s="1"/>
      <c r="E154" s="1"/>
      <c r="F154" s="1"/>
      <c r="G154" s="1"/>
      <c r="K154" s="7">
        <v>18</v>
      </c>
    </row>
    <row r="155" spans="1:14" ht="15.75" customHeight="1" x14ac:dyDescent="0.3">
      <c r="A155" s="43" t="s">
        <v>7</v>
      </c>
      <c r="B155" s="42" t="s">
        <v>146</v>
      </c>
      <c r="C155" s="44" t="s">
        <v>147</v>
      </c>
      <c r="D155" s="44" t="s">
        <v>148</v>
      </c>
      <c r="E155" s="44" t="s">
        <v>149</v>
      </c>
      <c r="F155" s="42" t="s">
        <v>134</v>
      </c>
      <c r="G155" s="39"/>
      <c r="K155" s="7">
        <v>9</v>
      </c>
    </row>
    <row r="156" spans="1:14" ht="15.75" customHeight="1" x14ac:dyDescent="0.3">
      <c r="A156" s="12">
        <v>1</v>
      </c>
      <c r="B156" s="10" t="s">
        <v>11</v>
      </c>
      <c r="C156" s="263">
        <f>COUNTIFS(Database!$N$5:$N$439,"Direksi",Database!$AF$5:$AF$439,"&lt;=25")</f>
        <v>0</v>
      </c>
      <c r="D156" s="263">
        <f>COUNTIFS(Database!$N$5:$N$439,"Direksi",Database!$AF$5:$AF$439,"&gt;25",Database!$AF$5:$AF$439,"&lt;=40")</f>
        <v>0</v>
      </c>
      <c r="E156" s="263">
        <f>COUNTIFS(Database!$N$5:$N$439,"Direksi",Database!$AF$5:$AF$439,"&gt;40")</f>
        <v>0</v>
      </c>
      <c r="F156" s="12">
        <f>SUM(C156:E156)</f>
        <v>0</v>
      </c>
      <c r="G156" s="1"/>
      <c r="K156" s="7">
        <v>14</v>
      </c>
    </row>
    <row r="157" spans="1:14" ht="15.75" customHeight="1" x14ac:dyDescent="0.3">
      <c r="A157" s="16">
        <v>2</v>
      </c>
      <c r="B157" s="14" t="s">
        <v>12</v>
      </c>
      <c r="C157" s="263">
        <f>COUNTIFS(Database!$N$5:$N$439,"ORGANIK",Database!$AF$5:$AF$439,"&lt;=25")</f>
        <v>0</v>
      </c>
      <c r="D157" s="263">
        <f>COUNTIFS(Database!$N$5:$N$439,"ORGANIK",Database!$AF$5:$AF$439,"&gt;25",Database!$AF$5:$AF$439,"&lt;=40")</f>
        <v>0</v>
      </c>
      <c r="E157" s="263">
        <f>COUNTIFS(Database!$N$5:$N$439,"ORGANIK",Database!$AF$5:$AF$439,"&gt;40")</f>
        <v>0</v>
      </c>
      <c r="F157" s="12">
        <f>SUM(C157:E157)</f>
        <v>0</v>
      </c>
      <c r="G157" s="1"/>
      <c r="K157" s="7">
        <v>38</v>
      </c>
      <c r="M157" s="7">
        <v>3</v>
      </c>
    </row>
    <row r="158" spans="1:14" ht="15.75" customHeight="1" x14ac:dyDescent="0.3">
      <c r="A158" s="19">
        <v>3</v>
      </c>
      <c r="B158" s="14" t="s">
        <v>13</v>
      </c>
      <c r="C158" s="263">
        <f>COUNTIFS(Database!$N$5:$N$439,"TETAP",Database!$AF$5:$AF$439,"&lt;=25")</f>
        <v>0</v>
      </c>
      <c r="D158" s="263">
        <f>COUNTIFS(Database!$N$5:$N$439,"TETAP",Database!$AF$5:$AF$439,"&gt;25",Database!$AF$5:$AF$439,"&lt;=40")</f>
        <v>0</v>
      </c>
      <c r="E158" s="263">
        <f>COUNTIFS(Database!$N$5:$N$439,"TETAP",Database!$AF$5:$AF$439,"&gt;40")</f>
        <v>0</v>
      </c>
      <c r="F158" s="12">
        <f>SUM(C158:E158)</f>
        <v>0</v>
      </c>
      <c r="G158" s="1"/>
      <c r="K158" s="7">
        <v>92</v>
      </c>
      <c r="M158" s="7">
        <v>7</v>
      </c>
    </row>
    <row r="159" spans="1:14" ht="15.75" customHeight="1" x14ac:dyDescent="0.3">
      <c r="A159" s="16">
        <v>4</v>
      </c>
      <c r="B159" s="45" t="s">
        <v>135</v>
      </c>
      <c r="C159" s="265">
        <f>COUNTIFS(Database!$N$5:$N$439,"PKWT",Database!$AF$5:$AF$439,"&lt;=25")</f>
        <v>0</v>
      </c>
      <c r="D159" s="265">
        <f>COUNTIFS(Database!$N$5:$N$439,"PKWT",Database!$AF$5:$AF$439,"&gt;25",Database!$AF$5:$AF$439,"&lt;=40")</f>
        <v>0</v>
      </c>
      <c r="E159" s="265">
        <f>COUNTIFS(Database!$N$5:$N$439,"PKWT",Database!$AF$5:$AF$439,"&gt;40")</f>
        <v>0</v>
      </c>
      <c r="F159" s="12">
        <f>SUM(C159:E159)</f>
        <v>0</v>
      </c>
      <c r="G159" s="1"/>
      <c r="K159" s="7">
        <v>169</v>
      </c>
      <c r="M159" s="7">
        <v>11</v>
      </c>
    </row>
    <row r="160" spans="1:14" ht="15.75" customHeight="1" x14ac:dyDescent="0.3">
      <c r="A160" s="46"/>
      <c r="B160" s="9" t="s">
        <v>134</v>
      </c>
      <c r="C160" s="5">
        <f>SUM(C156:C159)</f>
        <v>0</v>
      </c>
      <c r="D160" s="5">
        <f>SUM(D156:D159)</f>
        <v>0</v>
      </c>
      <c r="E160" s="5">
        <f>SUM(E156:E159)</f>
        <v>0</v>
      </c>
      <c r="F160" s="5">
        <f>SUM(F156:F159)</f>
        <v>0</v>
      </c>
      <c r="G160" s="1"/>
      <c r="H160" s="1"/>
      <c r="K160" s="7">
        <v>82</v>
      </c>
      <c r="M160" s="7">
        <v>5</v>
      </c>
    </row>
    <row r="161" spans="1:25" ht="15.75" customHeight="1" x14ac:dyDescent="0.3">
      <c r="C161" s="1"/>
      <c r="D161" s="1"/>
      <c r="E161" s="1"/>
      <c r="F161" s="1"/>
      <c r="G161" s="1"/>
      <c r="K161" s="7">
        <f>SUM(K154:K160)</f>
        <v>422</v>
      </c>
      <c r="M161" s="7">
        <v>395</v>
      </c>
    </row>
    <row r="162" spans="1:25" ht="15.75" customHeight="1" x14ac:dyDescent="0.3">
      <c r="A162" s="47" t="s">
        <v>150</v>
      </c>
      <c r="B162" s="47"/>
      <c r="C162" s="48"/>
      <c r="D162" s="48"/>
      <c r="E162" s="48"/>
      <c r="F162" s="39"/>
      <c r="G162" s="39"/>
      <c r="H162" s="6"/>
      <c r="M162" s="7">
        <v>396</v>
      </c>
    </row>
    <row r="163" spans="1:25" ht="15.75" customHeight="1" x14ac:dyDescent="0.3">
      <c r="A163" s="49" t="s">
        <v>7</v>
      </c>
      <c r="B163" s="49" t="s">
        <v>146</v>
      </c>
      <c r="C163" s="49" t="s">
        <v>151</v>
      </c>
      <c r="D163" s="49" t="s">
        <v>152</v>
      </c>
      <c r="E163" s="49" t="s">
        <v>134</v>
      </c>
      <c r="F163" s="50"/>
      <c r="G163" s="50"/>
      <c r="H163" s="50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spans="1:25" ht="15.75" customHeight="1" x14ac:dyDescent="0.3">
      <c r="A164" s="12">
        <v>1</v>
      </c>
      <c r="B164" s="10" t="s">
        <v>153</v>
      </c>
      <c r="C164" s="263">
        <f>COUNTIFS(Database!$U$5:$U$439,"ADMINISTRASI",Database!$BD$5:$BD$439,"SMP")</f>
        <v>0</v>
      </c>
      <c r="D164" s="263">
        <f>COUNTIFS(Database!$U$5:$U$439,"TEKNISI",Database!$BD$5:$BD$439,"SMP")</f>
        <v>0</v>
      </c>
      <c r="E164" s="12">
        <f t="shared" ref="E164:E170" si="7">SUM(C164:D164)</f>
        <v>0</v>
      </c>
      <c r="F164" s="1"/>
      <c r="G164" s="1"/>
    </row>
    <row r="165" spans="1:25" ht="15.75" customHeight="1" x14ac:dyDescent="0.3">
      <c r="A165" s="16">
        <v>2</v>
      </c>
      <c r="B165" s="14" t="s">
        <v>154</v>
      </c>
      <c r="C165" s="263">
        <f>COUNTIFS(Database!$U$5:$U$439,"ADMINISTRASI",Database!$BD$5:$BD$439,"SMA")+COUNTIFS(Database!$U$5:$U$439,"ADMINISTRASI",Database!$BD$5:$BD$439,"SMK")</f>
        <v>0</v>
      </c>
      <c r="D165" s="263">
        <f>COUNTIFS(Database!$U$5:$U$439,"TEKNISI",Database!$BD$5:$BD$439,"SMA")+COUNTIFS(Database!$U$5:$U$439,"TEKNISI",Database!$BD$5:$BD$439,"SMK")</f>
        <v>0</v>
      </c>
      <c r="E165" s="16">
        <f t="shared" si="7"/>
        <v>0</v>
      </c>
      <c r="F165" s="1"/>
      <c r="G165" s="1"/>
    </row>
    <row r="166" spans="1:25" ht="15.75" customHeight="1" x14ac:dyDescent="0.3">
      <c r="A166" s="16">
        <v>3</v>
      </c>
      <c r="B166" s="14" t="s">
        <v>155</v>
      </c>
      <c r="C166" s="263">
        <f>COUNTIFS(Database!$U$5:$U$439,"ADMINISTRASI",Database!$BD$5:$BD$439,"D2")</f>
        <v>0</v>
      </c>
      <c r="D166" s="263">
        <f>COUNTIFS(Database!$U$5:$U$439,"TEKNISI",Database!$BD$5:$BD$439,"D2")</f>
        <v>0</v>
      </c>
      <c r="E166" s="16">
        <f t="shared" si="7"/>
        <v>0</v>
      </c>
      <c r="F166" s="1"/>
      <c r="G166" s="1"/>
    </row>
    <row r="167" spans="1:25" ht="15.75" customHeight="1" x14ac:dyDescent="0.3">
      <c r="A167" s="16">
        <v>4</v>
      </c>
      <c r="B167" s="14" t="s">
        <v>70</v>
      </c>
      <c r="C167" s="263">
        <f>COUNTIFS(Database!$U$5:$U$439,"ADMINISTRASI",Database!$BD$5:$BD$439,"D3")</f>
        <v>0</v>
      </c>
      <c r="D167" s="263">
        <f>COUNTIFS(Database!$U$5:$U$439,"TEKNISI",Database!$BD$5:$BD$439,"D3")</f>
        <v>0</v>
      </c>
      <c r="E167" s="16">
        <f t="shared" si="7"/>
        <v>0</v>
      </c>
      <c r="F167" s="1"/>
      <c r="G167" s="1"/>
    </row>
    <row r="168" spans="1:25" ht="15.75" customHeight="1" x14ac:dyDescent="0.3">
      <c r="A168" s="16">
        <v>5</v>
      </c>
      <c r="B168" s="14" t="s">
        <v>156</v>
      </c>
      <c r="C168" s="263">
        <f>COUNTIFS(Database!$U$5:$U$439,"ADMINISTRASI",Database!$BD$5:$BD$439,"D4")</f>
        <v>0</v>
      </c>
      <c r="D168" s="263">
        <f>COUNTIFS(Database!$U$5:$U$439,"TEKNISI",Database!$BD$5:$BD$439,"D4")</f>
        <v>0</v>
      </c>
      <c r="E168" s="16">
        <f t="shared" si="7"/>
        <v>0</v>
      </c>
      <c r="F168" s="1"/>
      <c r="G168" s="1"/>
    </row>
    <row r="169" spans="1:25" ht="15.75" customHeight="1" x14ac:dyDescent="0.3">
      <c r="A169" s="16">
        <v>6</v>
      </c>
      <c r="B169" s="14" t="s">
        <v>75</v>
      </c>
      <c r="C169" s="263">
        <f>COUNTIFS(Database!$U$5:$U$439,"ADMINISTRASI",Database!$BD$5:$BD$439,"S1")</f>
        <v>0</v>
      </c>
      <c r="D169" s="263">
        <f>COUNTIFS(Database!$U$5:$U$439,"TEKNISI",Database!$BD$5:$BD$439,"S1")</f>
        <v>0</v>
      </c>
      <c r="E169" s="16">
        <f t="shared" si="7"/>
        <v>0</v>
      </c>
      <c r="F169" s="1"/>
      <c r="G169" s="1"/>
    </row>
    <row r="170" spans="1:25" ht="15.75" customHeight="1" x14ac:dyDescent="0.3">
      <c r="A170" s="19">
        <v>7</v>
      </c>
      <c r="B170" s="45" t="s">
        <v>109</v>
      </c>
      <c r="C170" s="263">
        <f>COUNTIFS(Database!$U$5:$U$439,"ADMINISTRASI",Database!$BD$5:$BD$439,"S2")</f>
        <v>0</v>
      </c>
      <c r="D170" s="263">
        <f>COUNTIFS(Database!$U$5:$U$439,"TEKNISI",Database!$BD$5:$BD$439,"S2")</f>
        <v>0</v>
      </c>
      <c r="E170" s="19">
        <f t="shared" si="7"/>
        <v>0</v>
      </c>
      <c r="F170" s="1"/>
      <c r="G170" s="1"/>
    </row>
    <row r="171" spans="1:25" ht="15.75" customHeight="1" x14ac:dyDescent="0.3">
      <c r="A171" s="5"/>
      <c r="B171" s="9" t="s">
        <v>134</v>
      </c>
      <c r="C171" s="21">
        <f>SUM(C164:C170)</f>
        <v>0</v>
      </c>
      <c r="D171" s="21">
        <f>SUM(D164:D170)</f>
        <v>0</v>
      </c>
      <c r="E171" s="21">
        <f>SUM(E164:E170)</f>
        <v>0</v>
      </c>
      <c r="F171" s="1"/>
      <c r="G171" s="129"/>
      <c r="H171" s="129"/>
    </row>
    <row r="172" spans="1:25" ht="15.75" customHeight="1" x14ac:dyDescent="0.3">
      <c r="C172" s="1"/>
      <c r="D172" s="1"/>
      <c r="E172" s="1"/>
      <c r="F172" s="1"/>
      <c r="G172" s="130"/>
      <c r="H172" s="130"/>
    </row>
    <row r="173" spans="1:25" ht="15.75" customHeight="1" x14ac:dyDescent="0.3">
      <c r="A173" s="47" t="s">
        <v>157</v>
      </c>
      <c r="B173" s="47"/>
      <c r="C173" s="48"/>
      <c r="D173" s="48"/>
      <c r="E173" s="48"/>
      <c r="F173" s="1"/>
      <c r="G173" s="131"/>
      <c r="H173" s="131"/>
    </row>
    <row r="174" spans="1:25" ht="36" customHeight="1" x14ac:dyDescent="0.3">
      <c r="A174" s="49" t="s">
        <v>7</v>
      </c>
      <c r="B174" s="49" t="s">
        <v>146</v>
      </c>
      <c r="C174" s="49" t="s">
        <v>151</v>
      </c>
      <c r="D174" s="49" t="s">
        <v>152</v>
      </c>
      <c r="E174" s="49" t="s">
        <v>134</v>
      </c>
      <c r="F174" s="1"/>
      <c r="G174" s="1"/>
    </row>
    <row r="175" spans="1:25" ht="15.75" customHeight="1" x14ac:dyDescent="0.3">
      <c r="A175" s="12">
        <v>1</v>
      </c>
      <c r="B175" s="10" t="s">
        <v>153</v>
      </c>
      <c r="C175" s="263">
        <f>COUNTIFS(Database!$U$5:$U$439,"ADMINISTRASI",Database!$BD$5:$BD$439,"SMP")</f>
        <v>0</v>
      </c>
      <c r="D175" s="263">
        <f>COUNTIFS(Database!$U$5:$U$439,"TEKNISI",Database!$BD$5:$BD$439,"SMP")</f>
        <v>0</v>
      </c>
      <c r="E175" s="12">
        <f t="shared" ref="E175:E181" si="8">SUM(C175:D175)</f>
        <v>0</v>
      </c>
      <c r="F175" s="1"/>
      <c r="G175" s="1"/>
    </row>
    <row r="176" spans="1:25" ht="15.75" customHeight="1" x14ac:dyDescent="0.3">
      <c r="A176" s="16">
        <v>2</v>
      </c>
      <c r="B176" s="14" t="s">
        <v>154</v>
      </c>
      <c r="C176" s="263">
        <f>COUNTIFS(Database!$U$5:$U$439,"ADMINISTRASI",Database!$BD$5:$BD$439,"SMA")+COUNTIFS(Database!$U$5:$U$439,"ADMINISTRASI",Database!$BD$5:$BD$439,"SMK")</f>
        <v>0</v>
      </c>
      <c r="D176" s="263">
        <f>COUNTIFS(Database!$U$5:$U$439,"TEKNISI",Database!$BD$5:$BD$439,"SMA")+COUNTIFS(Database!$U$5:$U$439,"TEKNISI",Database!$BD$5:$BD$439,"SMK")</f>
        <v>0</v>
      </c>
      <c r="E176" s="16">
        <f t="shared" si="8"/>
        <v>0</v>
      </c>
      <c r="F176" s="1"/>
      <c r="G176" s="132"/>
      <c r="H176" s="129"/>
      <c r="I176" s="129"/>
      <c r="J176" s="129"/>
      <c r="K176" s="82"/>
    </row>
    <row r="177" spans="1:11" ht="15.75" customHeight="1" x14ac:dyDescent="0.3">
      <c r="A177" s="16">
        <v>3</v>
      </c>
      <c r="B177" s="14" t="s">
        <v>155</v>
      </c>
      <c r="C177" s="263">
        <f>COUNTIFS(Database!$U$5:$U$439,"ADMINISTRASI",Database!$BD$5:$BD$439,"D2")</f>
        <v>0</v>
      </c>
      <c r="D177" s="263">
        <f>COUNTIFS(Database!$U$5:$U$439,"TEKNISI",Database!$BD$5:$BD$439,"D2")</f>
        <v>0</v>
      </c>
      <c r="E177" s="16">
        <f t="shared" si="8"/>
        <v>0</v>
      </c>
      <c r="F177" s="1"/>
      <c r="G177" s="133"/>
      <c r="H177" s="130"/>
      <c r="I177" s="130"/>
      <c r="J177" s="129"/>
      <c r="K177" s="82"/>
    </row>
    <row r="178" spans="1:11" ht="15.75" customHeight="1" x14ac:dyDescent="0.3">
      <c r="A178" s="16">
        <v>4</v>
      </c>
      <c r="B178" s="14" t="s">
        <v>70</v>
      </c>
      <c r="C178" s="263">
        <f>COUNTIFS(Database!$U$5:$U$439,"ADMINISTRASI",Database!$BD$5:$BD$439,"D3")</f>
        <v>0</v>
      </c>
      <c r="D178" s="263">
        <f>COUNTIFS(Database!$U$5:$U$439,"TEKNISI",Database!$BD$5:$BD$439,"D3")</f>
        <v>0</v>
      </c>
      <c r="E178" s="16">
        <f t="shared" si="8"/>
        <v>0</v>
      </c>
      <c r="F178" s="1"/>
      <c r="G178" s="134"/>
      <c r="H178" s="131"/>
      <c r="I178" s="131"/>
      <c r="J178" s="131"/>
    </row>
    <row r="179" spans="1:11" ht="15.75" customHeight="1" x14ac:dyDescent="0.3">
      <c r="A179" s="16">
        <v>5</v>
      </c>
      <c r="B179" s="14" t="s">
        <v>156</v>
      </c>
      <c r="C179" s="263">
        <f>COUNTIFS(Database!$U$5:$U$439,"ADMINISTRASI",Database!$BD$5:$BD$439,"D4")</f>
        <v>0</v>
      </c>
      <c r="D179" s="263">
        <f>COUNTIFS(Database!$U$5:$U$439,"TEKNISI",Database!$BD$5:$BD$439,"D4")</f>
        <v>0</v>
      </c>
      <c r="E179" s="16">
        <f t="shared" si="8"/>
        <v>0</v>
      </c>
      <c r="F179" s="1"/>
      <c r="G179" s="1"/>
    </row>
    <row r="180" spans="1:11" ht="15.75" customHeight="1" x14ac:dyDescent="0.3">
      <c r="A180" s="16">
        <v>6</v>
      </c>
      <c r="B180" s="14" t="s">
        <v>75</v>
      </c>
      <c r="C180" s="263">
        <f>COUNTIFS(Database!$U$5:$U$439,"ADMINISTRASI",Database!$BD$5:$BD$439,"S1")</f>
        <v>0</v>
      </c>
      <c r="D180" s="263">
        <f>COUNTIFS(Database!$U$5:$U$439,"TEKNISI",Database!$BD$5:$BD$439,"S1")</f>
        <v>0</v>
      </c>
      <c r="E180" s="16">
        <f t="shared" si="8"/>
        <v>0</v>
      </c>
      <c r="F180" s="1"/>
      <c r="G180" s="129"/>
      <c r="H180" s="129"/>
      <c r="I180" s="129"/>
      <c r="K180" s="129"/>
    </row>
    <row r="181" spans="1:11" ht="15.75" customHeight="1" x14ac:dyDescent="0.3">
      <c r="A181" s="19">
        <v>7</v>
      </c>
      <c r="B181" s="45" t="s">
        <v>109</v>
      </c>
      <c r="C181" s="263">
        <f>COUNTIFS(Database!$U$5:$U$439,"ADMINISTRASI",Database!$BD$5:$BD$439,"S2")</f>
        <v>0</v>
      </c>
      <c r="D181" s="263">
        <f>COUNTIFS(Database!$U$5:$U$439,"TEKNISI",Database!$BD$5:$BD$439,"S2")</f>
        <v>0</v>
      </c>
      <c r="E181" s="19">
        <f t="shared" si="8"/>
        <v>0</v>
      </c>
      <c r="F181" s="1"/>
      <c r="G181" s="133"/>
      <c r="H181" s="130"/>
      <c r="I181" s="130"/>
      <c r="J181" s="129"/>
      <c r="K181" s="82"/>
    </row>
    <row r="182" spans="1:11" ht="15.75" customHeight="1" x14ac:dyDescent="0.3">
      <c r="A182" s="5"/>
      <c r="B182" s="9" t="s">
        <v>134</v>
      </c>
      <c r="C182" s="21">
        <f>SUM(C175:C181)</f>
        <v>0</v>
      </c>
      <c r="D182" s="21">
        <f>SUM(D175:D181)</f>
        <v>0</v>
      </c>
      <c r="E182" s="21">
        <f>SUM(E175:E181)</f>
        <v>0</v>
      </c>
      <c r="F182" s="1"/>
      <c r="G182" s="133"/>
      <c r="H182" s="130"/>
      <c r="I182" s="130"/>
      <c r="J182" s="129"/>
      <c r="K182" s="82"/>
    </row>
    <row r="183" spans="1:11" ht="15.75" customHeight="1" x14ac:dyDescent="0.3">
      <c r="C183" s="1"/>
      <c r="D183" s="1"/>
      <c r="E183" s="1"/>
      <c r="F183" s="1"/>
      <c r="G183" s="133"/>
      <c r="H183" s="130"/>
      <c r="I183" s="130"/>
      <c r="J183" s="129"/>
      <c r="K183" s="82"/>
    </row>
    <row r="184" spans="1:11" ht="15.75" customHeight="1" x14ac:dyDescent="0.3">
      <c r="C184" s="1"/>
      <c r="D184" s="1"/>
      <c r="E184" s="1"/>
      <c r="F184" s="1"/>
      <c r="G184" s="133"/>
      <c r="H184" s="103"/>
      <c r="I184" s="130"/>
      <c r="J184" s="129"/>
      <c r="K184" s="82"/>
    </row>
    <row r="185" spans="1:11" ht="15.75" customHeight="1" x14ac:dyDescent="0.3">
      <c r="A185" s="47" t="s">
        <v>158</v>
      </c>
      <c r="B185" s="47"/>
      <c r="C185" s="48"/>
      <c r="D185" s="48"/>
      <c r="E185" s="48"/>
      <c r="F185" s="39"/>
      <c r="G185" s="134"/>
      <c r="H185" s="131"/>
      <c r="I185" s="131"/>
      <c r="J185" s="129"/>
      <c r="K185" s="131"/>
    </row>
    <row r="186" spans="1:11" ht="15.75" customHeight="1" x14ac:dyDescent="0.3">
      <c r="A186" s="9" t="s">
        <v>7</v>
      </c>
      <c r="B186" s="9" t="s">
        <v>146</v>
      </c>
      <c r="C186" s="9" t="s">
        <v>159</v>
      </c>
      <c r="D186" s="9" t="s">
        <v>160</v>
      </c>
      <c r="E186" s="9" t="s">
        <v>134</v>
      </c>
      <c r="F186" s="39"/>
      <c r="G186" s="1"/>
    </row>
    <row r="187" spans="1:11" ht="15.75" customHeight="1" x14ac:dyDescent="0.3">
      <c r="A187" s="12">
        <v>1</v>
      </c>
      <c r="B187" s="10" t="s">
        <v>161</v>
      </c>
      <c r="C187" s="263">
        <f>COUNTIFS(Database!$U$5:$U$439,"ADMINISTRASI",Database!$BC$5:$BC$439,"ISLAM")</f>
        <v>0</v>
      </c>
      <c r="D187" s="263">
        <f>COUNTIFS(Database!$U$5:$U$439,"TEKNISI",Database!$BC$5:$BC$439,"ISLAM")</f>
        <v>0</v>
      </c>
      <c r="E187" s="12">
        <f>SUM(C187:D187)</f>
        <v>0</v>
      </c>
      <c r="F187" s="1"/>
      <c r="G187" s="1"/>
    </row>
    <row r="188" spans="1:11" ht="15.75" customHeight="1" x14ac:dyDescent="0.3">
      <c r="A188" s="16">
        <v>2</v>
      </c>
      <c r="B188" s="14" t="s">
        <v>162</v>
      </c>
      <c r="C188" s="263">
        <f>COUNTIFS(Database!$U$5:$U$439,"ADMINISTRASI",Database!$BC$5:$BC$439,"KRISTEN")</f>
        <v>0</v>
      </c>
      <c r="D188" s="263">
        <f>COUNTIFS(Database!$U$5:$U$439,"TEKNISI",Database!$BC$5:$BC$439,"KRISTEN")</f>
        <v>0</v>
      </c>
      <c r="E188" s="16">
        <f>SUM(C188:D188)</f>
        <v>0</v>
      </c>
      <c r="F188" s="1"/>
      <c r="G188" s="129"/>
      <c r="H188" s="129"/>
      <c r="I188" s="129"/>
    </row>
    <row r="189" spans="1:11" ht="15.75" customHeight="1" x14ac:dyDescent="0.3">
      <c r="A189" s="16">
        <v>3</v>
      </c>
      <c r="B189" s="14" t="s">
        <v>163</v>
      </c>
      <c r="C189" s="263">
        <f>COUNTIFS(Database!$U$5:$U$439,"ADMINISTRASI",Database!$BC$5:$BC$439,"KATOLIK")</f>
        <v>0</v>
      </c>
      <c r="D189" s="263">
        <f>COUNTIFS(Database!$U$5:$U$439,"TEKNISI",Database!$BC$5:$BC$439,"KATOLIK")</f>
        <v>0</v>
      </c>
      <c r="E189" s="16">
        <f>SUM(C189:D189)</f>
        <v>0</v>
      </c>
      <c r="F189" s="1"/>
      <c r="G189" s="135"/>
      <c r="H189" s="136"/>
      <c r="I189" s="82"/>
    </row>
    <row r="190" spans="1:11" ht="15.75" customHeight="1" x14ac:dyDescent="0.3">
      <c r="A190" s="16">
        <v>4</v>
      </c>
      <c r="B190" s="14" t="s">
        <v>164</v>
      </c>
      <c r="C190" s="263">
        <f>COUNTIFS(Database!$U$5:$U$439,"ADMINISTRASI",Database!$BC$5:$BC$439,"HINDU")</f>
        <v>0</v>
      </c>
      <c r="D190" s="263">
        <f>COUNTIFS(Database!$U$5:$U$439,"TEKNISI",Database!$BC$5:$BC$439,"HINDU")</f>
        <v>0</v>
      </c>
      <c r="E190" s="16">
        <f>SUM(C190:D190)</f>
        <v>0</v>
      </c>
      <c r="F190" s="1"/>
      <c r="G190" s="1"/>
    </row>
    <row r="191" spans="1:11" ht="15.75" customHeight="1" x14ac:dyDescent="0.3">
      <c r="A191" s="16">
        <v>5</v>
      </c>
      <c r="B191" s="14" t="s">
        <v>165</v>
      </c>
      <c r="C191" s="263">
        <f>COUNTIFS(Database!$U$5:$U$439,"ADMINISTRASI",Database!$BC$5:$BC$439,"BUDHA")</f>
        <v>0</v>
      </c>
      <c r="D191" s="263">
        <f>COUNTIFS(Database!$U$5:$U$439,"TEKNISI",Database!$BC$5:$BC$439,"BUDHA")</f>
        <v>0</v>
      </c>
      <c r="E191" s="16">
        <f>SUM(C191:D191)</f>
        <v>0</v>
      </c>
      <c r="F191" s="1"/>
      <c r="G191" s="1"/>
    </row>
    <row r="192" spans="1:11" ht="15.75" customHeight="1" x14ac:dyDescent="0.3">
      <c r="A192" s="5"/>
      <c r="B192" s="9" t="s">
        <v>134</v>
      </c>
      <c r="C192" s="21">
        <f>SUM(C187:C191)</f>
        <v>0</v>
      </c>
      <c r="D192" s="21">
        <f>SUM(D187:D191)</f>
        <v>0</v>
      </c>
      <c r="E192" s="21">
        <f>SUM(E187:E191)</f>
        <v>0</v>
      </c>
      <c r="F192" s="1"/>
      <c r="G192" s="1"/>
    </row>
    <row r="193" spans="1:25" ht="15.75" customHeight="1" x14ac:dyDescent="0.3">
      <c r="C193" s="1"/>
      <c r="D193" s="1"/>
      <c r="E193" s="1"/>
      <c r="F193" s="1"/>
      <c r="G193" s="1"/>
    </row>
    <row r="194" spans="1:25" ht="15.75" customHeight="1" x14ac:dyDescent="0.3">
      <c r="A194" s="6" t="s">
        <v>166</v>
      </c>
      <c r="B194" s="6"/>
      <c r="C194" s="39"/>
      <c r="D194" s="39"/>
      <c r="E194" s="39"/>
      <c r="F194" s="6"/>
      <c r="G194" s="6"/>
      <c r="H194" s="6"/>
    </row>
    <row r="195" spans="1:25" ht="15.75" customHeight="1" x14ac:dyDescent="0.3">
      <c r="A195" s="25" t="s">
        <v>7</v>
      </c>
      <c r="B195" s="25" t="s">
        <v>9</v>
      </c>
      <c r="C195" s="25" t="s">
        <v>15</v>
      </c>
      <c r="D195" s="49" t="s">
        <v>167</v>
      </c>
      <c r="E195" s="49" t="s">
        <v>168</v>
      </c>
      <c r="F195" s="25" t="s">
        <v>49</v>
      </c>
      <c r="G195" s="25" t="s">
        <v>169</v>
      </c>
      <c r="H195" s="22" t="s">
        <v>19</v>
      </c>
      <c r="I195" s="25" t="s">
        <v>5</v>
      </c>
      <c r="J195" s="40"/>
      <c r="K195" s="66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 spans="1:25" ht="15.75" customHeight="1" x14ac:dyDescent="0.3">
      <c r="A196" s="12">
        <v>1</v>
      </c>
      <c r="B196" s="137" t="s">
        <v>35</v>
      </c>
      <c r="C196" s="264">
        <f>COUNTIFS(Database!$X$5:$X$439,"5R",Database!$V$5:$V$439,"IMSS")</f>
        <v>0</v>
      </c>
      <c r="D196" s="264">
        <f>COUNTIFS(Database!$X$5:$X$439,"5R",Database!$V$5:$V$439,"INKA")</f>
        <v>0</v>
      </c>
      <c r="E196" s="264">
        <f>COUNTIFS(Database!$X$5:$X$439,"5R",Database!$V$5:$V$439,"MRO")</f>
        <v>0</v>
      </c>
      <c r="F196" s="264">
        <f>COUNTIFS(Database!$X$5:$X$439,"5R",Database!$V$5:$V$439,"GUDANG")</f>
        <v>0</v>
      </c>
      <c r="G196" s="264">
        <f>COUNTIFS(Database!$X$5:$X$439,"5R",Database!$V$5:$V$439,"Aceh")+COUNTIFS(Database!$X$5:$X$439,"5R",Database!$V$5:$V$439,"Bandung")+COUNTIFS(Database!$X$5:$X$439,"5R",Database!$V$5:$V$439,"Banyuwangi")+COUNTIFS(Database!$X$5:$X$439,"5R",Database!$V$5:$V$439,"jakarta")+COUNTIFS(Database!$X$5:$X$439,"5R",Database!$V$5:$V$439,"klaten")+COUNTIFS(Database!$X$5:$X$439,"5R",Database!$V$5:$V$439,"Lampung")+COUNTIFS(Database!$X$5:$X$439,"5R",Database!$V$5:$V$439,"makassar")+COUNTIFS(Database!$X$5:$X$439,"5R",Database!$V$5:$V$439,"medan")+COUNTIFS(Database!$X$5:$X$439,"5R",Database!$V$5:$V$439,"Padang")+COUNTIFS(Database!$X$5:$X$439,"5R",Database!$V$5:$V$439,"Palembang")+COUNTIFS(Database!$X$5:$X$439,"5R",Database!$V$5:$V$439,"Purwodadi")+COUNTIFS(Database!$X$5:$X$439,"5R",Database!$V$5:$V$439,"Solo")+COUNTIFS(Database!$X$5:$X$439,"5R",Database!$V$5:$V$439,"surabaya")</f>
        <v>0</v>
      </c>
      <c r="H196" s="264">
        <f>COUNTIFS(Database!$X$5:$X$439,"5R",Database!$V$5:$V$439,"PMU")</f>
        <v>0</v>
      </c>
      <c r="I196" s="21">
        <f t="shared" ref="I196:I238" si="9">SUM(C196:H196)</f>
        <v>0</v>
      </c>
      <c r="J196" s="1"/>
      <c r="K196" s="1"/>
    </row>
    <row r="197" spans="1:25" ht="15.75" customHeight="1" x14ac:dyDescent="0.3">
      <c r="A197" s="16">
        <v>2</v>
      </c>
      <c r="B197" s="138" t="s">
        <v>36</v>
      </c>
      <c r="C197" s="264">
        <f>COUNTIFS(Database!$X$5:$X$439,"AC",Database!$V$5:$V$439,"IMSS")</f>
        <v>0</v>
      </c>
      <c r="D197" s="264">
        <f>COUNTIFS(Database!$X$5:$X$439,"AC",Database!$V$5:$V$439,"INKA")</f>
        <v>0</v>
      </c>
      <c r="E197" s="264">
        <f>COUNTIFS(Database!$X$5:$X$439,"AC",Database!$V$5:$V$439,"MRO")</f>
        <v>0</v>
      </c>
      <c r="F197" s="264">
        <f>COUNTIFS(Database!$X$5:$X$439,"AC",Database!$V$5:$V$439,"GUDANG")</f>
        <v>0</v>
      </c>
      <c r="G197" s="264">
        <f>COUNTIFS(Database!$X$5:$X$439,"AC",Database!$V$5:$V$439,"Aceh")+COUNTIFS(Database!$X$5:$X$439,"AC",Database!$V$5:$V$439,"Bandung")+COUNTIFS(Database!$X$5:$X$439,"AC",Database!$V$5:$V$439,"Banyuwangi")+COUNTIFS(Database!$X$5:$X$439,"AC",Database!$V$5:$V$439,"jakarta")+COUNTIFS(Database!$X$5:$X$439,"AC",Database!$V$5:$V$439,"klaten")+COUNTIFS(Database!$X$5:$X$439,"AC",Database!$V$5:$V$439,"Lampung")+COUNTIFS(Database!$X$5:$X$439,"AC",Database!$V$5:$V$439,"makassar")+COUNTIFS(Database!$X$5:$X$439,"AC",Database!$V$5:$V$439,"medan")+COUNTIFS(Database!$X$5:$X$439,"AC",Database!$V$5:$V$439,"Padang")+COUNTIFS(Database!$X$5:$X$439,"AC",Database!$V$5:$V$439,"Palembang")+COUNTIFS(Database!$X$5:$X$439,"AC",Database!$V$5:$V$439,"Purwodadi")+COUNTIFS(Database!$X$5:$X$439,"AC",Database!$V$5:$V$439,"Solo")+COUNTIFS(Database!$X$5:$X$439,"AC",Database!$V$5:$V$439,"surabaya")+COUNTIFS(Database!$X$5:$X$439,"AC",Database!$V$5:$V$439,"yogyakarta")</f>
        <v>0</v>
      </c>
      <c r="H197" s="264">
        <f>COUNTIFS(Database!$X$5:$X$439,"AC",Database!$V$5:$V$439,"PMU")</f>
        <v>0</v>
      </c>
      <c r="I197" s="21">
        <f t="shared" si="9"/>
        <v>0</v>
      </c>
      <c r="J197" s="1"/>
      <c r="K197" s="1"/>
    </row>
    <row r="198" spans="1:25" ht="15.75" customHeight="1" x14ac:dyDescent="0.3">
      <c r="A198" s="16">
        <v>3</v>
      </c>
      <c r="B198" s="138" t="s">
        <v>41</v>
      </c>
      <c r="C198" s="264">
        <f>COUNTIFS(Database!$X$5:$X$439,"Aftersales GGW TEL",Database!$V$5:$V$439,"IMSS")</f>
        <v>0</v>
      </c>
      <c r="D198" s="264">
        <f>COUNTIFS(Database!$X$5:$X$439,"Aftersales GGW TEL",Database!$V$5:$V$439,"INKA")</f>
        <v>0</v>
      </c>
      <c r="E198" s="264">
        <f>COUNTIFS(Database!$X$5:$X$439,"Aftersales GGW TEL",Database!$V$5:$V$439,"MRO")</f>
        <v>0</v>
      </c>
      <c r="F198" s="264">
        <f>COUNTIFS(Database!$X$5:$X$439,"Aftersales GGW TEL",Database!$V$5:$V$439,"GUDANG")</f>
        <v>0</v>
      </c>
      <c r="G198" s="264">
        <f>COUNTIFS(Database!$X$5:$X$439,"Aftersales GGW TEL",Database!$V$5:$V$439,"Aftersales GGW TELeh")+COUNTIFS(Database!$X$5:$X$439,"Aftersales GGW TEL",Database!$V$5:$V$439,"Bandung")+COUNTIFS(Database!$X$5:$X$439,"Aftersales GGW TEL",Database!$V$5:$V$439,"Banyuwangi")+COUNTIFS(Database!$X$5:$X$439,"Aftersales GGW TEL",Database!$V$5:$V$439,"jakarta")+COUNTIFS(Database!$X$5:$X$439,"Aftersales GGW TEL",Database!$V$5:$V$439,"klaten")+COUNTIFS(Database!$X$5:$X$439,"Aftersales GGW TEL",Database!$V$5:$V$439,"Lampung")+COUNTIFS(Database!$X$5:$X$439,"Aftersales GGW TEL",Database!$V$5:$V$439,"makassar")+COUNTIFS(Database!$X$5:$X$439,"Aftersales GGW TEL",Database!$V$5:$V$439,"medan")+COUNTIFS(Database!$X$5:$X$439,"Aftersales GGW TEL",Database!$V$5:$V$439,"Padang")+COUNTIFS(Database!$X$5:$X$439,"Aftersales GGW TEL",Database!$V$5:$V$439,"Palembang")+COUNTIFS(Database!$X$5:$X$439,"Aftersales GGW TEL",Database!$V$5:$V$439,"Purwodadi")+COUNTIFS(Database!$X$5:$X$439,"Aftersales GGW TEL",Database!$V$5:$V$439,"Solo")+COUNTIFS(Database!$X$5:$X$439,"Aftersales GGW TEL",Database!$V$5:$V$439,"surabaya")+COUNTIFS(Database!$X$5:$X$439,"Aftersales GGW TEL",Database!$V$5:$V$439,"Yogyakarta")</f>
        <v>0</v>
      </c>
      <c r="H198" s="264">
        <f>COUNTIFS(Database!$X$5:$X$439,"Aftersales GGW TEL",Database!$V$5:$V$439,"PMU")</f>
        <v>0</v>
      </c>
      <c r="I198" s="21">
        <f t="shared" si="9"/>
        <v>0</v>
      </c>
      <c r="J198" s="1"/>
      <c r="K198" s="1"/>
    </row>
    <row r="199" spans="1:25" ht="15.75" customHeight="1" x14ac:dyDescent="0.3">
      <c r="A199" s="16">
        <v>4</v>
      </c>
      <c r="B199" s="138" t="s">
        <v>170</v>
      </c>
      <c r="C199" s="264">
        <f>COUNTIFS(Database!$X$5:$X$439,"Aftersales Stainless New Gen",Database!$V$5:$V$439,"IMSS")</f>
        <v>0</v>
      </c>
      <c r="D199" s="264">
        <f>COUNTIFS(Database!$X$5:$X$439,"Aftersales Stainless New Gen",Database!$V$5:$V$439,"INKA")</f>
        <v>0</v>
      </c>
      <c r="E199" s="264">
        <f>COUNTIFS(Database!$X$5:$X$439,"Aftersales Stainless New Gen",Database!$V$5:$V$439,"MRO")</f>
        <v>0</v>
      </c>
      <c r="F199" s="264">
        <f>COUNTIFS(Database!$X$5:$X$439,"Aftersales Stainless New Gen",Database!$V$5:$V$439,"GUDANG")</f>
        <v>0</v>
      </c>
      <c r="G199" s="264">
        <f>COUNTIFS(Database!$X$5:$X$439,"Aftersales Stainless New Gen",Database!$V$5:$V$439,"Aftersales Stainless New Geneh")+COUNTIFS(Database!$X$5:$X$439,"Aftersales Stainless New Gen",Database!$V$5:$V$439,"Bandung")+COUNTIFS(Database!$X$5:$X$439,"Aftersales Stainless New Gen",Database!$V$5:$V$439,"Banyuwangi")+COUNTIFS(Database!$X$5:$X$439,"Aftersales Stainless New Gen",Database!$V$5:$V$439,"jakarta")+COUNTIFS(Database!$X$5:$X$439,"Aftersales Stainless New Gen",Database!$V$5:$V$439,"klaten")+COUNTIFS(Database!$X$5:$X$439,"Aftersales Stainless New Gen",Database!$V$5:$V$439,"Lampung")+COUNTIFS(Database!$X$5:$X$439,"Aftersales Stainless New Gen",Database!$V$5:$V$439,"makassar")+COUNTIFS(Database!$X$5:$X$439,"Aftersales Stainless New Gen",Database!$V$5:$V$439,"medan")+COUNTIFS(Database!$X$5:$X$439,"Aftersales Stainless New Gen",Database!$V$5:$V$439,"Padang")+COUNTIFS(Database!$X$5:$X$439,"Aftersales Stainless New Gen",Database!$V$5:$V$439,"Palembang")+COUNTIFS(Database!$X$5:$X$439,"Aftersales Stainless New Gen",Database!$V$5:$V$439,"Purwodadi")+COUNTIFS(Database!$X$5:$X$439,"Aftersales Stainless New Gen",Database!$V$5:$V$439,"Solo")+COUNTIFS(Database!$X$5:$X$439,"Aftersales Stainless New Gen",Database!$V$5:$V$439,"surabaya")+COUNTIFS(Database!$X$5:$X$439,"Aftersales Stainless New Gen",Database!$V$5:$V$439,"yogyakarta")</f>
        <v>0</v>
      </c>
      <c r="H199" s="264">
        <f>COUNTIFS(Database!$X$5:$X$439,"Aftersales Stainless New Gen",Database!$V$5:$V$439,"PMU")</f>
        <v>0</v>
      </c>
      <c r="I199" s="21">
        <f t="shared" si="9"/>
        <v>0</v>
      </c>
      <c r="J199" s="1"/>
      <c r="K199" s="1"/>
    </row>
    <row r="200" spans="1:25" ht="15.75" customHeight="1" x14ac:dyDescent="0.3">
      <c r="A200" s="16">
        <v>5</v>
      </c>
      <c r="B200" s="138" t="s">
        <v>43</v>
      </c>
      <c r="C200" s="264">
        <f>COUNTIFS(Database!$X$5:$X$439,"Akuntansi",Database!$V$5:$V$439,"IMSS")</f>
        <v>0</v>
      </c>
      <c r="D200" s="264">
        <f>COUNTIFS(Database!$X$5:$X$439,"Akuntansi",Database!$V$5:$V$439,"INKA")</f>
        <v>0</v>
      </c>
      <c r="E200" s="264">
        <f>COUNTIFS(Database!$X$5:$X$439,"Akuntansi",Database!$V$5:$V$439,"MRO")</f>
        <v>0</v>
      </c>
      <c r="F200" s="264">
        <f>COUNTIFS(Database!$X$5:$X$439,"Akuntansi",Database!$V$5:$V$439,"GUDANG")</f>
        <v>0</v>
      </c>
      <c r="G200" s="264">
        <f>COUNTIFS(Database!$X$5:$X$439,"Akuntansi",Database!$V$5:$V$439,"Akuntansieh")+COUNTIFS(Database!$X$5:$X$439,"Akuntansi",Database!$V$5:$V$439,"Bandung")+COUNTIFS(Database!$X$5:$X$439,"Akuntansi",Database!$V$5:$V$439,"Banyuwangi")+COUNTIFS(Database!$X$5:$X$439,"Akuntansi",Database!$V$5:$V$439,"jakarta")+COUNTIFS(Database!$X$5:$X$439,"Akuntansi",Database!$V$5:$V$439,"klaten")+COUNTIFS(Database!$X$5:$X$439,"Akuntansi",Database!$V$5:$V$439,"Lampung")+COUNTIFS(Database!$X$5:$X$439,"Akuntansi",Database!$V$5:$V$439,"makassar")+COUNTIFS(Database!$X$5:$X$439,"Akuntansi",Database!$V$5:$V$439,"medan")+COUNTIFS(Database!$X$5:$X$439,"Akuntansi",Database!$V$5:$V$439,"Padang")+COUNTIFS(Database!$X$5:$X$439,"Akuntansi",Database!$V$5:$V$439,"Palembang")+COUNTIFS(Database!$X$5:$X$439,"Akuntansi",Database!$V$5:$V$439,"Purwodadi")+COUNTIFS(Database!$X$5:$X$439,"Akuntansi",Database!$V$5:$V$439,"Solo")+COUNTIFS(Database!$X$5:$X$439,"Akuntansi",Database!$V$5:$V$439,"surabaya")</f>
        <v>0</v>
      </c>
      <c r="H200" s="264">
        <f>COUNTIFS(Database!$X$5:$X$439,"Akuntansi",Database!$V$5:$V$439,"PMU")</f>
        <v>0</v>
      </c>
      <c r="I200" s="21">
        <f t="shared" si="9"/>
        <v>0</v>
      </c>
      <c r="J200" s="1"/>
      <c r="K200" s="1"/>
    </row>
    <row r="201" spans="1:25" ht="15.75" customHeight="1" x14ac:dyDescent="0.3">
      <c r="A201" s="16">
        <v>6</v>
      </c>
      <c r="B201" s="138" t="s">
        <v>44</v>
      </c>
      <c r="C201" s="264">
        <f>COUNTIFS(Database!$X$5:$X$439,"Bogie",Database!$V$5:$V$439,"IMSS")</f>
        <v>0</v>
      </c>
      <c r="D201" s="264">
        <f>COUNTIFS(Database!$X$5:$X$439,"Bogie",Database!$V$5:$V$439,"INKA")</f>
        <v>0</v>
      </c>
      <c r="E201" s="264">
        <f>COUNTIFS(Database!$X$5:$X$439,"Bogie",Database!$V$5:$V$439,"MRO")</f>
        <v>0</v>
      </c>
      <c r="F201" s="264">
        <f>COUNTIFS(Database!$X$5:$X$439,"Bogie",Database!$V$5:$V$439,"GUDANG")</f>
        <v>0</v>
      </c>
      <c r="G201" s="264">
        <f>COUNTIFS(Database!$X$5:$X$439,"Bogie",Database!$V$5:$V$439,"Bogieeh")+COUNTIFS(Database!$X$5:$X$439,"Bogie",Database!$V$5:$V$439,"Bandung")+COUNTIFS(Database!$X$5:$X$439,"Bogie",Database!$V$5:$V$439,"Banyuwangi")+COUNTIFS(Database!$X$5:$X$439,"Bogie",Database!$V$5:$V$439,"jakarta")+COUNTIFS(Database!$X$5:$X$439,"Bogie",Database!$V$5:$V$439,"klaten")+COUNTIFS(Database!$X$5:$X$439,"Bogie",Database!$V$5:$V$439,"Lampung")+COUNTIFS(Database!$X$5:$X$439,"Bogie",Database!$V$5:$V$439,"makassar")+COUNTIFS(Database!$X$5:$X$439,"Bogie",Database!$V$5:$V$439,"medan")+COUNTIFS(Database!$X$5:$X$439,"Bogie",Database!$V$5:$V$439,"Padang")+COUNTIFS(Database!$X$5:$X$439,"Bogie",Database!$V$5:$V$439,"Palembang")+COUNTIFS(Database!$X$5:$X$439,"Bogie",Database!$V$5:$V$439,"Purwodadi")+COUNTIFS(Database!$X$5:$X$439,"Bogie",Database!$V$5:$V$439,"Solo")+COUNTIFS(Database!$X$5:$X$439,"Bogie",Database!$V$5:$V$439,"surabaya")</f>
        <v>0</v>
      </c>
      <c r="H201" s="264">
        <f>COUNTIFS(Database!$X$5:$X$439,"Bogie",Database!$V$5:$V$439,"PMU")</f>
        <v>0</v>
      </c>
      <c r="I201" s="21">
        <f t="shared" si="9"/>
        <v>0</v>
      </c>
      <c r="J201" s="1"/>
      <c r="K201" s="1"/>
    </row>
    <row r="202" spans="1:25" ht="15.75" customHeight="1" x14ac:dyDescent="0.3">
      <c r="A202" s="16">
        <v>7</v>
      </c>
      <c r="B202" s="138" t="s">
        <v>171</v>
      </c>
      <c r="C202" s="264">
        <f>COUNTIFS(Database!$X$5:$X$439,"Bus Listrik",Database!$V$5:$V$439,"IMSS")</f>
        <v>0</v>
      </c>
      <c r="D202" s="264">
        <f>COUNTIFS(Database!$X$5:$X$439,"Bus Listrik",Database!$V$5:$V$439,"INKA")</f>
        <v>0</v>
      </c>
      <c r="E202" s="264">
        <f>COUNTIFS(Database!$X$5:$X$439,"Bus Listrik",Database!$V$5:$V$439,"MRO")</f>
        <v>0</v>
      </c>
      <c r="F202" s="264">
        <f>COUNTIFS(Database!$X$5:$X$439,"Bus Listrik",Database!$V$5:$V$439,"GUDANG")</f>
        <v>0</v>
      </c>
      <c r="G202" s="264">
        <f>COUNTIFS(Database!$X$5:$X$439,"Bus Listrik",Database!$V$5:$V$439,"Bus Listrikeh")+COUNTIFS(Database!$X$5:$X$439,"Bus Listrik",Database!$V$5:$V$439,"Bandung")+COUNTIFS(Database!$X$5:$X$439,"Bus Listrik",Database!$V$5:$V$439,"Banyuwangi")+COUNTIFS(Database!$X$5:$X$439,"Bus Listrik",Database!$V$5:$V$439,"jakarta")+COUNTIFS(Database!$X$5:$X$439,"Bus Listrik",Database!$V$5:$V$439,"klaten")+COUNTIFS(Database!$X$5:$X$439,"Bus Listrik",Database!$V$5:$V$439,"Lampung")+COUNTIFS(Database!$X$5:$X$439,"Bus Listrik",Database!$V$5:$V$439,"makassar")+COUNTIFS(Database!$X$5:$X$439,"Bus Listrik",Database!$V$5:$V$439,"medan")+COUNTIFS(Database!$X$5:$X$439,"Bus Listrik",Database!$V$5:$V$439,"Padang")+COUNTIFS(Database!$X$5:$X$439,"Bus Listrik",Database!$V$5:$V$439,"Palembang")+COUNTIFS(Database!$X$5:$X$439,"Bus Listrik",Database!$V$5:$V$439,"Purwodadi")+COUNTIFS(Database!$X$5:$X$439,"Bus Listrik",Database!$V$5:$V$439,"Solo")+COUNTIFS(Database!$X$5:$X$439,"Bus Listrik",Database!$V$5:$V$439,"surabaya")</f>
        <v>0</v>
      </c>
      <c r="H202" s="264">
        <f>COUNTIFS(Database!$X$5:$X$439,"Bus Listrik",Database!$V$5:$V$439,"PMU")</f>
        <v>0</v>
      </c>
      <c r="I202" s="21">
        <f t="shared" si="9"/>
        <v>0</v>
      </c>
      <c r="J202" s="1"/>
      <c r="K202" s="1"/>
    </row>
    <row r="203" spans="1:25" ht="15.75" customHeight="1" x14ac:dyDescent="0.3">
      <c r="A203" s="16">
        <v>8</v>
      </c>
      <c r="B203" s="138" t="s">
        <v>47</v>
      </c>
      <c r="C203" s="264">
        <f>COUNTIFS(Database!$X$5:$X$439,"Cut Meutia",Database!$V$5:$V$439,"IMSS")</f>
        <v>0</v>
      </c>
      <c r="D203" s="264">
        <f>COUNTIFS(Database!$X$5:$X$439,"Cut Meutia",Database!$V$5:$V$439,"INKA")</f>
        <v>0</v>
      </c>
      <c r="E203" s="264">
        <f>COUNTIFS(Database!$X$5:$X$439,"Cut Meutia",Database!$V$5:$V$439,"MRO")</f>
        <v>0</v>
      </c>
      <c r="F203" s="264">
        <f>COUNTIFS(Database!$X$5:$X$439,"Cut Meutia",Database!$V$5:$V$439,"GUDANG")</f>
        <v>0</v>
      </c>
      <c r="G203" s="264">
        <f>COUNTIFS(Database!$X$5:$X$439,"Cut Meutia",Database!$V$5:$V$439,"ACEH")+COUNTIFS(Database!$X$5:$X$439,"Cut Meutia",Database!$V$5:$V$439,"Bandung")+COUNTIFS(Database!$X$5:$X$439,"Cut Meutia",Database!$V$5:$V$439,"Banyuwangi")+COUNTIFS(Database!$X$5:$X$439,"Cut Meutia",Database!$V$5:$V$439,"jakarta")+COUNTIFS(Database!$X$5:$X$439,"Cut Meutia",Database!$V$5:$V$439,"klaten")+COUNTIFS(Database!$X$5:$X$439,"Cut Meutia",Database!$V$5:$V$439,"Lampung")+COUNTIFS(Database!$X$5:$X$439,"Cut Meutia",Database!$V$5:$V$439,"makassar")+COUNTIFS(Database!$X$5:$X$439,"Cut Meutia",Database!$V$5:$V$439,"medan")+COUNTIFS(Database!$X$5:$X$439,"Cut Meutia",Database!$V$5:$V$439,"Padang")+COUNTIFS(Database!$X$5:$X$439,"Cut Meutia",Database!$V$5:$V$439,"Palembang")+COUNTIFS(Database!$X$5:$X$439,"Cut Meutia",Database!$V$5:$V$439,"Purwodadi")+COUNTIFS(Database!$X$5:$X$439,"Cut Meutia",Database!$V$5:$V$439,"Solo")+COUNTIFS(Database!$X$5:$X$439,"Cut Meutia",Database!$V$5:$V$439,"surabaya")</f>
        <v>0</v>
      </c>
      <c r="H203" s="264">
        <f>COUNTIFS(Database!$X$5:$X$439,"Cut Meutia",Database!$V$5:$V$439,"PMU")</f>
        <v>0</v>
      </c>
      <c r="I203" s="21">
        <f t="shared" si="9"/>
        <v>0</v>
      </c>
      <c r="J203" s="1"/>
      <c r="K203" s="1"/>
    </row>
    <row r="204" spans="1:25" ht="15.75" customHeight="1" x14ac:dyDescent="0.3">
      <c r="A204" s="16">
        <v>9</v>
      </c>
      <c r="B204" s="138" t="s">
        <v>48</v>
      </c>
      <c r="C204" s="264">
        <f>COUNTIFS(Database!$X$5:$X$439,"DIREKSI",Database!$V$5:$V$439,"IMSS")</f>
        <v>0</v>
      </c>
      <c r="D204" s="264">
        <f>COUNTIFS(Database!$X$5:$X$439,"DIREKSI",Database!$V$5:$V$439,"INKA")</f>
        <v>0</v>
      </c>
      <c r="E204" s="264">
        <f>COUNTIFS(Database!$X$5:$X$439,"DIREKSI",Database!$V$5:$V$439,"MRO")</f>
        <v>0</v>
      </c>
      <c r="F204" s="264">
        <f>COUNTIFS(Database!$X$5:$X$439,"DIREKSI",Database!$V$5:$V$439,"GUDANG")</f>
        <v>0</v>
      </c>
      <c r="G204" s="264">
        <f>COUNTIFS(Database!$X$5:$X$439,"DIREKSI",Database!$V$5:$V$439,"Aceh")+COUNTIFS(Database!$X$5:$X$439,"DIREKSI",Database!$V$5:$V$439,"Bandung")+COUNTIFS(Database!$X$5:$X$439,"DIREKSI",Database!$V$5:$V$439,"Banyuwangi")+COUNTIFS(Database!$X$5:$X$439,"DIREKSI",Database!$V$5:$V$439,"jakarta")+COUNTIFS(Database!$X$5:$X$439,"DIREKSI",Database!$V$5:$V$439,"klaten")+COUNTIFS(Database!$X$5:$X$439,"DIREKSI",Database!$V$5:$V$439,"Lampung")+COUNTIFS(Database!$X$5:$X$439,"DIREKSI",Database!$V$5:$V$439,"makassar")+COUNTIFS(Database!$X$5:$X$439,"DIREKSI",Database!$V$5:$V$439,"medan")+COUNTIFS(Database!$X$5:$X$439,"DIREKSI",Database!$V$5:$V$439,"Padang")+COUNTIFS(Database!$X$5:$X$439,"DIREKSI",Database!$V$5:$V$439,"Palembang")+COUNTIFS(Database!$X$5:$X$439,"DIREKSI",Database!$V$5:$V$439,"Purwodadi")+COUNTIFS(Database!$X$5:$X$439,"DIREKSI",Database!$V$5:$V$439,"Solo")+COUNTIFS(Database!$X$5:$X$439,"DIREKSI",Database!$V$5:$V$439,"surabaya")</f>
        <v>0</v>
      </c>
      <c r="H204" s="264">
        <f>COUNTIFS(Database!$X$5:$X$439,"DIREKSI",Database!$V$5:$V$439,"PMU")</f>
        <v>0</v>
      </c>
      <c r="I204" s="21">
        <f t="shared" si="9"/>
        <v>0</v>
      </c>
      <c r="J204" s="1"/>
      <c r="K204" s="1"/>
    </row>
    <row r="205" spans="1:25" ht="15.75" customHeight="1" x14ac:dyDescent="0.3">
      <c r="A205" s="16">
        <v>10</v>
      </c>
      <c r="B205" s="138" t="s">
        <v>172</v>
      </c>
      <c r="C205" s="264">
        <f>COUNTIFS(Database!$X$5:$X$439,"Fasilitas Pemeliharaan dan Sipil",Database!$V$5:$V$439,"IMSS")</f>
        <v>0</v>
      </c>
      <c r="D205" s="264">
        <f>COUNTIFS(Database!$X$5:$X$439,"Fasilitas Pemeliharaan dan Sipil",Database!$V$5:$V$439,"INKA")</f>
        <v>0</v>
      </c>
      <c r="E205" s="264">
        <f>COUNTIFS(Database!$X$5:$X$439,"Fasilitas Pemeliharaan dan Sipil",Database!$V$5:$V$439,"MRO")</f>
        <v>0</v>
      </c>
      <c r="F205" s="264">
        <f>COUNTIFS(Database!$X$5:$X$439,"Fasilitas Pemeliharaan dan Sipil",Database!$V$5:$V$439,"GUDANG")</f>
        <v>0</v>
      </c>
      <c r="G205" s="264">
        <f>COUNTIFS(Database!$X$5:$X$439,"Fasilitas Pemeliharaan dan Sipil",Database!$V$5:$V$439,"Aceh")+COUNTIFS(Database!$X$5:$X$439,"Fasilitas Pemeliharaan dan Sipil",Database!$V$5:$V$439,"Bandung")+COUNTIFS(Database!$X$5:$X$439,"Fasilitas Pemeliharaan dan Sipil",Database!$V$5:$V$439,"Banyuwangi")+COUNTIFS(Database!$X$5:$X$439,"Fasilitas Pemeliharaan dan Sipil",Database!$V$5:$V$439,"jakarta")+COUNTIFS(Database!$X$5:$X$439,"Fasilitas Pemeliharaan dan Sipil",Database!$V$5:$V$439,"klaten")+COUNTIFS(Database!$X$5:$X$439,"Fasilitas Pemeliharaan dan Sipil",Database!$V$5:$V$439,"Lampung")+COUNTIFS(Database!$X$5:$X$439,"Fasilitas Pemeliharaan dan Sipil",Database!$V$5:$V$439,"makassar")+COUNTIFS(Database!$X$5:$X$439,"Fasilitas Pemeliharaan dan Sipil",Database!$V$5:$V$439,"medan")+COUNTIFS(Database!$X$5:$X$439,"Fasilitas Pemeliharaan dan Sipil",Database!$V$5:$V$439,"Padang")+COUNTIFS(Database!$X$5:$X$439,"Fasilitas Pemeliharaan dan Sipil",Database!$V$5:$V$439,"Palembang")+COUNTIFS(Database!$X$5:$X$439,"Fasilitas Pemeliharaan dan Sipil",Database!$V$5:$V$439,"Purwodadi")+COUNTIFS(Database!$X$5:$X$439,"Fasilitas Pemeliharaan dan Sipil",Database!$V$5:$V$439,"Solo")+COUNTIFS(Database!$X$5:$X$439,"Fasilitas Pemeliharaan dan Sipil",Database!$V$5:$V$439,"surabaya")</f>
        <v>0</v>
      </c>
      <c r="H205" s="264">
        <f>COUNTIFS(Database!$X$5:$X$439,"Fasilitas Pemeliharaan dan Sipil",Database!$V$5:$V$439,"PMU")</f>
        <v>0</v>
      </c>
      <c r="I205" s="21">
        <f t="shared" si="9"/>
        <v>0</v>
      </c>
      <c r="J205" s="1"/>
      <c r="K205" s="1"/>
    </row>
    <row r="206" spans="1:25" ht="15.75" customHeight="1" x14ac:dyDescent="0.3">
      <c r="A206" s="16">
        <v>11</v>
      </c>
      <c r="B206" s="138" t="s">
        <v>173</v>
      </c>
      <c r="C206" s="264">
        <f>COUNTIFS(Database!$X$5:$X$439,"Forklift",Database!$V$5:$V$439,"IMSS")</f>
        <v>0</v>
      </c>
      <c r="D206" s="264">
        <f>COUNTIFS(Database!$X$5:$X$439,"Forklift",Database!$V$5:$V$439,"INKA")</f>
        <v>0</v>
      </c>
      <c r="E206" s="264">
        <f>COUNTIFS(Database!$X$5:$X$439,"Forklift",Database!$V$5:$V$439,"MRO")</f>
        <v>0</v>
      </c>
      <c r="F206" s="264">
        <f>COUNTIFS(Database!$X$5:$X$439,"Forklift",Database!$V$5:$V$439,"GUDANG")</f>
        <v>0</v>
      </c>
      <c r="G206" s="264">
        <f>COUNTIFS(Database!$X$5:$X$439,"Forklift",Database!$V$5:$V$439,"Aceh")+COUNTIFS(Database!$X$5:$X$439,"Forklift",Database!$V$5:$V$439,"Bandung")+COUNTIFS(Database!$X$5:$X$439,"Forklift",Database!$V$5:$V$439,"Banyuwangi")+COUNTIFS(Database!$X$5:$X$439,"Forklift",Database!$V$5:$V$439,"jakarta")+COUNTIFS(Database!$X$5:$X$439,"Forklift",Database!$V$5:$V$439,"klaten")+COUNTIFS(Database!$X$5:$X$439,"Forklift",Database!$V$5:$V$439,"Lampung")+COUNTIFS(Database!$X$5:$X$439,"Forklift",Database!$V$5:$V$439,"makassar")+COUNTIFS(Database!$X$5:$X$439,"Forklift",Database!$V$5:$V$439,"medan")+COUNTIFS(Database!$X$5:$X$439,"Forklift",Database!$V$5:$V$439,"Padang")+COUNTIFS(Database!$X$5:$X$439,"Forklift",Database!$V$5:$V$439,"Palembang")+COUNTIFS(Database!$X$5:$X$439,"Forklift",Database!$V$5:$V$439,"Purwodadi")+COUNTIFS(Database!$X$5:$X$439,"Forklift",Database!$V$5:$V$439,"Solo")+COUNTIFS(Database!$X$5:$X$439,"Forklift",Database!$V$5:$V$439,"surabaya")</f>
        <v>0</v>
      </c>
      <c r="H206" s="264">
        <f>COUNTIFS(Database!$X$5:$X$439,"Forklift",Database!$V$5:$V$439,"PMU")</f>
        <v>0</v>
      </c>
      <c r="I206" s="21">
        <f t="shared" si="9"/>
        <v>0</v>
      </c>
      <c r="J206" s="1"/>
      <c r="K206" s="1"/>
    </row>
    <row r="207" spans="1:25" ht="15.75" customHeight="1" x14ac:dyDescent="0.3">
      <c r="A207" s="16">
        <v>12</v>
      </c>
      <c r="B207" s="138" t="s">
        <v>49</v>
      </c>
      <c r="C207" s="264">
        <f>COUNTIFS(Database!$X$5:$X$439,"GUDANG",Database!$V$5:$V$439,"IMSS")</f>
        <v>0</v>
      </c>
      <c r="D207" s="264">
        <f>COUNTIFS(Database!$X$5:$X$439,"GUDANG",Database!$V$5:$V$439,"INKA")</f>
        <v>0</v>
      </c>
      <c r="E207" s="264">
        <f>COUNTIFS(Database!$X$5:$X$439,"GUDANG",Database!$V$5:$V$439,"MRO")</f>
        <v>0</v>
      </c>
      <c r="F207" s="264">
        <f>COUNTIFS(Database!$X$5:$X$439,"GUDANG",Database!$V$5:$V$439,"GUDANG")</f>
        <v>0</v>
      </c>
      <c r="G207" s="264">
        <f>COUNTIFS(Database!$X$5:$X$439,"GUDANG",Database!$V$5:$V$439,"Aceh")+COUNTIFS(Database!$X$5:$X$439,"GUDANG",Database!$V$5:$V$439,"Bandung")+COUNTIFS(Database!$X$5:$X$439,"GUDANG",Database!$V$5:$V$439,"Banyuwangi")+COUNTIFS(Database!$X$5:$X$439,"GUDANG",Database!$V$5:$V$439,"jakarta")+COUNTIFS(Database!$X$5:$X$439,"GUDANG",Database!$V$5:$V$439,"klaten")+COUNTIFS(Database!$X$5:$X$439,"GUDANG",Database!$V$5:$V$439,"Lampung")+COUNTIFS(Database!$X$5:$X$439,"GUDANG",Database!$V$5:$V$439,"makassar")+COUNTIFS(Database!$X$5:$X$439,"GUDANG",Database!$V$5:$V$439,"medan")+COUNTIFS(Database!$X$5:$X$439,"GUDANG",Database!$V$5:$V$439,"Padang")+COUNTIFS(Database!$X$5:$X$439,"GUDANG",Database!$V$5:$V$439,"Palembang")+COUNTIFS(Database!$X$5:$X$439,"GUDANG",Database!$V$5:$V$439,"Purwodadi")+COUNTIFS(Database!$X$5:$X$439,"GUDANG",Database!$V$5:$V$439,"Solo")+COUNTIFS(Database!$X$5:$X$439,"GUDANG",Database!$V$5:$V$439,"surabaya")</f>
        <v>0</v>
      </c>
      <c r="H207" s="264">
        <f>COUNTIFS(Database!$X$5:$X$439,"GUDANG",Database!$V$5:$V$439,"PMU")</f>
        <v>0</v>
      </c>
      <c r="I207" s="21">
        <f t="shared" si="9"/>
        <v>0</v>
      </c>
      <c r="J207" s="1"/>
      <c r="K207" s="1"/>
    </row>
    <row r="208" spans="1:25" ht="15.75" customHeight="1" x14ac:dyDescent="0.3">
      <c r="A208" s="16">
        <v>13</v>
      </c>
      <c r="B208" s="138" t="s">
        <v>50</v>
      </c>
      <c r="C208" s="264">
        <f>COUNTIFS(Database!$X$5:$X$439,"Keuangan",Database!$V$5:$V$439,"IMSS")</f>
        <v>0</v>
      </c>
      <c r="D208" s="264">
        <f>COUNTIFS(Database!$X$5:$X$439,"Keuangan",Database!$V$5:$V$439,"INKA")</f>
        <v>0</v>
      </c>
      <c r="E208" s="264">
        <f>COUNTIFS(Database!$X$5:$X$439,"Keuangan",Database!$V$5:$V$439,"MRO")</f>
        <v>0</v>
      </c>
      <c r="F208" s="264">
        <f>COUNTIFS(Database!$X$5:$X$439,"Keuangan",Database!$V$5:$V$439,"GUDANG")</f>
        <v>0</v>
      </c>
      <c r="G208" s="264">
        <f>COUNTIFS(Database!$X$5:$X$439,"Keuangan",Database!$V$5:$V$439,"Aceh")+COUNTIFS(Database!$X$5:$X$439,"Keuangan",Database!$V$5:$V$439,"Bandung")+COUNTIFS(Database!$X$5:$X$439,"Keuangan",Database!$V$5:$V$439,"Banyuwangi")+COUNTIFS(Database!$X$5:$X$439,"Keuangan",Database!$V$5:$V$439,"jakarta")+COUNTIFS(Database!$X$5:$X$439,"Keuangan",Database!$V$5:$V$439,"klaten")+COUNTIFS(Database!$X$5:$X$439,"Keuangan",Database!$V$5:$V$439,"Lampung")+COUNTIFS(Database!$X$5:$X$439,"Keuangan",Database!$V$5:$V$439,"makassar")+COUNTIFS(Database!$X$5:$X$439,"Keuangan",Database!$V$5:$V$439,"medan")+COUNTIFS(Database!$X$5:$X$439,"Keuangan",Database!$V$5:$V$439,"Padang")+COUNTIFS(Database!$X$5:$X$439,"Keuangan",Database!$V$5:$V$439,"Palembang")+COUNTIFS(Database!$X$5:$X$439,"Keuangan",Database!$V$5:$V$439,"Purwodadi")+COUNTIFS(Database!$X$5:$X$439,"Keuangan",Database!$V$5:$V$439,"Solo")+COUNTIFS(Database!$X$5:$X$439,"Keuangan",Database!$V$5:$V$439,"surabaya")</f>
        <v>0</v>
      </c>
      <c r="H208" s="264">
        <f>COUNTIFS(Database!$X$5:$X$439,"Keuangan",Database!$V$5:$V$439,"PMU")</f>
        <v>0</v>
      </c>
      <c r="I208" s="21">
        <f t="shared" si="9"/>
        <v>0</v>
      </c>
      <c r="J208" s="1"/>
      <c r="K208" s="1"/>
    </row>
    <row r="209" spans="1:11" ht="15.75" customHeight="1" x14ac:dyDescent="0.3">
      <c r="A209" s="16">
        <v>14</v>
      </c>
      <c r="B209" s="138" t="s">
        <v>174</v>
      </c>
      <c r="C209" s="264">
        <f>COUNTIFS(Database!$X$5:$X$439,"KRDE Makassar- Parepare",Database!$V$5:$V$439,"IMSS")</f>
        <v>0</v>
      </c>
      <c r="D209" s="264">
        <f>COUNTIFS(Database!$X$5:$X$439,"KRDE Makassar- Parepare",Database!$V$5:$V$439,"INKA")</f>
        <v>0</v>
      </c>
      <c r="E209" s="264">
        <f>COUNTIFS(Database!$X$5:$X$439,"KRDE Makassar- Parepare",Database!$V$5:$V$439,"MRO")</f>
        <v>0</v>
      </c>
      <c r="F209" s="264">
        <f>COUNTIFS(Database!$X$5:$X$439,"KRDE Makassar- Parepare",Database!$V$5:$V$439,"GUDANG")</f>
        <v>0</v>
      </c>
      <c r="G209" s="264">
        <f>COUNTIFS(Database!$X$5:$X$439,"KRDE Makassar- Parepare",Database!$V$5:$V$439,"Aceh")+COUNTIFS(Database!$X$5:$X$439,"KRDE Makassar- Parepare",Database!$V$5:$V$439,"Bandung")+COUNTIFS(Database!$X$5:$X$439,"KRDE Makassar- Parepare",Database!$V$5:$V$439,"Banyuwangi")+COUNTIFS(Database!$X$5:$X$439,"KRDE Makassar- Parepare",Database!$V$5:$V$439,"jakarta")+COUNTIFS(Database!$X$5:$X$439,"KRDE Makassar- Parepare",Database!$V$5:$V$439,"klaten")+COUNTIFS(Database!$X$5:$X$439,"KRDE Makassar- Parepare",Database!$V$5:$V$439,"Lampung")+COUNTIFS(Database!$X$5:$X$439,"KRDE Makassar- Parepare",Database!$V$5:$V$439,"makassar")+COUNTIFS(Database!$X$5:$X$439,"KRDE Makassar- Parepare",Database!$V$5:$V$439,"medan")+COUNTIFS(Database!$X$5:$X$439,"KRDE Makassar- Parepare",Database!$V$5:$V$439,"Padang")+COUNTIFS(Database!$X$5:$X$439,"KRDE Makassar- Parepare",Database!$V$5:$V$439,"Palembang")+COUNTIFS(Database!$X$5:$X$439,"KRDE Makassar- Parepare",Database!$V$5:$V$439,"Purwodadi")+COUNTIFS(Database!$X$5:$X$439,"KRDE Makassar- Parepare",Database!$V$5:$V$439,"Solo")+COUNTIFS(Database!$X$5:$X$439,"KRDE Makassar- Parepare",Database!$V$5:$V$439,"surabaya")</f>
        <v>0</v>
      </c>
      <c r="H209" s="264">
        <f>COUNTIFS(Database!$X$5:$X$439,"KRDE Makassar- Parepare",Database!$V$5:$V$439,"PMU")</f>
        <v>0</v>
      </c>
      <c r="I209" s="21">
        <f t="shared" si="9"/>
        <v>0</v>
      </c>
      <c r="J209" s="1"/>
      <c r="K209" s="1"/>
    </row>
    <row r="210" spans="1:11" ht="15.75" customHeight="1" x14ac:dyDescent="0.3">
      <c r="A210" s="16">
        <v>15</v>
      </c>
      <c r="B210" s="138" t="s">
        <v>51</v>
      </c>
      <c r="C210" s="264">
        <f>COUNTIFS(Database!$X$5:$X$439,"KRL KfW",Database!$V$5:$V$439,"IMSS")</f>
        <v>0</v>
      </c>
      <c r="D210" s="264">
        <f>COUNTIFS(Database!$X$5:$X$439,"KRL KfW",Database!$V$5:$V$439,"INKA")</f>
        <v>0</v>
      </c>
      <c r="E210" s="264">
        <f>COUNTIFS(Database!$X$5:$X$439,"KRL KfW",Database!$V$5:$V$439,"MRO")</f>
        <v>0</v>
      </c>
      <c r="F210" s="264">
        <f>COUNTIFS(Database!$X$5:$X$439,"KRL KfW",Database!$V$5:$V$439,"GUDANG")</f>
        <v>0</v>
      </c>
      <c r="G210" s="264">
        <f>COUNTIFS(Database!$X$5:$X$439,"KRL KfW",Database!$V$5:$V$439,"Aceh")+COUNTIFS(Database!$X$5:$X$439,"KRL KfW",Database!$V$5:$V$439,"Bandung")+COUNTIFS(Database!$X$5:$X$439,"KRL KfW",Database!$V$5:$V$439,"Banyuwangi")+COUNTIFS(Database!$X$5:$X$439,"KRL KfW",Database!$V$5:$V$439,"jakarta")+COUNTIFS(Database!$X$5:$X$439,"KRL KfW",Database!$V$5:$V$439,"klaten")+COUNTIFS(Database!$X$5:$X$439,"KRL KfW",Database!$V$5:$V$439,"Lampung")+COUNTIFS(Database!$X$5:$X$439,"KRL KfW",Database!$V$5:$V$439,"makassar")+COUNTIFS(Database!$X$5:$X$439,"KRL KfW",Database!$V$5:$V$439,"medan")+COUNTIFS(Database!$X$5:$X$439,"KRL KfW",Database!$V$5:$V$439,"Padang")+COUNTIFS(Database!$X$5:$X$439,"KRL KfW",Database!$V$5:$V$439,"Palembang")+COUNTIFS(Database!$X$5:$X$439,"KRL KfW",Database!$V$5:$V$439,"Purwodadi")+COUNTIFS(Database!$X$5:$X$439,"KRL KfW",Database!$V$5:$V$439,"Solo")+COUNTIFS(Database!$X$5:$X$439,"KRL KfW",Database!$V$5:$V$439,"surabaya")</f>
        <v>0</v>
      </c>
      <c r="H210" s="264">
        <f>COUNTIFS(Database!$X$5:$X$439,"KRL KfW",Database!$V$5:$V$439,"PMU")</f>
        <v>0</v>
      </c>
      <c r="I210" s="21">
        <f t="shared" si="9"/>
        <v>0</v>
      </c>
      <c r="J210" s="1"/>
      <c r="K210" s="1"/>
    </row>
    <row r="211" spans="1:11" ht="15.75" customHeight="1" x14ac:dyDescent="0.3">
      <c r="A211" s="16">
        <v>16</v>
      </c>
      <c r="B211" s="138" t="s">
        <v>52</v>
      </c>
      <c r="C211" s="264">
        <f>COUNTIFS(Database!$X$5:$X$439,"KRL Soetta",Database!$V$5:$V$439,"IMSS")</f>
        <v>0</v>
      </c>
      <c r="D211" s="264">
        <f>COUNTIFS(Database!$X$5:$X$439,"KRL Soetta",Database!$V$5:$V$439,"INKA")</f>
        <v>0</v>
      </c>
      <c r="E211" s="264">
        <f>COUNTIFS(Database!$X$5:$X$439,"KRL Soetta",Database!$V$5:$V$439,"MRO")</f>
        <v>0</v>
      </c>
      <c r="F211" s="264">
        <f>COUNTIFS(Database!$X$5:$X$439,"KRL Soetta",Database!$V$5:$V$439,"GUDANG")</f>
        <v>0</v>
      </c>
      <c r="G211" s="264">
        <f>COUNTIFS(Database!$X$5:$X$439,"KRL Soetta",Database!$V$5:$V$439,"Aceh")+COUNTIFS(Database!$X$5:$X$439,"KRL Soetta",Database!$V$5:$V$439,"Bandung")+COUNTIFS(Database!$X$5:$X$439,"KRL Soetta",Database!$V$5:$V$439,"Banyuwangi")+COUNTIFS(Database!$X$5:$X$439,"KRL Soetta",Database!$V$5:$V$439,"jakarta")+COUNTIFS(Database!$X$5:$X$439,"KRL Soetta",Database!$V$5:$V$439,"klaten")+COUNTIFS(Database!$X$5:$X$439,"KRL Soetta",Database!$V$5:$V$439,"Lampung")+COUNTIFS(Database!$X$5:$X$439,"KRL Soetta",Database!$V$5:$V$439,"makassar")+COUNTIFS(Database!$X$5:$X$439,"KRL Soetta",Database!$V$5:$V$439,"medan")+COUNTIFS(Database!$X$5:$X$439,"KRL Soetta",Database!$V$5:$V$439,"Padang")+COUNTIFS(Database!$X$5:$X$439,"KRL Soetta",Database!$V$5:$V$439,"Palembang")+COUNTIFS(Database!$X$5:$X$439,"KRL Soetta",Database!$V$5:$V$439,"Purwodadi")+COUNTIFS(Database!$X$5:$X$439,"KRL Soetta",Database!$V$5:$V$439,"Solo")+COUNTIFS(Database!$X$5:$X$439,"KRL Soetta",Database!$V$5:$V$439,"surabaya")</f>
        <v>0</v>
      </c>
      <c r="H211" s="264">
        <f>COUNTIFS(Database!$X$5:$X$439,"KRL Soetta",Database!$V$5:$V$439,"PMU")</f>
        <v>0</v>
      </c>
      <c r="I211" s="21">
        <f t="shared" si="9"/>
        <v>0</v>
      </c>
      <c r="J211" s="1"/>
      <c r="K211" s="1"/>
    </row>
    <row r="212" spans="1:11" ht="15.75" customHeight="1" x14ac:dyDescent="0.3">
      <c r="A212" s="16">
        <v>17</v>
      </c>
      <c r="B212" s="138" t="s">
        <v>53</v>
      </c>
      <c r="C212" s="264">
        <f>COUNTIFS(Database!$X$5:$X$439,"LISTRIK",Database!$V$5:$V$439,"IMSS")</f>
        <v>0</v>
      </c>
      <c r="D212" s="264">
        <f>COUNTIFS(Database!$X$5:$X$439,"LISTRIK",Database!$V$5:$V$439,"INKA")</f>
        <v>0</v>
      </c>
      <c r="E212" s="264">
        <f>COUNTIFS(Database!$X$5:$X$439,"LISTRIK",Database!$V$5:$V$439,"MRO")</f>
        <v>0</v>
      </c>
      <c r="F212" s="264">
        <f>COUNTIFS(Database!$X$5:$X$439,"LISTRIK",Database!$V$5:$V$439,"GUDANG")</f>
        <v>0</v>
      </c>
      <c r="G212" s="264">
        <f>COUNTIFS(Database!$X$5:$X$439,"LISTRIK",Database!$V$5:$V$439,"Aceh")+COUNTIFS(Database!$X$5:$X$439,"LISTRIK",Database!$V$5:$V$439,"Bandung")+COUNTIFS(Database!$X$5:$X$439,"LISTRIK",Database!$V$5:$V$439,"Banyuwangi")+COUNTIFS(Database!$X$5:$X$439,"LISTRIK",Database!$V$5:$V$439,"jakarta")+COUNTIFS(Database!$X$5:$X$439,"LISTRIK",Database!$V$5:$V$439,"klaten")+COUNTIFS(Database!$X$5:$X$439,"LISTRIK",Database!$V$5:$V$439,"Lampung")+COUNTIFS(Database!$X$5:$X$439,"LISTRIK",Database!$V$5:$V$439,"makassar")+COUNTIFS(Database!$X$5:$X$439,"LISTRIK",Database!$V$5:$V$439,"medan")+COUNTIFS(Database!$X$5:$X$439,"LISTRIK",Database!$V$5:$V$439,"Padang")+COUNTIFS(Database!$X$5:$X$439,"LISTRIK",Database!$V$5:$V$439,"Palembang")+COUNTIFS(Database!$X$5:$X$439,"LISTRIK",Database!$V$5:$V$439,"Purwodadi")+COUNTIFS(Database!$X$5:$X$439,"LISTRIK",Database!$V$5:$V$439,"Solo")+COUNTIFS(Database!$X$5:$X$439,"LISTRIK",Database!$V$5:$V$439,"surabaya")</f>
        <v>0</v>
      </c>
      <c r="H212" s="264">
        <f>COUNTIFS(Database!$X$5:$X$439,"LISTRIK",Database!$V$5:$V$439,"PMU")</f>
        <v>0</v>
      </c>
      <c r="I212" s="21">
        <f t="shared" si="9"/>
        <v>0</v>
      </c>
      <c r="J212" s="1"/>
      <c r="K212" s="1"/>
    </row>
    <row r="213" spans="1:11" ht="15.75" customHeight="1" x14ac:dyDescent="0.3">
      <c r="A213" s="16">
        <v>18</v>
      </c>
      <c r="B213" s="138" t="s">
        <v>54</v>
      </c>
      <c r="C213" s="264">
        <f>COUNTIFS(Database!$X$5:$X$439,"Logistik",Database!$V$5:$V$439,"IMSS")</f>
        <v>0</v>
      </c>
      <c r="D213" s="264">
        <f>COUNTIFS(Database!$X$5:$X$439,"Logistik",Database!$V$5:$V$439,"INKA")</f>
        <v>0</v>
      </c>
      <c r="E213" s="264">
        <f>COUNTIFS(Database!$X$5:$X$439,"Logistik",Database!$V$5:$V$439,"MRO")</f>
        <v>0</v>
      </c>
      <c r="F213" s="264">
        <f>COUNTIFS(Database!$X$5:$X$439,"Logistik",Database!$V$5:$V$439,"GUDANG")</f>
        <v>0</v>
      </c>
      <c r="G213" s="264">
        <f>COUNTIFS(Database!$X$5:$X$439,"Logistik",Database!$V$5:$V$439,"Aceh")+COUNTIFS(Database!$X$5:$X$439,"Logistik",Database!$V$5:$V$439,"Bandung")+COUNTIFS(Database!$X$5:$X$439,"Logistik",Database!$V$5:$V$439,"Banyuwangi")+COUNTIFS(Database!$X$5:$X$439,"Logistik",Database!$V$5:$V$439,"jakarta")+COUNTIFS(Database!$X$5:$X$439,"Logistik",Database!$V$5:$V$439,"klaten")+COUNTIFS(Database!$X$5:$X$439,"Logistik",Database!$V$5:$V$439,"Lampung")+COUNTIFS(Database!$X$5:$X$439,"Logistik",Database!$V$5:$V$439,"makassar")+COUNTIFS(Database!$X$5:$X$439,"Logistik",Database!$V$5:$V$439,"medan")+COUNTIFS(Database!$X$5:$X$439,"Logistik",Database!$V$5:$V$439,"Padang")+COUNTIFS(Database!$X$5:$X$439,"Logistik",Database!$V$5:$V$439,"Palembang")+COUNTIFS(Database!$X$5:$X$439,"Logistik",Database!$V$5:$V$439,"Purwodadi")+COUNTIFS(Database!$X$5:$X$439,"Logistik",Database!$V$5:$V$439,"Solo")+COUNTIFS(Database!$X$5:$X$439,"Logistik",Database!$V$5:$V$439,"surabaya")</f>
        <v>0</v>
      </c>
      <c r="H213" s="264">
        <f>COUNTIFS(Database!$X$5:$X$439,"Logistik",Database!$V$5:$V$439,"PMU")</f>
        <v>0</v>
      </c>
      <c r="I213" s="21">
        <f t="shared" si="9"/>
        <v>0</v>
      </c>
      <c r="J213" s="1"/>
      <c r="K213" s="1"/>
    </row>
    <row r="214" spans="1:11" ht="15.75" customHeight="1" x14ac:dyDescent="0.3">
      <c r="A214" s="16">
        <v>19</v>
      </c>
      <c r="B214" s="138" t="s">
        <v>175</v>
      </c>
      <c r="C214" s="264">
        <f>COUNTIFS(Database!$X$5:$X$439,"LRT Jabodebek",Database!$V$5:$V$439,"IMSS")</f>
        <v>0</v>
      </c>
      <c r="D214" s="264">
        <f>COUNTIFS(Database!$X$5:$X$439,"LRT Jabodebek",Database!$V$5:$V$439,"INKA")</f>
        <v>0</v>
      </c>
      <c r="E214" s="264">
        <f>COUNTIFS(Database!$X$5:$X$439,"LRT Jabodebek",Database!$V$5:$V$439,"MRO")</f>
        <v>0</v>
      </c>
      <c r="F214" s="264">
        <f>COUNTIFS(Database!$X$5:$X$439,"LRT Jabodebek",Database!$V$5:$V$439,"GUDANG")</f>
        <v>0</v>
      </c>
      <c r="G214" s="264">
        <f>COUNTIFS(Database!$X$5:$X$439,"LRT Jabodebek",Database!$V$5:$V$439,"Aceh")+COUNTIFS(Database!$X$5:$X$439,"LRT Jabodebek",Database!$V$5:$V$439,"Bandung")+COUNTIFS(Database!$X$5:$X$439,"LRT Jabodebek",Database!$V$5:$V$439,"Banyuwangi")+COUNTIFS(Database!$X$5:$X$439,"LRT Jabodebek",Database!$V$5:$V$439,"jakarta")+COUNTIFS(Database!$X$5:$X$439,"LRT Jabodebek",Database!$V$5:$V$439,"klaten")+COUNTIFS(Database!$X$5:$X$439,"LRT Jabodebek",Database!$V$5:$V$439,"Lampung")+COUNTIFS(Database!$X$5:$X$439,"LRT Jabodebek",Database!$V$5:$V$439,"makassar")+COUNTIFS(Database!$X$5:$X$439,"LRT Jabodebek",Database!$V$5:$V$439,"medan")+COUNTIFS(Database!$X$5:$X$439,"LRT Jabodebek",Database!$V$5:$V$439,"Padang")+COUNTIFS(Database!$X$5:$X$439,"LRT Jabodebek",Database!$V$5:$V$439,"Palembang")+COUNTIFS(Database!$X$5:$X$439,"LRT Jabodebek",Database!$V$5:$V$439,"Purwodadi")+COUNTIFS(Database!$X$5:$X$439,"LRT Jabodebek",Database!$V$5:$V$439,"Solo")+COUNTIFS(Database!$X$5:$X$439,"LRT Jabodebek",Database!$V$5:$V$439,"surabaya")</f>
        <v>0</v>
      </c>
      <c r="H214" s="264">
        <f>COUNTIFS(Database!$X$5:$X$439,"LRT Jabodebek",Database!$V$5:$V$439,"PMU")</f>
        <v>0</v>
      </c>
      <c r="I214" s="21">
        <f t="shared" si="9"/>
        <v>0</v>
      </c>
      <c r="J214" s="1"/>
      <c r="K214" s="1"/>
    </row>
    <row r="215" spans="1:11" ht="15.75" customHeight="1" x14ac:dyDescent="0.3">
      <c r="A215" s="16">
        <v>20</v>
      </c>
      <c r="B215" s="138" t="s">
        <v>57</v>
      </c>
      <c r="C215" s="264">
        <f>COUNTIFS(Database!$X$5:$X$439,"LRT Palembang",Database!$V$5:$V$439,"IMSS")</f>
        <v>0</v>
      </c>
      <c r="D215" s="264">
        <f>COUNTIFS(Database!$X$5:$X$439,"LRT Palembang",Database!$V$5:$V$439,"INKA")</f>
        <v>0</v>
      </c>
      <c r="E215" s="264">
        <f>COUNTIFS(Database!$X$5:$X$439,"LRT Palembang",Database!$V$5:$V$439,"MRO")</f>
        <v>0</v>
      </c>
      <c r="F215" s="264">
        <f>COUNTIFS(Database!$X$5:$X$439,"LRT Palembang",Database!$V$5:$V$439,"GUDANG")</f>
        <v>0</v>
      </c>
      <c r="G215" s="264">
        <f>COUNTIFS(Database!$X$5:$X$439,"LRT Palembang",Database!$V$5:$V$439,"Aceh")+COUNTIFS(Database!$X$5:$X$439,"LRT Palembang",Database!$V$5:$V$439,"Bandung")+COUNTIFS(Database!$X$5:$X$439,"LRT Palembang",Database!$V$5:$V$439,"Banyuwangi")+COUNTIFS(Database!$X$5:$X$439,"LRT Palembang",Database!$V$5:$V$439,"jakarta")+COUNTIFS(Database!$X$5:$X$439,"LRT Palembang",Database!$V$5:$V$439,"klaten")+COUNTIFS(Database!$X$5:$X$439,"LRT Palembang",Database!$V$5:$V$439,"Lampung")+COUNTIFS(Database!$X$5:$X$439,"LRT Palembang",Database!$V$5:$V$439,"makassar")+COUNTIFS(Database!$X$5:$X$439,"LRT Palembang",Database!$V$5:$V$439,"medan")+COUNTIFS(Database!$X$5:$X$439,"LRT Palembang",Database!$V$5:$V$439,"Padang")+COUNTIFS(Database!$X$5:$X$439,"LRT Palembang",Database!$V$5:$V$439,"Palembang")+COUNTIFS(Database!$X$5:$X$439,"LRT Palembang",Database!$V$5:$V$439,"Purwodadi")+COUNTIFS(Database!$X$5:$X$439,"LRT Palembang",Database!$V$5:$V$439,"Solo")+COUNTIFS(Database!$X$5:$X$439,"LRT Palembang",Database!$V$5:$V$439,"surabaya")</f>
        <v>0</v>
      </c>
      <c r="H215" s="264">
        <f>COUNTIFS(Database!$X$5:$X$439,"LRT Palembang",Database!$V$5:$V$439,"PMU")</f>
        <v>0</v>
      </c>
      <c r="I215" s="21">
        <f t="shared" si="9"/>
        <v>0</v>
      </c>
      <c r="J215" s="1"/>
      <c r="K215" s="1"/>
    </row>
    <row r="216" spans="1:11" ht="15.75" customHeight="1" x14ac:dyDescent="0.3">
      <c r="A216" s="16">
        <v>21</v>
      </c>
      <c r="B216" s="138" t="s">
        <v>144</v>
      </c>
      <c r="C216" s="264">
        <f>COUNTIFS(Database!$X$5:$X$439,"Maintenance Repair Overhaul",Database!$V$5:$V$439,"IMSS")</f>
        <v>0</v>
      </c>
      <c r="D216" s="264">
        <f>COUNTIFS(Database!$X$5:$X$439,"Maintenance Repair Overhaul",Database!$V$5:$V$439,"INKA")</f>
        <v>0</v>
      </c>
      <c r="E216" s="264">
        <f>COUNTIFS(Database!$X$5:$X$439,"Maintenance Repair Overhaul",Database!$V$5:$V$439,"MRO")</f>
        <v>0</v>
      </c>
      <c r="F216" s="264">
        <f>COUNTIFS(Database!$X$5:$X$439,"Maintenance Repair Overhaul",Database!$V$5:$V$439,"GUDANG")</f>
        <v>0</v>
      </c>
      <c r="G216" s="264">
        <f>COUNTIFS(Database!$X$5:$X$439,"Maintenance Repair Overhaul",Database!$V$5:$V$439,"Aceh")+COUNTIFS(Database!$X$5:$X$439,"Maintenance Repair Overhaul",Database!$V$5:$V$439,"Bandung")+COUNTIFS(Database!$X$5:$X$439,"Maintenance Repair Overhaul",Database!$V$5:$V$439,"Banyuwangi")+COUNTIFS(Database!$X$5:$X$439,"Maintenance Repair Overhaul",Database!$V$5:$V$439,"jakarta")+COUNTIFS(Database!$X$5:$X$439,"Maintenance Repair Overhaul",Database!$V$5:$V$439,"klaten")+COUNTIFS(Database!$X$5:$X$439,"Maintenance Repair Overhaul",Database!$V$5:$V$439,"Lampung")+COUNTIFS(Database!$X$5:$X$439,"Maintenance Repair Overhaul",Database!$V$5:$V$439,"makassar")+COUNTIFS(Database!$X$5:$X$439,"Maintenance Repair Overhaul",Database!$V$5:$V$439,"medan")+COUNTIFS(Database!$X$5:$X$439,"Maintenance Repair Overhaul",Database!$V$5:$V$439,"Padang")+COUNTIFS(Database!$X$5:$X$439,"Maintenance Repair Overhaul",Database!$V$5:$V$439,"Palembang")+COUNTIFS(Database!$X$5:$X$439,"Maintenance Repair Overhaul",Database!$V$5:$V$439,"Purwodadi")+COUNTIFS(Database!$X$5:$X$439,"Maintenance Repair Overhaul",Database!$V$5:$V$439,"Solo")+COUNTIFS(Database!$X$5:$X$439,"Maintenance Repair Overhaul",Database!$V$5:$V$439,"surabaya")</f>
        <v>0</v>
      </c>
      <c r="H216" s="264">
        <f>COUNTIFS(Database!$X$5:$X$439,"Maintenance Repair Overhaul",Database!$V$5:$V$439,"PMU")</f>
        <v>0</v>
      </c>
      <c r="I216" s="21">
        <f t="shared" si="9"/>
        <v>0</v>
      </c>
      <c r="J216" s="1"/>
      <c r="K216" s="1"/>
    </row>
    <row r="217" spans="1:11" ht="15.75" customHeight="1" x14ac:dyDescent="0.3">
      <c r="A217" s="16">
        <v>22</v>
      </c>
      <c r="B217" s="138" t="s">
        <v>176</v>
      </c>
      <c r="C217" s="264">
        <f>COUNTIFS(Database!$X$5:$X$439,"MRO Banyuwangi",Database!$V$5:$V$439,"IMSS")</f>
        <v>0</v>
      </c>
      <c r="D217" s="264">
        <f>COUNTIFS(Database!$X$5:$X$439,"MRO Banyuwangi",Database!$V$5:$V$439,"INKA")</f>
        <v>0</v>
      </c>
      <c r="E217" s="264">
        <f>COUNTIFS(Database!$X$5:$X$439,"MRO Banyuwangi",Database!$V$5:$V$439,"MRO")</f>
        <v>0</v>
      </c>
      <c r="F217" s="264">
        <f>COUNTIFS(Database!$X$5:$X$439,"MRO Banyuwangi",Database!$V$5:$V$439,"GUDANG")</f>
        <v>0</v>
      </c>
      <c r="G217" s="264">
        <f>COUNTIFS(Database!$X$5:$X$439,"MRO Banyuwangi",Database!$V$5:$V$439,"Aceh")+COUNTIFS(Database!$X$5:$X$439,"MRO Banyuwangi",Database!$V$5:$V$439,"Bandung")+COUNTIFS(Database!$X$5:$X$439,"MRO Banyuwangi",Database!$V$5:$V$439,"Banyuwangi")+COUNTIFS(Database!$X$5:$X$439,"MRO Banyuwangi",Database!$V$5:$V$439,"jakarta")+COUNTIFS(Database!$X$5:$X$439,"MRO Banyuwangi",Database!$V$5:$V$439,"klaten")+COUNTIFS(Database!$X$5:$X$439,"MRO Banyuwangi",Database!$V$5:$V$439,"Lampung")+COUNTIFS(Database!$X$5:$X$439,"MRO Banyuwangi",Database!$V$5:$V$439,"makassar")+COUNTIFS(Database!$X$5:$X$439,"MRO Banyuwangi",Database!$V$5:$V$439,"medan")+COUNTIFS(Database!$X$5:$X$439,"MRO Banyuwangi",Database!$V$5:$V$439,"Padang")+COUNTIFS(Database!$X$5:$X$439,"MRO Banyuwangi",Database!$V$5:$V$439,"Palembang")+COUNTIFS(Database!$X$5:$X$439,"MRO Banyuwangi",Database!$V$5:$V$439,"Purwodadi")+COUNTIFS(Database!$X$5:$X$439,"MRO Banyuwangi",Database!$V$5:$V$439,"Solo")+COUNTIFS(Database!$X$5:$X$439,"MRO Banyuwangi",Database!$V$5:$V$439,"surabaya")</f>
        <v>0</v>
      </c>
      <c r="H217" s="264">
        <f>COUNTIFS(Database!$X$5:$X$439,"MRO Banyuwangi",Database!$V$5:$V$439,"PMU")</f>
        <v>0</v>
      </c>
      <c r="I217" s="21">
        <f t="shared" si="9"/>
        <v>0</v>
      </c>
      <c r="J217" s="1"/>
      <c r="K217" s="1"/>
    </row>
    <row r="218" spans="1:11" ht="15.75" customHeight="1" x14ac:dyDescent="0.3">
      <c r="A218" s="16">
        <v>23</v>
      </c>
      <c r="B218" s="138" t="s">
        <v>59</v>
      </c>
      <c r="C218" s="264">
        <f>COUNTIFS(Database!$X$5:$X$439,"Pemasaran",Database!$V$5:$V$439,"IMSS")</f>
        <v>0</v>
      </c>
      <c r="D218" s="264">
        <f>COUNTIFS(Database!$X$5:$X$439,"Pemasaran",Database!$V$5:$V$439,"INKA")</f>
        <v>0</v>
      </c>
      <c r="E218" s="264">
        <f>COUNTIFS(Database!$X$5:$X$439,"Pemasaran",Database!$V$5:$V$439,"MRO")</f>
        <v>0</v>
      </c>
      <c r="F218" s="264">
        <f>COUNTIFS(Database!$X$5:$X$439,"Pemasaran",Database!$V$5:$V$439,"GUDANG")</f>
        <v>0</v>
      </c>
      <c r="G218" s="264">
        <f>COUNTIFS(Database!$X$5:$X$439,"Pemasaran",Database!$V$5:$V$439,"Aceh")+COUNTIFS(Database!$X$5:$X$439,"Pemasaran",Database!$V$5:$V$439,"Bandung")+COUNTIFS(Database!$X$5:$X$439,"Pemasaran",Database!$V$5:$V$439,"Banyuwangi")+COUNTIFS(Database!$X$5:$X$439,"Pemasaran",Database!$V$5:$V$439,"jakarta")+COUNTIFS(Database!$X$5:$X$439,"Pemasaran",Database!$V$5:$V$439,"klaten")+COUNTIFS(Database!$X$5:$X$439,"Pemasaran",Database!$V$5:$V$439,"Lampung")+COUNTIFS(Database!$X$5:$X$439,"Pemasaran",Database!$V$5:$V$439,"makassar")+COUNTIFS(Database!$X$5:$X$439,"Pemasaran",Database!$V$5:$V$439,"medan")+COUNTIFS(Database!$X$5:$X$439,"Pemasaran",Database!$V$5:$V$439,"Padang")+COUNTIFS(Database!$X$5:$X$439,"Pemasaran",Database!$V$5:$V$439,"Palembang")+COUNTIFS(Database!$X$5:$X$439,"Pemasaran",Database!$V$5:$V$439,"Purwodadi")+COUNTIFS(Database!$X$5:$X$439,"Pemasaran",Database!$V$5:$V$439,"Solo")+COUNTIFS(Database!$X$5:$X$439,"Pemasaran",Database!$V$5:$V$439,"surabaya")</f>
        <v>0</v>
      </c>
      <c r="H218" s="264">
        <f>COUNTIFS(Database!$X$5:$X$439,"Pemasaran",Database!$V$5:$V$439,"PMU")</f>
        <v>0</v>
      </c>
      <c r="I218" s="21">
        <f t="shared" si="9"/>
        <v>0</v>
      </c>
      <c r="J218" s="1"/>
      <c r="K218" s="1"/>
    </row>
    <row r="219" spans="1:11" ht="15.75" customHeight="1" x14ac:dyDescent="0.3">
      <c r="A219" s="16">
        <v>24</v>
      </c>
      <c r="B219" s="138" t="s">
        <v>177</v>
      </c>
      <c r="C219" s="264">
        <f>COUNTIFS(Database!$X$5:$X$439,"Pemeliharaan Aset",Database!$V$5:$V$439,"IMSS")</f>
        <v>0</v>
      </c>
      <c r="D219" s="264">
        <f>COUNTIFS(Database!$X$5:$X$439,"Pemeliharaan Aset",Database!$V$5:$V$439,"INKA")</f>
        <v>0</v>
      </c>
      <c r="E219" s="264">
        <f>COUNTIFS(Database!$X$5:$X$439,"Pemeliharaan Aset",Database!$V$5:$V$439,"MRO")</f>
        <v>0</v>
      </c>
      <c r="F219" s="264">
        <f>COUNTIFS(Database!$X$5:$X$439,"Pemeliharaan Aset",Database!$V$5:$V$439,"GUDANG")</f>
        <v>0</v>
      </c>
      <c r="G219" s="264">
        <f>COUNTIFS(Database!$X$5:$X$439,"Pemeliharaan Aset",Database!$V$5:$V$439,"Aceh")+COUNTIFS(Database!$X$5:$X$439,"Pemeliharaan Aset",Database!$V$5:$V$439,"Bandung")+COUNTIFS(Database!$X$5:$X$439,"Pemeliharaan Aset",Database!$V$5:$V$439,"Banyuwangi")+COUNTIFS(Database!$X$5:$X$439,"Pemeliharaan Aset",Database!$V$5:$V$439,"jakarta")+COUNTIFS(Database!$X$5:$X$439,"Pemeliharaan Aset",Database!$V$5:$V$439,"klaten")+COUNTIFS(Database!$X$5:$X$439,"Pemeliharaan Aset",Database!$V$5:$V$439,"Lampung")+COUNTIFS(Database!$X$5:$X$439,"Pemeliharaan Aset",Database!$V$5:$V$439,"makassar")+COUNTIFS(Database!$X$5:$X$439,"Pemeliharaan Aset",Database!$V$5:$V$439,"medan")+COUNTIFS(Database!$X$5:$X$439,"Pemeliharaan Aset",Database!$V$5:$V$439,"Padang")+COUNTIFS(Database!$X$5:$X$439,"Pemeliharaan Aset",Database!$V$5:$V$439,"Palembang")+COUNTIFS(Database!$X$5:$X$439,"Pemeliharaan Aset",Database!$V$5:$V$439,"Purwodadi")+COUNTIFS(Database!$X$5:$X$439,"Pemeliharaan Aset",Database!$V$5:$V$439,"Solo")+COUNTIFS(Database!$X$5:$X$439,"Pemeliharaan Aset",Database!$V$5:$V$439,"surabaya")</f>
        <v>0</v>
      </c>
      <c r="H219" s="264">
        <f>COUNTIFS(Database!$X$5:$X$439,"Pemeliharaan Aset",Database!$V$5:$V$439,"PMU")</f>
        <v>0</v>
      </c>
      <c r="I219" s="21">
        <f t="shared" si="9"/>
        <v>0</v>
      </c>
      <c r="J219" s="1"/>
      <c r="K219" s="1"/>
    </row>
    <row r="220" spans="1:11" ht="15.75" customHeight="1" x14ac:dyDescent="0.3">
      <c r="A220" s="16">
        <v>25</v>
      </c>
      <c r="B220" s="138" t="s">
        <v>65</v>
      </c>
      <c r="C220" s="264">
        <f>COUNTIFS(Database!$X$5:$X$439,"Pengelolaan Proyek Wilayah I",Database!$V$5:$V$439,"IMSS")</f>
        <v>0</v>
      </c>
      <c r="D220" s="264">
        <f>COUNTIFS(Database!$X$5:$X$439,"Pengelolaan Proyek Wilayah I",Database!$V$5:$V$439,"INKA")</f>
        <v>0</v>
      </c>
      <c r="E220" s="264">
        <f>COUNTIFS(Database!$X$5:$X$439,"Pengelolaan Proyek Wilayah I",Database!$V$5:$V$439,"MRO")</f>
        <v>0</v>
      </c>
      <c r="F220" s="264">
        <f>COUNTIFS(Database!$X$5:$X$439,"Pengelolaan Proyek Wilayah I",Database!$V$5:$V$439,"GUDANG")</f>
        <v>0</v>
      </c>
      <c r="G220" s="264">
        <f>COUNTIFS(Database!$X$5:$X$439,"Pengelolaan Proyek Wilayah I",Database!$V$5:$V$439,"Aceh")+COUNTIFS(Database!$X$5:$X$439,"Pengelolaan Proyek Wilayah I",Database!$V$5:$V$439,"Bandung")+COUNTIFS(Database!$X$5:$X$439,"Pengelolaan Proyek Wilayah I",Database!$V$5:$V$439,"Banyuwangi")+COUNTIFS(Database!$X$5:$X$439,"Pengelolaan Proyek Wilayah I",Database!$V$5:$V$439,"jakarta")+COUNTIFS(Database!$X$5:$X$439,"Pengelolaan Proyek Wilayah I",Database!$V$5:$V$439,"klaten")+COUNTIFS(Database!$X$5:$X$439,"Pengelolaan Proyek Wilayah I",Database!$V$5:$V$439,"Lampung")+COUNTIFS(Database!$X$5:$X$439,"Pengelolaan Proyek Wilayah I",Database!$V$5:$V$439,"makassar")+COUNTIFS(Database!$X$5:$X$439,"Pengelolaan Proyek Wilayah I",Database!$V$5:$V$439,"medan")+COUNTIFS(Database!$X$5:$X$439,"Pengelolaan Proyek Wilayah I",Database!$V$5:$V$439,"Padang")+COUNTIFS(Database!$X$5:$X$439,"Pengelolaan Proyek Wilayah I",Database!$V$5:$V$439,"Palembang")+COUNTIFS(Database!$X$5:$X$439,"Pengelolaan Proyek Wilayah I",Database!$V$5:$V$439,"Purwodadi")+COUNTIFS(Database!$X$5:$X$439,"Pengelolaan Proyek Wilayah I",Database!$V$5:$V$439,"Solo")+COUNTIFS(Database!$X$5:$X$439,"Pengelolaan Proyek Wilayah I",Database!$V$5:$V$439,"surabaya")</f>
        <v>0</v>
      </c>
      <c r="H220" s="264">
        <f>COUNTIFS(Database!$X$5:$X$439,"Pengelolaan Proyek Wilayah I",Database!$V$5:$V$439,"PMU")</f>
        <v>0</v>
      </c>
      <c r="I220" s="21">
        <f t="shared" si="9"/>
        <v>0</v>
      </c>
      <c r="J220" s="1"/>
      <c r="K220" s="1"/>
    </row>
    <row r="221" spans="1:11" ht="15.75" customHeight="1" x14ac:dyDescent="0.3">
      <c r="A221" s="16">
        <v>27</v>
      </c>
      <c r="B221" s="138" t="s">
        <v>73</v>
      </c>
      <c r="C221" s="264">
        <f>COUNTIFS(Database!$X$5:$X$439,"Pengelolaan Proyek Wilayah Ii",Database!$V$5:$V$439,"IMSS")</f>
        <v>0</v>
      </c>
      <c r="D221" s="264">
        <f>COUNTIFS(Database!$X$5:$X$439,"Pengelolaan Proyek Wilayah Ii",Database!$V$5:$V$439,"INKA")</f>
        <v>0</v>
      </c>
      <c r="E221" s="264">
        <f>COUNTIFS(Database!$X$5:$X$439,"Pengelolaan Proyek Wilayah Ii",Database!$V$5:$V$439,"MRO")</f>
        <v>0</v>
      </c>
      <c r="F221" s="264">
        <f>COUNTIFS(Database!$X$5:$X$439,"Pengelolaan Proyek Wilayah Ii",Database!$V$5:$V$439,"GUDANG")</f>
        <v>0</v>
      </c>
      <c r="G221" s="264">
        <f>COUNTIFS(Database!$X$5:$X$439,"Pengelolaan Proyek Wilayah Ii",Database!$V$5:$V$439,"Aceh")+COUNTIFS(Database!$X$5:$X$439,"Pengelolaan Proyek Wilayah Ii",Database!$V$5:$V$439,"Bandung")+COUNTIFS(Database!$X$5:$X$439,"Pengelolaan Proyek Wilayah Ii",Database!$V$5:$V$439,"Banyuwangi")+COUNTIFS(Database!$X$5:$X$439,"Pengelolaan Proyek Wilayah Ii",Database!$V$5:$V$439,"jakarta")+COUNTIFS(Database!$X$5:$X$439,"Pengelolaan Proyek Wilayah Ii",Database!$V$5:$V$439,"klaten")+COUNTIFS(Database!$X$5:$X$439,"Pengelolaan Proyek Wilayah Ii",Database!$V$5:$V$439,"Lampung")+COUNTIFS(Database!$X$5:$X$439,"Pengelolaan Proyek Wilayah Ii",Database!$V$5:$V$439,"makassar")+COUNTIFS(Database!$X$5:$X$439,"Pengelolaan Proyek Wilayah Ii",Database!$V$5:$V$439,"medan")+COUNTIFS(Database!$X$5:$X$439,"Pengelolaan Proyek Wilayah Ii",Database!$V$5:$V$439,"Padang")+COUNTIFS(Database!$X$5:$X$439,"Pengelolaan Proyek Wilayah Ii",Database!$V$5:$V$439,"Palembang")+COUNTIFS(Database!$X$5:$X$439,"Pengelolaan Proyek Wilayah Ii",Database!$V$5:$V$439,"Purwodadi")+COUNTIFS(Database!$X$5:$X$439,"Pengelolaan Proyek Wilayah Ii",Database!$V$5:$V$439,"Solo")+COUNTIFS(Database!$X$5:$X$439,"Pengelolaan Proyek Wilayah Ii",Database!$V$5:$V$439,"surabaya")</f>
        <v>0</v>
      </c>
      <c r="H221" s="264">
        <f>COUNTIFS(Database!$X$5:$X$439,"Pengelolaan Proyek Wilayah Ii",Database!$V$5:$V$439,"PMU")</f>
        <v>0</v>
      </c>
      <c r="I221" s="21">
        <f t="shared" si="9"/>
        <v>0</v>
      </c>
      <c r="J221" s="1"/>
      <c r="K221" s="1"/>
    </row>
    <row r="222" spans="1:11" ht="15.75" customHeight="1" x14ac:dyDescent="0.3">
      <c r="A222" s="16">
        <v>28</v>
      </c>
      <c r="B222" s="138" t="s">
        <v>19</v>
      </c>
      <c r="C222" s="264">
        <f>COUNTIFS(Database!$X$5:$X$439,"PMU",Database!$V$5:$V$439,"IMSS")</f>
        <v>0</v>
      </c>
      <c r="D222" s="264">
        <f>COUNTIFS(Database!$X$5:$X$439,"PMU",Database!$V$5:$V$439,"INKA")</f>
        <v>0</v>
      </c>
      <c r="E222" s="264">
        <f>COUNTIFS(Database!$X$5:$X$439,"PMU",Database!$V$5:$V$439,"MRO")</f>
        <v>0</v>
      </c>
      <c r="F222" s="264">
        <f>COUNTIFS(Database!$X$5:$X$439,"PMU",Database!$V$5:$V$439,"GUDANG")</f>
        <v>0</v>
      </c>
      <c r="G222" s="264">
        <f>COUNTIFS(Database!$X$5:$X$439,"PMU",Database!$V$5:$V$439,"Aceh")+COUNTIFS(Database!$X$5:$X$439,"PMU",Database!$V$5:$V$439,"Bandung")+COUNTIFS(Database!$X$5:$X$439,"PMU",Database!$V$5:$V$439,"Banyuwangi")+COUNTIFS(Database!$X$5:$X$439,"PMU",Database!$V$5:$V$439,"jakarta")+COUNTIFS(Database!$X$5:$X$439,"PMU",Database!$V$5:$V$439,"klaten")+COUNTIFS(Database!$X$5:$X$439,"PMU",Database!$V$5:$V$439,"Lampung")+COUNTIFS(Database!$X$5:$X$439,"PMU",Database!$V$5:$V$439,"makassar")+COUNTIFS(Database!$X$5:$X$439,"PMU",Database!$V$5:$V$439,"medan")+COUNTIFS(Database!$X$5:$X$439,"PMU",Database!$V$5:$V$439,"Padang")+COUNTIFS(Database!$X$5:$X$439,"PMU",Database!$V$5:$V$439,"Palembang")+COUNTIFS(Database!$X$5:$X$439,"PMU",Database!$V$5:$V$439,"Purwodadi")+COUNTIFS(Database!$X$5:$X$439,"PMU",Database!$V$5:$V$439,"Solo")+COUNTIFS(Database!$X$5:$X$439,"PMU",Database!$V$5:$V$439,"surabaya")</f>
        <v>0</v>
      </c>
      <c r="H222" s="264">
        <f>COUNTIFS(Database!$X$5:$X$439,"PMU",Database!$V$5:$V$439,"PMU")</f>
        <v>0</v>
      </c>
      <c r="I222" s="21">
        <f t="shared" si="9"/>
        <v>0</v>
      </c>
      <c r="J222" s="1"/>
      <c r="K222" s="1"/>
    </row>
    <row r="223" spans="1:11" ht="15.75" customHeight="1" x14ac:dyDescent="0.3">
      <c r="A223" s="16">
        <v>29</v>
      </c>
      <c r="B223" s="138" t="s">
        <v>178</v>
      </c>
      <c r="C223" s="264">
        <f>COUNTIFS(Database!$X$5:$X$439,"QC FINAL",Database!$V$5:$V$439,"IMSS")</f>
        <v>0</v>
      </c>
      <c r="D223" s="264">
        <f>COUNTIFS(Database!$X$5:$X$439,"QC FINAL",Database!$V$5:$V$439,"INKA")</f>
        <v>0</v>
      </c>
      <c r="E223" s="264">
        <f>COUNTIFS(Database!$X$5:$X$439,"QC FINAL",Database!$V$5:$V$439,"MRO")</f>
        <v>0</v>
      </c>
      <c r="F223" s="264">
        <f>COUNTIFS(Database!$X$5:$X$439,"QC FINAL",Database!$V$5:$V$439,"GUDANG")</f>
        <v>0</v>
      </c>
      <c r="G223" s="264">
        <f>COUNTIFS(Database!$X$5:$X$439,"QC FINAL",Database!$V$5:$V$439,"Aceh")+COUNTIFS(Database!$X$5:$X$439,"QC FINAL",Database!$V$5:$V$439,"Bandung")+COUNTIFS(Database!$X$5:$X$439,"QC FINAL",Database!$V$5:$V$439,"Banyuwangi")+COUNTIFS(Database!$X$5:$X$439,"QC FINAL",Database!$V$5:$V$439,"jakarta")+COUNTIFS(Database!$X$5:$X$439,"QC FINAL",Database!$V$5:$V$439,"klaten")+COUNTIFS(Database!$X$5:$X$439,"QC FINAL",Database!$V$5:$V$439,"Lampung")+COUNTIFS(Database!$X$5:$X$439,"QC FINAL",Database!$V$5:$V$439,"makassar")+COUNTIFS(Database!$X$5:$X$439,"QC FINAL",Database!$V$5:$V$439,"medan")+COUNTIFS(Database!$X$5:$X$439,"QC FINAL",Database!$V$5:$V$439,"Padang")+COUNTIFS(Database!$X$5:$X$439,"QC FINAL",Database!$V$5:$V$439,"Palembang")+COUNTIFS(Database!$X$5:$X$439,"QC FINAL",Database!$V$5:$V$439,"Purwodadi")+COUNTIFS(Database!$X$5:$X$439,"QC FINAL",Database!$V$5:$V$439,"Solo")+COUNTIFS(Database!$X$5:$X$439,"QC FINAL",Database!$V$5:$V$439,"surabaya")</f>
        <v>0</v>
      </c>
      <c r="H223" s="264">
        <f>COUNTIFS(Database!$X$5:$X$439,"QC FINAL",Database!$V$5:$V$439,"PMU")</f>
        <v>0</v>
      </c>
      <c r="I223" s="21">
        <f t="shared" si="9"/>
        <v>0</v>
      </c>
      <c r="J223" s="1"/>
      <c r="K223" s="1"/>
    </row>
    <row r="224" spans="1:11" ht="15.75" customHeight="1" x14ac:dyDescent="0.3">
      <c r="A224" s="16">
        <v>30</v>
      </c>
      <c r="B224" s="138" t="s">
        <v>93</v>
      </c>
      <c r="C224" s="264">
        <f>COUNTIFS(Database!$X$5:$X$439,"RB Bathara Kresna",Database!$V$5:$V$439,"IMSS")</f>
        <v>0</v>
      </c>
      <c r="D224" s="264">
        <f>COUNTIFS(Database!$X$5:$X$439,"RB Bathara Kresna",Database!$V$5:$V$439,"INKA")</f>
        <v>0</v>
      </c>
      <c r="E224" s="264">
        <f>COUNTIFS(Database!$X$5:$X$439,"RB Bathara Kresna",Database!$V$5:$V$439,"MRO")</f>
        <v>0</v>
      </c>
      <c r="F224" s="264">
        <f>COUNTIFS(Database!$X$5:$X$439,"RB Bathara Kresna",Database!$V$5:$V$439,"GUDANG")</f>
        <v>0</v>
      </c>
      <c r="G224" s="264">
        <f>COUNTIFS(Database!$X$5:$X$439,"RB Bathara Kresna",Database!$V$5:$V$439,"Aceh")+COUNTIFS(Database!$X$5:$X$439,"RB Bathara Kresna",Database!$V$5:$V$439,"Bandung")+COUNTIFS(Database!$X$5:$X$439,"RB Bathara Kresna",Database!$V$5:$V$439,"Banyuwangi")+COUNTIFS(Database!$X$5:$X$439,"RB Bathara Kresna",Database!$V$5:$V$439,"jakarta")+COUNTIFS(Database!$X$5:$X$439,"RB Bathara Kresna",Database!$V$5:$V$439,"klaten")+COUNTIFS(Database!$X$5:$X$439,"RB Bathara Kresna",Database!$V$5:$V$439,"Lampung")+COUNTIFS(Database!$X$5:$X$439,"RB Bathara Kresna",Database!$V$5:$V$439,"makassar")+COUNTIFS(Database!$X$5:$X$439,"RB Bathara Kresna",Database!$V$5:$V$439,"medan")+COUNTIFS(Database!$X$5:$X$439,"RB Bathara Kresna",Database!$V$5:$V$439,"Padang")+COUNTIFS(Database!$X$5:$X$439,"RB Bathara Kresna",Database!$V$5:$V$439,"Palembang")+COUNTIFS(Database!$X$5:$X$439,"RB Bathara Kresna",Database!$V$5:$V$439,"Purwodadi")+COUNTIFS(Database!$X$5:$X$439,"RB Bathara Kresna",Database!$V$5:$V$439,"Solo")+COUNTIFS(Database!$X$5:$X$439,"RB Bathara Kresna",Database!$V$5:$V$439,"surabaya")</f>
        <v>0</v>
      </c>
      <c r="H224" s="264">
        <f>COUNTIFS(Database!$X$5:$X$439,"RB Bathara Kresna",Database!$V$5:$V$439,"PMU")</f>
        <v>0</v>
      </c>
      <c r="I224" s="21">
        <f t="shared" si="9"/>
        <v>0</v>
      </c>
      <c r="J224" s="1"/>
      <c r="K224" s="1"/>
    </row>
    <row r="225" spans="1:11" ht="15.75" customHeight="1" x14ac:dyDescent="0.3">
      <c r="A225" s="16">
        <v>31</v>
      </c>
      <c r="B225" s="138" t="s">
        <v>97</v>
      </c>
      <c r="C225" s="264">
        <f>COUNTIFS(Database!$X$5:$X$439,"RB Lembah Anai",Database!$V$5:$V$439,"IMSS")</f>
        <v>0</v>
      </c>
      <c r="D225" s="264">
        <f>COUNTIFS(Database!$X$5:$X$439,"RB Lembah Anai",Database!$V$5:$V$439,"INKA")</f>
        <v>0</v>
      </c>
      <c r="E225" s="264">
        <f>COUNTIFS(Database!$X$5:$X$439,"RB Lembah Anai",Database!$V$5:$V$439,"MRO")</f>
        <v>0</v>
      </c>
      <c r="F225" s="264">
        <f>COUNTIFS(Database!$X$5:$X$439,"RB Lembah Anai",Database!$V$5:$V$439,"GUDANG")</f>
        <v>0</v>
      </c>
      <c r="G225" s="264">
        <f>COUNTIFS(Database!$X$5:$X$439,"RB Lembah Anai",Database!$V$5:$V$439,"Aceh")+COUNTIFS(Database!$X$5:$X$439,"RB Lembah Anai",Database!$V$5:$V$439,"Bandung")+COUNTIFS(Database!$X$5:$X$439,"RB Lembah Anai",Database!$V$5:$V$439,"Banyuwangi")+COUNTIFS(Database!$X$5:$X$439,"RB Lembah Anai",Database!$V$5:$V$439,"jakarta")+COUNTIFS(Database!$X$5:$X$439,"RB Lembah Anai",Database!$V$5:$V$439,"klaten")+COUNTIFS(Database!$X$5:$X$439,"RB Lembah Anai",Database!$V$5:$V$439,"Lampung")+COUNTIFS(Database!$X$5:$X$439,"RB Lembah Anai",Database!$V$5:$V$439,"makassar")+COUNTIFS(Database!$X$5:$X$439,"RB Lembah Anai",Database!$V$5:$V$439,"medan")+COUNTIFS(Database!$X$5:$X$439,"RB Lembah Anai",Database!$V$5:$V$439,"Padang")+COUNTIFS(Database!$X$5:$X$439,"RB Lembah Anai",Database!$V$5:$V$439,"Palembang")+COUNTIFS(Database!$X$5:$X$439,"RB Lembah Anai",Database!$V$5:$V$439,"Purwodadi")+COUNTIFS(Database!$X$5:$X$439,"RB Lembah Anai",Database!$V$5:$V$439,"Solo")+COUNTIFS(Database!$X$5:$X$439,"RB Lembah Anai",Database!$V$5:$V$439,"surabaya")</f>
        <v>0</v>
      </c>
      <c r="H225" s="264">
        <f>COUNTIFS(Database!$X$5:$X$439,"RB Lembah Anai",Database!$V$5:$V$439,"PMU")</f>
        <v>0</v>
      </c>
      <c r="I225" s="21">
        <f t="shared" si="9"/>
        <v>0</v>
      </c>
      <c r="J225" s="1"/>
      <c r="K225" s="1"/>
    </row>
    <row r="226" spans="1:11" ht="15.75" customHeight="1" x14ac:dyDescent="0.3">
      <c r="A226" s="16">
        <v>32</v>
      </c>
      <c r="B226" s="138" t="s">
        <v>104</v>
      </c>
      <c r="C226" s="264">
        <f>COUNTIFS(Database!$X$5:$X$439,"SDM dan Umum",Database!$V$5:$V$439,"IMSS")</f>
        <v>0</v>
      </c>
      <c r="D226" s="264">
        <f>COUNTIFS(Database!$X$5:$X$439,"SDM dan Umum",Database!$V$5:$V$439,"INKA")</f>
        <v>0</v>
      </c>
      <c r="E226" s="264">
        <f>COUNTIFS(Database!$X$5:$X$439,"SDM dan Umum",Database!$V$5:$V$439,"MRO")</f>
        <v>0</v>
      </c>
      <c r="F226" s="264">
        <f>COUNTIFS(Database!$X$5:$X$439,"SDM dan Umum",Database!$V$5:$V$439,"GUDANG")</f>
        <v>0</v>
      </c>
      <c r="G226" s="264">
        <f>COUNTIFS(Database!$X$5:$X$439,"SDM dan Umum",Database!$V$5:$V$439,"Aceh")+COUNTIFS(Database!$X$5:$X$439,"SDM dan Umum",Database!$V$5:$V$439,"Bandung")+COUNTIFS(Database!$X$5:$X$439,"SDM dan Umum",Database!$V$5:$V$439,"Banyuwangi")+COUNTIFS(Database!$X$5:$X$439,"SDM dan Umum",Database!$V$5:$V$439,"jakarta")+COUNTIFS(Database!$X$5:$X$439,"SDM dan Umum",Database!$V$5:$V$439,"klaten")+COUNTIFS(Database!$X$5:$X$439,"SDM dan Umum",Database!$V$5:$V$439,"Lampung")+COUNTIFS(Database!$X$5:$X$439,"SDM dan Umum",Database!$V$5:$V$439,"makassar")+COUNTIFS(Database!$X$5:$X$439,"SDM dan Umum",Database!$V$5:$V$439,"medan")+COUNTIFS(Database!$X$5:$X$439,"SDM dan Umum",Database!$V$5:$V$439,"Padang")+COUNTIFS(Database!$X$5:$X$439,"SDM dan Umum",Database!$V$5:$V$439,"Palembang")+COUNTIFS(Database!$X$5:$X$439,"SDM dan Umum",Database!$V$5:$V$439,"Purwodadi")+COUNTIFS(Database!$X$5:$X$439,"SDM dan Umum",Database!$V$5:$V$439,"Solo")+COUNTIFS(Database!$X$5:$X$439,"SDM dan Umum",Database!$V$5:$V$439,"surabaya")</f>
        <v>0</v>
      </c>
      <c r="H226" s="264">
        <f>COUNTIFS(Database!$X$5:$X$439,"SDM dan Umum",Database!$V$5:$V$439,"PMU")</f>
        <v>0</v>
      </c>
      <c r="I226" s="21">
        <f t="shared" si="9"/>
        <v>0</v>
      </c>
      <c r="J226" s="1"/>
      <c r="K226" s="1"/>
    </row>
    <row r="227" spans="1:11" ht="15.75" customHeight="1" x14ac:dyDescent="0.3">
      <c r="A227" s="16">
        <v>33</v>
      </c>
      <c r="B227" s="138" t="s">
        <v>107</v>
      </c>
      <c r="C227" s="264">
        <f>COUNTIFS(Database!$X$5:$X$439,"Sekper, Legal dan Tata Kelola",Database!$V$5:$V$439,"IMSS")</f>
        <v>0</v>
      </c>
      <c r="D227" s="264">
        <f>COUNTIFS(Database!$X$5:$X$439,"Sekper, Legal dan Tata Kelola",Database!$V$5:$V$439,"INKA")</f>
        <v>0</v>
      </c>
      <c r="E227" s="264">
        <f>COUNTIFS(Database!$X$5:$X$439,"Sekper, Legal dan Tata Kelola",Database!$V$5:$V$439,"MRO")</f>
        <v>0</v>
      </c>
      <c r="F227" s="264">
        <f>COUNTIFS(Database!$X$5:$X$439,"Sekper, Legal dan Tata Kelola",Database!$V$5:$V$439,"GUDANG")</f>
        <v>0</v>
      </c>
      <c r="G227" s="264">
        <f>COUNTIFS(Database!$X$5:$X$439,"Sekper, Legal dan Tata Kelola",Database!$V$5:$V$439,"Aceh")+COUNTIFS(Database!$X$5:$X$439,"Sekper, Legal dan Tata Kelola",Database!$V$5:$V$439,"Bandung")+COUNTIFS(Database!$X$5:$X$439,"Sekper, Legal dan Tata Kelola",Database!$V$5:$V$439,"Banyuwangi")+COUNTIFS(Database!$X$5:$X$439,"Sekper, Legal dan Tata Kelola",Database!$V$5:$V$439,"jakarta")+COUNTIFS(Database!$X$5:$X$439,"Sekper, Legal dan Tata Kelola",Database!$V$5:$V$439,"klaten")+COUNTIFS(Database!$X$5:$X$439,"Sekper, Legal dan Tata Kelola",Database!$V$5:$V$439,"Lampung")+COUNTIFS(Database!$X$5:$X$439,"Sekper, Legal dan Tata Kelola",Database!$V$5:$V$439,"makassar")+COUNTIFS(Database!$X$5:$X$439,"Sekper, Legal dan Tata Kelola",Database!$V$5:$V$439,"medan")+COUNTIFS(Database!$X$5:$X$439,"Sekper, Legal dan Tata Kelola",Database!$V$5:$V$439,"Padang")+COUNTIFS(Database!$X$5:$X$439,"Sekper, Legal dan Tata Kelola",Database!$V$5:$V$439,"Palembang")+COUNTIFS(Database!$X$5:$X$439,"Sekper, Legal dan Tata Kelola",Database!$V$5:$V$439,"Purwodadi")+COUNTIFS(Database!$X$5:$X$439,"Sekper, Legal dan Tata Kelola",Database!$V$5:$V$439,"Solo")+COUNTIFS(Database!$X$5:$X$439,"Sekper, Legal dan Tata Kelola",Database!$V$5:$V$439,"surabaya")</f>
        <v>0</v>
      </c>
      <c r="H227" s="264">
        <f>COUNTIFS(Database!$X$5:$X$439,"Sekper, Legal dan Tata Kelola",Database!$V$5:$V$439,"PMU")</f>
        <v>0</v>
      </c>
      <c r="I227" s="21">
        <f t="shared" si="9"/>
        <v>0</v>
      </c>
      <c r="J227" s="1"/>
      <c r="K227" s="1"/>
    </row>
    <row r="228" spans="1:11" ht="15.75" customHeight="1" x14ac:dyDescent="0.3">
      <c r="A228" s="16">
        <v>34</v>
      </c>
      <c r="B228" s="138" t="s">
        <v>112</v>
      </c>
      <c r="C228" s="264">
        <f>COUNTIFS(Database!$X$5:$X$439,"Sipil",Database!$V$5:$V$439,"IMSS")</f>
        <v>0</v>
      </c>
      <c r="D228" s="264">
        <f>COUNTIFS(Database!$X$5:$X$439,"Sipil",Database!$V$5:$V$439,"INKA")</f>
        <v>0</v>
      </c>
      <c r="E228" s="264">
        <f>COUNTIFS(Database!$X$5:$X$439,"Sipil",Database!$V$5:$V$439,"MRO")</f>
        <v>0</v>
      </c>
      <c r="F228" s="264">
        <f>COUNTIFS(Database!$X$5:$X$439,"Sipil",Database!$V$5:$V$439,"GUDANG")</f>
        <v>0</v>
      </c>
      <c r="G228" s="264">
        <f>COUNTIFS(Database!$X$5:$X$439,"Sipil",Database!$V$5:$V$439,"Aceh")+COUNTIFS(Database!$X$5:$X$439,"Sipil",Database!$V$5:$V$439,"Bandung")+COUNTIFS(Database!$X$5:$X$439,"Sipil",Database!$V$5:$V$439,"Banyuwangi")+COUNTIFS(Database!$X$5:$X$439,"Sipil",Database!$V$5:$V$439,"jakarta")+COUNTIFS(Database!$X$5:$X$439,"Sipil",Database!$V$5:$V$439,"klaten")+COUNTIFS(Database!$X$5:$X$439,"Sipil",Database!$V$5:$V$439,"Lampung")+COUNTIFS(Database!$X$5:$X$439,"Sipil",Database!$V$5:$V$439,"makassar")+COUNTIFS(Database!$X$5:$X$439,"Sipil",Database!$V$5:$V$439,"medan")+COUNTIFS(Database!$X$5:$X$439,"Sipil",Database!$V$5:$V$439,"Padang")+COUNTIFS(Database!$X$5:$X$439,"Sipil",Database!$V$5:$V$439,"Palembang")+COUNTIFS(Database!$X$5:$X$439,"Sipil",Database!$V$5:$V$439,"Purwodadi")+COUNTIFS(Database!$X$5:$X$439,"Sipil",Database!$V$5:$V$439,"Solo")+COUNTIFS(Database!$X$5:$X$439,"Sipil",Database!$V$5:$V$439,"surabaya")</f>
        <v>0</v>
      </c>
      <c r="H228" s="264">
        <f>COUNTIFS(Database!$X$5:$X$439,"Sipil",Database!$V$5:$V$439,"PMU")</f>
        <v>0</v>
      </c>
      <c r="I228" s="21">
        <f t="shared" si="9"/>
        <v>0</v>
      </c>
      <c r="J228" s="1"/>
      <c r="K228" s="1"/>
    </row>
    <row r="229" spans="1:11" ht="15.75" customHeight="1" x14ac:dyDescent="0.3">
      <c r="A229" s="16">
        <v>35</v>
      </c>
      <c r="B229" s="138" t="s">
        <v>115</v>
      </c>
      <c r="C229" s="264">
        <f>COUNTIFS(Database!$X$5:$X$439,"SMK3",Database!$V$5:$V$439,"IMSS")</f>
        <v>0</v>
      </c>
      <c r="D229" s="264">
        <f>COUNTIFS(Database!$X$5:$X$439,"SMK3",Database!$V$5:$V$439,"INKA")</f>
        <v>0</v>
      </c>
      <c r="E229" s="264">
        <f>COUNTIFS(Database!$X$5:$X$439,"SMK3",Database!$V$5:$V$439,"MRO")</f>
        <v>0</v>
      </c>
      <c r="F229" s="264">
        <f>COUNTIFS(Database!$X$5:$X$439,"SMK3",Database!$V$5:$V$439,"GUDANG")</f>
        <v>0</v>
      </c>
      <c r="G229" s="264">
        <f>COUNTIFS(Database!$X$5:$X$439,"SMK3",Database!$V$5:$V$439,"Aceh")+COUNTIFS(Database!$X$5:$X$439,"SMK3",Database!$V$5:$V$439,"Bandung")+COUNTIFS(Database!$X$5:$X$439,"SMK3",Database!$V$5:$V$439,"Banyuwangi")+COUNTIFS(Database!$X$5:$X$439,"SMK3",Database!$V$5:$V$439,"jakarta")+COUNTIFS(Database!$X$5:$X$439,"SMK3",Database!$V$5:$V$439,"klaten")+COUNTIFS(Database!$X$5:$X$439,"SMK3",Database!$V$5:$V$439,"Lampung")+COUNTIFS(Database!$X$5:$X$439,"SMK3",Database!$V$5:$V$439,"makassar")+COUNTIFS(Database!$X$5:$X$439,"SMK3",Database!$V$5:$V$439,"medan")+COUNTIFS(Database!$X$5:$X$439,"SMK3",Database!$V$5:$V$439,"Padang")+COUNTIFS(Database!$X$5:$X$439,"SMK3",Database!$V$5:$V$439,"Palembang")+COUNTIFS(Database!$X$5:$X$439,"SMK3",Database!$V$5:$V$439,"Purwodadi")+COUNTIFS(Database!$X$5:$X$439,"SMK3",Database!$V$5:$V$439,"Solo")+COUNTIFS(Database!$X$5:$X$439,"SMK3",Database!$V$5:$V$439,"surabaya")</f>
        <v>0</v>
      </c>
      <c r="H229" s="264">
        <f>COUNTIFS(Database!$X$5:$X$439,"SMK3",Database!$V$5:$V$439,"PMU")</f>
        <v>0</v>
      </c>
      <c r="I229" s="21">
        <f t="shared" si="9"/>
        <v>0</v>
      </c>
      <c r="J229" s="1"/>
      <c r="K229" s="1"/>
    </row>
    <row r="230" spans="1:11" ht="15.75" customHeight="1" x14ac:dyDescent="0.3">
      <c r="A230" s="16">
        <v>36</v>
      </c>
      <c r="B230" s="138" t="s">
        <v>179</v>
      </c>
      <c r="C230" s="264">
        <f>COUNTIFS(Database!$X$5:$X$439,"SMN loko Admin",Database!$V$5:$V$439,"IMSS")</f>
        <v>0</v>
      </c>
      <c r="D230" s="264">
        <f>COUNTIFS(Database!$X$5:$X$439,"SMN loko Admin",Database!$V$5:$V$439,"INKA")</f>
        <v>0</v>
      </c>
      <c r="E230" s="264">
        <f>COUNTIFS(Database!$X$5:$X$439,"SMN loko Admin",Database!$V$5:$V$439,"MRO")</f>
        <v>0</v>
      </c>
      <c r="F230" s="264">
        <f>COUNTIFS(Database!$X$5:$X$439,"SMN loko Admin",Database!$V$5:$V$439,"GUDANG")</f>
        <v>0</v>
      </c>
      <c r="G230" s="264">
        <f>COUNTIFS(Database!$X$5:$X$439,"SMN loko Admin",Database!$V$5:$V$439,"Aceh")+COUNTIFS(Database!$X$5:$X$439,"SMN loko Admin",Database!$V$5:$V$439,"Bandung")+COUNTIFS(Database!$X$5:$X$439,"SMN loko Admin",Database!$V$5:$V$439,"Banyuwangi")+COUNTIFS(Database!$X$5:$X$439,"SMN loko Admin",Database!$V$5:$V$439,"jakarta")+COUNTIFS(Database!$X$5:$X$439,"SMN loko Admin",Database!$V$5:$V$439,"klaten")+COUNTIFS(Database!$X$5:$X$439,"SMN loko Admin",Database!$V$5:$V$439,"Lampung")+COUNTIFS(Database!$X$5:$X$439,"SMN loko Admin",Database!$V$5:$V$439,"makassar")+COUNTIFS(Database!$X$5:$X$439,"SMN loko Admin",Database!$V$5:$V$439,"medan")+COUNTIFS(Database!$X$5:$X$439,"SMN loko Admin",Database!$V$5:$V$439,"Padang")+COUNTIFS(Database!$X$5:$X$439,"SMN loko Admin",Database!$V$5:$V$439,"Palembang")+COUNTIFS(Database!$X$5:$X$439,"SMN loko Admin",Database!$V$5:$V$439,"Purwodadi")+COUNTIFS(Database!$X$5:$X$439,"SMN loko Admin",Database!$V$5:$V$439,"Solo")+COUNTIFS(Database!$X$5:$X$439,"SMN loko Admin",Database!$V$5:$V$439,"surabaya")</f>
        <v>0</v>
      </c>
      <c r="H230" s="264">
        <f>COUNTIFS(Database!$X$5:$X$439,"SMN loko Admin",Database!$V$5:$V$439,"PMU")</f>
        <v>0</v>
      </c>
      <c r="I230" s="21">
        <f t="shared" si="9"/>
        <v>0</v>
      </c>
      <c r="J230" s="1"/>
      <c r="K230" s="1"/>
    </row>
    <row r="231" spans="1:11" ht="15.75" customHeight="1" x14ac:dyDescent="0.3">
      <c r="A231" s="16">
        <v>37</v>
      </c>
      <c r="B231" s="138" t="s">
        <v>126</v>
      </c>
      <c r="C231" s="264">
        <f>COUNTIFS(Database!$X$5:$X$439,"SMN Loko Jakarta",Database!$V$5:$V$439,"IMSS")</f>
        <v>0</v>
      </c>
      <c r="D231" s="264">
        <f>COUNTIFS(Database!$X$5:$X$439,"SMN Loko Jakarta",Database!$V$5:$V$439,"INKA")</f>
        <v>0</v>
      </c>
      <c r="E231" s="264">
        <f>COUNTIFS(Database!$X$5:$X$439,"SMN Loko Jakarta",Database!$V$5:$V$439,"MRO")</f>
        <v>0</v>
      </c>
      <c r="F231" s="264">
        <f>COUNTIFS(Database!$X$5:$X$439,"SMN Loko Jakarta",Database!$V$5:$V$439,"GUDANG")</f>
        <v>0</v>
      </c>
      <c r="G231" s="264">
        <f>COUNTIFS(Database!$X$5:$X$439,"SMN Loko Jakarta",Database!$V$5:$V$439,"Aceh")+COUNTIFS(Database!$X$5:$X$439,"SMN Loko Jakarta",Database!$V$5:$V$439,"Bandung")+COUNTIFS(Database!$X$5:$X$439,"SMN Loko Jakarta",Database!$V$5:$V$439,"Banyuwangi")+COUNTIFS(Database!$X$5:$X$439,"SMN Loko Jakarta",Database!$V$5:$V$439,"jakarta")+COUNTIFS(Database!$X$5:$X$439,"SMN Loko Jakarta",Database!$V$5:$V$439,"klaten")+COUNTIFS(Database!$X$5:$X$439,"SMN Loko Jakarta",Database!$V$5:$V$439,"Lampung")+COUNTIFS(Database!$X$5:$X$439,"SMN Loko Jakarta",Database!$V$5:$V$439,"makassar")+COUNTIFS(Database!$X$5:$X$439,"SMN Loko Jakarta",Database!$V$5:$V$439,"medan")+COUNTIFS(Database!$X$5:$X$439,"SMN Loko Jakarta",Database!$V$5:$V$439,"Padang")+COUNTIFS(Database!$X$5:$X$439,"SMN Loko Jakarta",Database!$V$5:$V$439,"Palembang")+COUNTIFS(Database!$X$5:$X$439,"SMN Loko Jakarta",Database!$V$5:$V$439,"Purwodadi")+COUNTIFS(Database!$X$5:$X$439,"SMN Loko Jakarta",Database!$V$5:$V$439,"Solo")+COUNTIFS(Database!$X$5:$X$439,"SMN Loko Jakarta",Database!$V$5:$V$439,"surabaya")</f>
        <v>0</v>
      </c>
      <c r="H231" s="264">
        <f>COUNTIFS(Database!$X$5:$X$439,"SMN Loko Jakarta",Database!$V$5:$V$439,"PMU")</f>
        <v>0</v>
      </c>
      <c r="I231" s="21">
        <f t="shared" si="9"/>
        <v>0</v>
      </c>
      <c r="J231" s="1"/>
      <c r="K231" s="1"/>
    </row>
    <row r="232" spans="1:11" ht="15.75" customHeight="1" x14ac:dyDescent="0.3">
      <c r="A232" s="16">
        <v>38</v>
      </c>
      <c r="B232" s="138" t="s">
        <v>128</v>
      </c>
      <c r="C232" s="264">
        <f>COUNTIFS(Database!$X$5:$X$439,"SMN Loko Medan",Database!$V$5:$V$439,"IMSS")</f>
        <v>0</v>
      </c>
      <c r="D232" s="264">
        <f>COUNTIFS(Database!$X$5:$X$439,"SMN Loko Medan",Database!$V$5:$V$439,"INKA")</f>
        <v>0</v>
      </c>
      <c r="E232" s="264">
        <f>COUNTIFS(Database!$X$5:$X$439,"SMN Loko Medan",Database!$V$5:$V$439,"MRO")</f>
        <v>0</v>
      </c>
      <c r="F232" s="264">
        <f>COUNTIFS(Database!$X$5:$X$439,"SMN Loko Medan",Database!$V$5:$V$439,"GUDANG")</f>
        <v>0</v>
      </c>
      <c r="G232" s="264">
        <f>COUNTIFS(Database!$X$5:$X$439,"SMN Loko Medan",Database!$V$5:$V$439,"Aceh")+COUNTIFS(Database!$X$5:$X$439,"SMN Loko Medan",Database!$V$5:$V$439,"Bandung")+COUNTIFS(Database!$X$5:$X$439,"SMN Loko Medan",Database!$V$5:$V$439,"Banyuwangi")+COUNTIFS(Database!$X$5:$X$439,"SMN Loko Medan",Database!$V$5:$V$439,"jakarta")+COUNTIFS(Database!$X$5:$X$439,"SMN Loko Medan",Database!$V$5:$V$439,"klaten")+COUNTIFS(Database!$X$5:$X$439,"SMN Loko Medan",Database!$V$5:$V$439,"Lampung")+COUNTIFS(Database!$X$5:$X$439,"SMN Loko Medan",Database!$V$5:$V$439,"makassar")+COUNTIFS(Database!$X$5:$X$439,"SMN Loko Medan",Database!$V$5:$V$439,"medan")+COUNTIFS(Database!$X$5:$X$439,"SMN Loko Medan",Database!$V$5:$V$439,"Padang")+COUNTIFS(Database!$X$5:$X$439,"SMN Loko Medan",Database!$V$5:$V$439,"Palembang")+COUNTIFS(Database!$X$5:$X$439,"SMN Loko Medan",Database!$V$5:$V$439,"Purwodadi")+COUNTIFS(Database!$X$5:$X$439,"SMN Loko Medan",Database!$V$5:$V$439,"Solo")+COUNTIFS(Database!$X$5:$X$439,"SMN Loko Medan",Database!$V$5:$V$439,"surabaya")</f>
        <v>0</v>
      </c>
      <c r="H232" s="264">
        <f>COUNTIFS(Database!$X$5:$X$439,"SMN Loko Medan",Database!$V$5:$V$439,"PMU")</f>
        <v>0</v>
      </c>
      <c r="I232" s="21">
        <f t="shared" si="9"/>
        <v>0</v>
      </c>
      <c r="J232" s="1"/>
      <c r="K232" s="1"/>
    </row>
    <row r="233" spans="1:11" ht="15.75" customHeight="1" x14ac:dyDescent="0.3">
      <c r="A233" s="16">
        <v>40</v>
      </c>
      <c r="B233" s="138" t="s">
        <v>129</v>
      </c>
      <c r="C233" s="264">
        <f>COUNTIFS(Database!$X$5:$X$439,"SMN Loko Purwodadi",Database!$V$5:$V$439,"IMSS")</f>
        <v>0</v>
      </c>
      <c r="D233" s="264">
        <f>COUNTIFS(Database!$X$5:$X$439,"SMN Loko Purwodadi",Database!$V$5:$V$439,"INKA")</f>
        <v>0</v>
      </c>
      <c r="E233" s="264">
        <f>COUNTIFS(Database!$X$5:$X$439,"SMN Loko Purwodadi",Database!$V$5:$V$439,"MRO")</f>
        <v>0</v>
      </c>
      <c r="F233" s="264">
        <f>COUNTIFS(Database!$X$5:$X$439,"SMN Loko Purwodadi",Database!$V$5:$V$439,"GUDANG")</f>
        <v>0</v>
      </c>
      <c r="G233" s="264">
        <f>COUNTIFS(Database!$X$5:$X$439,"SMN Loko Purwodadi",Database!$V$5:$V$439,"Aceh")+COUNTIFS(Database!$X$5:$X$439,"SMN Loko Purwodadi",Database!$V$5:$V$439,"Bandung")+COUNTIFS(Database!$X$5:$X$439,"SMN Loko Purwodadi",Database!$V$5:$V$439,"Banyuwangi")+COUNTIFS(Database!$X$5:$X$439,"SMN Loko Purwodadi",Database!$V$5:$V$439,"jakarta")+COUNTIFS(Database!$X$5:$X$439,"SMN Loko Purwodadi",Database!$V$5:$V$439,"klaten")+COUNTIFS(Database!$X$5:$X$439,"SMN Loko Purwodadi",Database!$V$5:$V$439,"Lampung")+COUNTIFS(Database!$X$5:$X$439,"SMN Loko Purwodadi",Database!$V$5:$V$439,"makassar")+COUNTIFS(Database!$X$5:$X$439,"SMN Loko Purwodadi",Database!$V$5:$V$439,"medan")+COUNTIFS(Database!$X$5:$X$439,"SMN Loko Purwodadi",Database!$V$5:$V$439,"Padang")+COUNTIFS(Database!$X$5:$X$439,"SMN Loko Purwodadi",Database!$V$5:$V$439,"Palembang")+COUNTIFS(Database!$X$5:$X$439,"SMN Loko Purwodadi",Database!$V$5:$V$439,"Purwodadi")+COUNTIFS(Database!$X$5:$X$439,"SMN Loko Purwodadi",Database!$V$5:$V$439,"Solo")+COUNTIFS(Database!$X$5:$X$439,"SMN Loko Purwodadi",Database!$V$5:$V$439,"surabaya")</f>
        <v>0</v>
      </c>
      <c r="H233" s="264">
        <f>COUNTIFS(Database!$X$5:$X$439,"SMN Loko Purwodadi",Database!$V$5:$V$439,"PMU")</f>
        <v>0</v>
      </c>
      <c r="I233" s="21">
        <f t="shared" si="9"/>
        <v>0</v>
      </c>
      <c r="J233" s="1"/>
      <c r="K233" s="1"/>
    </row>
    <row r="234" spans="1:11" ht="15.75" customHeight="1" x14ac:dyDescent="0.3">
      <c r="A234" s="16">
        <v>42</v>
      </c>
      <c r="B234" s="139" t="s">
        <v>116</v>
      </c>
      <c r="C234" s="264">
        <f>COUNTIFS(Database!$X$5:$X$439,"SPI",Database!$V$5:$V$439,"IMSS")</f>
        <v>0</v>
      </c>
      <c r="D234" s="264">
        <f>COUNTIFS(Database!$X$5:$X$439,"SPI",Database!$V$5:$V$439,"INKA")</f>
        <v>0</v>
      </c>
      <c r="E234" s="264">
        <f>COUNTIFS(Database!$X$5:$X$439,"SPI",Database!$V$5:$V$439,"MRO")</f>
        <v>0</v>
      </c>
      <c r="F234" s="264">
        <f>COUNTIFS(Database!$X$5:$X$439,"SPI",Database!$V$5:$V$439,"GUDANG")</f>
        <v>0</v>
      </c>
      <c r="G234" s="264">
        <f>COUNTIFS(Database!$X$5:$X$439,"SPI",Database!$V$5:$V$439,"Aceh")+COUNTIFS(Database!$X$5:$X$439,"SPI",Database!$V$5:$V$439,"Bandung")+COUNTIFS(Database!$X$5:$X$439,"SPI",Database!$V$5:$V$439,"Banyuwangi")+COUNTIFS(Database!$X$5:$X$439,"SPI",Database!$V$5:$V$439,"jakarta")+COUNTIFS(Database!$X$5:$X$439,"SPI",Database!$V$5:$V$439,"klaten")+COUNTIFS(Database!$X$5:$X$439,"SPI",Database!$V$5:$V$439,"Lampung")+COUNTIFS(Database!$X$5:$X$439,"SPI",Database!$V$5:$V$439,"makassar")+COUNTIFS(Database!$X$5:$X$439,"SPI",Database!$V$5:$V$439,"medan")+COUNTIFS(Database!$X$5:$X$439,"SPI",Database!$V$5:$V$439,"Padang")+COUNTIFS(Database!$X$5:$X$439,"SPI",Database!$V$5:$V$439,"Palembang")+COUNTIFS(Database!$X$5:$X$439,"SPI",Database!$V$5:$V$439,"Purwodadi")+COUNTIFS(Database!$X$5:$X$439,"SPI",Database!$V$5:$V$439,"Solo")+COUNTIFS(Database!$X$5:$X$439,"SPI",Database!$V$5:$V$439,"surabaya")</f>
        <v>0</v>
      </c>
      <c r="H234" s="264">
        <f>COUNTIFS(Database!$X$5:$X$439,"SPI",Database!$V$5:$V$439,"PMU")</f>
        <v>0</v>
      </c>
      <c r="I234" s="21">
        <f t="shared" si="9"/>
        <v>0</v>
      </c>
      <c r="J234" s="1"/>
      <c r="K234" s="1"/>
    </row>
    <row r="235" spans="1:11" ht="15.75" customHeight="1" x14ac:dyDescent="0.3">
      <c r="A235" s="16">
        <v>44</v>
      </c>
      <c r="B235" s="140" t="s">
        <v>119</v>
      </c>
      <c r="C235" s="264">
        <f>COUNTIFS(Database!$X$5:$X$439,"Teknik",Database!$V$5:$V$439,"IMSS")</f>
        <v>0</v>
      </c>
      <c r="D235" s="264">
        <f>COUNTIFS(Database!$X$5:$X$439,"Teknik",Database!$V$5:$V$439,"INKA")</f>
        <v>0</v>
      </c>
      <c r="E235" s="264">
        <f>COUNTIFS(Database!$X$5:$X$439,"Teknik",Database!$V$5:$V$439,"MRO")</f>
        <v>0</v>
      </c>
      <c r="F235" s="264">
        <f>COUNTIFS(Database!$X$5:$X$439,"Teknik",Database!$V$5:$V$439,"GUDANG")</f>
        <v>0</v>
      </c>
      <c r="G235" s="264">
        <f>COUNTIFS(Database!$X$5:$X$439,"Teknik",Database!$V$5:$V$439,"Aceh")+COUNTIFS(Database!$X$5:$X$439,"Teknik",Database!$V$5:$V$439,"Bandung")+COUNTIFS(Database!$X$5:$X$439,"Teknik",Database!$V$5:$V$439,"Banyuwangi")+COUNTIFS(Database!$X$5:$X$439,"Teknik",Database!$V$5:$V$439,"jakarta")+COUNTIFS(Database!$X$5:$X$439,"Teknik",Database!$V$5:$V$439,"klaten")+COUNTIFS(Database!$X$5:$X$439,"Teknik",Database!$V$5:$V$439,"Lampung")+COUNTIFS(Database!$X$5:$X$439,"Teknik",Database!$V$5:$V$439,"makassar")+COUNTIFS(Database!$X$5:$X$439,"Teknik",Database!$V$5:$V$439,"medan")+COUNTIFS(Database!$X$5:$X$439,"Teknik",Database!$V$5:$V$439,"Padang")+COUNTIFS(Database!$X$5:$X$439,"Teknik",Database!$V$5:$V$439,"Palembang")+COUNTIFS(Database!$X$5:$X$439,"Teknik",Database!$V$5:$V$439,"Purwodadi")+COUNTIFS(Database!$X$5:$X$439,"Teknik",Database!$V$5:$V$439,"Solo")+COUNTIFS(Database!$X$5:$X$439,"Teknik",Database!$V$5:$V$439,"surabaya")</f>
        <v>0</v>
      </c>
      <c r="H235" s="264">
        <f>COUNTIFS(Database!$X$5:$X$439,"Teknik",Database!$V$5:$V$439,"PMU")</f>
        <v>0</v>
      </c>
      <c r="I235" s="21">
        <f t="shared" si="9"/>
        <v>0</v>
      </c>
      <c r="J235" s="1"/>
      <c r="K235" s="1"/>
    </row>
    <row r="236" spans="1:11" ht="15.75" customHeight="1" x14ac:dyDescent="0.3">
      <c r="A236" s="16">
        <v>46</v>
      </c>
      <c r="B236" s="140" t="s">
        <v>120</v>
      </c>
      <c r="C236" s="264">
        <f>COUNTIFS(Database!$X$5:$X$439,"Teknik dan Logistik",Database!$V$5:$V$439,"IMSS")</f>
        <v>0</v>
      </c>
      <c r="D236" s="264">
        <f>COUNTIFS(Database!$X$5:$X$439,"Teknik dan Logistik",Database!$V$5:$V$439,"INKA")</f>
        <v>0</v>
      </c>
      <c r="E236" s="264">
        <f>COUNTIFS(Database!$X$5:$X$439,"Teknik dan Logistik",Database!$V$5:$V$439,"MRO")</f>
        <v>0</v>
      </c>
      <c r="F236" s="264">
        <f>COUNTIFS(Database!$X$5:$X$439,"Teknik dan Logistik",Database!$V$5:$V$439,"GUDANG")</f>
        <v>3</v>
      </c>
      <c r="G236" s="264">
        <f>COUNTIFS(Database!$X$5:$X$439,"Teknik dan Logistik",Database!$V$5:$V$439,"Aceh")+COUNTIFS(Database!$X$5:$X$439,"Teknik dan Logistik",Database!$V$5:$V$439,"Bandung")+COUNTIFS(Database!$X$5:$X$439,"Teknik dan Logistik",Database!$V$5:$V$439,"Banyuwangi")+COUNTIFS(Database!$X$5:$X$439,"Teknik dan Logistik",Database!$V$5:$V$439,"jakarta")+COUNTIFS(Database!$X$5:$X$439,"Teknik dan Logistik",Database!$V$5:$V$439,"klaten")+COUNTIFS(Database!$X$5:$X$439,"Teknik dan Logistik",Database!$V$5:$V$439,"Lampung")+COUNTIFS(Database!$X$5:$X$439,"Teknik dan Logistik",Database!$V$5:$V$439,"makassar")+COUNTIFS(Database!$X$5:$X$439,"Teknik dan Logistik",Database!$V$5:$V$439,"medan")+COUNTIFS(Database!$X$5:$X$439,"Teknik dan Logistik",Database!$V$5:$V$439,"Padang")+COUNTIFS(Database!$X$5:$X$439,"Teknik dan Logistik",Database!$V$5:$V$439,"Palembang")+COUNTIFS(Database!$X$5:$X$439,"Teknik dan Logistik",Database!$V$5:$V$439,"Purwodadi")+COUNTIFS(Database!$X$5:$X$439,"Teknik dan Logistik",Database!$V$5:$V$439,"Solo")+COUNTIFS(Database!$X$5:$X$439,"Teknik dan Logistik",Database!$V$5:$V$439,"surabaya")</f>
        <v>0</v>
      </c>
      <c r="H236" s="264">
        <f>COUNTIFS(Database!$X$5:$X$439,"Teknik dan Logistik",Database!$V$5:$V$439,"PMU")</f>
        <v>0</v>
      </c>
      <c r="I236" s="21">
        <f t="shared" si="9"/>
        <v>3</v>
      </c>
      <c r="J236" s="1"/>
      <c r="K236" s="1"/>
    </row>
    <row r="237" spans="1:11" ht="15.75" customHeight="1" x14ac:dyDescent="0.3">
      <c r="A237" s="16">
        <v>48</v>
      </c>
      <c r="B237" s="140" t="s">
        <v>121</v>
      </c>
      <c r="C237" s="264">
        <f>COUNTIFS(Database!$X$5:$X$439,"Wilayah I",Database!$V$5:$V$439,"IMSS")</f>
        <v>0</v>
      </c>
      <c r="D237" s="264">
        <f>COUNTIFS(Database!$X$5:$X$439,"Wilayah I",Database!$V$5:$V$439,"INKA")</f>
        <v>51</v>
      </c>
      <c r="E237" s="264">
        <f>COUNTIFS(Database!$X$5:$X$439,"Wilayah I",Database!$V$5:$V$439,"MRO")</f>
        <v>0</v>
      </c>
      <c r="F237" s="264">
        <f>COUNTIFS(Database!$X$5:$X$439,"Wilayah I",Database!$V$5:$V$439,"GUDANG")</f>
        <v>0</v>
      </c>
      <c r="G237" s="264">
        <f>COUNTIFS(Database!$X$5:$X$439,"Wilayah I",Database!$V$5:$V$439,"Aceh")+COUNTIFS(Database!$X$5:$X$439,"Wilayah I",Database!$V$5:$V$439,"Bandung")+COUNTIFS(Database!$X$5:$X$439,"Wilayah I",Database!$V$5:$V$439,"Banyuwangi")+COUNTIFS(Database!$X$5:$X$439,"Wilayah I",Database!$V$5:$V$439,"jakarta")+COUNTIFS(Database!$X$5:$X$439,"Wilayah I",Database!$V$5:$V$439,"klaten")+COUNTIFS(Database!$X$5:$X$439,"Wilayah I",Database!$V$5:$V$439,"Lampung")+COUNTIFS(Database!$X$5:$X$439,"Wilayah I",Database!$V$5:$V$439,"makassar")+COUNTIFS(Database!$X$5:$X$439,"Wilayah I",Database!$V$5:$V$439,"medan")+COUNTIFS(Database!$X$5:$X$439,"Wilayah I",Database!$V$5:$V$439,"Padang")+COUNTIFS(Database!$X$5:$X$439,"Wilayah I",Database!$V$5:$V$439,"Palembang")+COUNTIFS(Database!$X$5:$X$439,"Wilayah I",Database!$V$5:$V$439,"Purwodadi")+COUNTIFS(Database!$X$5:$X$439,"Wilayah I",Database!$V$5:$V$439,"Solo")+COUNTIFS(Database!$X$5:$X$439,"Wilayah I",Database!$V$5:$V$439,"surabaya")</f>
        <v>0</v>
      </c>
      <c r="H237" s="264">
        <f>COUNTIFS(Database!$X$5:$X$439,"Wilayah I",Database!$V$5:$V$439,"PMU")</f>
        <v>0</v>
      </c>
      <c r="I237" s="21">
        <f t="shared" si="9"/>
        <v>51</v>
      </c>
      <c r="J237" s="1"/>
      <c r="K237" s="1"/>
    </row>
    <row r="238" spans="1:11" ht="15.75" customHeight="1" x14ac:dyDescent="0.3">
      <c r="A238" s="336" t="s">
        <v>180</v>
      </c>
      <c r="B238" s="337"/>
      <c r="C238" s="5">
        <f t="shared" ref="C238:H238" si="10">SUM(C196:C237)</f>
        <v>0</v>
      </c>
      <c r="D238" s="5">
        <f t="shared" si="10"/>
        <v>51</v>
      </c>
      <c r="E238" s="5">
        <f t="shared" si="10"/>
        <v>0</v>
      </c>
      <c r="F238" s="5">
        <f t="shared" si="10"/>
        <v>3</v>
      </c>
      <c r="G238" s="5">
        <f t="shared" si="10"/>
        <v>0</v>
      </c>
      <c r="H238" s="5">
        <f t="shared" si="10"/>
        <v>0</v>
      </c>
      <c r="I238" s="21">
        <f t="shared" si="9"/>
        <v>54</v>
      </c>
      <c r="J238" s="1"/>
      <c r="K238" s="1"/>
    </row>
    <row r="239" spans="1:11" ht="15.75" customHeight="1" x14ac:dyDescent="0.3">
      <c r="C239" s="1"/>
      <c r="D239" s="1"/>
      <c r="E239" s="1"/>
      <c r="F239" s="1"/>
      <c r="G239" s="1"/>
    </row>
    <row r="240" spans="1:11" ht="15.75" customHeight="1" x14ac:dyDescent="0.3">
      <c r="C240" s="1"/>
      <c r="D240" s="1"/>
      <c r="E240" s="1"/>
      <c r="F240" s="1"/>
      <c r="G240" s="1"/>
    </row>
    <row r="241" spans="2:7" ht="15.75" customHeight="1" x14ac:dyDescent="0.3">
      <c r="C241" s="1"/>
      <c r="D241" s="1"/>
      <c r="E241" s="1"/>
      <c r="F241" s="1"/>
      <c r="G241" s="1"/>
    </row>
    <row r="242" spans="2:7" ht="15.75" customHeight="1" x14ac:dyDescent="0.3">
      <c r="C242" s="1"/>
      <c r="D242" s="1"/>
      <c r="E242" s="1"/>
      <c r="F242" s="1"/>
      <c r="G242" s="1"/>
    </row>
    <row r="243" spans="2:7" ht="15.75" customHeight="1" x14ac:dyDescent="0.3">
      <c r="B243" s="6" t="s">
        <v>181</v>
      </c>
      <c r="C243" s="1"/>
      <c r="D243" s="1"/>
      <c r="E243" s="1"/>
      <c r="F243" s="1"/>
      <c r="G243" s="1"/>
    </row>
    <row r="244" spans="2:7" ht="15.75" customHeight="1" x14ac:dyDescent="0.3">
      <c r="B244" s="141" t="s">
        <v>60</v>
      </c>
      <c r="C244" s="142" t="s">
        <v>61</v>
      </c>
      <c r="D244" s="143" t="s">
        <v>182</v>
      </c>
      <c r="E244" s="143" t="s">
        <v>183</v>
      </c>
      <c r="F244" s="143" t="s">
        <v>8</v>
      </c>
    </row>
    <row r="245" spans="2:7" ht="15.75" customHeight="1" x14ac:dyDescent="0.3">
      <c r="B245" s="144" t="s">
        <v>184</v>
      </c>
      <c r="C245" s="145" t="s">
        <v>185</v>
      </c>
      <c r="D245" s="144" t="s">
        <v>185</v>
      </c>
      <c r="E245" s="144" t="s">
        <v>186</v>
      </c>
      <c r="F245" s="144" t="s">
        <v>187</v>
      </c>
    </row>
    <row r="246" spans="2:7" ht="15.75" customHeight="1" x14ac:dyDescent="0.3">
      <c r="B246" s="146" t="s">
        <v>188</v>
      </c>
      <c r="C246" s="147" t="s">
        <v>185</v>
      </c>
      <c r="D246" s="146" t="s">
        <v>185</v>
      </c>
      <c r="E246" s="146" t="s">
        <v>189</v>
      </c>
      <c r="F246" s="146" t="s">
        <v>187</v>
      </c>
    </row>
    <row r="247" spans="2:7" ht="15.75" customHeight="1" x14ac:dyDescent="0.3">
      <c r="B247" s="146" t="s">
        <v>190</v>
      </c>
      <c r="C247" s="147" t="s">
        <v>185</v>
      </c>
      <c r="D247" s="146" t="s">
        <v>185</v>
      </c>
      <c r="E247" s="146" t="s">
        <v>189</v>
      </c>
      <c r="F247" s="146" t="s">
        <v>187</v>
      </c>
    </row>
    <row r="248" spans="2:7" ht="15.75" customHeight="1" x14ac:dyDescent="0.3">
      <c r="B248" s="146" t="s">
        <v>191</v>
      </c>
      <c r="C248" s="147" t="s">
        <v>185</v>
      </c>
      <c r="D248" s="146" t="s">
        <v>185</v>
      </c>
      <c r="E248" s="146" t="s">
        <v>186</v>
      </c>
      <c r="F248" s="146" t="s">
        <v>187</v>
      </c>
    </row>
    <row r="249" spans="2:7" ht="15.75" customHeight="1" x14ac:dyDescent="0.3">
      <c r="B249" s="146" t="s">
        <v>192</v>
      </c>
      <c r="C249" s="147" t="s">
        <v>185</v>
      </c>
      <c r="D249" s="146" t="s">
        <v>185</v>
      </c>
      <c r="E249" s="146" t="s">
        <v>193</v>
      </c>
      <c r="F249" s="146" t="s">
        <v>187</v>
      </c>
    </row>
    <row r="250" spans="2:7" ht="15.75" customHeight="1" x14ac:dyDescent="0.3">
      <c r="B250" s="146" t="s">
        <v>194</v>
      </c>
      <c r="C250" s="147" t="s">
        <v>185</v>
      </c>
      <c r="D250" s="146" t="s">
        <v>185</v>
      </c>
      <c r="E250" s="146" t="s">
        <v>193</v>
      </c>
      <c r="F250" s="146" t="s">
        <v>187</v>
      </c>
    </row>
    <row r="251" spans="2:7" ht="15.75" customHeight="1" x14ac:dyDescent="0.3">
      <c r="B251" s="146" t="s">
        <v>195</v>
      </c>
      <c r="C251" s="147" t="s">
        <v>185</v>
      </c>
      <c r="D251" s="146" t="s">
        <v>185</v>
      </c>
      <c r="E251" s="146" t="s">
        <v>193</v>
      </c>
      <c r="F251" s="146" t="s">
        <v>187</v>
      </c>
    </row>
    <row r="252" spans="2:7" ht="15.75" customHeight="1" x14ac:dyDescent="0.3">
      <c r="B252" s="146" t="s">
        <v>196</v>
      </c>
      <c r="C252" s="147" t="s">
        <v>185</v>
      </c>
      <c r="D252" s="146" t="s">
        <v>185</v>
      </c>
      <c r="E252" s="146" t="s">
        <v>186</v>
      </c>
      <c r="F252" s="146" t="s">
        <v>187</v>
      </c>
    </row>
    <row r="253" spans="2:7" ht="15.75" customHeight="1" x14ac:dyDescent="0.3">
      <c r="B253" s="148" t="s">
        <v>197</v>
      </c>
      <c r="C253" s="149" t="s">
        <v>185</v>
      </c>
      <c r="D253" s="148" t="s">
        <v>185</v>
      </c>
      <c r="E253" s="148" t="s">
        <v>189</v>
      </c>
      <c r="F253" s="148" t="s">
        <v>187</v>
      </c>
    </row>
    <row r="254" spans="2:7" ht="15.75" customHeight="1" x14ac:dyDescent="0.3">
      <c r="C254" s="1"/>
      <c r="D254" s="1"/>
      <c r="E254" s="1"/>
    </row>
    <row r="255" spans="2:7" ht="15.75" customHeight="1" x14ac:dyDescent="0.3">
      <c r="C255" s="1"/>
      <c r="D255" s="1"/>
      <c r="E255" s="1"/>
    </row>
    <row r="256" spans="2:7" ht="15.75" customHeight="1" x14ac:dyDescent="0.3">
      <c r="C256" s="1"/>
      <c r="D256" s="1"/>
      <c r="E256" s="1"/>
    </row>
    <row r="257" spans="3:7" ht="15.75" customHeight="1" x14ac:dyDescent="0.3">
      <c r="C257" s="1"/>
      <c r="D257" s="1"/>
      <c r="E257" s="1"/>
    </row>
    <row r="258" spans="3:7" ht="15.75" customHeight="1" x14ac:dyDescent="0.3">
      <c r="C258" s="1"/>
      <c r="D258" s="1"/>
      <c r="E258" s="1"/>
      <c r="F258" s="1"/>
      <c r="G258" s="1"/>
    </row>
    <row r="259" spans="3:7" ht="15.75" customHeight="1" x14ac:dyDescent="0.3">
      <c r="C259" s="1"/>
      <c r="D259" s="1"/>
      <c r="E259" s="1"/>
      <c r="F259" s="1"/>
      <c r="G259" s="1"/>
    </row>
    <row r="260" spans="3:7" ht="15.75" customHeight="1" x14ac:dyDescent="0.3">
      <c r="C260" s="1"/>
      <c r="D260" s="1"/>
      <c r="E260" s="1"/>
      <c r="F260" s="1"/>
      <c r="G260" s="1"/>
    </row>
    <row r="261" spans="3:7" ht="15.75" customHeight="1" x14ac:dyDescent="0.3">
      <c r="C261" s="1"/>
      <c r="D261" s="1"/>
      <c r="E261" s="1"/>
      <c r="F261" s="1"/>
      <c r="G261" s="1"/>
    </row>
    <row r="262" spans="3:7" ht="15.75" customHeight="1" x14ac:dyDescent="0.3">
      <c r="C262" s="1"/>
      <c r="D262" s="1"/>
      <c r="E262" s="1"/>
      <c r="F262" s="1"/>
      <c r="G262" s="1"/>
    </row>
    <row r="263" spans="3:7" ht="15.75" customHeight="1" x14ac:dyDescent="0.3">
      <c r="C263" s="1"/>
      <c r="D263" s="1"/>
      <c r="E263" s="1"/>
      <c r="F263" s="1"/>
      <c r="G263" s="1"/>
    </row>
    <row r="264" spans="3:7" ht="15.75" customHeight="1" x14ac:dyDescent="0.3">
      <c r="C264" s="1"/>
      <c r="D264" s="1"/>
      <c r="E264" s="1"/>
      <c r="F264" s="1"/>
      <c r="G264" s="1"/>
    </row>
    <row r="265" spans="3:7" ht="15.75" customHeight="1" x14ac:dyDescent="0.3">
      <c r="C265" s="1"/>
      <c r="D265" s="1"/>
      <c r="E265" s="1"/>
      <c r="F265" s="1"/>
      <c r="G265" s="1"/>
    </row>
    <row r="266" spans="3:7" ht="15.75" customHeight="1" x14ac:dyDescent="0.3">
      <c r="C266" s="1"/>
      <c r="D266" s="1"/>
      <c r="E266" s="1"/>
      <c r="F266" s="1"/>
      <c r="G266" s="1"/>
    </row>
    <row r="267" spans="3:7" ht="15.75" customHeight="1" x14ac:dyDescent="0.3">
      <c r="C267" s="1"/>
      <c r="D267" s="1"/>
      <c r="E267" s="1"/>
      <c r="F267" s="1"/>
      <c r="G267" s="1"/>
    </row>
    <row r="268" spans="3:7" ht="15.75" customHeight="1" x14ac:dyDescent="0.3">
      <c r="C268" s="1"/>
      <c r="D268" s="1"/>
      <c r="E268" s="1"/>
      <c r="F268" s="1"/>
      <c r="G268" s="1"/>
    </row>
    <row r="269" spans="3:7" ht="15.75" customHeight="1" x14ac:dyDescent="0.3">
      <c r="C269" s="1"/>
      <c r="D269" s="1"/>
      <c r="E269" s="1"/>
      <c r="F269" s="1"/>
      <c r="G269" s="1"/>
    </row>
    <row r="270" spans="3:7" ht="15.75" customHeight="1" x14ac:dyDescent="0.3">
      <c r="C270" s="1"/>
      <c r="D270" s="1"/>
      <c r="E270" s="1"/>
      <c r="F270" s="1"/>
      <c r="G270" s="1"/>
    </row>
    <row r="271" spans="3:7" ht="15.75" customHeight="1" x14ac:dyDescent="0.3">
      <c r="C271" s="1"/>
      <c r="D271" s="1"/>
      <c r="E271" s="1"/>
      <c r="F271" s="1"/>
      <c r="G271" s="1"/>
    </row>
    <row r="272" spans="3:7" ht="15.75" customHeight="1" x14ac:dyDescent="0.3">
      <c r="C272" s="1"/>
      <c r="D272" s="1"/>
      <c r="E272" s="1"/>
      <c r="F272" s="1"/>
      <c r="G272" s="1"/>
    </row>
    <row r="273" spans="3:7" ht="15.75" customHeight="1" x14ac:dyDescent="0.3">
      <c r="C273" s="1"/>
      <c r="D273" s="1"/>
      <c r="E273" s="1"/>
      <c r="F273" s="1"/>
      <c r="G273" s="1"/>
    </row>
    <row r="274" spans="3:7" ht="15.75" customHeight="1" x14ac:dyDescent="0.3">
      <c r="C274" s="1"/>
      <c r="D274" s="1"/>
      <c r="E274" s="1"/>
      <c r="F274" s="1"/>
      <c r="G274" s="1"/>
    </row>
    <row r="275" spans="3:7" ht="15.75" customHeight="1" x14ac:dyDescent="0.3">
      <c r="C275" s="1"/>
      <c r="D275" s="1"/>
      <c r="E275" s="1"/>
      <c r="F275" s="1"/>
      <c r="G275" s="1"/>
    </row>
    <row r="276" spans="3:7" ht="15.75" customHeight="1" x14ac:dyDescent="0.3">
      <c r="C276" s="1"/>
      <c r="D276" s="1"/>
      <c r="E276" s="1"/>
      <c r="F276" s="1"/>
      <c r="G276" s="1"/>
    </row>
    <row r="277" spans="3:7" ht="15.75" customHeight="1" x14ac:dyDescent="0.3">
      <c r="C277" s="1"/>
      <c r="D277" s="1"/>
      <c r="E277" s="1"/>
      <c r="F277" s="1"/>
      <c r="G277" s="1"/>
    </row>
    <row r="278" spans="3:7" ht="15.75" customHeight="1" x14ac:dyDescent="0.3">
      <c r="C278" s="1"/>
      <c r="D278" s="1"/>
      <c r="E278" s="1"/>
      <c r="F278" s="1"/>
      <c r="G278" s="1"/>
    </row>
    <row r="279" spans="3:7" ht="15.75" customHeight="1" x14ac:dyDescent="0.3">
      <c r="C279" s="1"/>
      <c r="D279" s="1"/>
      <c r="E279" s="1"/>
      <c r="F279" s="1"/>
      <c r="G279" s="1"/>
    </row>
    <row r="280" spans="3:7" ht="15.75" customHeight="1" x14ac:dyDescent="0.3">
      <c r="C280" s="1"/>
      <c r="D280" s="1"/>
      <c r="E280" s="1"/>
      <c r="F280" s="1"/>
      <c r="G280" s="1"/>
    </row>
    <row r="281" spans="3:7" ht="15.75" customHeight="1" x14ac:dyDescent="0.3">
      <c r="C281" s="1"/>
      <c r="D281" s="1"/>
      <c r="E281" s="1"/>
      <c r="F281" s="1"/>
      <c r="G281" s="1"/>
    </row>
    <row r="282" spans="3:7" ht="15.75" customHeight="1" x14ac:dyDescent="0.3">
      <c r="C282" s="1"/>
      <c r="D282" s="1"/>
      <c r="E282" s="1"/>
      <c r="F282" s="1"/>
      <c r="G282" s="1"/>
    </row>
    <row r="283" spans="3:7" ht="15.75" customHeight="1" x14ac:dyDescent="0.3">
      <c r="C283" s="1"/>
      <c r="D283" s="1"/>
      <c r="E283" s="1"/>
      <c r="F283" s="1"/>
      <c r="G283" s="1"/>
    </row>
    <row r="284" spans="3:7" ht="15.75" customHeight="1" x14ac:dyDescent="0.3">
      <c r="C284" s="1"/>
      <c r="D284" s="1"/>
      <c r="E284" s="1"/>
      <c r="F284" s="1"/>
      <c r="G284" s="1"/>
    </row>
    <row r="285" spans="3:7" ht="15.75" customHeight="1" x14ac:dyDescent="0.3">
      <c r="C285" s="1"/>
      <c r="D285" s="1"/>
      <c r="E285" s="1"/>
      <c r="F285" s="1"/>
      <c r="G285" s="1"/>
    </row>
    <row r="286" spans="3:7" ht="15.75" customHeight="1" x14ac:dyDescent="0.3">
      <c r="C286" s="1"/>
      <c r="D286" s="1"/>
      <c r="E286" s="1"/>
      <c r="F286" s="1"/>
      <c r="G286" s="1"/>
    </row>
    <row r="287" spans="3:7" ht="15.75" customHeight="1" x14ac:dyDescent="0.3">
      <c r="C287" s="1"/>
      <c r="D287" s="1"/>
      <c r="E287" s="1"/>
      <c r="F287" s="1"/>
      <c r="G287" s="1"/>
    </row>
    <row r="288" spans="3:7" ht="15.75" customHeight="1" x14ac:dyDescent="0.3">
      <c r="C288" s="1"/>
      <c r="D288" s="1"/>
      <c r="E288" s="1"/>
      <c r="F288" s="1"/>
      <c r="G288" s="1"/>
    </row>
    <row r="289" spans="3:7" ht="15.75" customHeight="1" x14ac:dyDescent="0.3">
      <c r="C289" s="1"/>
      <c r="D289" s="1"/>
      <c r="E289" s="1"/>
      <c r="F289" s="1"/>
      <c r="G289" s="1"/>
    </row>
    <row r="290" spans="3:7" ht="15.75" customHeight="1" x14ac:dyDescent="0.3">
      <c r="C290" s="1"/>
      <c r="D290" s="1"/>
      <c r="E290" s="1"/>
      <c r="F290" s="1"/>
      <c r="G290" s="1"/>
    </row>
    <row r="291" spans="3:7" ht="15.75" customHeight="1" x14ac:dyDescent="0.3">
      <c r="C291" s="1"/>
      <c r="D291" s="1"/>
      <c r="E291" s="1"/>
      <c r="F291" s="1"/>
      <c r="G291" s="1"/>
    </row>
    <row r="292" spans="3:7" ht="15.75" customHeight="1" x14ac:dyDescent="0.3">
      <c r="C292" s="1"/>
      <c r="D292" s="1"/>
      <c r="E292" s="1"/>
      <c r="F292" s="1"/>
      <c r="G292" s="1"/>
    </row>
    <row r="293" spans="3:7" ht="15.75" customHeight="1" x14ac:dyDescent="0.3">
      <c r="C293" s="1"/>
      <c r="D293" s="1"/>
      <c r="E293" s="1"/>
      <c r="F293" s="1"/>
      <c r="G293" s="1"/>
    </row>
    <row r="294" spans="3:7" ht="15.75" customHeight="1" x14ac:dyDescent="0.3">
      <c r="C294" s="1"/>
      <c r="D294" s="1"/>
      <c r="E294" s="1"/>
      <c r="F294" s="1"/>
      <c r="G294" s="1"/>
    </row>
    <row r="295" spans="3:7" ht="15.75" customHeight="1" x14ac:dyDescent="0.3">
      <c r="C295" s="1"/>
      <c r="D295" s="1"/>
      <c r="E295" s="1"/>
      <c r="F295" s="1"/>
      <c r="G295" s="1"/>
    </row>
    <row r="296" spans="3:7" ht="15.75" customHeight="1" x14ac:dyDescent="0.3">
      <c r="C296" s="1"/>
      <c r="D296" s="1"/>
      <c r="E296" s="1"/>
      <c r="F296" s="1"/>
      <c r="G296" s="1"/>
    </row>
    <row r="297" spans="3:7" ht="15.75" customHeight="1" x14ac:dyDescent="0.3">
      <c r="C297" s="1"/>
      <c r="D297" s="1"/>
      <c r="E297" s="1"/>
      <c r="F297" s="1"/>
      <c r="G297" s="1"/>
    </row>
    <row r="298" spans="3:7" ht="15.75" customHeight="1" x14ac:dyDescent="0.3">
      <c r="C298" s="1"/>
      <c r="D298" s="1"/>
      <c r="E298" s="1"/>
      <c r="F298" s="1"/>
      <c r="G298" s="1"/>
    </row>
    <row r="299" spans="3:7" ht="15.75" customHeight="1" x14ac:dyDescent="0.3">
      <c r="C299" s="1"/>
      <c r="D299" s="1"/>
      <c r="E299" s="1"/>
      <c r="F299" s="1"/>
      <c r="G299" s="1"/>
    </row>
    <row r="300" spans="3:7" ht="15.75" customHeight="1" x14ac:dyDescent="0.3">
      <c r="C300" s="1"/>
      <c r="D300" s="1"/>
      <c r="E300" s="1"/>
      <c r="F300" s="1"/>
      <c r="G300" s="1"/>
    </row>
    <row r="301" spans="3:7" ht="15.75" customHeight="1" x14ac:dyDescent="0.3">
      <c r="C301" s="1"/>
      <c r="D301" s="1"/>
      <c r="E301" s="1"/>
      <c r="F301" s="1"/>
      <c r="G301" s="1"/>
    </row>
    <row r="302" spans="3:7" ht="15.75" customHeight="1" x14ac:dyDescent="0.3">
      <c r="C302" s="1"/>
      <c r="D302" s="1"/>
      <c r="E302" s="1"/>
      <c r="F302" s="1"/>
      <c r="G302" s="1"/>
    </row>
    <row r="303" spans="3:7" ht="15.75" customHeight="1" x14ac:dyDescent="0.3">
      <c r="C303" s="1"/>
      <c r="D303" s="1"/>
      <c r="E303" s="1"/>
      <c r="F303" s="1"/>
      <c r="G303" s="1"/>
    </row>
    <row r="304" spans="3:7" ht="15.75" customHeight="1" x14ac:dyDescent="0.3">
      <c r="C304" s="1"/>
      <c r="D304" s="1"/>
      <c r="E304" s="1"/>
      <c r="F304" s="1"/>
      <c r="G304" s="1"/>
    </row>
    <row r="305" spans="3:7" ht="15.75" customHeight="1" x14ac:dyDescent="0.3">
      <c r="C305" s="1"/>
      <c r="D305" s="1"/>
      <c r="E305" s="1"/>
      <c r="F305" s="1"/>
      <c r="G305" s="1"/>
    </row>
    <row r="306" spans="3:7" ht="15.75" customHeight="1" x14ac:dyDescent="0.3">
      <c r="C306" s="1"/>
      <c r="D306" s="1"/>
      <c r="E306" s="1"/>
      <c r="F306" s="1"/>
      <c r="G306" s="1"/>
    </row>
    <row r="307" spans="3:7" ht="15.75" customHeight="1" x14ac:dyDescent="0.3">
      <c r="C307" s="1"/>
      <c r="D307" s="1"/>
      <c r="E307" s="1"/>
      <c r="F307" s="1"/>
      <c r="G307" s="1"/>
    </row>
    <row r="308" spans="3:7" ht="15.75" customHeight="1" x14ac:dyDescent="0.3">
      <c r="C308" s="1"/>
      <c r="D308" s="1"/>
      <c r="E308" s="1"/>
      <c r="F308" s="1"/>
      <c r="G308" s="1"/>
    </row>
    <row r="309" spans="3:7" ht="15.75" customHeight="1" x14ac:dyDescent="0.3">
      <c r="C309" s="1"/>
      <c r="D309" s="1"/>
      <c r="E309" s="1"/>
      <c r="F309" s="1"/>
      <c r="G309" s="1"/>
    </row>
    <row r="310" spans="3:7" ht="15.75" customHeight="1" x14ac:dyDescent="0.3">
      <c r="C310" s="1"/>
      <c r="D310" s="1"/>
      <c r="E310" s="1"/>
      <c r="F310" s="1"/>
      <c r="G310" s="1"/>
    </row>
    <row r="311" spans="3:7" ht="15.75" customHeight="1" x14ac:dyDescent="0.3">
      <c r="C311" s="1"/>
      <c r="D311" s="1"/>
      <c r="E311" s="1"/>
      <c r="F311" s="1"/>
      <c r="G311" s="1"/>
    </row>
    <row r="312" spans="3:7" ht="15.75" customHeight="1" x14ac:dyDescent="0.3">
      <c r="C312" s="1"/>
      <c r="D312" s="1"/>
      <c r="E312" s="1"/>
      <c r="F312" s="1"/>
      <c r="G312" s="1"/>
    </row>
    <row r="313" spans="3:7" ht="15.75" customHeight="1" x14ac:dyDescent="0.3">
      <c r="C313" s="1"/>
      <c r="D313" s="1"/>
      <c r="E313" s="1"/>
      <c r="F313" s="1"/>
      <c r="G313" s="1"/>
    </row>
    <row r="314" spans="3:7" ht="15.75" customHeight="1" x14ac:dyDescent="0.3">
      <c r="C314" s="1"/>
      <c r="D314" s="1"/>
      <c r="E314" s="1"/>
      <c r="F314" s="1"/>
      <c r="G314" s="1"/>
    </row>
    <row r="315" spans="3:7" ht="15.75" customHeight="1" x14ac:dyDescent="0.3">
      <c r="C315" s="1"/>
      <c r="D315" s="1"/>
      <c r="E315" s="1"/>
      <c r="F315" s="1"/>
      <c r="G315" s="1"/>
    </row>
    <row r="316" spans="3:7" ht="15.75" customHeight="1" x14ac:dyDescent="0.3">
      <c r="C316" s="1"/>
      <c r="D316" s="1"/>
      <c r="E316" s="1"/>
      <c r="F316" s="1"/>
      <c r="G316" s="1"/>
    </row>
    <row r="317" spans="3:7" ht="15.75" customHeight="1" x14ac:dyDescent="0.3">
      <c r="C317" s="1"/>
      <c r="D317" s="1"/>
      <c r="E317" s="1"/>
      <c r="F317" s="1"/>
      <c r="G317" s="1"/>
    </row>
    <row r="318" spans="3:7" ht="15.75" customHeight="1" x14ac:dyDescent="0.3">
      <c r="C318" s="1"/>
      <c r="D318" s="1"/>
      <c r="E318" s="1"/>
      <c r="F318" s="1"/>
      <c r="G318" s="1"/>
    </row>
    <row r="319" spans="3:7" ht="15.75" customHeight="1" x14ac:dyDescent="0.3">
      <c r="C319" s="1"/>
      <c r="D319" s="1"/>
      <c r="E319" s="1"/>
      <c r="F319" s="1"/>
      <c r="G319" s="1"/>
    </row>
    <row r="320" spans="3:7" ht="15.75" customHeight="1" x14ac:dyDescent="0.3">
      <c r="C320" s="1"/>
      <c r="D320" s="1"/>
      <c r="E320" s="1"/>
      <c r="F320" s="1"/>
      <c r="G320" s="1"/>
    </row>
    <row r="321" spans="3:7" ht="15.75" customHeight="1" x14ac:dyDescent="0.3">
      <c r="C321" s="1"/>
      <c r="D321" s="1"/>
      <c r="E321" s="1"/>
      <c r="F321" s="1"/>
      <c r="G321" s="1"/>
    </row>
    <row r="322" spans="3:7" ht="15.75" customHeight="1" x14ac:dyDescent="0.3">
      <c r="C322" s="1"/>
      <c r="D322" s="1"/>
      <c r="E322" s="1"/>
      <c r="F322" s="1"/>
      <c r="G322" s="1"/>
    </row>
    <row r="323" spans="3:7" ht="15.75" customHeight="1" x14ac:dyDescent="0.3">
      <c r="C323" s="1"/>
      <c r="D323" s="1"/>
      <c r="E323" s="1"/>
      <c r="F323" s="1"/>
      <c r="G323" s="1"/>
    </row>
    <row r="324" spans="3:7" ht="15.75" customHeight="1" x14ac:dyDescent="0.3">
      <c r="C324" s="1"/>
      <c r="D324" s="1"/>
      <c r="E324" s="1"/>
      <c r="F324" s="1"/>
      <c r="G324" s="1"/>
    </row>
    <row r="325" spans="3:7" ht="15.75" customHeight="1" x14ac:dyDescent="0.3">
      <c r="C325" s="1"/>
      <c r="D325" s="1"/>
      <c r="E325" s="1"/>
      <c r="F325" s="1"/>
      <c r="G325" s="1"/>
    </row>
    <row r="326" spans="3:7" ht="15.75" customHeight="1" x14ac:dyDescent="0.3">
      <c r="C326" s="1"/>
      <c r="D326" s="1"/>
      <c r="E326" s="1"/>
      <c r="F326" s="1"/>
      <c r="G326" s="1"/>
    </row>
    <row r="327" spans="3:7" ht="15.75" customHeight="1" x14ac:dyDescent="0.3">
      <c r="C327" s="1"/>
      <c r="D327" s="1"/>
      <c r="E327" s="1"/>
      <c r="F327" s="1"/>
      <c r="G327" s="1"/>
    </row>
    <row r="328" spans="3:7" ht="15.75" customHeight="1" x14ac:dyDescent="0.3">
      <c r="C328" s="1"/>
      <c r="D328" s="1"/>
      <c r="E328" s="1"/>
      <c r="F328" s="1"/>
      <c r="G328" s="1"/>
    </row>
    <row r="329" spans="3:7" ht="15.75" customHeight="1" x14ac:dyDescent="0.3">
      <c r="C329" s="1"/>
      <c r="D329" s="1"/>
      <c r="E329" s="1"/>
      <c r="F329" s="1"/>
      <c r="G329" s="1"/>
    </row>
    <row r="330" spans="3:7" ht="15.75" customHeight="1" x14ac:dyDescent="0.3">
      <c r="C330" s="1"/>
      <c r="D330" s="1"/>
      <c r="E330" s="1"/>
      <c r="F330" s="1"/>
      <c r="G330" s="1"/>
    </row>
    <row r="331" spans="3:7" ht="15.75" customHeight="1" x14ac:dyDescent="0.3">
      <c r="C331" s="1"/>
      <c r="D331" s="1"/>
      <c r="E331" s="1"/>
      <c r="F331" s="1"/>
      <c r="G331" s="1"/>
    </row>
    <row r="332" spans="3:7" ht="15.75" customHeight="1" x14ac:dyDescent="0.3">
      <c r="C332" s="1"/>
      <c r="D332" s="1"/>
      <c r="E332" s="1"/>
      <c r="F332" s="1"/>
      <c r="G332" s="1"/>
    </row>
    <row r="333" spans="3:7" ht="15.75" customHeight="1" x14ac:dyDescent="0.3">
      <c r="C333" s="1"/>
      <c r="D333" s="1"/>
      <c r="E333" s="1"/>
      <c r="F333" s="1"/>
      <c r="G333" s="1"/>
    </row>
    <row r="334" spans="3:7" ht="15.75" customHeight="1" x14ac:dyDescent="0.3">
      <c r="C334" s="1"/>
      <c r="D334" s="1"/>
      <c r="E334" s="1"/>
      <c r="F334" s="1"/>
      <c r="G334" s="1"/>
    </row>
    <row r="335" spans="3:7" ht="15.75" customHeight="1" x14ac:dyDescent="0.3">
      <c r="C335" s="1"/>
      <c r="D335" s="1"/>
      <c r="E335" s="1"/>
      <c r="F335" s="1"/>
      <c r="G335" s="1"/>
    </row>
    <row r="336" spans="3:7" ht="15.75" customHeight="1" x14ac:dyDescent="0.3">
      <c r="C336" s="1"/>
      <c r="D336" s="1"/>
      <c r="E336" s="1"/>
      <c r="F336" s="1"/>
      <c r="G336" s="1"/>
    </row>
    <row r="337" spans="3:7" ht="15.75" customHeight="1" x14ac:dyDescent="0.3">
      <c r="C337" s="1"/>
      <c r="D337" s="1"/>
      <c r="E337" s="1"/>
      <c r="F337" s="1"/>
      <c r="G337" s="1"/>
    </row>
    <row r="338" spans="3:7" ht="15.75" customHeight="1" x14ac:dyDescent="0.3">
      <c r="C338" s="1"/>
      <c r="D338" s="1"/>
      <c r="E338" s="1"/>
      <c r="F338" s="1"/>
      <c r="G338" s="1"/>
    </row>
    <row r="339" spans="3:7" ht="15.75" customHeight="1" x14ac:dyDescent="0.3">
      <c r="C339" s="1"/>
      <c r="D339" s="1"/>
      <c r="E339" s="1"/>
      <c r="F339" s="1"/>
      <c r="G339" s="1"/>
    </row>
    <row r="340" spans="3:7" ht="15.75" customHeight="1" x14ac:dyDescent="0.3">
      <c r="C340" s="1"/>
      <c r="D340" s="1"/>
      <c r="E340" s="1"/>
      <c r="F340" s="1"/>
      <c r="G340" s="1"/>
    </row>
    <row r="341" spans="3:7" ht="15.75" customHeight="1" x14ac:dyDescent="0.3">
      <c r="C341" s="1"/>
      <c r="D341" s="1"/>
      <c r="E341" s="1"/>
      <c r="F341" s="1"/>
      <c r="G341" s="1"/>
    </row>
    <row r="342" spans="3:7" ht="15.75" customHeight="1" x14ac:dyDescent="0.3">
      <c r="C342" s="1"/>
      <c r="D342" s="1"/>
      <c r="E342" s="1"/>
      <c r="F342" s="1"/>
      <c r="G342" s="1"/>
    </row>
    <row r="343" spans="3:7" ht="15.75" customHeight="1" x14ac:dyDescent="0.3">
      <c r="C343" s="1"/>
      <c r="D343" s="1"/>
      <c r="E343" s="1"/>
      <c r="F343" s="1"/>
      <c r="G343" s="1"/>
    </row>
    <row r="344" spans="3:7" ht="15.75" customHeight="1" x14ac:dyDescent="0.3">
      <c r="C344" s="1"/>
      <c r="D344" s="1"/>
      <c r="E344" s="1"/>
      <c r="F344" s="1"/>
      <c r="G344" s="1"/>
    </row>
    <row r="345" spans="3:7" ht="15.75" customHeight="1" x14ac:dyDescent="0.3">
      <c r="C345" s="1"/>
      <c r="D345" s="1"/>
      <c r="E345" s="1"/>
      <c r="F345" s="1"/>
      <c r="G345" s="1"/>
    </row>
    <row r="346" spans="3:7" ht="15.75" customHeight="1" x14ac:dyDescent="0.3">
      <c r="C346" s="1"/>
      <c r="D346" s="1"/>
      <c r="E346" s="1"/>
      <c r="F346" s="1"/>
      <c r="G346" s="1"/>
    </row>
    <row r="347" spans="3:7" ht="15.75" customHeight="1" x14ac:dyDescent="0.3">
      <c r="C347" s="1"/>
      <c r="D347" s="1"/>
      <c r="E347" s="1"/>
      <c r="F347" s="1"/>
      <c r="G347" s="1"/>
    </row>
    <row r="348" spans="3:7" ht="15.75" customHeight="1" x14ac:dyDescent="0.3">
      <c r="C348" s="1"/>
      <c r="D348" s="1"/>
      <c r="E348" s="1"/>
      <c r="F348" s="1"/>
      <c r="G348" s="1"/>
    </row>
    <row r="349" spans="3:7" ht="15.75" customHeight="1" x14ac:dyDescent="0.3">
      <c r="C349" s="1"/>
      <c r="D349" s="1"/>
      <c r="E349" s="1"/>
      <c r="F349" s="1"/>
      <c r="G349" s="1"/>
    </row>
    <row r="350" spans="3:7" ht="15.75" customHeight="1" x14ac:dyDescent="0.3">
      <c r="C350" s="1"/>
      <c r="D350" s="1"/>
      <c r="E350" s="1"/>
      <c r="F350" s="1"/>
      <c r="G350" s="1"/>
    </row>
    <row r="351" spans="3:7" ht="15.75" customHeight="1" x14ac:dyDescent="0.3">
      <c r="C351" s="1"/>
      <c r="D351" s="1"/>
      <c r="E351" s="1"/>
      <c r="F351" s="1"/>
      <c r="G351" s="1"/>
    </row>
    <row r="352" spans="3:7" ht="15.75" customHeight="1" x14ac:dyDescent="0.3">
      <c r="C352" s="1"/>
      <c r="D352" s="1"/>
      <c r="E352" s="1"/>
      <c r="F352" s="1"/>
      <c r="G352" s="1"/>
    </row>
    <row r="353" spans="3:7" ht="15.75" customHeight="1" x14ac:dyDescent="0.3">
      <c r="C353" s="1"/>
      <c r="D353" s="1"/>
      <c r="E353" s="1"/>
      <c r="F353" s="1"/>
      <c r="G353" s="1"/>
    </row>
    <row r="354" spans="3:7" ht="15.75" customHeight="1" x14ac:dyDescent="0.3">
      <c r="C354" s="1"/>
      <c r="D354" s="1"/>
      <c r="E354" s="1"/>
      <c r="F354" s="1"/>
      <c r="G354" s="1"/>
    </row>
    <row r="355" spans="3:7" ht="15.75" customHeight="1" x14ac:dyDescent="0.3">
      <c r="C355" s="1"/>
      <c r="D355" s="1"/>
      <c r="E355" s="1"/>
      <c r="F355" s="1"/>
      <c r="G355" s="1"/>
    </row>
    <row r="356" spans="3:7" ht="15.75" customHeight="1" x14ac:dyDescent="0.3">
      <c r="C356" s="1"/>
      <c r="D356" s="1"/>
      <c r="E356" s="1"/>
      <c r="F356" s="1"/>
      <c r="G356" s="1"/>
    </row>
    <row r="357" spans="3:7" ht="15.75" customHeight="1" x14ac:dyDescent="0.3">
      <c r="C357" s="1"/>
      <c r="D357" s="1"/>
      <c r="E357" s="1"/>
      <c r="F357" s="1"/>
      <c r="G357" s="1"/>
    </row>
    <row r="358" spans="3:7" ht="15.75" customHeight="1" x14ac:dyDescent="0.3">
      <c r="C358" s="1"/>
      <c r="D358" s="1"/>
      <c r="E358" s="1"/>
      <c r="F358" s="1"/>
      <c r="G358" s="1"/>
    </row>
    <row r="359" spans="3:7" ht="15.75" customHeight="1" x14ac:dyDescent="0.3">
      <c r="C359" s="1"/>
      <c r="D359" s="1"/>
      <c r="E359" s="1"/>
      <c r="F359" s="1"/>
      <c r="G359" s="1"/>
    </row>
    <row r="360" spans="3:7" ht="15.75" customHeight="1" x14ac:dyDescent="0.3">
      <c r="C360" s="1"/>
      <c r="D360" s="1"/>
      <c r="E360" s="1"/>
      <c r="F360" s="1"/>
      <c r="G360" s="1"/>
    </row>
    <row r="361" spans="3:7" ht="15.75" customHeight="1" x14ac:dyDescent="0.3">
      <c r="C361" s="1"/>
      <c r="D361" s="1"/>
      <c r="E361" s="1"/>
      <c r="F361" s="1"/>
      <c r="G361" s="1"/>
    </row>
    <row r="362" spans="3:7" ht="15.75" customHeight="1" x14ac:dyDescent="0.3">
      <c r="C362" s="1"/>
      <c r="D362" s="1"/>
      <c r="E362" s="1"/>
      <c r="F362" s="1"/>
      <c r="G362" s="1"/>
    </row>
    <row r="363" spans="3:7" ht="15.75" customHeight="1" x14ac:dyDescent="0.3">
      <c r="C363" s="1"/>
      <c r="D363" s="1"/>
      <c r="E363" s="1"/>
      <c r="F363" s="1"/>
      <c r="G363" s="1"/>
    </row>
    <row r="364" spans="3:7" ht="15.75" customHeight="1" x14ac:dyDescent="0.3">
      <c r="C364" s="1"/>
      <c r="D364" s="1"/>
      <c r="E364" s="1"/>
      <c r="F364" s="1"/>
      <c r="G364" s="1"/>
    </row>
    <row r="365" spans="3:7" ht="15.75" customHeight="1" x14ac:dyDescent="0.3">
      <c r="C365" s="1"/>
      <c r="D365" s="1"/>
      <c r="E365" s="1"/>
      <c r="F365" s="1"/>
      <c r="G365" s="1"/>
    </row>
    <row r="366" spans="3:7" ht="15.75" customHeight="1" x14ac:dyDescent="0.3">
      <c r="C366" s="1"/>
      <c r="D366" s="1"/>
      <c r="E366" s="1"/>
      <c r="F366" s="1"/>
      <c r="G366" s="1"/>
    </row>
    <row r="367" spans="3:7" ht="15.75" customHeight="1" x14ac:dyDescent="0.3">
      <c r="C367" s="1"/>
      <c r="D367" s="1"/>
      <c r="E367" s="1"/>
      <c r="F367" s="1"/>
      <c r="G367" s="1"/>
    </row>
    <row r="368" spans="3:7" ht="15.75" customHeight="1" x14ac:dyDescent="0.3">
      <c r="C368" s="1"/>
      <c r="D368" s="1"/>
      <c r="E368" s="1"/>
      <c r="F368" s="1"/>
      <c r="G368" s="1"/>
    </row>
    <row r="369" spans="3:7" ht="15.75" customHeight="1" x14ac:dyDescent="0.3">
      <c r="C369" s="1"/>
      <c r="D369" s="1"/>
      <c r="E369" s="1"/>
      <c r="F369" s="1"/>
      <c r="G369" s="1"/>
    </row>
    <row r="370" spans="3:7" ht="15.75" customHeight="1" x14ac:dyDescent="0.3">
      <c r="C370" s="1"/>
      <c r="D370" s="1"/>
      <c r="E370" s="1"/>
      <c r="F370" s="1"/>
      <c r="G370" s="1"/>
    </row>
    <row r="371" spans="3:7" ht="15.75" customHeight="1" x14ac:dyDescent="0.3">
      <c r="C371" s="1"/>
      <c r="D371" s="1"/>
      <c r="E371" s="1"/>
      <c r="F371" s="1"/>
      <c r="G371" s="1"/>
    </row>
    <row r="372" spans="3:7" ht="15.75" customHeight="1" x14ac:dyDescent="0.3">
      <c r="C372" s="1"/>
      <c r="D372" s="1"/>
      <c r="E372" s="1"/>
      <c r="F372" s="1"/>
      <c r="G372" s="1"/>
    </row>
    <row r="373" spans="3:7" ht="15.75" customHeight="1" x14ac:dyDescent="0.3">
      <c r="C373" s="1"/>
      <c r="D373" s="1"/>
      <c r="E373" s="1"/>
      <c r="F373" s="1"/>
      <c r="G373" s="1"/>
    </row>
    <row r="374" spans="3:7" ht="15.75" customHeight="1" x14ac:dyDescent="0.3">
      <c r="C374" s="1"/>
      <c r="D374" s="1"/>
      <c r="E374" s="1"/>
      <c r="F374" s="1"/>
      <c r="G374" s="1"/>
    </row>
    <row r="375" spans="3:7" ht="15.75" customHeight="1" x14ac:dyDescent="0.3">
      <c r="C375" s="1"/>
      <c r="D375" s="1"/>
      <c r="E375" s="1"/>
      <c r="F375" s="1"/>
      <c r="G375" s="1"/>
    </row>
    <row r="376" spans="3:7" ht="15.75" customHeight="1" x14ac:dyDescent="0.3">
      <c r="C376" s="1"/>
      <c r="D376" s="1"/>
      <c r="E376" s="1"/>
      <c r="F376" s="1"/>
      <c r="G376" s="1"/>
    </row>
    <row r="377" spans="3:7" ht="15.75" customHeight="1" x14ac:dyDescent="0.3">
      <c r="C377" s="1"/>
      <c r="D377" s="1"/>
      <c r="E377" s="1"/>
      <c r="F377" s="1"/>
      <c r="G377" s="1"/>
    </row>
    <row r="378" spans="3:7" ht="15.75" customHeight="1" x14ac:dyDescent="0.3">
      <c r="C378" s="1"/>
      <c r="D378" s="1"/>
      <c r="E378" s="1"/>
      <c r="F378" s="1"/>
      <c r="G378" s="1"/>
    </row>
    <row r="379" spans="3:7" ht="15.75" customHeight="1" x14ac:dyDescent="0.3">
      <c r="C379" s="1"/>
      <c r="D379" s="1"/>
      <c r="E379" s="1"/>
      <c r="F379" s="1"/>
      <c r="G379" s="1"/>
    </row>
    <row r="380" spans="3:7" ht="15.75" customHeight="1" x14ac:dyDescent="0.3">
      <c r="C380" s="1"/>
      <c r="D380" s="1"/>
      <c r="E380" s="1"/>
      <c r="F380" s="1"/>
      <c r="G380" s="1"/>
    </row>
    <row r="381" spans="3:7" ht="15.75" customHeight="1" x14ac:dyDescent="0.3">
      <c r="C381" s="1"/>
      <c r="D381" s="1"/>
      <c r="E381" s="1"/>
      <c r="F381" s="1"/>
      <c r="G381" s="1"/>
    </row>
    <row r="382" spans="3:7" ht="15.75" customHeight="1" x14ac:dyDescent="0.3">
      <c r="C382" s="1"/>
      <c r="D382" s="1"/>
      <c r="E382" s="1"/>
      <c r="F382" s="1"/>
      <c r="G382" s="1"/>
    </row>
    <row r="383" spans="3:7" ht="15.75" customHeight="1" x14ac:dyDescent="0.3">
      <c r="C383" s="1"/>
      <c r="D383" s="1"/>
      <c r="E383" s="1"/>
      <c r="F383" s="1"/>
      <c r="G383" s="1"/>
    </row>
    <row r="384" spans="3:7" ht="15.75" customHeight="1" x14ac:dyDescent="0.3">
      <c r="C384" s="1"/>
      <c r="D384" s="1"/>
      <c r="E384" s="1"/>
      <c r="F384" s="1"/>
      <c r="G384" s="1"/>
    </row>
    <row r="385" spans="3:7" ht="15.75" customHeight="1" x14ac:dyDescent="0.3">
      <c r="C385" s="1"/>
      <c r="D385" s="1"/>
      <c r="E385" s="1"/>
      <c r="F385" s="1"/>
      <c r="G385" s="1"/>
    </row>
    <row r="386" spans="3:7" ht="15.75" customHeight="1" x14ac:dyDescent="0.3">
      <c r="C386" s="1"/>
      <c r="D386" s="1"/>
      <c r="E386" s="1"/>
      <c r="F386" s="1"/>
      <c r="G386" s="1"/>
    </row>
    <row r="387" spans="3:7" ht="15.75" customHeight="1" x14ac:dyDescent="0.3">
      <c r="C387" s="1"/>
      <c r="D387" s="1"/>
      <c r="E387" s="1"/>
      <c r="F387" s="1"/>
      <c r="G387" s="1"/>
    </row>
    <row r="388" spans="3:7" ht="15.75" customHeight="1" x14ac:dyDescent="0.3">
      <c r="C388" s="1"/>
      <c r="D388" s="1"/>
      <c r="E388" s="1"/>
      <c r="F388" s="1"/>
      <c r="G388" s="1"/>
    </row>
    <row r="389" spans="3:7" ht="15.75" customHeight="1" x14ac:dyDescent="0.3">
      <c r="C389" s="1"/>
      <c r="D389" s="1"/>
      <c r="E389" s="1"/>
      <c r="F389" s="1"/>
      <c r="G389" s="1"/>
    </row>
    <row r="390" spans="3:7" ht="15.75" customHeight="1" x14ac:dyDescent="0.3">
      <c r="C390" s="1"/>
      <c r="D390" s="1"/>
      <c r="E390" s="1"/>
      <c r="F390" s="1"/>
      <c r="G390" s="1"/>
    </row>
    <row r="391" spans="3:7" ht="15.75" customHeight="1" x14ac:dyDescent="0.3">
      <c r="C391" s="1"/>
      <c r="D391" s="1"/>
      <c r="E391" s="1"/>
      <c r="F391" s="1"/>
      <c r="G391" s="1"/>
    </row>
    <row r="392" spans="3:7" ht="15.75" customHeight="1" x14ac:dyDescent="0.3">
      <c r="C392" s="1"/>
      <c r="D392" s="1"/>
      <c r="E392" s="1"/>
      <c r="F392" s="1"/>
      <c r="G392" s="1"/>
    </row>
    <row r="393" spans="3:7" ht="15.75" customHeight="1" x14ac:dyDescent="0.3">
      <c r="C393" s="1"/>
      <c r="D393" s="1"/>
      <c r="E393" s="1"/>
      <c r="F393" s="1"/>
      <c r="G393" s="1"/>
    </row>
    <row r="394" spans="3:7" ht="15.75" customHeight="1" x14ac:dyDescent="0.3">
      <c r="C394" s="1"/>
      <c r="D394" s="1"/>
      <c r="E394" s="1"/>
      <c r="F394" s="1"/>
      <c r="G394" s="1"/>
    </row>
    <row r="395" spans="3:7" ht="15.75" customHeight="1" x14ac:dyDescent="0.3">
      <c r="C395" s="1"/>
      <c r="D395" s="1"/>
      <c r="E395" s="1"/>
      <c r="F395" s="1"/>
      <c r="G395" s="1"/>
    </row>
    <row r="396" spans="3:7" ht="15.75" customHeight="1" x14ac:dyDescent="0.3">
      <c r="C396" s="1"/>
      <c r="D396" s="1"/>
      <c r="E396" s="1"/>
      <c r="F396" s="1"/>
      <c r="G396" s="1"/>
    </row>
    <row r="397" spans="3:7" ht="15.75" customHeight="1" x14ac:dyDescent="0.3">
      <c r="C397" s="1"/>
      <c r="D397" s="1"/>
      <c r="E397" s="1"/>
      <c r="F397" s="1"/>
      <c r="G397" s="1"/>
    </row>
    <row r="398" spans="3:7" ht="15.75" customHeight="1" x14ac:dyDescent="0.3">
      <c r="C398" s="1"/>
      <c r="D398" s="1"/>
      <c r="E398" s="1"/>
      <c r="F398" s="1"/>
      <c r="G398" s="1"/>
    </row>
    <row r="399" spans="3:7" ht="15.75" customHeight="1" x14ac:dyDescent="0.3">
      <c r="C399" s="1"/>
      <c r="D399" s="1"/>
      <c r="E399" s="1"/>
      <c r="F399" s="1"/>
      <c r="G399" s="1"/>
    </row>
    <row r="400" spans="3:7" ht="15.75" customHeight="1" x14ac:dyDescent="0.3">
      <c r="C400" s="1"/>
      <c r="D400" s="1"/>
      <c r="E400" s="1"/>
      <c r="F400" s="1"/>
      <c r="G400" s="1"/>
    </row>
    <row r="401" spans="3:7" ht="15.75" customHeight="1" x14ac:dyDescent="0.3">
      <c r="C401" s="1"/>
      <c r="D401" s="1"/>
      <c r="E401" s="1"/>
      <c r="F401" s="1"/>
      <c r="G401" s="1"/>
    </row>
    <row r="402" spans="3:7" ht="15.75" customHeight="1" x14ac:dyDescent="0.3">
      <c r="C402" s="1"/>
      <c r="D402" s="1"/>
      <c r="E402" s="1"/>
      <c r="F402" s="1"/>
      <c r="G402" s="1"/>
    </row>
    <row r="403" spans="3:7" ht="15.75" customHeight="1" x14ac:dyDescent="0.3">
      <c r="C403" s="1"/>
      <c r="D403" s="1"/>
      <c r="E403" s="1"/>
      <c r="F403" s="1"/>
      <c r="G403" s="1"/>
    </row>
    <row r="404" spans="3:7" ht="15.75" customHeight="1" x14ac:dyDescent="0.3">
      <c r="C404" s="1"/>
      <c r="D404" s="1"/>
      <c r="E404" s="1"/>
      <c r="F404" s="1"/>
      <c r="G404" s="1"/>
    </row>
    <row r="405" spans="3:7" ht="15.75" customHeight="1" x14ac:dyDescent="0.3">
      <c r="C405" s="1"/>
      <c r="D405" s="1"/>
      <c r="E405" s="1"/>
      <c r="F405" s="1"/>
      <c r="G405" s="1"/>
    </row>
    <row r="406" spans="3:7" ht="15.75" customHeight="1" x14ac:dyDescent="0.3">
      <c r="C406" s="1"/>
      <c r="D406" s="1"/>
      <c r="E406" s="1"/>
      <c r="F406" s="1"/>
      <c r="G406" s="1"/>
    </row>
    <row r="407" spans="3:7" ht="15.75" customHeight="1" x14ac:dyDescent="0.3">
      <c r="C407" s="1"/>
      <c r="D407" s="1"/>
      <c r="E407" s="1"/>
      <c r="F407" s="1"/>
      <c r="G407" s="1"/>
    </row>
    <row r="408" spans="3:7" ht="15.75" customHeight="1" x14ac:dyDescent="0.3">
      <c r="C408" s="1"/>
      <c r="D408" s="1"/>
      <c r="E408" s="1"/>
      <c r="F408" s="1"/>
      <c r="G408" s="1"/>
    </row>
    <row r="409" spans="3:7" ht="15.75" customHeight="1" x14ac:dyDescent="0.3">
      <c r="C409" s="1"/>
      <c r="D409" s="1"/>
      <c r="E409" s="1"/>
      <c r="F409" s="1"/>
      <c r="G409" s="1"/>
    </row>
    <row r="410" spans="3:7" ht="15.75" customHeight="1" x14ac:dyDescent="0.3">
      <c r="C410" s="1"/>
      <c r="D410" s="1"/>
      <c r="E410" s="1"/>
      <c r="F410" s="1"/>
      <c r="G410" s="1"/>
    </row>
    <row r="411" spans="3:7" ht="15.75" customHeight="1" x14ac:dyDescent="0.3">
      <c r="C411" s="1"/>
      <c r="D411" s="1"/>
      <c r="E411" s="1"/>
      <c r="F411" s="1"/>
      <c r="G411" s="1"/>
    </row>
    <row r="412" spans="3:7" ht="15.75" customHeight="1" x14ac:dyDescent="0.3">
      <c r="C412" s="1"/>
      <c r="D412" s="1"/>
      <c r="E412" s="1"/>
      <c r="F412" s="1"/>
      <c r="G412" s="1"/>
    </row>
    <row r="413" spans="3:7" ht="15.75" customHeight="1" x14ac:dyDescent="0.3">
      <c r="C413" s="1"/>
      <c r="D413" s="1"/>
      <c r="E413" s="1"/>
      <c r="F413" s="1"/>
      <c r="G413" s="1"/>
    </row>
    <row r="414" spans="3:7" ht="15.75" customHeight="1" x14ac:dyDescent="0.3">
      <c r="C414" s="1"/>
      <c r="D414" s="1"/>
      <c r="E414" s="1"/>
      <c r="F414" s="1"/>
      <c r="G414" s="1"/>
    </row>
    <row r="415" spans="3:7" ht="15.75" customHeight="1" x14ac:dyDescent="0.3">
      <c r="C415" s="1"/>
      <c r="D415" s="1"/>
      <c r="E415" s="1"/>
      <c r="F415" s="1"/>
      <c r="G415" s="1"/>
    </row>
    <row r="416" spans="3:7" ht="15.75" customHeight="1" x14ac:dyDescent="0.3">
      <c r="C416" s="1"/>
      <c r="D416" s="1"/>
      <c r="E416" s="1"/>
      <c r="F416" s="1"/>
      <c r="G416" s="1"/>
    </row>
    <row r="417" spans="3:7" ht="15.75" customHeight="1" x14ac:dyDescent="0.3">
      <c r="C417" s="1"/>
      <c r="D417" s="1"/>
      <c r="E417" s="1"/>
      <c r="F417" s="1"/>
      <c r="G417" s="1"/>
    </row>
    <row r="418" spans="3:7" ht="15.75" customHeight="1" x14ac:dyDescent="0.3">
      <c r="C418" s="1"/>
      <c r="D418" s="1"/>
      <c r="E418" s="1"/>
      <c r="F418" s="1"/>
      <c r="G418" s="1"/>
    </row>
    <row r="419" spans="3:7" ht="15.75" customHeight="1" x14ac:dyDescent="0.3">
      <c r="C419" s="1"/>
      <c r="D419" s="1"/>
      <c r="E419" s="1"/>
      <c r="F419" s="1"/>
      <c r="G419" s="1"/>
    </row>
    <row r="420" spans="3:7" ht="15.75" customHeight="1" x14ac:dyDescent="0.3">
      <c r="C420" s="1"/>
      <c r="D420" s="1"/>
      <c r="E420" s="1"/>
      <c r="F420" s="1"/>
      <c r="G420" s="1"/>
    </row>
    <row r="421" spans="3:7" ht="15.75" customHeight="1" x14ac:dyDescent="0.3">
      <c r="C421" s="1"/>
      <c r="D421" s="1"/>
      <c r="E421" s="1"/>
      <c r="F421" s="1"/>
      <c r="G421" s="1"/>
    </row>
    <row r="422" spans="3:7" ht="15.75" customHeight="1" x14ac:dyDescent="0.3">
      <c r="C422" s="1"/>
      <c r="D422" s="1"/>
      <c r="E422" s="1"/>
      <c r="F422" s="1"/>
      <c r="G422" s="1"/>
    </row>
    <row r="423" spans="3:7" ht="15.75" customHeight="1" x14ac:dyDescent="0.3">
      <c r="C423" s="1"/>
      <c r="D423" s="1"/>
      <c r="E423" s="1"/>
      <c r="F423" s="1"/>
      <c r="G423" s="1"/>
    </row>
    <row r="424" spans="3:7" ht="15.75" customHeight="1" x14ac:dyDescent="0.3">
      <c r="C424" s="1"/>
      <c r="D424" s="1"/>
      <c r="E424" s="1"/>
      <c r="F424" s="1"/>
      <c r="G424" s="1"/>
    </row>
    <row r="425" spans="3:7" ht="15.75" customHeight="1" x14ac:dyDescent="0.3">
      <c r="C425" s="1"/>
      <c r="D425" s="1"/>
      <c r="E425" s="1"/>
      <c r="F425" s="1"/>
      <c r="G425" s="1"/>
    </row>
    <row r="426" spans="3:7" ht="15.75" customHeight="1" x14ac:dyDescent="0.3">
      <c r="C426" s="1"/>
      <c r="D426" s="1"/>
      <c r="E426" s="1"/>
      <c r="F426" s="1"/>
      <c r="G426" s="1"/>
    </row>
    <row r="427" spans="3:7" ht="15.75" customHeight="1" x14ac:dyDescent="0.3"/>
    <row r="428" spans="3:7" ht="15.75" customHeight="1" x14ac:dyDescent="0.3"/>
    <row r="429" spans="3:7" ht="15.75" customHeight="1" x14ac:dyDescent="0.3"/>
    <row r="430" spans="3:7" ht="15.75" customHeight="1" x14ac:dyDescent="0.3"/>
    <row r="431" spans="3:7" ht="15.75" customHeight="1" x14ac:dyDescent="0.3"/>
    <row r="432" spans="3:7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40:F41" xr:uid="{EA55EDA6-5D70-446D-962A-3F4CF85572A0}">
    <sortState xmlns:xlrd2="http://schemas.microsoft.com/office/spreadsheetml/2017/richdata2" ref="A40:F41">
      <sortCondition descending="1" sortBy="cellColor" ref="B40:B41" dxfId="113"/>
    </sortState>
  </autoFilter>
  <mergeCells count="9">
    <mergeCell ref="G17:G18"/>
    <mergeCell ref="C40:E40"/>
    <mergeCell ref="A37:B37"/>
    <mergeCell ref="A238:B238"/>
    <mergeCell ref="A6:B6"/>
    <mergeCell ref="A14:B14"/>
    <mergeCell ref="A17:A18"/>
    <mergeCell ref="B17:B18"/>
    <mergeCell ref="C17:F17"/>
  </mergeCells>
  <printOptions horizontalCentered="1"/>
  <pageMargins left="0.11811023622047245" right="0.11811023622047245" top="0.74803149606299213" bottom="0.74803149606299213" header="0" footer="0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0F79B-B4FF-419D-BE5B-8D34A21BFA46}">
  <sheetPr>
    <tabColor rgb="FF92D050"/>
  </sheetPr>
  <dimension ref="A1:CD345"/>
  <sheetViews>
    <sheetView topLeftCell="A331" workbookViewId="0">
      <selection activeCell="D346" sqref="D346"/>
    </sheetView>
  </sheetViews>
  <sheetFormatPr defaultRowHeight="14.4" x14ac:dyDescent="0.3"/>
  <cols>
    <col min="2" max="2" width="9.44140625" customWidth="1"/>
    <col min="4" max="4" width="11" customWidth="1"/>
    <col min="5" max="5" width="18.77734375" customWidth="1"/>
    <col min="6" max="6" width="14.5546875" customWidth="1"/>
    <col min="7" max="7" width="13" customWidth="1"/>
    <col min="8" max="8" width="10.44140625" customWidth="1"/>
    <col min="9" max="9" width="19.44140625" customWidth="1"/>
    <col min="10" max="10" width="20.21875" customWidth="1"/>
    <col min="11" max="11" width="19.77734375" customWidth="1"/>
    <col min="12" max="12" width="16.44140625" customWidth="1"/>
    <col min="13" max="13" width="11.77734375" customWidth="1"/>
    <col min="14" max="14" width="36.77734375" customWidth="1"/>
    <col min="15" max="15" width="32.44140625" customWidth="1"/>
    <col min="16" max="17" width="14.77734375" customWidth="1"/>
    <col min="18" max="18" width="11" customWidth="1"/>
    <col min="19" max="19" width="21.77734375" customWidth="1"/>
    <col min="20" max="20" width="18.44140625" customWidth="1"/>
    <col min="21" max="21" width="16.77734375" customWidth="1"/>
    <col min="22" max="22" width="25.77734375" customWidth="1"/>
    <col min="24" max="24" width="12.21875" customWidth="1"/>
    <col min="25" max="25" width="11.21875" customWidth="1"/>
    <col min="26" max="26" width="25.44140625" customWidth="1"/>
    <col min="27" max="27" width="15.21875" customWidth="1"/>
    <col min="28" max="28" width="14.5546875" customWidth="1"/>
    <col min="29" max="29" width="10.44140625" customWidth="1"/>
    <col min="31" max="31" width="10" customWidth="1"/>
    <col min="32" max="32" width="9.44140625" customWidth="1"/>
    <col min="34" max="34" width="15.21875" customWidth="1"/>
    <col min="35" max="35" width="12.21875" customWidth="1"/>
    <col min="37" max="37" width="10.77734375" customWidth="1"/>
    <col min="38" max="38" width="9.77734375" customWidth="1"/>
    <col min="39" max="39" width="19" customWidth="1"/>
    <col min="40" max="40" width="12.77734375" customWidth="1"/>
    <col min="44" max="44" width="12.21875" customWidth="1"/>
    <col min="45" max="45" width="15.77734375" customWidth="1"/>
    <col min="46" max="46" width="14.21875" customWidth="1"/>
    <col min="47" max="47" width="14.5546875" customWidth="1"/>
    <col min="48" max="48" width="13" customWidth="1"/>
    <col min="49" max="49" width="20.44140625" customWidth="1"/>
    <col min="50" max="50" width="13.77734375" customWidth="1"/>
    <col min="51" max="51" width="11" customWidth="1"/>
    <col min="54" max="54" width="13.77734375" customWidth="1"/>
    <col min="55" max="55" width="9.77734375" customWidth="1"/>
    <col min="56" max="56" width="13" customWidth="1"/>
    <col min="57" max="57" width="13.5546875" customWidth="1"/>
    <col min="58" max="58" width="16" customWidth="1"/>
    <col min="59" max="59" width="17.5546875" customWidth="1"/>
    <col min="60" max="60" width="20.77734375" customWidth="1"/>
    <col min="61" max="61" width="14.5546875" customWidth="1"/>
    <col min="63" max="63" width="10.21875" customWidth="1"/>
    <col min="64" max="64" width="20.77734375" customWidth="1"/>
    <col min="65" max="65" width="22.77734375" customWidth="1"/>
    <col min="66" max="66" width="23.44140625" customWidth="1"/>
    <col min="67" max="67" width="10" customWidth="1"/>
    <col min="68" max="68" width="10.5546875" customWidth="1"/>
    <col min="69" max="69" width="11.21875" customWidth="1"/>
    <col min="70" max="70" width="13" customWidth="1"/>
    <col min="74" max="74" width="14" customWidth="1"/>
    <col min="78" max="78" width="14" customWidth="1"/>
    <col min="82" max="82" width="11" customWidth="1"/>
  </cols>
  <sheetData>
    <row r="1" spans="1:82" x14ac:dyDescent="0.3">
      <c r="A1" t="s">
        <v>7</v>
      </c>
      <c r="B1" t="s">
        <v>221</v>
      </c>
      <c r="C1" t="s">
        <v>60</v>
      </c>
      <c r="D1" t="s">
        <v>61</v>
      </c>
      <c r="E1" t="s">
        <v>222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182</v>
      </c>
      <c r="M1" t="s">
        <v>229</v>
      </c>
      <c r="N1" t="s">
        <v>230</v>
      </c>
      <c r="O1" t="s">
        <v>231</v>
      </c>
      <c r="P1" t="s">
        <v>232</v>
      </c>
      <c r="Q1" t="s">
        <v>233</v>
      </c>
      <c r="R1" t="s">
        <v>6858</v>
      </c>
      <c r="S1" t="s">
        <v>234</v>
      </c>
      <c r="T1" t="s">
        <v>235</v>
      </c>
      <c r="U1" t="s">
        <v>236</v>
      </c>
      <c r="V1" t="s">
        <v>237</v>
      </c>
      <c r="W1" t="s">
        <v>183</v>
      </c>
      <c r="X1" t="s">
        <v>238</v>
      </c>
      <c r="Y1" t="s">
        <v>239</v>
      </c>
      <c r="Z1" t="s">
        <v>240</v>
      </c>
      <c r="AA1" t="s">
        <v>212</v>
      </c>
      <c r="AB1" t="s">
        <v>241</v>
      </c>
      <c r="AC1" t="s">
        <v>242</v>
      </c>
      <c r="AD1" t="s">
        <v>243</v>
      </c>
      <c r="AE1" t="s">
        <v>244</v>
      </c>
      <c r="AF1" t="s">
        <v>245</v>
      </c>
      <c r="AG1" t="s">
        <v>246</v>
      </c>
      <c r="AH1" t="s">
        <v>247</v>
      </c>
      <c r="AI1" t="s">
        <v>248</v>
      </c>
      <c r="AJ1" t="s">
        <v>249</v>
      </c>
      <c r="AK1" t="s">
        <v>250</v>
      </c>
      <c r="AL1" t="s">
        <v>251</v>
      </c>
      <c r="AM1" t="s">
        <v>214</v>
      </c>
      <c r="AN1" t="s">
        <v>252</v>
      </c>
      <c r="AO1" t="s">
        <v>253</v>
      </c>
      <c r="AP1" t="s">
        <v>254</v>
      </c>
      <c r="AQ1" t="s">
        <v>255</v>
      </c>
      <c r="AR1" t="s">
        <v>256</v>
      </c>
      <c r="AS1" t="s">
        <v>257</v>
      </c>
      <c r="AT1" t="s">
        <v>258</v>
      </c>
      <c r="AU1" t="s">
        <v>259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  <c r="BA1" t="s">
        <v>265</v>
      </c>
      <c r="BB1" t="s">
        <v>62</v>
      </c>
      <c r="BC1" t="s">
        <v>63</v>
      </c>
      <c r="BD1" t="s">
        <v>64</v>
      </c>
      <c r="BE1" t="s">
        <v>266</v>
      </c>
      <c r="BF1" t="s">
        <v>267</v>
      </c>
      <c r="BG1" t="s">
        <v>268</v>
      </c>
      <c r="BH1" t="s">
        <v>269</v>
      </c>
      <c r="BI1" t="s">
        <v>270</v>
      </c>
      <c r="BJ1" t="s">
        <v>271</v>
      </c>
      <c r="BK1" t="s">
        <v>272</v>
      </c>
      <c r="BL1" t="s">
        <v>273</v>
      </c>
      <c r="BM1" t="s">
        <v>274</v>
      </c>
      <c r="BN1" t="s">
        <v>275</v>
      </c>
      <c r="BO1" t="s">
        <v>276</v>
      </c>
      <c r="BP1" t="s">
        <v>277</v>
      </c>
      <c r="BQ1" t="s">
        <v>278</v>
      </c>
      <c r="BR1" t="s">
        <v>279</v>
      </c>
      <c r="BS1" t="s">
        <v>280</v>
      </c>
      <c r="BT1" t="s">
        <v>281</v>
      </c>
      <c r="BU1" t="s">
        <v>282</v>
      </c>
      <c r="BV1" t="s">
        <v>283</v>
      </c>
      <c r="BW1" t="s">
        <v>284</v>
      </c>
      <c r="BX1" t="s">
        <v>285</v>
      </c>
      <c r="BY1" t="s">
        <v>286</v>
      </c>
      <c r="BZ1" t="s">
        <v>287</v>
      </c>
      <c r="CA1" t="s">
        <v>288</v>
      </c>
      <c r="CB1" t="s">
        <v>289</v>
      </c>
      <c r="CC1" t="s">
        <v>290</v>
      </c>
      <c r="CD1" t="s">
        <v>291</v>
      </c>
    </row>
    <row r="2" spans="1:82" x14ac:dyDescent="0.3">
      <c r="A2">
        <v>370</v>
      </c>
      <c r="B2" t="e">
        <v>#NUM!</v>
      </c>
      <c r="C2" t="s">
        <v>4179</v>
      </c>
      <c r="D2">
        <v>642402188</v>
      </c>
      <c r="E2">
        <v>1710002115122</v>
      </c>
      <c r="G2" t="s">
        <v>217</v>
      </c>
      <c r="H2" t="s">
        <v>217</v>
      </c>
      <c r="I2" s="305">
        <v>45323</v>
      </c>
      <c r="J2">
        <v>0</v>
      </c>
      <c r="K2">
        <v>11</v>
      </c>
      <c r="L2" t="s">
        <v>14</v>
      </c>
      <c r="M2" t="s">
        <v>187</v>
      </c>
      <c r="O2" s="305">
        <v>45657</v>
      </c>
      <c r="Q2" t="s">
        <v>139</v>
      </c>
      <c r="R2" t="s">
        <v>6863</v>
      </c>
      <c r="S2" t="s">
        <v>296</v>
      </c>
      <c r="T2" t="s">
        <v>187</v>
      </c>
      <c r="U2" t="s">
        <v>50</v>
      </c>
      <c r="V2" t="s">
        <v>50</v>
      </c>
      <c r="W2" t="s">
        <v>50</v>
      </c>
      <c r="X2" t="s">
        <v>1064</v>
      </c>
      <c r="AA2" t="s">
        <v>133</v>
      </c>
      <c r="AB2" t="s">
        <v>217</v>
      </c>
      <c r="AC2" s="305">
        <v>35730</v>
      </c>
      <c r="AD2">
        <v>27</v>
      </c>
      <c r="AE2" t="s">
        <v>4180</v>
      </c>
      <c r="AF2" t="s">
        <v>4181</v>
      </c>
      <c r="AG2" t="s">
        <v>4182</v>
      </c>
      <c r="AH2" t="s">
        <v>4182</v>
      </c>
      <c r="AJ2" t="s">
        <v>4183</v>
      </c>
      <c r="AK2" t="s">
        <v>4184</v>
      </c>
      <c r="AL2">
        <v>16044462691</v>
      </c>
      <c r="AM2" t="s">
        <v>4733</v>
      </c>
      <c r="AN2" t="s">
        <v>4185</v>
      </c>
      <c r="AS2" t="s">
        <v>306</v>
      </c>
      <c r="AT2" t="s">
        <v>4186</v>
      </c>
      <c r="AU2" t="s">
        <v>306</v>
      </c>
      <c r="AV2" t="s">
        <v>306</v>
      </c>
      <c r="AW2">
        <v>0</v>
      </c>
      <c r="AX2" t="s">
        <v>5627</v>
      </c>
      <c r="AZ2" t="s">
        <v>4187</v>
      </c>
      <c r="BA2" t="s">
        <v>161</v>
      </c>
      <c r="BB2" t="s">
        <v>75</v>
      </c>
      <c r="BC2" t="s">
        <v>43</v>
      </c>
      <c r="BD2" t="s">
        <v>77</v>
      </c>
      <c r="BE2">
        <v>2023</v>
      </c>
      <c r="BF2" t="s">
        <v>75</v>
      </c>
      <c r="BG2" t="s">
        <v>43</v>
      </c>
      <c r="BH2" t="s">
        <v>77</v>
      </c>
      <c r="BI2">
        <v>2023</v>
      </c>
      <c r="BL2">
        <v>16</v>
      </c>
      <c r="BM2">
        <v>34</v>
      </c>
      <c r="BN2">
        <v>37</v>
      </c>
    </row>
    <row r="3" spans="1:82" x14ac:dyDescent="0.3">
      <c r="A3">
        <v>368</v>
      </c>
      <c r="B3" t="e">
        <v>#NUM!</v>
      </c>
      <c r="C3" t="s">
        <v>4159</v>
      </c>
      <c r="D3">
        <v>642401204</v>
      </c>
      <c r="E3">
        <v>1710010882663</v>
      </c>
      <c r="G3" t="s">
        <v>217</v>
      </c>
      <c r="H3" t="s">
        <v>311</v>
      </c>
      <c r="I3" s="305">
        <v>45292</v>
      </c>
      <c r="J3">
        <v>1</v>
      </c>
      <c r="K3">
        <v>0</v>
      </c>
      <c r="L3" t="s">
        <v>14</v>
      </c>
      <c r="M3" t="s">
        <v>187</v>
      </c>
      <c r="O3" s="305">
        <v>45657</v>
      </c>
      <c r="Q3" t="s">
        <v>139</v>
      </c>
      <c r="R3" t="s">
        <v>6863</v>
      </c>
      <c r="S3" t="s">
        <v>312</v>
      </c>
      <c r="T3" t="s">
        <v>204</v>
      </c>
      <c r="U3" t="s">
        <v>204</v>
      </c>
      <c r="V3" t="s">
        <v>1054</v>
      </c>
      <c r="W3" t="s">
        <v>208</v>
      </c>
      <c r="X3" t="s">
        <v>313</v>
      </c>
      <c r="AA3" t="s">
        <v>132</v>
      </c>
      <c r="AB3" t="s">
        <v>311</v>
      </c>
      <c r="AC3" s="305">
        <v>37217</v>
      </c>
      <c r="AD3">
        <v>23</v>
      </c>
      <c r="AE3" t="s">
        <v>4160</v>
      </c>
      <c r="AF3" t="s">
        <v>4161</v>
      </c>
      <c r="AG3" t="s">
        <v>4162</v>
      </c>
      <c r="AJ3" t="s">
        <v>4163</v>
      </c>
      <c r="AK3" t="s">
        <v>4164</v>
      </c>
      <c r="AL3">
        <v>22023994100</v>
      </c>
      <c r="AM3" t="s">
        <v>4716</v>
      </c>
      <c r="AS3" t="s">
        <v>990</v>
      </c>
      <c r="AT3" t="s">
        <v>4165</v>
      </c>
      <c r="AU3" t="s">
        <v>306</v>
      </c>
      <c r="AV3" t="s">
        <v>306</v>
      </c>
      <c r="AW3">
        <v>0</v>
      </c>
      <c r="AX3" t="s">
        <v>5078</v>
      </c>
      <c r="BA3" t="s">
        <v>161</v>
      </c>
      <c r="BB3" t="s">
        <v>349</v>
      </c>
      <c r="BC3" t="s">
        <v>4166</v>
      </c>
      <c r="BD3" t="s">
        <v>1762</v>
      </c>
      <c r="BE3">
        <v>2019</v>
      </c>
      <c r="BF3" t="s">
        <v>349</v>
      </c>
      <c r="BG3" t="s">
        <v>4166</v>
      </c>
      <c r="BH3" t="s">
        <v>1762</v>
      </c>
      <c r="BI3">
        <v>2019</v>
      </c>
      <c r="BL3" t="s">
        <v>351</v>
      </c>
      <c r="BM3" t="s">
        <v>351</v>
      </c>
      <c r="BN3">
        <v>42</v>
      </c>
    </row>
    <row r="4" spans="1:82" x14ac:dyDescent="0.3">
      <c r="A4">
        <v>319</v>
      </c>
      <c r="B4">
        <v>164</v>
      </c>
      <c r="C4" t="s">
        <v>3824</v>
      </c>
      <c r="D4">
        <v>642312149</v>
      </c>
      <c r="E4">
        <v>1710012742618</v>
      </c>
      <c r="G4" t="s">
        <v>217</v>
      </c>
      <c r="H4" t="s">
        <v>217</v>
      </c>
      <c r="I4" s="305">
        <v>45280</v>
      </c>
      <c r="J4">
        <v>1</v>
      </c>
      <c r="K4">
        <v>0</v>
      </c>
      <c r="L4" t="s">
        <v>14</v>
      </c>
      <c r="M4" t="s">
        <v>187</v>
      </c>
      <c r="O4" s="305">
        <v>45838</v>
      </c>
      <c r="Q4" t="s">
        <v>139</v>
      </c>
      <c r="R4" t="s">
        <v>6863</v>
      </c>
      <c r="S4" t="s">
        <v>296</v>
      </c>
      <c r="T4" t="s">
        <v>187</v>
      </c>
      <c r="U4" t="s">
        <v>1150</v>
      </c>
      <c r="V4" t="s">
        <v>104</v>
      </c>
      <c r="W4" t="s">
        <v>104</v>
      </c>
      <c r="X4" t="s">
        <v>1064</v>
      </c>
      <c r="AA4" t="s">
        <v>133</v>
      </c>
      <c r="AB4" t="s">
        <v>217</v>
      </c>
      <c r="AC4" s="305">
        <v>36670</v>
      </c>
      <c r="AD4">
        <v>24</v>
      </c>
      <c r="AE4" t="s">
        <v>3825</v>
      </c>
      <c r="AF4" t="s">
        <v>3826</v>
      </c>
      <c r="AG4" t="s">
        <v>3827</v>
      </c>
      <c r="AJ4" t="s">
        <v>3828</v>
      </c>
      <c r="AK4" t="s">
        <v>3829</v>
      </c>
      <c r="AL4">
        <v>24009885153</v>
      </c>
      <c r="AM4" t="s">
        <v>4716</v>
      </c>
      <c r="AS4" t="s">
        <v>306</v>
      </c>
      <c r="AT4" t="s">
        <v>3830</v>
      </c>
      <c r="AU4" t="s">
        <v>306</v>
      </c>
      <c r="AV4" t="s">
        <v>306</v>
      </c>
      <c r="AW4">
        <v>0</v>
      </c>
      <c r="AX4" t="s">
        <v>5078</v>
      </c>
      <c r="AY4" t="s">
        <v>3831</v>
      </c>
      <c r="AZ4" t="s">
        <v>3831</v>
      </c>
      <c r="BA4" t="s">
        <v>161</v>
      </c>
      <c r="BB4" t="s">
        <v>75</v>
      </c>
      <c r="BC4" t="s">
        <v>106</v>
      </c>
      <c r="BD4" t="s">
        <v>1902</v>
      </c>
      <c r="BE4">
        <v>2023</v>
      </c>
      <c r="BF4" t="s">
        <v>75</v>
      </c>
      <c r="BG4" t="s">
        <v>106</v>
      </c>
      <c r="BH4" t="s">
        <v>1902</v>
      </c>
      <c r="BI4">
        <v>2023</v>
      </c>
    </row>
    <row r="5" spans="1:82" x14ac:dyDescent="0.3">
      <c r="A5">
        <v>318</v>
      </c>
      <c r="B5">
        <v>164</v>
      </c>
      <c r="C5" t="s">
        <v>3818</v>
      </c>
      <c r="D5">
        <v>642312148</v>
      </c>
      <c r="E5">
        <v>1710014832201</v>
      </c>
      <c r="G5" t="s">
        <v>217</v>
      </c>
      <c r="H5" t="s">
        <v>217</v>
      </c>
      <c r="I5" s="305">
        <v>45280</v>
      </c>
      <c r="J5">
        <v>1</v>
      </c>
      <c r="K5">
        <v>0</v>
      </c>
      <c r="L5" t="s">
        <v>14</v>
      </c>
      <c r="M5" t="s">
        <v>187</v>
      </c>
      <c r="O5" s="305">
        <v>45838</v>
      </c>
      <c r="Q5" t="s">
        <v>139</v>
      </c>
      <c r="R5" t="s">
        <v>6863</v>
      </c>
      <c r="S5" t="s">
        <v>296</v>
      </c>
      <c r="T5" t="s">
        <v>187</v>
      </c>
      <c r="U5" t="s">
        <v>43</v>
      </c>
      <c r="V5" t="s">
        <v>43</v>
      </c>
      <c r="W5" t="s">
        <v>50</v>
      </c>
      <c r="X5" t="s">
        <v>1064</v>
      </c>
      <c r="AA5" t="s">
        <v>133</v>
      </c>
      <c r="AB5" t="s">
        <v>217</v>
      </c>
      <c r="AC5" s="305">
        <v>35318</v>
      </c>
      <c r="AD5">
        <v>28</v>
      </c>
      <c r="AE5" t="s">
        <v>3819</v>
      </c>
      <c r="AF5" t="s">
        <v>3820</v>
      </c>
      <c r="AG5" t="s">
        <v>3821</v>
      </c>
      <c r="AJ5" t="s">
        <v>3822</v>
      </c>
      <c r="AK5" t="s">
        <v>3823</v>
      </c>
      <c r="AL5">
        <v>24036556249</v>
      </c>
      <c r="AM5" t="s">
        <v>4716</v>
      </c>
      <c r="AS5" t="s">
        <v>306</v>
      </c>
      <c r="AT5" t="s">
        <v>306</v>
      </c>
      <c r="AU5" t="s">
        <v>306</v>
      </c>
      <c r="AV5" t="s">
        <v>306</v>
      </c>
      <c r="AW5">
        <v>0</v>
      </c>
      <c r="AX5" t="s">
        <v>5078</v>
      </c>
      <c r="BA5" t="s">
        <v>161</v>
      </c>
      <c r="BB5" t="s">
        <v>75</v>
      </c>
      <c r="BC5" t="s">
        <v>43</v>
      </c>
      <c r="BD5" t="s">
        <v>81</v>
      </c>
      <c r="BE5">
        <v>2018</v>
      </c>
      <c r="BF5" t="s">
        <v>75</v>
      </c>
      <c r="BG5" t="s">
        <v>43</v>
      </c>
      <c r="BH5" t="s">
        <v>81</v>
      </c>
      <c r="BI5">
        <v>2018</v>
      </c>
    </row>
    <row r="6" spans="1:82" x14ac:dyDescent="0.3">
      <c r="A6">
        <v>317</v>
      </c>
      <c r="B6">
        <v>164</v>
      </c>
      <c r="C6" t="s">
        <v>3810</v>
      </c>
      <c r="D6">
        <v>642312147</v>
      </c>
      <c r="E6">
        <v>1710014832268</v>
      </c>
      <c r="G6" t="s">
        <v>217</v>
      </c>
      <c r="H6" t="s">
        <v>31</v>
      </c>
      <c r="I6" s="305">
        <v>45280</v>
      </c>
      <c r="J6">
        <v>1</v>
      </c>
      <c r="K6">
        <v>0</v>
      </c>
      <c r="L6" t="s">
        <v>14</v>
      </c>
      <c r="M6" t="s">
        <v>187</v>
      </c>
      <c r="O6" s="305">
        <v>45838</v>
      </c>
      <c r="Q6" t="s">
        <v>139</v>
      </c>
      <c r="R6" t="s">
        <v>6863</v>
      </c>
      <c r="S6" t="s">
        <v>296</v>
      </c>
      <c r="T6" t="s">
        <v>187</v>
      </c>
      <c r="U6" t="s">
        <v>3811</v>
      </c>
      <c r="V6" t="s">
        <v>104</v>
      </c>
      <c r="W6" t="s">
        <v>104</v>
      </c>
      <c r="X6" t="s">
        <v>1064</v>
      </c>
      <c r="AA6" t="s">
        <v>132</v>
      </c>
      <c r="AB6" t="s">
        <v>31</v>
      </c>
      <c r="AC6" s="305">
        <v>36359</v>
      </c>
      <c r="AD6">
        <v>25</v>
      </c>
      <c r="AE6" t="s">
        <v>3812</v>
      </c>
      <c r="AF6" t="s">
        <v>3813</v>
      </c>
      <c r="AG6" t="s">
        <v>3814</v>
      </c>
      <c r="AJ6" t="s">
        <v>3815</v>
      </c>
      <c r="AK6" t="s">
        <v>3816</v>
      </c>
      <c r="AL6">
        <v>24036556264</v>
      </c>
      <c r="AM6" t="s">
        <v>4716</v>
      </c>
      <c r="AS6" t="s">
        <v>306</v>
      </c>
      <c r="AT6" t="s">
        <v>306</v>
      </c>
      <c r="AU6" t="s">
        <v>306</v>
      </c>
      <c r="AV6" t="s">
        <v>306</v>
      </c>
      <c r="AW6">
        <v>0</v>
      </c>
      <c r="AX6" t="s">
        <v>5078</v>
      </c>
      <c r="AY6" t="s">
        <v>3817</v>
      </c>
      <c r="AZ6" t="s">
        <v>3817</v>
      </c>
      <c r="BA6" t="s">
        <v>161</v>
      </c>
      <c r="BB6" t="s">
        <v>75</v>
      </c>
      <c r="BC6" t="s">
        <v>1925</v>
      </c>
      <c r="BD6" t="s">
        <v>402</v>
      </c>
      <c r="BF6" t="s">
        <v>75</v>
      </c>
      <c r="BG6" t="s">
        <v>1925</v>
      </c>
      <c r="BH6" t="s">
        <v>402</v>
      </c>
    </row>
    <row r="7" spans="1:82" x14ac:dyDescent="0.3">
      <c r="A7">
        <v>316</v>
      </c>
      <c r="B7">
        <v>164</v>
      </c>
      <c r="C7" t="s">
        <v>3803</v>
      </c>
      <c r="D7">
        <v>642312146</v>
      </c>
      <c r="E7">
        <v>1710014832219</v>
      </c>
      <c r="G7" t="s">
        <v>217</v>
      </c>
      <c r="H7" t="s">
        <v>1886</v>
      </c>
      <c r="I7" s="305">
        <v>45280</v>
      </c>
      <c r="J7">
        <v>1</v>
      </c>
      <c r="K7">
        <v>0</v>
      </c>
      <c r="L7" t="s">
        <v>14</v>
      </c>
      <c r="M7" t="s">
        <v>187</v>
      </c>
      <c r="O7" s="305">
        <v>45838</v>
      </c>
      <c r="Q7" t="s">
        <v>139</v>
      </c>
      <c r="R7" t="s">
        <v>6863</v>
      </c>
      <c r="S7" t="s">
        <v>296</v>
      </c>
      <c r="T7" t="s">
        <v>187</v>
      </c>
      <c r="U7" t="s">
        <v>1115</v>
      </c>
      <c r="V7" t="s">
        <v>119</v>
      </c>
      <c r="W7" t="s">
        <v>120</v>
      </c>
      <c r="X7" t="s">
        <v>313</v>
      </c>
      <c r="AA7" t="s">
        <v>132</v>
      </c>
      <c r="AB7" t="s">
        <v>1886</v>
      </c>
      <c r="AC7" s="305">
        <v>36232</v>
      </c>
      <c r="AD7">
        <v>25</v>
      </c>
      <c r="AE7" t="s">
        <v>3804</v>
      </c>
      <c r="AF7" t="s">
        <v>3805</v>
      </c>
      <c r="AG7" t="s">
        <v>3806</v>
      </c>
      <c r="AJ7" t="s">
        <v>3807</v>
      </c>
      <c r="AK7" t="s">
        <v>3808</v>
      </c>
      <c r="AL7">
        <v>24009885104</v>
      </c>
      <c r="AM7" t="s">
        <v>4716</v>
      </c>
      <c r="AS7" t="s">
        <v>306</v>
      </c>
      <c r="AT7" t="s">
        <v>306</v>
      </c>
      <c r="AU7" t="s">
        <v>306</v>
      </c>
      <c r="AV7" t="s">
        <v>306</v>
      </c>
      <c r="AW7">
        <v>0</v>
      </c>
      <c r="AX7" t="s">
        <v>5078</v>
      </c>
      <c r="BA7" t="s">
        <v>161</v>
      </c>
      <c r="BB7" t="s">
        <v>75</v>
      </c>
      <c r="BC7" t="s">
        <v>87</v>
      </c>
      <c r="BD7" t="s">
        <v>3809</v>
      </c>
      <c r="BE7">
        <v>2023</v>
      </c>
      <c r="BF7" t="s">
        <v>75</v>
      </c>
      <c r="BG7" t="s">
        <v>87</v>
      </c>
      <c r="BH7" t="s">
        <v>3809</v>
      </c>
      <c r="BI7">
        <v>2023</v>
      </c>
    </row>
    <row r="8" spans="1:82" ht="86.4" x14ac:dyDescent="0.3">
      <c r="A8">
        <v>315</v>
      </c>
      <c r="B8">
        <v>164</v>
      </c>
      <c r="C8" t="s">
        <v>3785</v>
      </c>
      <c r="D8">
        <v>642312144</v>
      </c>
      <c r="E8">
        <v>1710014832250</v>
      </c>
      <c r="G8" t="s">
        <v>217</v>
      </c>
      <c r="H8" t="s">
        <v>32</v>
      </c>
      <c r="I8" s="305">
        <v>45280</v>
      </c>
      <c r="J8">
        <v>1</v>
      </c>
      <c r="K8">
        <v>0</v>
      </c>
      <c r="L8" t="s">
        <v>14</v>
      </c>
      <c r="M8" t="s">
        <v>187</v>
      </c>
      <c r="O8" s="305">
        <v>45838</v>
      </c>
      <c r="Q8" t="s">
        <v>139</v>
      </c>
      <c r="R8" t="s">
        <v>6863</v>
      </c>
      <c r="S8" t="s">
        <v>296</v>
      </c>
      <c r="T8" t="s">
        <v>187</v>
      </c>
      <c r="U8" t="s">
        <v>1115</v>
      </c>
      <c r="V8" t="s">
        <v>119</v>
      </c>
      <c r="W8" t="s">
        <v>120</v>
      </c>
      <c r="X8" t="s">
        <v>313</v>
      </c>
      <c r="AA8" t="s">
        <v>132</v>
      </c>
      <c r="AB8" t="s">
        <v>32</v>
      </c>
      <c r="AC8" s="305">
        <v>35592</v>
      </c>
      <c r="AD8">
        <v>27</v>
      </c>
      <c r="AE8" t="s">
        <v>3786</v>
      </c>
      <c r="AF8" s="306" t="s">
        <v>3787</v>
      </c>
      <c r="AG8" t="s">
        <v>3788</v>
      </c>
      <c r="AJ8" t="s">
        <v>3789</v>
      </c>
      <c r="AK8" t="s">
        <v>3790</v>
      </c>
      <c r="AL8">
        <v>24009885187</v>
      </c>
      <c r="AM8" t="s">
        <v>4716</v>
      </c>
      <c r="AS8" t="s">
        <v>3791</v>
      </c>
      <c r="AT8" t="s">
        <v>3792</v>
      </c>
      <c r="AU8" t="s">
        <v>306</v>
      </c>
      <c r="AV8" t="s">
        <v>306</v>
      </c>
      <c r="AW8">
        <v>0</v>
      </c>
      <c r="AX8" t="s">
        <v>5078</v>
      </c>
      <c r="AY8" t="s">
        <v>3793</v>
      </c>
      <c r="AZ8" t="s">
        <v>3793</v>
      </c>
      <c r="BA8" t="s">
        <v>161</v>
      </c>
      <c r="BB8" t="s">
        <v>75</v>
      </c>
      <c r="BC8" t="s">
        <v>87</v>
      </c>
      <c r="BD8" t="s">
        <v>3794</v>
      </c>
      <c r="BE8">
        <v>2023</v>
      </c>
      <c r="BF8" t="s">
        <v>75</v>
      </c>
      <c r="BG8" t="s">
        <v>87</v>
      </c>
      <c r="BH8" t="s">
        <v>3794</v>
      </c>
      <c r="BI8">
        <v>2023</v>
      </c>
    </row>
    <row r="9" spans="1:82" x14ac:dyDescent="0.3">
      <c r="A9">
        <v>314</v>
      </c>
      <c r="B9">
        <v>164</v>
      </c>
      <c r="C9" t="s">
        <v>113</v>
      </c>
      <c r="D9">
        <v>642312143</v>
      </c>
      <c r="E9">
        <v>1710014832227</v>
      </c>
      <c r="G9" t="s">
        <v>217</v>
      </c>
      <c r="H9" t="s">
        <v>3777</v>
      </c>
      <c r="I9" s="305">
        <v>45280</v>
      </c>
      <c r="J9">
        <v>1</v>
      </c>
      <c r="K9">
        <v>0</v>
      </c>
      <c r="L9" t="s">
        <v>14</v>
      </c>
      <c r="M9" t="s">
        <v>187</v>
      </c>
      <c r="O9" s="305">
        <v>45838</v>
      </c>
      <c r="Q9" t="s">
        <v>139</v>
      </c>
      <c r="R9" t="s">
        <v>6863</v>
      </c>
      <c r="S9" t="s">
        <v>296</v>
      </c>
      <c r="T9" t="s">
        <v>187</v>
      </c>
      <c r="U9" t="s">
        <v>59</v>
      </c>
      <c r="V9" t="s">
        <v>59</v>
      </c>
      <c r="W9" t="s">
        <v>59</v>
      </c>
      <c r="X9" t="s">
        <v>298</v>
      </c>
      <c r="AA9" t="s">
        <v>132</v>
      </c>
      <c r="AB9" t="s">
        <v>3777</v>
      </c>
      <c r="AC9" s="305">
        <v>36947</v>
      </c>
      <c r="AD9">
        <v>23</v>
      </c>
      <c r="AE9" t="s">
        <v>3778</v>
      </c>
      <c r="AF9" t="s">
        <v>3779</v>
      </c>
      <c r="AG9" t="s">
        <v>3780</v>
      </c>
      <c r="AJ9" t="s">
        <v>3781</v>
      </c>
      <c r="AK9" t="s">
        <v>3782</v>
      </c>
      <c r="AL9">
        <v>24009885146</v>
      </c>
      <c r="AM9" t="s">
        <v>4716</v>
      </c>
      <c r="AS9" t="s">
        <v>3783</v>
      </c>
      <c r="AT9" t="s">
        <v>3784</v>
      </c>
      <c r="AU9" t="s">
        <v>306</v>
      </c>
      <c r="AV9" t="s">
        <v>306</v>
      </c>
      <c r="AW9">
        <v>0</v>
      </c>
      <c r="AX9" t="s">
        <v>5078</v>
      </c>
      <c r="AY9">
        <v>610040891527000</v>
      </c>
      <c r="AZ9">
        <v>610040891527000</v>
      </c>
      <c r="BA9" t="s">
        <v>161</v>
      </c>
      <c r="BB9" t="s">
        <v>75</v>
      </c>
      <c r="BC9" t="s">
        <v>83</v>
      </c>
      <c r="BD9" t="s">
        <v>114</v>
      </c>
      <c r="BE9">
        <v>2022</v>
      </c>
      <c r="BF9" t="s">
        <v>75</v>
      </c>
      <c r="BG9" t="s">
        <v>83</v>
      </c>
      <c r="BH9" t="s">
        <v>114</v>
      </c>
      <c r="BI9">
        <v>2022</v>
      </c>
    </row>
    <row r="10" spans="1:82" x14ac:dyDescent="0.3">
      <c r="A10">
        <v>313</v>
      </c>
      <c r="B10">
        <v>164</v>
      </c>
      <c r="C10" t="s">
        <v>108</v>
      </c>
      <c r="D10">
        <v>642312142</v>
      </c>
      <c r="E10">
        <v>1710014832235</v>
      </c>
      <c r="G10" t="s">
        <v>217</v>
      </c>
      <c r="H10" t="s">
        <v>432</v>
      </c>
      <c r="I10" s="305">
        <v>45280</v>
      </c>
      <c r="J10">
        <v>1</v>
      </c>
      <c r="K10">
        <v>0</v>
      </c>
      <c r="L10" t="s">
        <v>14</v>
      </c>
      <c r="M10" t="s">
        <v>187</v>
      </c>
      <c r="O10" s="305">
        <v>45838</v>
      </c>
      <c r="Q10" t="s">
        <v>139</v>
      </c>
      <c r="R10" t="s">
        <v>6863</v>
      </c>
      <c r="S10" t="s">
        <v>296</v>
      </c>
      <c r="T10" t="s">
        <v>187</v>
      </c>
      <c r="U10" t="s">
        <v>59</v>
      </c>
      <c r="V10" t="s">
        <v>59</v>
      </c>
      <c r="W10" t="s">
        <v>59</v>
      </c>
      <c r="X10" t="s">
        <v>298</v>
      </c>
      <c r="AA10" t="s">
        <v>132</v>
      </c>
      <c r="AB10" t="s">
        <v>432</v>
      </c>
      <c r="AC10" s="305">
        <v>33838</v>
      </c>
      <c r="AD10">
        <v>32</v>
      </c>
      <c r="AE10" t="s">
        <v>3772</v>
      </c>
      <c r="AF10" t="s">
        <v>3773</v>
      </c>
      <c r="AG10" t="s">
        <v>3774</v>
      </c>
      <c r="AJ10" t="s">
        <v>3775</v>
      </c>
      <c r="AK10" t="s">
        <v>3776</v>
      </c>
      <c r="AL10">
        <v>24009885179</v>
      </c>
      <c r="AM10" t="s">
        <v>4716</v>
      </c>
      <c r="AS10" t="s">
        <v>306</v>
      </c>
      <c r="AT10" t="s">
        <v>306</v>
      </c>
      <c r="AU10" t="s">
        <v>306</v>
      </c>
      <c r="AV10" t="s">
        <v>306</v>
      </c>
      <c r="AW10">
        <v>0</v>
      </c>
      <c r="AX10" t="s">
        <v>5078</v>
      </c>
      <c r="BA10" t="s">
        <v>161</v>
      </c>
      <c r="BB10" t="s">
        <v>109</v>
      </c>
      <c r="BC10" t="s">
        <v>110</v>
      </c>
      <c r="BD10" t="s">
        <v>5115</v>
      </c>
      <c r="BE10">
        <v>2021</v>
      </c>
      <c r="BF10" t="s">
        <v>109</v>
      </c>
      <c r="BG10" t="s">
        <v>110</v>
      </c>
      <c r="BH10" t="s">
        <v>5115</v>
      </c>
      <c r="BI10">
        <v>2021</v>
      </c>
    </row>
    <row r="11" spans="1:82" x14ac:dyDescent="0.3">
      <c r="A11">
        <v>312</v>
      </c>
      <c r="B11">
        <v>164</v>
      </c>
      <c r="C11" t="s">
        <v>3766</v>
      </c>
      <c r="D11">
        <v>642312141</v>
      </c>
      <c r="E11">
        <v>1710014832193</v>
      </c>
      <c r="G11" t="s">
        <v>217</v>
      </c>
      <c r="H11" t="s">
        <v>315</v>
      </c>
      <c r="I11" s="305">
        <v>45280</v>
      </c>
      <c r="J11">
        <v>1</v>
      </c>
      <c r="K11">
        <v>0</v>
      </c>
      <c r="L11" t="s">
        <v>14</v>
      </c>
      <c r="M11" t="s">
        <v>187</v>
      </c>
      <c r="O11" s="305">
        <v>45838</v>
      </c>
      <c r="Q11" t="s">
        <v>139</v>
      </c>
      <c r="R11" t="s">
        <v>6863</v>
      </c>
      <c r="S11" t="s">
        <v>296</v>
      </c>
      <c r="T11" t="s">
        <v>187</v>
      </c>
      <c r="U11" t="s">
        <v>2827</v>
      </c>
      <c r="V11" t="s">
        <v>119</v>
      </c>
      <c r="W11" t="s">
        <v>120</v>
      </c>
      <c r="X11" t="s">
        <v>313</v>
      </c>
      <c r="AA11" t="s">
        <v>132</v>
      </c>
      <c r="AB11" t="s">
        <v>315</v>
      </c>
      <c r="AC11" s="305">
        <v>35539</v>
      </c>
      <c r="AD11">
        <v>27</v>
      </c>
      <c r="AE11" t="s">
        <v>3767</v>
      </c>
      <c r="AF11" t="s">
        <v>3768</v>
      </c>
      <c r="AG11" t="s">
        <v>3769</v>
      </c>
      <c r="AJ11" t="s">
        <v>3770</v>
      </c>
      <c r="AK11" t="s">
        <v>3771</v>
      </c>
      <c r="AL11">
        <v>24009885120</v>
      </c>
      <c r="AM11" t="s">
        <v>4716</v>
      </c>
      <c r="AS11" t="s">
        <v>306</v>
      </c>
      <c r="AT11" t="s">
        <v>306</v>
      </c>
      <c r="AU11" t="s">
        <v>306</v>
      </c>
      <c r="AV11" t="s">
        <v>306</v>
      </c>
      <c r="AW11">
        <v>0</v>
      </c>
      <c r="AX11" t="s">
        <v>5078</v>
      </c>
      <c r="BA11" t="s">
        <v>161</v>
      </c>
      <c r="BB11" t="s">
        <v>75</v>
      </c>
      <c r="BC11" t="s">
        <v>3680</v>
      </c>
      <c r="BD11" t="s">
        <v>81</v>
      </c>
      <c r="BE11">
        <v>2021</v>
      </c>
      <c r="BF11" t="s">
        <v>75</v>
      </c>
      <c r="BG11" t="s">
        <v>3680</v>
      </c>
      <c r="BH11" t="s">
        <v>81</v>
      </c>
      <c r="BI11">
        <v>2021</v>
      </c>
    </row>
    <row r="12" spans="1:82" x14ac:dyDescent="0.3">
      <c r="A12">
        <v>311</v>
      </c>
      <c r="B12">
        <v>164</v>
      </c>
      <c r="C12" t="s">
        <v>3756</v>
      </c>
      <c r="D12">
        <v>642312140</v>
      </c>
      <c r="E12">
        <v>1710014832276</v>
      </c>
      <c r="G12" t="s">
        <v>217</v>
      </c>
      <c r="H12" t="s">
        <v>23</v>
      </c>
      <c r="I12" s="305">
        <v>45280</v>
      </c>
      <c r="J12">
        <v>1</v>
      </c>
      <c r="K12">
        <v>0</v>
      </c>
      <c r="L12" t="s">
        <v>14</v>
      </c>
      <c r="M12" t="s">
        <v>187</v>
      </c>
      <c r="O12" s="305">
        <v>45838</v>
      </c>
      <c r="Q12" t="s">
        <v>139</v>
      </c>
      <c r="R12" t="s">
        <v>6863</v>
      </c>
      <c r="S12" t="s">
        <v>296</v>
      </c>
      <c r="T12" t="s">
        <v>187</v>
      </c>
      <c r="U12" t="s">
        <v>3757</v>
      </c>
      <c r="V12" t="s">
        <v>107</v>
      </c>
      <c r="W12" t="s">
        <v>107</v>
      </c>
      <c r="X12" t="s">
        <v>298</v>
      </c>
      <c r="AA12" t="s">
        <v>132</v>
      </c>
      <c r="AB12" t="s">
        <v>23</v>
      </c>
      <c r="AC12" s="305">
        <v>36769</v>
      </c>
      <c r="AD12">
        <v>24</v>
      </c>
      <c r="AE12" t="s">
        <v>3758</v>
      </c>
      <c r="AF12" t="s">
        <v>3759</v>
      </c>
      <c r="AG12" t="s">
        <v>3760</v>
      </c>
      <c r="AJ12" t="s">
        <v>3761</v>
      </c>
      <c r="AK12" t="s">
        <v>3762</v>
      </c>
      <c r="AL12">
        <v>24009885138</v>
      </c>
      <c r="AM12" t="s">
        <v>4716</v>
      </c>
      <c r="AS12" t="s">
        <v>3763</v>
      </c>
      <c r="AT12" t="s">
        <v>3764</v>
      </c>
      <c r="AU12" t="s">
        <v>306</v>
      </c>
      <c r="AV12" t="s">
        <v>306</v>
      </c>
      <c r="AW12">
        <v>0</v>
      </c>
      <c r="AX12" t="s">
        <v>5078</v>
      </c>
      <c r="AY12" t="s">
        <v>3765</v>
      </c>
      <c r="AZ12" t="s">
        <v>3765</v>
      </c>
      <c r="BA12" t="s">
        <v>161</v>
      </c>
      <c r="BB12" t="s">
        <v>75</v>
      </c>
      <c r="BC12" t="s">
        <v>80</v>
      </c>
      <c r="BD12" t="s">
        <v>114</v>
      </c>
      <c r="BE12">
        <v>2023</v>
      </c>
      <c r="BF12" t="s">
        <v>75</v>
      </c>
      <c r="BG12" t="s">
        <v>80</v>
      </c>
      <c r="BH12" t="s">
        <v>114</v>
      </c>
      <c r="BI12">
        <v>2023</v>
      </c>
    </row>
    <row r="13" spans="1:82" x14ac:dyDescent="0.3">
      <c r="A13">
        <v>229</v>
      </c>
      <c r="B13" t="e">
        <v>#NUM!</v>
      </c>
      <c r="C13" t="s">
        <v>3021</v>
      </c>
      <c r="D13">
        <v>642201126</v>
      </c>
      <c r="E13">
        <v>1710007727087</v>
      </c>
      <c r="G13" t="s">
        <v>217</v>
      </c>
      <c r="H13" t="s">
        <v>217</v>
      </c>
      <c r="I13" s="305">
        <v>44565</v>
      </c>
      <c r="J13">
        <v>3</v>
      </c>
      <c r="K13">
        <v>0</v>
      </c>
      <c r="L13" t="s">
        <v>14</v>
      </c>
      <c r="M13" t="s">
        <v>187</v>
      </c>
      <c r="O13" s="305">
        <v>45657</v>
      </c>
      <c r="Q13" t="s">
        <v>139</v>
      </c>
      <c r="R13" t="s">
        <v>6863</v>
      </c>
      <c r="S13" t="s">
        <v>296</v>
      </c>
      <c r="T13" t="s">
        <v>187</v>
      </c>
      <c r="U13" t="s">
        <v>65</v>
      </c>
      <c r="V13" t="s">
        <v>65</v>
      </c>
      <c r="W13" t="s">
        <v>121</v>
      </c>
      <c r="X13" t="s">
        <v>313</v>
      </c>
      <c r="AA13" t="s">
        <v>133</v>
      </c>
      <c r="AB13" t="s">
        <v>217</v>
      </c>
      <c r="AC13" s="305">
        <v>36188</v>
      </c>
      <c r="AD13">
        <v>25</v>
      </c>
      <c r="AE13" t="s">
        <v>3022</v>
      </c>
      <c r="AF13" t="s">
        <v>3023</v>
      </c>
      <c r="AG13" t="s">
        <v>3024</v>
      </c>
      <c r="AJ13" t="s">
        <v>3025</v>
      </c>
      <c r="AK13" t="s">
        <v>3026</v>
      </c>
      <c r="AL13">
        <v>22017333562</v>
      </c>
      <c r="AM13" t="s">
        <v>4716</v>
      </c>
      <c r="AS13" t="s">
        <v>306</v>
      </c>
      <c r="AT13" t="s">
        <v>306</v>
      </c>
      <c r="AU13" t="s">
        <v>306</v>
      </c>
      <c r="AV13" t="s">
        <v>306</v>
      </c>
      <c r="AW13">
        <v>0</v>
      </c>
      <c r="AX13" t="s">
        <v>5078</v>
      </c>
      <c r="BA13" t="s">
        <v>161</v>
      </c>
      <c r="BB13" t="s">
        <v>70</v>
      </c>
      <c r="BC13" t="s">
        <v>3475</v>
      </c>
      <c r="BD13" t="s">
        <v>100</v>
      </c>
      <c r="BE13">
        <v>2020</v>
      </c>
      <c r="BF13" t="s">
        <v>70</v>
      </c>
      <c r="BG13" t="s">
        <v>3475</v>
      </c>
      <c r="BH13" t="s">
        <v>3027</v>
      </c>
      <c r="BI13">
        <v>2020</v>
      </c>
      <c r="BQ13" s="305">
        <v>44601</v>
      </c>
      <c r="CD13" t="e">
        <v>#N/A</v>
      </c>
    </row>
    <row r="14" spans="1:82" x14ac:dyDescent="0.3">
      <c r="A14">
        <v>228</v>
      </c>
      <c r="B14" t="e">
        <v>#NUM!</v>
      </c>
      <c r="C14" t="s">
        <v>3015</v>
      </c>
      <c r="D14">
        <v>642201128</v>
      </c>
      <c r="E14">
        <v>1710007727012</v>
      </c>
      <c r="G14" t="s">
        <v>217</v>
      </c>
      <c r="H14" t="s">
        <v>217</v>
      </c>
      <c r="I14" s="305">
        <v>44565</v>
      </c>
      <c r="J14">
        <v>3</v>
      </c>
      <c r="K14">
        <v>0</v>
      </c>
      <c r="L14" t="s">
        <v>14</v>
      </c>
      <c r="M14" t="s">
        <v>187</v>
      </c>
      <c r="O14" s="305">
        <v>45657</v>
      </c>
      <c r="Q14" t="s">
        <v>139</v>
      </c>
      <c r="R14" t="s">
        <v>6863</v>
      </c>
      <c r="S14" t="s">
        <v>296</v>
      </c>
      <c r="T14" t="s">
        <v>187</v>
      </c>
      <c r="U14" t="s">
        <v>1074</v>
      </c>
      <c r="V14" t="s">
        <v>104</v>
      </c>
      <c r="W14" t="s">
        <v>104</v>
      </c>
      <c r="X14" t="s">
        <v>1064</v>
      </c>
      <c r="AA14" t="s">
        <v>133</v>
      </c>
      <c r="AB14" t="s">
        <v>217</v>
      </c>
      <c r="AC14" s="305">
        <v>36297</v>
      </c>
      <c r="AD14">
        <v>25</v>
      </c>
      <c r="AE14" t="s">
        <v>3016</v>
      </c>
      <c r="AF14" t="s">
        <v>3017</v>
      </c>
      <c r="AG14" t="s">
        <v>3018</v>
      </c>
      <c r="AJ14" t="s">
        <v>3019</v>
      </c>
      <c r="AK14" t="s">
        <v>3020</v>
      </c>
      <c r="AL14">
        <v>22017333554</v>
      </c>
      <c r="AM14" t="s">
        <v>4716</v>
      </c>
      <c r="AS14" t="s">
        <v>306</v>
      </c>
      <c r="AT14" t="s">
        <v>306</v>
      </c>
      <c r="AU14" t="s">
        <v>306</v>
      </c>
      <c r="AV14" t="s">
        <v>306</v>
      </c>
      <c r="AW14">
        <v>0</v>
      </c>
      <c r="AX14" t="s">
        <v>5078</v>
      </c>
      <c r="BA14" t="s">
        <v>161</v>
      </c>
      <c r="BB14" t="s">
        <v>70</v>
      </c>
      <c r="BC14" t="s">
        <v>3014</v>
      </c>
      <c r="BD14" t="s">
        <v>72</v>
      </c>
      <c r="BE14">
        <v>2021</v>
      </c>
      <c r="BF14" t="s">
        <v>70</v>
      </c>
      <c r="BG14" t="s">
        <v>3014</v>
      </c>
      <c r="BH14" t="s">
        <v>72</v>
      </c>
      <c r="BI14">
        <v>2021</v>
      </c>
      <c r="BQ14" s="305">
        <v>44601</v>
      </c>
      <c r="CD14" t="e">
        <v>#N/A</v>
      </c>
    </row>
    <row r="15" spans="1:82" x14ac:dyDescent="0.3">
      <c r="A15">
        <v>227</v>
      </c>
      <c r="B15" t="e">
        <v>#NUM!</v>
      </c>
      <c r="C15" t="s">
        <v>3007</v>
      </c>
      <c r="D15">
        <v>642201129</v>
      </c>
      <c r="E15">
        <v>1710007726907</v>
      </c>
      <c r="G15" t="s">
        <v>217</v>
      </c>
      <c r="H15" t="s">
        <v>217</v>
      </c>
      <c r="I15" s="305">
        <v>44565</v>
      </c>
      <c r="J15">
        <v>3</v>
      </c>
      <c r="K15">
        <v>0</v>
      </c>
      <c r="L15" t="s">
        <v>14</v>
      </c>
      <c r="M15" t="s">
        <v>187</v>
      </c>
      <c r="O15" s="305">
        <v>45657</v>
      </c>
      <c r="Q15" t="s">
        <v>139</v>
      </c>
      <c r="R15" t="s">
        <v>6863</v>
      </c>
      <c r="S15" t="s">
        <v>296</v>
      </c>
      <c r="T15" t="s">
        <v>187</v>
      </c>
      <c r="U15" t="s">
        <v>3008</v>
      </c>
      <c r="V15" t="s">
        <v>107</v>
      </c>
      <c r="W15" t="s">
        <v>107</v>
      </c>
      <c r="X15" t="s">
        <v>298</v>
      </c>
      <c r="AA15" t="s">
        <v>133</v>
      </c>
      <c r="AB15" t="s">
        <v>217</v>
      </c>
      <c r="AC15" s="305">
        <v>36567</v>
      </c>
      <c r="AD15">
        <v>24</v>
      </c>
      <c r="AE15" t="s">
        <v>3009</v>
      </c>
      <c r="AF15" t="s">
        <v>3010</v>
      </c>
      <c r="AG15" t="s">
        <v>3011</v>
      </c>
      <c r="AJ15" t="s">
        <v>3012</v>
      </c>
      <c r="AK15" t="s">
        <v>3013</v>
      </c>
      <c r="AL15">
        <v>22017333588</v>
      </c>
      <c r="AM15" t="s">
        <v>4716</v>
      </c>
      <c r="AS15" t="s">
        <v>306</v>
      </c>
      <c r="AT15" t="s">
        <v>306</v>
      </c>
      <c r="AU15" t="s">
        <v>306</v>
      </c>
      <c r="AV15" t="s">
        <v>306</v>
      </c>
      <c r="AW15">
        <v>0</v>
      </c>
      <c r="AX15" t="s">
        <v>5078</v>
      </c>
      <c r="BA15" t="s">
        <v>161</v>
      </c>
      <c r="BB15" t="s">
        <v>70</v>
      </c>
      <c r="BC15" t="s">
        <v>3014</v>
      </c>
      <c r="BD15" t="s">
        <v>72</v>
      </c>
      <c r="BE15">
        <v>2021</v>
      </c>
      <c r="BF15" t="s">
        <v>70</v>
      </c>
      <c r="BG15" t="s">
        <v>3014</v>
      </c>
      <c r="BH15" t="s">
        <v>72</v>
      </c>
      <c r="BI15">
        <v>2021</v>
      </c>
      <c r="BQ15" s="305">
        <v>44950</v>
      </c>
      <c r="CD15" t="e">
        <v>#N/A</v>
      </c>
    </row>
    <row r="16" spans="1:82" x14ac:dyDescent="0.3">
      <c r="A16">
        <v>226</v>
      </c>
      <c r="B16" t="e">
        <v>#NUM!</v>
      </c>
      <c r="C16" t="s">
        <v>95</v>
      </c>
      <c r="D16">
        <v>642201127</v>
      </c>
      <c r="E16">
        <v>1710007727160</v>
      </c>
      <c r="G16" t="s">
        <v>217</v>
      </c>
      <c r="H16" t="s">
        <v>217</v>
      </c>
      <c r="I16" s="305">
        <v>44565</v>
      </c>
      <c r="J16">
        <v>3</v>
      </c>
      <c r="K16">
        <v>0</v>
      </c>
      <c r="L16" t="s">
        <v>14</v>
      </c>
      <c r="M16" t="s">
        <v>187</v>
      </c>
      <c r="O16" s="305">
        <v>45657</v>
      </c>
      <c r="Q16" t="s">
        <v>139</v>
      </c>
      <c r="R16" t="s">
        <v>6863</v>
      </c>
      <c r="S16" t="s">
        <v>296</v>
      </c>
      <c r="T16" t="s">
        <v>187</v>
      </c>
      <c r="U16" t="s">
        <v>59</v>
      </c>
      <c r="V16" t="s">
        <v>59</v>
      </c>
      <c r="W16" t="s">
        <v>59</v>
      </c>
      <c r="X16" t="s">
        <v>298</v>
      </c>
      <c r="AA16" t="s">
        <v>133</v>
      </c>
      <c r="AB16" t="s">
        <v>217</v>
      </c>
      <c r="AC16" s="305">
        <v>36447</v>
      </c>
      <c r="AD16">
        <v>25</v>
      </c>
      <c r="AE16" t="s">
        <v>2998</v>
      </c>
      <c r="AF16" t="s">
        <v>2999</v>
      </c>
      <c r="AG16" t="s">
        <v>3000</v>
      </c>
      <c r="AJ16" t="s">
        <v>3001</v>
      </c>
      <c r="AK16" t="s">
        <v>3002</v>
      </c>
      <c r="AL16">
        <v>22017333539</v>
      </c>
      <c r="AM16" t="s">
        <v>4716</v>
      </c>
      <c r="AS16" t="s">
        <v>3003</v>
      </c>
      <c r="AT16" t="s">
        <v>3004</v>
      </c>
      <c r="AU16" t="s">
        <v>306</v>
      </c>
      <c r="AV16" t="s">
        <v>306</v>
      </c>
      <c r="AW16">
        <v>0</v>
      </c>
      <c r="AX16" t="s">
        <v>5078</v>
      </c>
      <c r="AY16" t="s">
        <v>3005</v>
      </c>
      <c r="AZ16" t="s">
        <v>3006</v>
      </c>
      <c r="BA16" t="s">
        <v>161</v>
      </c>
      <c r="BB16" t="s">
        <v>70</v>
      </c>
      <c r="BC16" t="s">
        <v>96</v>
      </c>
      <c r="BD16" t="s">
        <v>72</v>
      </c>
      <c r="BE16">
        <v>2021</v>
      </c>
      <c r="BF16" t="s">
        <v>70</v>
      </c>
      <c r="BG16" t="s">
        <v>96</v>
      </c>
      <c r="BH16" t="s">
        <v>72</v>
      </c>
      <c r="BI16">
        <v>2021</v>
      </c>
      <c r="BQ16" s="305">
        <v>44611</v>
      </c>
      <c r="CD16" t="e">
        <v>#N/A</v>
      </c>
    </row>
    <row r="17" spans="1:82" x14ac:dyDescent="0.3">
      <c r="A17">
        <v>210</v>
      </c>
      <c r="B17" t="e">
        <v>#NUM!</v>
      </c>
      <c r="C17" t="s">
        <v>2826</v>
      </c>
      <c r="D17">
        <v>642101093</v>
      </c>
      <c r="E17">
        <v>1710005976744</v>
      </c>
      <c r="G17" t="s">
        <v>217</v>
      </c>
      <c r="H17" t="s">
        <v>217</v>
      </c>
      <c r="I17" s="305">
        <v>44200</v>
      </c>
      <c r="J17">
        <v>4</v>
      </c>
      <c r="K17">
        <v>0</v>
      </c>
      <c r="L17" t="s">
        <v>14</v>
      </c>
      <c r="M17" t="s">
        <v>187</v>
      </c>
      <c r="O17" s="305">
        <v>45657</v>
      </c>
      <c r="Q17" t="s">
        <v>139</v>
      </c>
      <c r="R17" t="s">
        <v>6863</v>
      </c>
      <c r="S17" t="s">
        <v>296</v>
      </c>
      <c r="T17" t="s">
        <v>187</v>
      </c>
      <c r="U17" t="s">
        <v>2827</v>
      </c>
      <c r="V17" t="s">
        <v>119</v>
      </c>
      <c r="W17" t="s">
        <v>120</v>
      </c>
      <c r="X17" t="s">
        <v>313</v>
      </c>
      <c r="AA17" t="s">
        <v>132</v>
      </c>
      <c r="AB17" t="s">
        <v>217</v>
      </c>
      <c r="AC17" s="305">
        <v>35302</v>
      </c>
      <c r="AD17">
        <v>28</v>
      </c>
      <c r="AE17" t="s">
        <v>2828</v>
      </c>
      <c r="AF17" t="s">
        <v>2829</v>
      </c>
      <c r="AG17" t="s">
        <v>2830</v>
      </c>
      <c r="AJ17" t="s">
        <v>2831</v>
      </c>
      <c r="AK17" t="s">
        <v>2832</v>
      </c>
      <c r="AL17">
        <v>19095813127</v>
      </c>
      <c r="AM17" t="s">
        <v>4733</v>
      </c>
      <c r="AS17" t="s">
        <v>306</v>
      </c>
      <c r="AT17" t="s">
        <v>306</v>
      </c>
      <c r="AU17" t="s">
        <v>306</v>
      </c>
      <c r="AV17" t="s">
        <v>306</v>
      </c>
      <c r="AW17">
        <v>0</v>
      </c>
      <c r="AX17" t="s">
        <v>5627</v>
      </c>
      <c r="AZ17" t="s">
        <v>2833</v>
      </c>
      <c r="BA17" t="s">
        <v>161</v>
      </c>
      <c r="BB17" t="s">
        <v>70</v>
      </c>
      <c r="BC17" t="s">
        <v>2834</v>
      </c>
      <c r="BD17" t="s">
        <v>72</v>
      </c>
      <c r="BE17">
        <v>2018</v>
      </c>
      <c r="BF17" t="s">
        <v>70</v>
      </c>
      <c r="BG17" t="s">
        <v>2834</v>
      </c>
      <c r="BH17" t="s">
        <v>72</v>
      </c>
      <c r="BI17">
        <v>2018</v>
      </c>
      <c r="BO17" s="305">
        <v>44294</v>
      </c>
      <c r="BP17" s="305">
        <v>44322</v>
      </c>
      <c r="BQ17" s="305">
        <v>44657</v>
      </c>
      <c r="CD17" t="e">
        <v>#N/A</v>
      </c>
    </row>
    <row r="18" spans="1:82" x14ac:dyDescent="0.3">
      <c r="A18">
        <v>209</v>
      </c>
      <c r="B18" t="e">
        <v>#NUM!</v>
      </c>
      <c r="C18" t="s">
        <v>2817</v>
      </c>
      <c r="D18">
        <v>642101097</v>
      </c>
      <c r="E18">
        <v>1710000713431</v>
      </c>
      <c r="G18" t="s">
        <v>217</v>
      </c>
      <c r="H18" t="s">
        <v>217</v>
      </c>
      <c r="I18" s="305">
        <v>44200</v>
      </c>
      <c r="J18">
        <v>4</v>
      </c>
      <c r="K18">
        <v>0</v>
      </c>
      <c r="L18" t="s">
        <v>14</v>
      </c>
      <c r="M18" t="s">
        <v>187</v>
      </c>
      <c r="O18" s="305">
        <v>45657</v>
      </c>
      <c r="Q18" t="s">
        <v>139</v>
      </c>
      <c r="R18" t="s">
        <v>6863</v>
      </c>
      <c r="S18" t="s">
        <v>296</v>
      </c>
      <c r="T18" t="s">
        <v>204</v>
      </c>
      <c r="U18" t="s">
        <v>2774</v>
      </c>
      <c r="V18" t="s">
        <v>208</v>
      </c>
      <c r="W18" t="s">
        <v>208</v>
      </c>
      <c r="X18" t="s">
        <v>313</v>
      </c>
      <c r="AA18" t="s">
        <v>133</v>
      </c>
      <c r="AB18" t="s">
        <v>217</v>
      </c>
      <c r="AC18" s="305">
        <v>34511</v>
      </c>
      <c r="AD18">
        <v>30</v>
      </c>
      <c r="AE18" t="s">
        <v>2818</v>
      </c>
      <c r="AF18" t="s">
        <v>2819</v>
      </c>
      <c r="AG18" t="s">
        <v>2820</v>
      </c>
      <c r="AJ18" t="s">
        <v>2821</v>
      </c>
      <c r="AK18" t="s">
        <v>2822</v>
      </c>
      <c r="AL18">
        <v>21008126308</v>
      </c>
      <c r="AM18" t="s">
        <v>4733</v>
      </c>
      <c r="AN18" t="s">
        <v>2823</v>
      </c>
      <c r="AS18" t="s">
        <v>306</v>
      </c>
      <c r="AT18" t="s">
        <v>306</v>
      </c>
      <c r="AU18" t="s">
        <v>306</v>
      </c>
      <c r="AV18" t="s">
        <v>306</v>
      </c>
      <c r="AW18">
        <v>0</v>
      </c>
      <c r="AX18" t="s">
        <v>5627</v>
      </c>
      <c r="AY18" t="s">
        <v>2824</v>
      </c>
      <c r="AZ18" t="s">
        <v>2824</v>
      </c>
      <c r="BA18" t="s">
        <v>161</v>
      </c>
      <c r="BB18" t="s">
        <v>349</v>
      </c>
      <c r="BC18" t="s">
        <v>851</v>
      </c>
      <c r="BD18" t="s">
        <v>2825</v>
      </c>
      <c r="BF18" t="s">
        <v>75</v>
      </c>
      <c r="BG18" t="s">
        <v>83</v>
      </c>
      <c r="BH18" t="s">
        <v>77</v>
      </c>
      <c r="BO18" t="s">
        <v>1072</v>
      </c>
      <c r="BP18" t="s">
        <v>1072</v>
      </c>
      <c r="CD18" t="e">
        <v>#N/A</v>
      </c>
    </row>
    <row r="19" spans="1:82" x14ac:dyDescent="0.3">
      <c r="A19">
        <v>191</v>
      </c>
      <c r="B19" t="e">
        <v>#NUM!</v>
      </c>
      <c r="C19" t="s">
        <v>2626</v>
      </c>
      <c r="D19">
        <v>642003087</v>
      </c>
      <c r="E19">
        <v>1440009032522</v>
      </c>
      <c r="G19" t="s">
        <v>217</v>
      </c>
      <c r="H19" t="s">
        <v>217</v>
      </c>
      <c r="I19" s="305">
        <v>43905</v>
      </c>
      <c r="J19">
        <v>4</v>
      </c>
      <c r="K19">
        <v>10</v>
      </c>
      <c r="L19" t="s">
        <v>14</v>
      </c>
      <c r="M19" t="s">
        <v>187</v>
      </c>
      <c r="O19" s="305">
        <v>45657</v>
      </c>
      <c r="Q19" t="s">
        <v>139</v>
      </c>
      <c r="R19" t="s">
        <v>6863</v>
      </c>
      <c r="S19" t="s">
        <v>296</v>
      </c>
      <c r="T19" t="s">
        <v>187</v>
      </c>
      <c r="U19" t="s">
        <v>73</v>
      </c>
      <c r="V19" t="s">
        <v>122</v>
      </c>
      <c r="W19" t="s">
        <v>122</v>
      </c>
      <c r="X19" t="s">
        <v>313</v>
      </c>
      <c r="AA19" t="s">
        <v>132</v>
      </c>
      <c r="AB19" t="s">
        <v>577</v>
      </c>
      <c r="AC19" s="305">
        <v>32788</v>
      </c>
      <c r="AD19">
        <v>35</v>
      </c>
      <c r="AE19" t="s">
        <v>2627</v>
      </c>
      <c r="AF19" t="s">
        <v>2628</v>
      </c>
      <c r="AG19" t="s">
        <v>2629</v>
      </c>
      <c r="AJ19" t="s">
        <v>2630</v>
      </c>
      <c r="AK19" t="s">
        <v>2631</v>
      </c>
      <c r="AL19">
        <v>20029482799</v>
      </c>
      <c r="AM19" t="s">
        <v>4716</v>
      </c>
      <c r="AS19" t="s">
        <v>2632</v>
      </c>
      <c r="AT19" t="s">
        <v>2633</v>
      </c>
      <c r="AU19" t="s">
        <v>306</v>
      </c>
      <c r="AV19" t="s">
        <v>306</v>
      </c>
      <c r="AW19">
        <v>0</v>
      </c>
      <c r="AX19" t="s">
        <v>5078</v>
      </c>
      <c r="AY19" t="s">
        <v>2634</v>
      </c>
      <c r="AZ19" t="s">
        <v>2634</v>
      </c>
      <c r="BA19" t="s">
        <v>161</v>
      </c>
      <c r="BB19" t="s">
        <v>75</v>
      </c>
      <c r="BC19" t="s">
        <v>2635</v>
      </c>
      <c r="BD19" t="s">
        <v>402</v>
      </c>
      <c r="BE19">
        <v>2016</v>
      </c>
      <c r="BF19" t="s">
        <v>75</v>
      </c>
      <c r="BG19" t="s">
        <v>2635</v>
      </c>
      <c r="BH19" t="s">
        <v>402</v>
      </c>
      <c r="BI19">
        <v>2016</v>
      </c>
      <c r="BN19">
        <v>41</v>
      </c>
      <c r="BO19" s="305">
        <v>44294</v>
      </c>
      <c r="BP19" s="305">
        <v>44322</v>
      </c>
      <c r="BQ19" s="305">
        <v>44672</v>
      </c>
      <c r="CD19" t="e">
        <v>#N/A</v>
      </c>
    </row>
    <row r="20" spans="1:82" x14ac:dyDescent="0.3">
      <c r="A20">
        <v>182</v>
      </c>
      <c r="B20" t="e">
        <v>#NUM!</v>
      </c>
      <c r="C20" t="s">
        <v>2530</v>
      </c>
      <c r="D20">
        <v>641907279</v>
      </c>
      <c r="E20">
        <v>1710005657096</v>
      </c>
      <c r="G20" t="s">
        <v>217</v>
      </c>
      <c r="H20" t="s">
        <v>25</v>
      </c>
      <c r="I20" s="305">
        <v>43661</v>
      </c>
      <c r="J20">
        <v>5</v>
      </c>
      <c r="K20">
        <v>6</v>
      </c>
      <c r="L20" t="s">
        <v>14</v>
      </c>
      <c r="M20" t="s">
        <v>187</v>
      </c>
      <c r="N20" t="s">
        <v>2531</v>
      </c>
      <c r="O20" s="305">
        <v>45487</v>
      </c>
      <c r="Q20" t="s">
        <v>139</v>
      </c>
      <c r="R20" t="s">
        <v>6863</v>
      </c>
      <c r="S20" t="s">
        <v>296</v>
      </c>
      <c r="T20" t="s">
        <v>187</v>
      </c>
      <c r="U20" t="s">
        <v>73</v>
      </c>
      <c r="V20" t="s">
        <v>122</v>
      </c>
      <c r="W20" t="s">
        <v>122</v>
      </c>
      <c r="X20" t="s">
        <v>313</v>
      </c>
      <c r="AA20" t="s">
        <v>132</v>
      </c>
      <c r="AB20" t="s">
        <v>25</v>
      </c>
      <c r="AC20" s="305">
        <v>32244</v>
      </c>
      <c r="AD20">
        <v>36</v>
      </c>
      <c r="AE20" t="s">
        <v>2532</v>
      </c>
      <c r="AF20" t="s">
        <v>2533</v>
      </c>
      <c r="AG20" t="s">
        <v>2534</v>
      </c>
      <c r="AJ20" t="s">
        <v>2535</v>
      </c>
      <c r="AK20" t="s">
        <v>2536</v>
      </c>
      <c r="AL20">
        <v>19063315378</v>
      </c>
      <c r="AM20" t="s">
        <v>4733</v>
      </c>
      <c r="AN20" t="s">
        <v>2537</v>
      </c>
      <c r="AO20" t="s">
        <v>2538</v>
      </c>
      <c r="AP20" t="s">
        <v>2539</v>
      </c>
      <c r="AS20" t="s">
        <v>306</v>
      </c>
      <c r="AT20" t="s">
        <v>306</v>
      </c>
      <c r="AU20" t="s">
        <v>306</v>
      </c>
      <c r="AV20" t="s">
        <v>306</v>
      </c>
      <c r="AW20">
        <v>2</v>
      </c>
      <c r="AX20" t="s">
        <v>5002</v>
      </c>
      <c r="BA20" t="s">
        <v>161</v>
      </c>
      <c r="BB20" t="s">
        <v>75</v>
      </c>
      <c r="BC20" t="s">
        <v>91</v>
      </c>
      <c r="BD20" t="s">
        <v>1842</v>
      </c>
      <c r="BE20">
        <v>2011</v>
      </c>
      <c r="BF20" t="s">
        <v>75</v>
      </c>
      <c r="BG20" t="s">
        <v>91</v>
      </c>
      <c r="BH20" t="s">
        <v>1842</v>
      </c>
      <c r="BI20">
        <v>2011</v>
      </c>
      <c r="BN20">
        <v>42</v>
      </c>
      <c r="BO20" s="305">
        <v>44293</v>
      </c>
      <c r="BP20" s="305">
        <v>44322</v>
      </c>
      <c r="BQ20" s="305">
        <v>44905</v>
      </c>
      <c r="CD20" t="e">
        <v>#N/A</v>
      </c>
    </row>
    <row r="21" spans="1:82" x14ac:dyDescent="0.3">
      <c r="A21">
        <v>89</v>
      </c>
      <c r="B21" t="e">
        <v>#NUM!</v>
      </c>
      <c r="C21" t="s">
        <v>1488</v>
      </c>
      <c r="D21">
        <v>642001034</v>
      </c>
      <c r="E21">
        <v>1710004040872</v>
      </c>
      <c r="G21" t="s">
        <v>217</v>
      </c>
      <c r="H21" t="s">
        <v>311</v>
      </c>
      <c r="I21" s="305">
        <v>42919</v>
      </c>
      <c r="J21">
        <v>7</v>
      </c>
      <c r="K21">
        <v>6</v>
      </c>
      <c r="L21" t="s">
        <v>14</v>
      </c>
      <c r="M21" t="s">
        <v>187</v>
      </c>
      <c r="N21" t="s">
        <v>1489</v>
      </c>
      <c r="O21" s="305">
        <v>45657</v>
      </c>
      <c r="Q21" t="s">
        <v>139</v>
      </c>
      <c r="R21" t="s">
        <v>6863</v>
      </c>
      <c r="S21" t="s">
        <v>296</v>
      </c>
      <c r="T21" t="s">
        <v>187</v>
      </c>
      <c r="U21" t="s">
        <v>65</v>
      </c>
      <c r="V21" t="s">
        <v>65</v>
      </c>
      <c r="W21" t="s">
        <v>121</v>
      </c>
      <c r="X21" t="s">
        <v>313</v>
      </c>
      <c r="AA21" t="s">
        <v>132</v>
      </c>
      <c r="AB21" t="s">
        <v>1490</v>
      </c>
      <c r="AC21" s="305">
        <v>34574</v>
      </c>
      <c r="AD21">
        <v>30</v>
      </c>
      <c r="AE21" t="s">
        <v>1491</v>
      </c>
      <c r="AF21" t="s">
        <v>1492</v>
      </c>
      <c r="AG21" t="s">
        <v>1493</v>
      </c>
      <c r="AJ21" t="s">
        <v>1494</v>
      </c>
      <c r="AK21" t="s">
        <v>1495</v>
      </c>
      <c r="AL21">
        <v>17043907868</v>
      </c>
      <c r="AM21" t="s">
        <v>4733</v>
      </c>
      <c r="AN21" t="s">
        <v>1496</v>
      </c>
      <c r="AS21" t="s">
        <v>1497</v>
      </c>
      <c r="AT21" t="s">
        <v>1498</v>
      </c>
      <c r="AU21" t="s">
        <v>1499</v>
      </c>
      <c r="AV21" t="s">
        <v>1500</v>
      </c>
      <c r="AW21">
        <v>0</v>
      </c>
      <c r="AX21" t="s">
        <v>5627</v>
      </c>
      <c r="AY21" t="s">
        <v>1501</v>
      </c>
      <c r="AZ21" t="s">
        <v>1501</v>
      </c>
      <c r="BA21" t="s">
        <v>161</v>
      </c>
      <c r="BB21" t="s">
        <v>70</v>
      </c>
      <c r="BC21" t="s">
        <v>87</v>
      </c>
      <c r="BD21" t="s">
        <v>402</v>
      </c>
      <c r="BE21">
        <v>2016</v>
      </c>
      <c r="BF21" t="s">
        <v>70</v>
      </c>
      <c r="BG21" t="s">
        <v>87</v>
      </c>
      <c r="BH21" t="s">
        <v>402</v>
      </c>
      <c r="BI21">
        <v>2016</v>
      </c>
      <c r="BL21" t="s">
        <v>351</v>
      </c>
      <c r="BM21">
        <v>38</v>
      </c>
      <c r="BN21">
        <v>42</v>
      </c>
      <c r="BO21" s="305">
        <v>44294</v>
      </c>
      <c r="BP21" s="305">
        <v>44322</v>
      </c>
      <c r="BQ21" s="305">
        <v>44601</v>
      </c>
      <c r="CD21" t="e">
        <v>#N/A</v>
      </c>
    </row>
    <row r="22" spans="1:82" x14ac:dyDescent="0.3">
      <c r="A22">
        <v>422</v>
      </c>
      <c r="B22">
        <v>318</v>
      </c>
      <c r="C22" t="s">
        <v>6740</v>
      </c>
      <c r="D22">
        <v>642412239</v>
      </c>
      <c r="G22" t="s">
        <v>217</v>
      </c>
      <c r="H22" t="s">
        <v>217</v>
      </c>
      <c r="I22" s="305">
        <v>45628</v>
      </c>
      <c r="J22">
        <v>0</v>
      </c>
      <c r="K22">
        <v>0</v>
      </c>
      <c r="L22" t="s">
        <v>14</v>
      </c>
      <c r="M22" t="s">
        <v>187</v>
      </c>
      <c r="O22" s="305">
        <v>45992</v>
      </c>
      <c r="Q22" t="s">
        <v>206</v>
      </c>
      <c r="R22" t="s">
        <v>6863</v>
      </c>
      <c r="S22" t="s">
        <v>296</v>
      </c>
      <c r="T22" t="s">
        <v>187</v>
      </c>
      <c r="U22" t="s">
        <v>6784</v>
      </c>
      <c r="V22" t="s">
        <v>6784</v>
      </c>
      <c r="W22" t="s">
        <v>104</v>
      </c>
      <c r="X22" t="s">
        <v>1064</v>
      </c>
      <c r="AA22" t="s">
        <v>133</v>
      </c>
      <c r="AB22" t="s">
        <v>311</v>
      </c>
      <c r="AC22" s="305">
        <v>31160</v>
      </c>
      <c r="AD22">
        <v>39</v>
      </c>
      <c r="AE22" t="s">
        <v>6741</v>
      </c>
      <c r="AF22" t="s">
        <v>6742</v>
      </c>
      <c r="AG22" t="s">
        <v>6743</v>
      </c>
      <c r="AI22" t="s">
        <v>6743</v>
      </c>
      <c r="AJ22" t="s">
        <v>6744</v>
      </c>
      <c r="AK22" t="s">
        <v>6747</v>
      </c>
      <c r="AL22" t="s">
        <v>6748</v>
      </c>
      <c r="AM22" t="s">
        <v>6821</v>
      </c>
      <c r="AW22">
        <v>0</v>
      </c>
      <c r="AX22" t="s">
        <v>5078</v>
      </c>
      <c r="BA22" t="s">
        <v>161</v>
      </c>
      <c r="BB22" t="s">
        <v>75</v>
      </c>
      <c r="BC22" t="s">
        <v>6745</v>
      </c>
      <c r="BD22" t="s">
        <v>6746</v>
      </c>
      <c r="BE22">
        <v>2010</v>
      </c>
      <c r="BF22" t="s">
        <v>75</v>
      </c>
      <c r="BG22" t="s">
        <v>6745</v>
      </c>
      <c r="BH22" t="s">
        <v>6746</v>
      </c>
      <c r="BI22">
        <v>2010</v>
      </c>
    </row>
    <row r="23" spans="1:82" x14ac:dyDescent="0.3">
      <c r="A23">
        <v>421</v>
      </c>
      <c r="B23" t="e">
        <v>#NUM!</v>
      </c>
      <c r="C23" t="s">
        <v>370</v>
      </c>
      <c r="D23">
        <v>642409238</v>
      </c>
      <c r="E23" t="s">
        <v>371</v>
      </c>
      <c r="G23" t="s">
        <v>217</v>
      </c>
      <c r="H23" t="s">
        <v>217</v>
      </c>
      <c r="I23" s="305">
        <v>45598</v>
      </c>
      <c r="J23">
        <v>0</v>
      </c>
      <c r="K23">
        <v>0</v>
      </c>
      <c r="L23" t="s">
        <v>14</v>
      </c>
      <c r="M23" t="s">
        <v>187</v>
      </c>
      <c r="O23" s="305">
        <v>45657</v>
      </c>
      <c r="Q23" t="s">
        <v>206</v>
      </c>
      <c r="R23" t="s">
        <v>6863</v>
      </c>
      <c r="S23" t="s">
        <v>312</v>
      </c>
      <c r="W23" t="s">
        <v>121</v>
      </c>
      <c r="X23" t="s">
        <v>313</v>
      </c>
      <c r="AA23" t="s">
        <v>132</v>
      </c>
      <c r="AB23" t="s">
        <v>372</v>
      </c>
      <c r="AC23" s="305">
        <v>36264</v>
      </c>
      <c r="AD23">
        <v>25</v>
      </c>
      <c r="AE23" t="s">
        <v>373</v>
      </c>
      <c r="AF23" t="s">
        <v>374</v>
      </c>
      <c r="AG23" t="s">
        <v>375</v>
      </c>
      <c r="AH23" t="s">
        <v>376</v>
      </c>
      <c r="AI23" t="s">
        <v>337</v>
      </c>
      <c r="AJ23" t="s">
        <v>377</v>
      </c>
      <c r="AK23" t="s">
        <v>378</v>
      </c>
      <c r="AL23" t="s">
        <v>6726</v>
      </c>
      <c r="AM23" t="s">
        <v>4733</v>
      </c>
      <c r="AN23" t="s">
        <v>6772</v>
      </c>
      <c r="AO23" t="s">
        <v>6773</v>
      </c>
      <c r="AS23" t="s">
        <v>6774</v>
      </c>
      <c r="AT23" t="s">
        <v>6775</v>
      </c>
      <c r="AU23" t="s">
        <v>6776</v>
      </c>
      <c r="AV23" t="s">
        <v>6777</v>
      </c>
      <c r="AW23">
        <v>1</v>
      </c>
      <c r="AX23" t="s">
        <v>5637</v>
      </c>
      <c r="BA23" t="s">
        <v>161</v>
      </c>
      <c r="BB23" t="s">
        <v>70</v>
      </c>
      <c r="BC23" t="s">
        <v>3527</v>
      </c>
      <c r="BD23" t="s">
        <v>379</v>
      </c>
      <c r="BE23">
        <v>2020</v>
      </c>
      <c r="BF23" t="s">
        <v>70</v>
      </c>
      <c r="BG23" t="s">
        <v>3527</v>
      </c>
      <c r="BH23" t="s">
        <v>379</v>
      </c>
      <c r="BI23">
        <v>2020</v>
      </c>
      <c r="BL23" t="s">
        <v>351</v>
      </c>
      <c r="BM23" t="s">
        <v>351</v>
      </c>
      <c r="BN23">
        <v>42</v>
      </c>
    </row>
    <row r="24" spans="1:82" x14ac:dyDescent="0.3">
      <c r="A24">
        <v>420</v>
      </c>
      <c r="B24" t="e">
        <v>#NUM!</v>
      </c>
      <c r="C24" t="s">
        <v>361</v>
      </c>
      <c r="D24">
        <v>642409236</v>
      </c>
      <c r="E24" t="s">
        <v>362</v>
      </c>
      <c r="G24" t="s">
        <v>217</v>
      </c>
      <c r="H24" t="s">
        <v>217</v>
      </c>
      <c r="I24" s="305">
        <v>45598</v>
      </c>
      <c r="J24">
        <v>0</v>
      </c>
      <c r="K24">
        <v>0</v>
      </c>
      <c r="L24" t="s">
        <v>14</v>
      </c>
      <c r="M24" t="s">
        <v>187</v>
      </c>
      <c r="O24" s="305">
        <v>45657</v>
      </c>
      <c r="Q24" t="s">
        <v>206</v>
      </c>
      <c r="R24" t="s">
        <v>6863</v>
      </c>
      <c r="S24" t="s">
        <v>312</v>
      </c>
      <c r="W24" t="s">
        <v>121</v>
      </c>
      <c r="X24" t="s">
        <v>313</v>
      </c>
      <c r="AA24" t="s">
        <v>132</v>
      </c>
      <c r="AB24" t="s">
        <v>217</v>
      </c>
      <c r="AC24" s="305">
        <v>37374</v>
      </c>
      <c r="AD24">
        <v>22</v>
      </c>
      <c r="AE24" t="s">
        <v>363</v>
      </c>
      <c r="AF24" t="s">
        <v>364</v>
      </c>
      <c r="AG24" t="s">
        <v>365</v>
      </c>
      <c r="AH24" t="s">
        <v>365</v>
      </c>
      <c r="AI24" t="s">
        <v>365</v>
      </c>
      <c r="AJ24" t="s">
        <v>366</v>
      </c>
      <c r="AK24" t="s">
        <v>367</v>
      </c>
      <c r="AL24" t="s">
        <v>6727</v>
      </c>
      <c r="AM24" t="s">
        <v>4716</v>
      </c>
      <c r="AS24" t="s">
        <v>6770</v>
      </c>
      <c r="AT24" t="s">
        <v>6771</v>
      </c>
      <c r="AW24">
        <v>0</v>
      </c>
      <c r="AX24" t="s">
        <v>5078</v>
      </c>
      <c r="BA24" t="s">
        <v>161</v>
      </c>
      <c r="BB24" t="s">
        <v>156</v>
      </c>
      <c r="BC24" t="s">
        <v>3884</v>
      </c>
      <c r="BD24" t="s">
        <v>368</v>
      </c>
      <c r="BE24">
        <v>2024</v>
      </c>
      <c r="BF24" t="s">
        <v>156</v>
      </c>
      <c r="BG24" t="s">
        <v>3884</v>
      </c>
      <c r="BH24" t="s">
        <v>368</v>
      </c>
      <c r="BI24">
        <v>2024</v>
      </c>
      <c r="BL24" t="s">
        <v>339</v>
      </c>
      <c r="BM24" t="s">
        <v>369</v>
      </c>
      <c r="BN24">
        <v>44</v>
      </c>
    </row>
    <row r="25" spans="1:82" x14ac:dyDescent="0.3">
      <c r="A25">
        <v>419</v>
      </c>
      <c r="B25" t="e">
        <v>#NUM!</v>
      </c>
      <c r="C25" t="s">
        <v>4688</v>
      </c>
      <c r="D25">
        <v>642409235</v>
      </c>
      <c r="E25" t="s">
        <v>4689</v>
      </c>
      <c r="G25" t="s">
        <v>217</v>
      </c>
      <c r="H25" t="s">
        <v>32</v>
      </c>
      <c r="I25" s="305">
        <v>45598</v>
      </c>
      <c r="J25">
        <v>0</v>
      </c>
      <c r="K25">
        <v>0</v>
      </c>
      <c r="L25" t="s">
        <v>14</v>
      </c>
      <c r="M25" t="s">
        <v>187</v>
      </c>
      <c r="O25" s="305">
        <v>45657</v>
      </c>
      <c r="Q25" t="s">
        <v>206</v>
      </c>
      <c r="R25" t="s">
        <v>6863</v>
      </c>
      <c r="S25" t="s">
        <v>312</v>
      </c>
      <c r="W25" t="s">
        <v>121</v>
      </c>
      <c r="X25" t="s">
        <v>313</v>
      </c>
      <c r="AA25" t="s">
        <v>132</v>
      </c>
      <c r="AB25" t="s">
        <v>32</v>
      </c>
      <c r="AC25" s="305">
        <v>37315</v>
      </c>
      <c r="AD25">
        <v>22</v>
      </c>
      <c r="AE25" t="s">
        <v>4690</v>
      </c>
      <c r="AF25" t="s">
        <v>4691</v>
      </c>
      <c r="AG25" t="s">
        <v>4692</v>
      </c>
      <c r="AH25" t="s">
        <v>4693</v>
      </c>
      <c r="AI25" t="s">
        <v>4693</v>
      </c>
      <c r="AJ25" t="s">
        <v>4694</v>
      </c>
      <c r="AK25" t="s">
        <v>4695</v>
      </c>
      <c r="AL25" t="s">
        <v>6728</v>
      </c>
      <c r="AM25" t="s">
        <v>4716</v>
      </c>
      <c r="AS25" t="s">
        <v>4696</v>
      </c>
      <c r="AT25" t="s">
        <v>1840</v>
      </c>
      <c r="AW25">
        <v>0</v>
      </c>
      <c r="AX25" t="s">
        <v>5078</v>
      </c>
      <c r="BA25" t="s">
        <v>161</v>
      </c>
      <c r="BB25" t="s">
        <v>70</v>
      </c>
      <c r="BC25" t="s">
        <v>99</v>
      </c>
      <c r="BD25" t="s">
        <v>100</v>
      </c>
      <c r="BE25">
        <v>2024</v>
      </c>
      <c r="BF25" t="s">
        <v>70</v>
      </c>
      <c r="BG25" t="s">
        <v>99</v>
      </c>
      <c r="BH25" t="s">
        <v>100</v>
      </c>
      <c r="BI25">
        <v>2024</v>
      </c>
      <c r="BL25" t="s">
        <v>360</v>
      </c>
      <c r="BM25" t="s">
        <v>360</v>
      </c>
      <c r="BN25">
        <v>41</v>
      </c>
    </row>
    <row r="26" spans="1:82" x14ac:dyDescent="0.3">
      <c r="A26">
        <v>418</v>
      </c>
      <c r="B26" t="e">
        <v>#NUM!</v>
      </c>
      <c r="C26" t="s">
        <v>352</v>
      </c>
      <c r="D26">
        <v>642409234</v>
      </c>
      <c r="E26" t="s">
        <v>353</v>
      </c>
      <c r="G26" t="s">
        <v>217</v>
      </c>
      <c r="H26" t="s">
        <v>217</v>
      </c>
      <c r="I26" s="305">
        <v>45598</v>
      </c>
      <c r="J26">
        <v>0</v>
      </c>
      <c r="K26">
        <v>0</v>
      </c>
      <c r="L26" t="s">
        <v>14</v>
      </c>
      <c r="M26" t="s">
        <v>187</v>
      </c>
      <c r="O26" s="305">
        <v>45657</v>
      </c>
      <c r="Q26" t="s">
        <v>206</v>
      </c>
      <c r="R26" t="s">
        <v>6863</v>
      </c>
      <c r="S26" t="s">
        <v>312</v>
      </c>
      <c r="W26" t="s">
        <v>121</v>
      </c>
      <c r="X26" t="s">
        <v>313</v>
      </c>
      <c r="AA26" t="s">
        <v>133</v>
      </c>
      <c r="AB26" t="s">
        <v>217</v>
      </c>
      <c r="AC26" s="305">
        <v>37116</v>
      </c>
      <c r="AD26">
        <v>23</v>
      </c>
      <c r="AE26" t="s">
        <v>354</v>
      </c>
      <c r="AF26" t="s">
        <v>355</v>
      </c>
      <c r="AG26" t="s">
        <v>356</v>
      </c>
      <c r="AH26" t="s">
        <v>356</v>
      </c>
      <c r="AI26" t="s">
        <v>356</v>
      </c>
      <c r="AJ26" t="s">
        <v>357</v>
      </c>
      <c r="AK26" t="s">
        <v>358</v>
      </c>
      <c r="AL26" t="s">
        <v>6729</v>
      </c>
      <c r="AM26" t="s">
        <v>4716</v>
      </c>
      <c r="AS26" t="s">
        <v>6768</v>
      </c>
      <c r="AT26" t="s">
        <v>6769</v>
      </c>
      <c r="AW26">
        <v>0</v>
      </c>
      <c r="AX26" t="s">
        <v>5078</v>
      </c>
      <c r="BA26" t="s">
        <v>359</v>
      </c>
      <c r="BB26" t="s">
        <v>156</v>
      </c>
      <c r="BC26" t="s">
        <v>3884</v>
      </c>
      <c r="BD26" t="s">
        <v>72</v>
      </c>
      <c r="BE26">
        <v>2023</v>
      </c>
      <c r="BF26" t="s">
        <v>156</v>
      </c>
      <c r="BG26" t="s">
        <v>3884</v>
      </c>
      <c r="BH26" t="s">
        <v>72</v>
      </c>
      <c r="BI26">
        <v>2023</v>
      </c>
      <c r="BL26" t="s">
        <v>360</v>
      </c>
      <c r="BM26" t="s">
        <v>351</v>
      </c>
      <c r="BN26">
        <v>39</v>
      </c>
    </row>
    <row r="27" spans="1:82" x14ac:dyDescent="0.3">
      <c r="A27">
        <v>380</v>
      </c>
      <c r="B27" t="e">
        <v>#NUM!</v>
      </c>
      <c r="C27" t="s">
        <v>4293</v>
      </c>
      <c r="D27">
        <v>642402194</v>
      </c>
      <c r="G27" t="s">
        <v>217</v>
      </c>
      <c r="H27" t="s">
        <v>217</v>
      </c>
      <c r="I27" s="305">
        <v>45413</v>
      </c>
      <c r="J27">
        <v>0</v>
      </c>
      <c r="K27">
        <v>8</v>
      </c>
      <c r="L27" t="s">
        <v>14</v>
      </c>
      <c r="M27" t="s">
        <v>187</v>
      </c>
      <c r="O27" s="305">
        <v>45658</v>
      </c>
      <c r="Q27" t="s">
        <v>142</v>
      </c>
      <c r="R27" t="s">
        <v>6860</v>
      </c>
      <c r="S27" t="s">
        <v>296</v>
      </c>
      <c r="T27" t="s">
        <v>187</v>
      </c>
      <c r="U27" t="s">
        <v>209</v>
      </c>
      <c r="V27" t="s">
        <v>209</v>
      </c>
      <c r="W27" t="s">
        <v>209</v>
      </c>
      <c r="X27" t="s">
        <v>298</v>
      </c>
      <c r="AA27" t="s">
        <v>132</v>
      </c>
      <c r="AB27" t="s">
        <v>217</v>
      </c>
      <c r="AC27" s="305">
        <v>24664</v>
      </c>
      <c r="AD27">
        <v>57</v>
      </c>
      <c r="AE27" t="s">
        <v>4294</v>
      </c>
      <c r="AF27" t="s">
        <v>4295</v>
      </c>
      <c r="AG27" t="s">
        <v>4296</v>
      </c>
      <c r="AJ27" t="s">
        <v>4297</v>
      </c>
      <c r="AK27" t="s">
        <v>4298</v>
      </c>
      <c r="AL27">
        <v>24049876485</v>
      </c>
      <c r="AM27" t="s">
        <v>4733</v>
      </c>
      <c r="AS27" t="s">
        <v>306</v>
      </c>
      <c r="AT27" t="s">
        <v>306</v>
      </c>
      <c r="AU27" t="s">
        <v>306</v>
      </c>
      <c r="AV27" t="s">
        <v>306</v>
      </c>
      <c r="AW27">
        <v>0</v>
      </c>
      <c r="AX27" t="s">
        <v>5627</v>
      </c>
      <c r="BA27" t="s">
        <v>161</v>
      </c>
      <c r="BB27" t="s">
        <v>75</v>
      </c>
      <c r="BD27" t="s">
        <v>6844</v>
      </c>
      <c r="BF27" t="s">
        <v>75</v>
      </c>
    </row>
    <row r="28" spans="1:82" x14ac:dyDescent="0.3">
      <c r="A28">
        <v>417</v>
      </c>
      <c r="B28" t="e">
        <v>#NUM!</v>
      </c>
      <c r="C28" t="s">
        <v>340</v>
      </c>
      <c r="D28">
        <v>642409233</v>
      </c>
      <c r="E28" t="s">
        <v>341</v>
      </c>
      <c r="G28" t="s">
        <v>217</v>
      </c>
      <c r="H28" t="s">
        <v>217</v>
      </c>
      <c r="I28" s="305">
        <v>45598</v>
      </c>
      <c r="J28">
        <v>0</v>
      </c>
      <c r="K28">
        <v>0</v>
      </c>
      <c r="L28" t="s">
        <v>14</v>
      </c>
      <c r="M28" t="s">
        <v>187</v>
      </c>
      <c r="O28" s="305">
        <v>45657</v>
      </c>
      <c r="Q28" t="s">
        <v>206</v>
      </c>
      <c r="R28" t="s">
        <v>6863</v>
      </c>
      <c r="S28" t="s">
        <v>312</v>
      </c>
      <c r="W28" t="s">
        <v>121</v>
      </c>
      <c r="X28" t="s">
        <v>313</v>
      </c>
      <c r="AA28" t="s">
        <v>132</v>
      </c>
      <c r="AB28" t="s">
        <v>342</v>
      </c>
      <c r="AC28" s="305">
        <v>36051</v>
      </c>
      <c r="AD28">
        <v>26</v>
      </c>
      <c r="AE28" t="s">
        <v>343</v>
      </c>
      <c r="AF28" t="s">
        <v>344</v>
      </c>
      <c r="AG28" t="s">
        <v>345</v>
      </c>
      <c r="AH28" t="s">
        <v>346</v>
      </c>
      <c r="AI28" t="s">
        <v>346</v>
      </c>
      <c r="AJ28" t="s">
        <v>347</v>
      </c>
      <c r="AK28" t="s">
        <v>348</v>
      </c>
      <c r="AL28" t="s">
        <v>6730</v>
      </c>
      <c r="AM28" t="s">
        <v>4716</v>
      </c>
      <c r="AT28" t="s">
        <v>6767</v>
      </c>
      <c r="AW28">
        <v>0</v>
      </c>
      <c r="AX28" t="s">
        <v>5078</v>
      </c>
      <c r="BA28" t="s">
        <v>161</v>
      </c>
      <c r="BB28" t="s">
        <v>349</v>
      </c>
      <c r="BC28" t="s">
        <v>4010</v>
      </c>
      <c r="BD28" t="s">
        <v>350</v>
      </c>
      <c r="BE28">
        <v>2016</v>
      </c>
      <c r="BF28" t="s">
        <v>349</v>
      </c>
      <c r="BG28" t="s">
        <v>4010</v>
      </c>
      <c r="BH28" t="s">
        <v>350</v>
      </c>
      <c r="BI28">
        <v>2016</v>
      </c>
      <c r="BL28" t="s">
        <v>351</v>
      </c>
      <c r="BM28" t="s">
        <v>351</v>
      </c>
      <c r="BN28">
        <v>41</v>
      </c>
    </row>
    <row r="29" spans="1:82" x14ac:dyDescent="0.3">
      <c r="A29">
        <v>416</v>
      </c>
      <c r="B29" t="e">
        <v>#NUM!</v>
      </c>
      <c r="C29" t="s">
        <v>4678</v>
      </c>
      <c r="D29">
        <v>642409232</v>
      </c>
      <c r="E29" t="s">
        <v>4679</v>
      </c>
      <c r="G29" t="s">
        <v>217</v>
      </c>
      <c r="H29" t="s">
        <v>1533</v>
      </c>
      <c r="I29" s="305">
        <v>45598</v>
      </c>
      <c r="J29">
        <v>0</v>
      </c>
      <c r="K29">
        <v>0</v>
      </c>
      <c r="L29" t="s">
        <v>14</v>
      </c>
      <c r="M29" t="s">
        <v>187</v>
      </c>
      <c r="O29" s="305">
        <v>45657</v>
      </c>
      <c r="Q29" t="s">
        <v>206</v>
      </c>
      <c r="R29" t="s">
        <v>6863</v>
      </c>
      <c r="S29" t="s">
        <v>312</v>
      </c>
      <c r="W29" t="s">
        <v>121</v>
      </c>
      <c r="X29" t="s">
        <v>313</v>
      </c>
      <c r="AA29" t="s">
        <v>132</v>
      </c>
      <c r="AB29" t="s">
        <v>4680</v>
      </c>
      <c r="AC29" s="305">
        <v>37167</v>
      </c>
      <c r="AD29">
        <v>23</v>
      </c>
      <c r="AE29" t="s">
        <v>4681</v>
      </c>
      <c r="AF29" t="s">
        <v>4682</v>
      </c>
      <c r="AG29" t="s">
        <v>4683</v>
      </c>
      <c r="AH29" t="s">
        <v>4683</v>
      </c>
      <c r="AI29" t="s">
        <v>4683</v>
      </c>
      <c r="AJ29" t="s">
        <v>4684</v>
      </c>
      <c r="AK29" t="s">
        <v>4685</v>
      </c>
      <c r="AL29" t="s">
        <v>6731</v>
      </c>
      <c r="AM29" t="s">
        <v>4716</v>
      </c>
      <c r="AS29" t="s">
        <v>6765</v>
      </c>
      <c r="AT29" t="s">
        <v>6766</v>
      </c>
      <c r="AW29">
        <v>0</v>
      </c>
      <c r="AX29" t="s">
        <v>5078</v>
      </c>
      <c r="AZ29" t="s">
        <v>4686</v>
      </c>
      <c r="BA29" t="s">
        <v>161</v>
      </c>
      <c r="BB29" t="s">
        <v>70</v>
      </c>
      <c r="BC29" t="s">
        <v>4687</v>
      </c>
      <c r="BD29" t="s">
        <v>100</v>
      </c>
      <c r="BE29">
        <v>2024</v>
      </c>
      <c r="BF29" t="s">
        <v>70</v>
      </c>
      <c r="BG29" t="s">
        <v>4687</v>
      </c>
      <c r="BH29" t="s">
        <v>100</v>
      </c>
      <c r="BI29">
        <v>2024</v>
      </c>
      <c r="BL29" t="s">
        <v>351</v>
      </c>
      <c r="BM29" t="s">
        <v>351</v>
      </c>
      <c r="BN29">
        <v>41</v>
      </c>
    </row>
    <row r="30" spans="1:82" x14ac:dyDescent="0.3">
      <c r="A30">
        <v>415</v>
      </c>
      <c r="B30" t="e">
        <v>#NUM!</v>
      </c>
      <c r="C30" t="s">
        <v>330</v>
      </c>
      <c r="D30">
        <v>642409231</v>
      </c>
      <c r="E30" t="s">
        <v>331</v>
      </c>
      <c r="G30" t="s">
        <v>217</v>
      </c>
      <c r="H30" t="s">
        <v>217</v>
      </c>
      <c r="I30" s="305">
        <v>45598</v>
      </c>
      <c r="J30">
        <v>0</v>
      </c>
      <c r="K30">
        <v>0</v>
      </c>
      <c r="L30" t="s">
        <v>14</v>
      </c>
      <c r="M30" t="s">
        <v>187</v>
      </c>
      <c r="O30" s="305">
        <v>45657</v>
      </c>
      <c r="Q30" t="s">
        <v>206</v>
      </c>
      <c r="R30" t="s">
        <v>6863</v>
      </c>
      <c r="S30" t="s">
        <v>312</v>
      </c>
      <c r="W30" t="s">
        <v>121</v>
      </c>
      <c r="X30" t="s">
        <v>313</v>
      </c>
      <c r="AA30" t="s">
        <v>132</v>
      </c>
      <c r="AB30" t="s">
        <v>217</v>
      </c>
      <c r="AC30" s="305">
        <v>36998</v>
      </c>
      <c r="AD30">
        <v>23</v>
      </c>
      <c r="AE30" t="s">
        <v>332</v>
      </c>
      <c r="AF30" t="s">
        <v>333</v>
      </c>
      <c r="AG30" t="s">
        <v>334</v>
      </c>
      <c r="AH30" t="s">
        <v>334</v>
      </c>
      <c r="AI30" t="s">
        <v>334</v>
      </c>
      <c r="AJ30" t="s">
        <v>335</v>
      </c>
      <c r="AK30" t="s">
        <v>336</v>
      </c>
      <c r="AL30" t="s">
        <v>6732</v>
      </c>
      <c r="AM30" t="s">
        <v>4716</v>
      </c>
      <c r="AS30" t="s">
        <v>6763</v>
      </c>
      <c r="AT30" t="s">
        <v>6764</v>
      </c>
      <c r="AW30">
        <v>0</v>
      </c>
      <c r="AX30" t="s">
        <v>5078</v>
      </c>
      <c r="AZ30" t="s">
        <v>337</v>
      </c>
      <c r="BA30" t="s">
        <v>161</v>
      </c>
      <c r="BB30" t="s">
        <v>75</v>
      </c>
      <c r="BC30" t="s">
        <v>91</v>
      </c>
      <c r="BD30" t="s">
        <v>4064</v>
      </c>
      <c r="BE30">
        <v>2024</v>
      </c>
      <c r="BF30" t="s">
        <v>75</v>
      </c>
      <c r="BG30" t="s">
        <v>91</v>
      </c>
      <c r="BH30" t="s">
        <v>4064</v>
      </c>
      <c r="BI30">
        <v>2024</v>
      </c>
      <c r="BL30" t="s">
        <v>339</v>
      </c>
      <c r="BM30" t="s">
        <v>339</v>
      </c>
      <c r="BN30">
        <v>43</v>
      </c>
    </row>
    <row r="31" spans="1:82" x14ac:dyDescent="0.3">
      <c r="A31">
        <v>414</v>
      </c>
      <c r="B31" t="e">
        <v>#NUM!</v>
      </c>
      <c r="C31" t="s">
        <v>4670</v>
      </c>
      <c r="D31">
        <v>642409230</v>
      </c>
      <c r="E31" t="s">
        <v>4671</v>
      </c>
      <c r="G31" t="s">
        <v>217</v>
      </c>
      <c r="H31" t="s">
        <v>311</v>
      </c>
      <c r="I31" s="305">
        <v>45598</v>
      </c>
      <c r="J31">
        <v>0</v>
      </c>
      <c r="K31">
        <v>0</v>
      </c>
      <c r="L31" t="s">
        <v>14</v>
      </c>
      <c r="M31" t="s">
        <v>187</v>
      </c>
      <c r="O31" s="305">
        <v>45657</v>
      </c>
      <c r="Q31" t="s">
        <v>206</v>
      </c>
      <c r="R31" t="s">
        <v>6863</v>
      </c>
      <c r="S31" t="s">
        <v>312</v>
      </c>
      <c r="W31" t="s">
        <v>121</v>
      </c>
      <c r="X31" t="s">
        <v>313</v>
      </c>
      <c r="AA31" t="s">
        <v>132</v>
      </c>
      <c r="AB31" t="s">
        <v>311</v>
      </c>
      <c r="AC31" s="305">
        <v>36632</v>
      </c>
      <c r="AD31">
        <v>24</v>
      </c>
      <c r="AE31" t="s">
        <v>4672</v>
      </c>
      <c r="AF31" t="s">
        <v>4673</v>
      </c>
      <c r="AG31" t="s">
        <v>4674</v>
      </c>
      <c r="AH31" t="s">
        <v>4674</v>
      </c>
      <c r="AI31" t="s">
        <v>4674</v>
      </c>
      <c r="AJ31" t="s">
        <v>4675</v>
      </c>
      <c r="AK31" t="s">
        <v>4676</v>
      </c>
      <c r="AL31" t="s">
        <v>6733</v>
      </c>
      <c r="AM31" t="s">
        <v>4716</v>
      </c>
      <c r="AS31" t="s">
        <v>4677</v>
      </c>
      <c r="AT31" t="s">
        <v>3214</v>
      </c>
      <c r="AW31">
        <v>0</v>
      </c>
      <c r="AX31" t="s">
        <v>5078</v>
      </c>
      <c r="BA31" t="s">
        <v>161</v>
      </c>
      <c r="BB31" t="s">
        <v>156</v>
      </c>
      <c r="BC31" t="s">
        <v>3884</v>
      </c>
      <c r="BD31" t="s">
        <v>72</v>
      </c>
      <c r="BE31">
        <v>2022</v>
      </c>
      <c r="BF31" t="s">
        <v>156</v>
      </c>
      <c r="BG31" t="s">
        <v>3884</v>
      </c>
      <c r="BH31" t="s">
        <v>72</v>
      </c>
      <c r="BI31">
        <v>2022</v>
      </c>
      <c r="BL31" t="s">
        <v>360</v>
      </c>
      <c r="BM31" t="s">
        <v>360</v>
      </c>
      <c r="BN31">
        <v>39</v>
      </c>
    </row>
    <row r="32" spans="1:82" x14ac:dyDescent="0.3">
      <c r="A32">
        <v>413</v>
      </c>
      <c r="B32" t="e">
        <v>#NUM!</v>
      </c>
      <c r="C32" t="s">
        <v>4663</v>
      </c>
      <c r="D32">
        <v>642409229</v>
      </c>
      <c r="E32" t="s">
        <v>4664</v>
      </c>
      <c r="G32" t="s">
        <v>217</v>
      </c>
      <c r="H32" t="s">
        <v>217</v>
      </c>
      <c r="I32" s="305">
        <v>45598</v>
      </c>
      <c r="J32">
        <v>0</v>
      </c>
      <c r="K32">
        <v>0</v>
      </c>
      <c r="L32" t="s">
        <v>14</v>
      </c>
      <c r="M32" t="s">
        <v>187</v>
      </c>
      <c r="O32" s="305">
        <v>45657</v>
      </c>
      <c r="Q32" t="s">
        <v>206</v>
      </c>
      <c r="R32" t="s">
        <v>6863</v>
      </c>
      <c r="S32" t="s">
        <v>312</v>
      </c>
      <c r="W32" t="s">
        <v>121</v>
      </c>
      <c r="X32" t="s">
        <v>313</v>
      </c>
      <c r="AA32" t="s">
        <v>132</v>
      </c>
      <c r="AB32" t="s">
        <v>217</v>
      </c>
      <c r="AC32" s="305">
        <v>37267</v>
      </c>
      <c r="AD32">
        <v>23</v>
      </c>
      <c r="AE32" t="s">
        <v>4665</v>
      </c>
      <c r="AF32" t="s">
        <v>4666</v>
      </c>
      <c r="AG32" t="s">
        <v>4667</v>
      </c>
      <c r="AH32" t="s">
        <v>4667</v>
      </c>
      <c r="AI32" t="s">
        <v>4667</v>
      </c>
      <c r="AJ32" t="s">
        <v>4668</v>
      </c>
      <c r="AK32" t="s">
        <v>4669</v>
      </c>
      <c r="AL32" t="s">
        <v>6734</v>
      </c>
      <c r="AM32" t="s">
        <v>4716</v>
      </c>
      <c r="AS32" t="s">
        <v>6761</v>
      </c>
      <c r="AT32" t="s">
        <v>6762</v>
      </c>
      <c r="AW32">
        <v>0</v>
      </c>
      <c r="AX32" t="s">
        <v>5078</v>
      </c>
      <c r="BA32" t="s">
        <v>161</v>
      </c>
      <c r="BB32" t="s">
        <v>156</v>
      </c>
      <c r="BC32" t="s">
        <v>3884</v>
      </c>
      <c r="BD32" t="s">
        <v>72</v>
      </c>
      <c r="BE32">
        <v>2024</v>
      </c>
      <c r="BF32" t="s">
        <v>156</v>
      </c>
      <c r="BG32" t="s">
        <v>3884</v>
      </c>
      <c r="BH32" t="s">
        <v>72</v>
      </c>
      <c r="BI32">
        <v>2024</v>
      </c>
      <c r="BL32" t="s">
        <v>369</v>
      </c>
      <c r="BM32" t="s">
        <v>1699</v>
      </c>
      <c r="BN32">
        <v>45</v>
      </c>
    </row>
    <row r="33" spans="1:82" x14ac:dyDescent="0.3">
      <c r="A33">
        <v>412</v>
      </c>
      <c r="B33" t="e">
        <v>#NUM!</v>
      </c>
      <c r="C33" t="s">
        <v>4653</v>
      </c>
      <c r="D33">
        <v>642409228</v>
      </c>
      <c r="E33" t="s">
        <v>4654</v>
      </c>
      <c r="G33" t="s">
        <v>217</v>
      </c>
      <c r="H33" t="s">
        <v>2492</v>
      </c>
      <c r="I33" s="305">
        <v>45598</v>
      </c>
      <c r="J33">
        <v>0</v>
      </c>
      <c r="K33">
        <v>0</v>
      </c>
      <c r="L33" t="s">
        <v>14</v>
      </c>
      <c r="M33" t="s">
        <v>187</v>
      </c>
      <c r="O33" s="305">
        <v>45657</v>
      </c>
      <c r="Q33" t="s">
        <v>206</v>
      </c>
      <c r="R33" t="s">
        <v>6863</v>
      </c>
      <c r="S33" t="s">
        <v>312</v>
      </c>
      <c r="W33" t="s">
        <v>121</v>
      </c>
      <c r="X33" t="s">
        <v>313</v>
      </c>
      <c r="AA33" t="s">
        <v>132</v>
      </c>
      <c r="AB33" t="s">
        <v>2492</v>
      </c>
      <c r="AC33" s="305">
        <v>37291</v>
      </c>
      <c r="AD33">
        <v>22</v>
      </c>
      <c r="AE33" t="s">
        <v>4655</v>
      </c>
      <c r="AF33" t="s">
        <v>4656</v>
      </c>
      <c r="AG33" t="s">
        <v>4657</v>
      </c>
      <c r="AH33" t="s">
        <v>4658</v>
      </c>
      <c r="AI33" t="s">
        <v>4658</v>
      </c>
      <c r="AJ33" t="s">
        <v>4659</v>
      </c>
      <c r="AK33" t="s">
        <v>4660</v>
      </c>
      <c r="AL33" t="s">
        <v>6735</v>
      </c>
      <c r="AM33" t="s">
        <v>4716</v>
      </c>
      <c r="AS33" t="s">
        <v>4661</v>
      </c>
      <c r="AT33" t="s">
        <v>4662</v>
      </c>
      <c r="AW33">
        <v>0</v>
      </c>
      <c r="AX33" t="s">
        <v>5078</v>
      </c>
      <c r="BA33" t="s">
        <v>161</v>
      </c>
      <c r="BB33" t="s">
        <v>70</v>
      </c>
      <c r="BC33" t="s">
        <v>99</v>
      </c>
      <c r="BD33" t="s">
        <v>100</v>
      </c>
      <c r="BE33">
        <v>2024</v>
      </c>
      <c r="BF33" t="s">
        <v>70</v>
      </c>
      <c r="BG33" t="s">
        <v>99</v>
      </c>
      <c r="BH33" t="s">
        <v>100</v>
      </c>
      <c r="BI33">
        <v>2024</v>
      </c>
      <c r="BL33" t="s">
        <v>351</v>
      </c>
      <c r="BM33" t="s">
        <v>351</v>
      </c>
      <c r="BN33">
        <v>45</v>
      </c>
    </row>
    <row r="34" spans="1:82" x14ac:dyDescent="0.3">
      <c r="A34">
        <v>411</v>
      </c>
      <c r="B34" t="e">
        <v>#NUM!</v>
      </c>
      <c r="C34" t="s">
        <v>4645</v>
      </c>
      <c r="D34">
        <v>642409227</v>
      </c>
      <c r="E34" t="s">
        <v>4646</v>
      </c>
      <c r="G34" t="s">
        <v>217</v>
      </c>
      <c r="H34" t="s">
        <v>695</v>
      </c>
      <c r="I34" s="305">
        <v>45598</v>
      </c>
      <c r="J34">
        <v>0</v>
      </c>
      <c r="K34">
        <v>0</v>
      </c>
      <c r="L34" t="s">
        <v>14</v>
      </c>
      <c r="M34" t="s">
        <v>187</v>
      </c>
      <c r="O34" s="305">
        <v>45657</v>
      </c>
      <c r="Q34" t="s">
        <v>206</v>
      </c>
      <c r="R34" t="s">
        <v>6863</v>
      </c>
      <c r="S34" t="s">
        <v>312</v>
      </c>
      <c r="W34" t="s">
        <v>121</v>
      </c>
      <c r="X34" t="s">
        <v>313</v>
      </c>
      <c r="AA34" t="s">
        <v>132</v>
      </c>
      <c r="AB34" t="s">
        <v>695</v>
      </c>
      <c r="AC34" s="305">
        <v>37070</v>
      </c>
      <c r="AD34">
        <v>23</v>
      </c>
      <c r="AE34" t="s">
        <v>4647</v>
      </c>
      <c r="AF34" t="s">
        <v>4648</v>
      </c>
      <c r="AG34" t="s">
        <v>4649</v>
      </c>
      <c r="AH34" t="s">
        <v>4649</v>
      </c>
      <c r="AI34" t="s">
        <v>4649</v>
      </c>
      <c r="AJ34" t="s">
        <v>4650</v>
      </c>
      <c r="AK34" t="s">
        <v>4651</v>
      </c>
      <c r="AL34" t="s">
        <v>6736</v>
      </c>
      <c r="AM34" t="s">
        <v>4716</v>
      </c>
      <c r="AS34" t="s">
        <v>6759</v>
      </c>
      <c r="AT34" t="s">
        <v>6760</v>
      </c>
      <c r="AW34">
        <v>0</v>
      </c>
      <c r="AX34" t="s">
        <v>5078</v>
      </c>
      <c r="BA34" t="s">
        <v>161</v>
      </c>
      <c r="BB34" t="s">
        <v>4652</v>
      </c>
      <c r="BC34" t="s">
        <v>3884</v>
      </c>
      <c r="BD34" t="s">
        <v>72</v>
      </c>
      <c r="BE34">
        <v>2024</v>
      </c>
      <c r="BF34" t="s">
        <v>4652</v>
      </c>
      <c r="BG34" t="s">
        <v>3884</v>
      </c>
      <c r="BH34" t="s">
        <v>72</v>
      </c>
      <c r="BI34">
        <v>2024</v>
      </c>
      <c r="BL34" t="s">
        <v>369</v>
      </c>
      <c r="BM34" t="s">
        <v>369</v>
      </c>
      <c r="BN34">
        <v>42</v>
      </c>
    </row>
    <row r="35" spans="1:82" x14ac:dyDescent="0.3">
      <c r="A35">
        <v>410</v>
      </c>
      <c r="B35" t="e">
        <v>#NUM!</v>
      </c>
      <c r="C35" t="s">
        <v>4636</v>
      </c>
      <c r="D35">
        <v>642409226</v>
      </c>
      <c r="E35" t="s">
        <v>4637</v>
      </c>
      <c r="G35" t="s">
        <v>217</v>
      </c>
      <c r="H35" t="s">
        <v>311</v>
      </c>
      <c r="I35" s="305">
        <v>45598</v>
      </c>
      <c r="J35">
        <v>0</v>
      </c>
      <c r="K35">
        <v>0</v>
      </c>
      <c r="L35" t="s">
        <v>14</v>
      </c>
      <c r="M35" t="s">
        <v>187</v>
      </c>
      <c r="O35" s="305">
        <v>45657</v>
      </c>
      <c r="Q35" t="s">
        <v>206</v>
      </c>
      <c r="R35" t="s">
        <v>6863</v>
      </c>
      <c r="S35" t="s">
        <v>312</v>
      </c>
      <c r="W35" t="s">
        <v>121</v>
      </c>
      <c r="X35" t="s">
        <v>313</v>
      </c>
      <c r="AA35" t="s">
        <v>132</v>
      </c>
      <c r="AB35" t="s">
        <v>311</v>
      </c>
      <c r="AC35" s="305">
        <v>37685</v>
      </c>
      <c r="AD35">
        <v>21</v>
      </c>
      <c r="AE35" t="s">
        <v>4638</v>
      </c>
      <c r="AF35" t="s">
        <v>4639</v>
      </c>
      <c r="AG35" t="s">
        <v>4640</v>
      </c>
      <c r="AH35" t="s">
        <v>4640</v>
      </c>
      <c r="AI35" t="s">
        <v>4640</v>
      </c>
      <c r="AJ35" t="s">
        <v>4641</v>
      </c>
      <c r="AK35" t="s">
        <v>4642</v>
      </c>
      <c r="AL35" t="s">
        <v>6737</v>
      </c>
      <c r="AM35" t="s">
        <v>4716</v>
      </c>
      <c r="AS35" t="s">
        <v>4643</v>
      </c>
      <c r="AT35" t="s">
        <v>4644</v>
      </c>
      <c r="AW35">
        <v>0</v>
      </c>
      <c r="AX35" t="s">
        <v>5078</v>
      </c>
      <c r="BA35" t="s">
        <v>161</v>
      </c>
      <c r="BB35" t="s">
        <v>349</v>
      </c>
      <c r="BC35" t="s">
        <v>515</v>
      </c>
      <c r="BD35" t="s">
        <v>775</v>
      </c>
      <c r="BE35">
        <v>2021</v>
      </c>
      <c r="BF35" t="s">
        <v>349</v>
      </c>
      <c r="BG35" t="s">
        <v>515</v>
      </c>
      <c r="BH35" t="s">
        <v>775</v>
      </c>
      <c r="BI35">
        <v>2021</v>
      </c>
      <c r="BL35" t="s">
        <v>339</v>
      </c>
      <c r="BM35" t="s">
        <v>339</v>
      </c>
      <c r="BN35">
        <v>43</v>
      </c>
    </row>
    <row r="36" spans="1:82" x14ac:dyDescent="0.3">
      <c r="A36">
        <v>409</v>
      </c>
      <c r="B36" t="e">
        <v>#NUM!</v>
      </c>
      <c r="C36" t="s">
        <v>4629</v>
      </c>
      <c r="D36">
        <v>642409225</v>
      </c>
      <c r="E36" t="s">
        <v>4630</v>
      </c>
      <c r="G36" t="s">
        <v>217</v>
      </c>
      <c r="H36" t="s">
        <v>217</v>
      </c>
      <c r="I36" s="305">
        <v>45598</v>
      </c>
      <c r="J36">
        <v>0</v>
      </c>
      <c r="K36">
        <v>0</v>
      </c>
      <c r="L36" t="s">
        <v>14</v>
      </c>
      <c r="M36" t="s">
        <v>187</v>
      </c>
      <c r="O36" s="305">
        <v>45657</v>
      </c>
      <c r="Q36" t="s">
        <v>206</v>
      </c>
      <c r="R36" t="s">
        <v>6863</v>
      </c>
      <c r="S36" t="s">
        <v>312</v>
      </c>
      <c r="W36" t="s">
        <v>121</v>
      </c>
      <c r="X36" t="s">
        <v>313</v>
      </c>
      <c r="AA36" t="s">
        <v>132</v>
      </c>
      <c r="AB36" t="s">
        <v>217</v>
      </c>
      <c r="AC36" s="305">
        <v>37105</v>
      </c>
      <c r="AD36">
        <v>23</v>
      </c>
      <c r="AE36" t="s">
        <v>4631</v>
      </c>
      <c r="AF36" t="s">
        <v>4632</v>
      </c>
      <c r="AG36" t="s">
        <v>4633</v>
      </c>
      <c r="AH36" t="s">
        <v>4633</v>
      </c>
      <c r="AI36" t="s">
        <v>4633</v>
      </c>
      <c r="AJ36" t="s">
        <v>4634</v>
      </c>
      <c r="AK36" t="s">
        <v>4635</v>
      </c>
      <c r="AL36" t="s">
        <v>6738</v>
      </c>
      <c r="AM36" t="s">
        <v>4716</v>
      </c>
      <c r="AS36" t="s">
        <v>6757</v>
      </c>
      <c r="AT36" t="s">
        <v>6758</v>
      </c>
      <c r="AW36">
        <v>0</v>
      </c>
      <c r="AX36" t="s">
        <v>5078</v>
      </c>
      <c r="AZ36" t="s">
        <v>337</v>
      </c>
      <c r="BA36" t="s">
        <v>359</v>
      </c>
      <c r="BB36" t="s">
        <v>156</v>
      </c>
      <c r="BC36" t="s">
        <v>4628</v>
      </c>
      <c r="BD36" t="s">
        <v>72</v>
      </c>
      <c r="BE36">
        <v>2024</v>
      </c>
      <c r="BF36" t="s">
        <v>156</v>
      </c>
      <c r="BG36" t="s">
        <v>4628</v>
      </c>
      <c r="BH36" t="s">
        <v>72</v>
      </c>
      <c r="BI36">
        <v>2024</v>
      </c>
      <c r="BL36" t="s">
        <v>351</v>
      </c>
      <c r="BM36" t="s">
        <v>351</v>
      </c>
      <c r="BN36">
        <v>42</v>
      </c>
    </row>
    <row r="37" spans="1:82" x14ac:dyDescent="0.3">
      <c r="A37">
        <v>408</v>
      </c>
      <c r="B37" t="e">
        <v>#NUM!</v>
      </c>
      <c r="C37" t="s">
        <v>4621</v>
      </c>
      <c r="D37">
        <v>642409224</v>
      </c>
      <c r="E37" t="s">
        <v>4622</v>
      </c>
      <c r="G37" t="s">
        <v>217</v>
      </c>
      <c r="H37" t="s">
        <v>217</v>
      </c>
      <c r="I37" s="305">
        <v>45598</v>
      </c>
      <c r="J37">
        <v>0</v>
      </c>
      <c r="K37">
        <v>0</v>
      </c>
      <c r="L37" t="s">
        <v>14</v>
      </c>
      <c r="M37" t="s">
        <v>187</v>
      </c>
      <c r="O37" s="305">
        <v>45657</v>
      </c>
      <c r="Q37" t="s">
        <v>206</v>
      </c>
      <c r="R37" t="s">
        <v>6863</v>
      </c>
      <c r="S37" t="s">
        <v>312</v>
      </c>
      <c r="W37" t="s">
        <v>121</v>
      </c>
      <c r="X37" t="s">
        <v>313</v>
      </c>
      <c r="AA37" t="s">
        <v>132</v>
      </c>
      <c r="AB37" t="s">
        <v>372</v>
      </c>
      <c r="AC37" s="305">
        <v>36293</v>
      </c>
      <c r="AD37">
        <v>25</v>
      </c>
      <c r="AE37" t="s">
        <v>4623</v>
      </c>
      <c r="AF37" t="s">
        <v>4624</v>
      </c>
      <c r="AG37" t="s">
        <v>4625</v>
      </c>
      <c r="AH37">
        <v>83851380855</v>
      </c>
      <c r="AI37">
        <v>83851380855</v>
      </c>
      <c r="AJ37" t="s">
        <v>4626</v>
      </c>
      <c r="AK37" t="s">
        <v>4627</v>
      </c>
      <c r="AL37" t="s">
        <v>6739</v>
      </c>
      <c r="AM37" t="s">
        <v>4716</v>
      </c>
      <c r="AS37" t="s">
        <v>6755</v>
      </c>
      <c r="AT37" t="s">
        <v>6756</v>
      </c>
      <c r="AW37">
        <v>0</v>
      </c>
      <c r="AX37" t="s">
        <v>5078</v>
      </c>
      <c r="BA37" t="s">
        <v>161</v>
      </c>
      <c r="BB37" t="s">
        <v>156</v>
      </c>
      <c r="BC37" t="s">
        <v>4628</v>
      </c>
      <c r="BD37" t="s">
        <v>368</v>
      </c>
      <c r="BE37">
        <v>2022</v>
      </c>
      <c r="BF37" t="s">
        <v>156</v>
      </c>
      <c r="BG37" t="s">
        <v>4628</v>
      </c>
      <c r="BH37" t="s">
        <v>368</v>
      </c>
      <c r="BI37">
        <v>2022</v>
      </c>
      <c r="BL37" t="s">
        <v>351</v>
      </c>
      <c r="BM37" t="s">
        <v>351</v>
      </c>
      <c r="BN37">
        <v>42</v>
      </c>
    </row>
    <row r="38" spans="1:82" x14ac:dyDescent="0.3">
      <c r="A38">
        <v>407</v>
      </c>
      <c r="B38" t="e">
        <v>#NUM!</v>
      </c>
      <c r="C38" t="s">
        <v>4612</v>
      </c>
      <c r="D38">
        <v>642409223</v>
      </c>
      <c r="E38" t="s">
        <v>4613</v>
      </c>
      <c r="G38" t="s">
        <v>217</v>
      </c>
      <c r="H38" t="s">
        <v>217</v>
      </c>
      <c r="I38" s="305">
        <v>45581</v>
      </c>
      <c r="J38">
        <v>0</v>
      </c>
      <c r="K38">
        <v>0</v>
      </c>
      <c r="L38" t="s">
        <v>14</v>
      </c>
      <c r="M38" t="s">
        <v>187</v>
      </c>
      <c r="O38" s="305">
        <v>45657</v>
      </c>
      <c r="Q38" t="s">
        <v>206</v>
      </c>
      <c r="R38" t="s">
        <v>6863</v>
      </c>
      <c r="S38" t="s">
        <v>312</v>
      </c>
      <c r="W38" t="s">
        <v>122</v>
      </c>
      <c r="X38" t="s">
        <v>313</v>
      </c>
      <c r="AA38" t="s">
        <v>132</v>
      </c>
      <c r="AB38" t="s">
        <v>217</v>
      </c>
      <c r="AC38" s="305">
        <v>38470</v>
      </c>
      <c r="AD38">
        <v>19</v>
      </c>
      <c r="AE38" t="s">
        <v>4614</v>
      </c>
      <c r="AF38" t="s">
        <v>4615</v>
      </c>
      <c r="AG38" t="s">
        <v>4616</v>
      </c>
      <c r="AH38" t="s">
        <v>4617</v>
      </c>
      <c r="AI38" t="s">
        <v>4617</v>
      </c>
      <c r="AJ38" t="s">
        <v>4618</v>
      </c>
      <c r="AK38" t="s">
        <v>4619</v>
      </c>
      <c r="AL38" t="s">
        <v>4620</v>
      </c>
      <c r="AM38" t="s">
        <v>4716</v>
      </c>
      <c r="AS38" t="s">
        <v>1616</v>
      </c>
      <c r="AT38" t="s">
        <v>6754</v>
      </c>
      <c r="AW38">
        <v>0</v>
      </c>
      <c r="AX38" t="s">
        <v>5078</v>
      </c>
      <c r="BA38" t="s">
        <v>161</v>
      </c>
      <c r="BB38" t="s">
        <v>349</v>
      </c>
      <c r="BC38" t="s">
        <v>4360</v>
      </c>
      <c r="BD38" t="s">
        <v>350</v>
      </c>
      <c r="BE38">
        <v>2023</v>
      </c>
      <c r="BF38" t="s">
        <v>349</v>
      </c>
      <c r="BG38" t="s">
        <v>4360</v>
      </c>
      <c r="BH38" t="s">
        <v>350</v>
      </c>
      <c r="BI38">
        <v>2023</v>
      </c>
      <c r="BL38" t="s">
        <v>351</v>
      </c>
      <c r="BM38" t="s">
        <v>351</v>
      </c>
      <c r="BN38">
        <v>40</v>
      </c>
    </row>
    <row r="39" spans="1:82" x14ac:dyDescent="0.3">
      <c r="A39">
        <v>3</v>
      </c>
      <c r="B39" t="e">
        <v>#NUM!</v>
      </c>
      <c r="C39" t="s">
        <v>403</v>
      </c>
      <c r="D39">
        <v>642001016</v>
      </c>
      <c r="E39">
        <v>1710003988097</v>
      </c>
      <c r="G39" t="s">
        <v>217</v>
      </c>
      <c r="H39" t="s">
        <v>217</v>
      </c>
      <c r="I39" s="305">
        <v>42005</v>
      </c>
      <c r="J39">
        <v>10</v>
      </c>
      <c r="K39">
        <v>0</v>
      </c>
      <c r="L39" t="s">
        <v>14</v>
      </c>
      <c r="M39" t="s">
        <v>187</v>
      </c>
      <c r="O39" s="305">
        <v>45657</v>
      </c>
      <c r="Q39" t="s">
        <v>206</v>
      </c>
      <c r="R39" t="s">
        <v>6863</v>
      </c>
      <c r="S39" t="s">
        <v>312</v>
      </c>
      <c r="T39" t="s">
        <v>204</v>
      </c>
      <c r="U39" t="s">
        <v>204</v>
      </c>
      <c r="V39" t="s">
        <v>404</v>
      </c>
      <c r="W39" t="s">
        <v>208</v>
      </c>
      <c r="X39" t="s">
        <v>313</v>
      </c>
      <c r="Z39" t="s">
        <v>337</v>
      </c>
      <c r="AA39" t="s">
        <v>132</v>
      </c>
      <c r="AB39" t="s">
        <v>217</v>
      </c>
      <c r="AC39" s="305">
        <v>33093</v>
      </c>
      <c r="AD39">
        <v>34</v>
      </c>
      <c r="AE39" t="s">
        <v>405</v>
      </c>
      <c r="AF39" t="s">
        <v>406</v>
      </c>
      <c r="AG39" t="s">
        <v>407</v>
      </c>
      <c r="AJ39" t="s">
        <v>408</v>
      </c>
      <c r="AK39" t="s">
        <v>409</v>
      </c>
      <c r="AL39">
        <v>16013068701</v>
      </c>
      <c r="AM39" t="s">
        <v>4733</v>
      </c>
      <c r="AN39" t="s">
        <v>403</v>
      </c>
      <c r="AO39" t="s">
        <v>410</v>
      </c>
      <c r="AS39" t="s">
        <v>411</v>
      </c>
      <c r="AT39" t="s">
        <v>412</v>
      </c>
      <c r="AU39" t="s">
        <v>413</v>
      </c>
      <c r="AV39" t="s">
        <v>414</v>
      </c>
      <c r="AW39">
        <v>1</v>
      </c>
      <c r="AX39" t="s">
        <v>5637</v>
      </c>
      <c r="AY39" t="s">
        <v>415</v>
      </c>
      <c r="AZ39" t="s">
        <v>415</v>
      </c>
      <c r="BA39" t="s">
        <v>161</v>
      </c>
      <c r="BB39" t="s">
        <v>349</v>
      </c>
      <c r="BC39" t="s">
        <v>91</v>
      </c>
      <c r="BD39" t="s">
        <v>416</v>
      </c>
      <c r="BE39">
        <v>2007</v>
      </c>
      <c r="BF39" t="s">
        <v>153</v>
      </c>
      <c r="BG39" t="s">
        <v>91</v>
      </c>
      <c r="BH39" t="s">
        <v>416</v>
      </c>
      <c r="BI39">
        <v>2007</v>
      </c>
      <c r="BL39" t="s">
        <v>339</v>
      </c>
      <c r="BM39">
        <v>34</v>
      </c>
      <c r="BN39">
        <v>42</v>
      </c>
      <c r="BO39" s="305">
        <v>44308</v>
      </c>
      <c r="BP39" s="305">
        <v>44336</v>
      </c>
      <c r="BS39">
        <v>43467</v>
      </c>
      <c r="BT39">
        <v>43830</v>
      </c>
      <c r="BU39" t="s">
        <v>417</v>
      </c>
      <c r="BV39" t="s">
        <v>418</v>
      </c>
      <c r="CD39" t="e">
        <v>#N/A</v>
      </c>
    </row>
    <row r="40" spans="1:82" x14ac:dyDescent="0.3">
      <c r="A40">
        <v>4</v>
      </c>
      <c r="B40" t="e">
        <v>#NUM!</v>
      </c>
      <c r="C40" t="s">
        <v>419</v>
      </c>
      <c r="D40">
        <v>642001017</v>
      </c>
      <c r="E40">
        <v>1710003988279</v>
      </c>
      <c r="G40" t="s">
        <v>217</v>
      </c>
      <c r="H40" t="s">
        <v>217</v>
      </c>
      <c r="I40" s="305">
        <v>42005</v>
      </c>
      <c r="J40">
        <v>10</v>
      </c>
      <c r="K40">
        <v>0</v>
      </c>
      <c r="L40" t="s">
        <v>14</v>
      </c>
      <c r="M40" t="s">
        <v>187</v>
      </c>
      <c r="O40" s="305">
        <v>45657</v>
      </c>
      <c r="Q40" t="s">
        <v>206</v>
      </c>
      <c r="R40" t="s">
        <v>6863</v>
      </c>
      <c r="S40" t="s">
        <v>312</v>
      </c>
      <c r="T40" t="s">
        <v>204</v>
      </c>
      <c r="U40" t="s">
        <v>420</v>
      </c>
      <c r="V40" t="s">
        <v>121</v>
      </c>
      <c r="W40" t="s">
        <v>121</v>
      </c>
      <c r="X40" t="s">
        <v>313</v>
      </c>
      <c r="Z40" t="s">
        <v>337</v>
      </c>
      <c r="AA40" t="s">
        <v>132</v>
      </c>
      <c r="AB40" t="s">
        <v>217</v>
      </c>
      <c r="AC40" s="305">
        <v>26892</v>
      </c>
      <c r="AD40">
        <v>51</v>
      </c>
      <c r="AE40" t="s">
        <v>421</v>
      </c>
      <c r="AF40" t="s">
        <v>422</v>
      </c>
      <c r="AG40" t="s">
        <v>423</v>
      </c>
      <c r="AH40" t="s">
        <v>424</v>
      </c>
      <c r="AJ40" t="s">
        <v>425</v>
      </c>
      <c r="AK40" t="s">
        <v>426</v>
      </c>
      <c r="AL40">
        <v>16013068669</v>
      </c>
      <c r="AM40" t="s">
        <v>4733</v>
      </c>
      <c r="AN40" t="s">
        <v>427</v>
      </c>
      <c r="AO40" t="s">
        <v>428</v>
      </c>
      <c r="AS40" t="s">
        <v>306</v>
      </c>
      <c r="AT40" t="s">
        <v>306</v>
      </c>
      <c r="AU40" t="s">
        <v>306</v>
      </c>
      <c r="AV40" t="s">
        <v>306</v>
      </c>
      <c r="AW40">
        <v>1</v>
      </c>
      <c r="AX40" t="s">
        <v>5637</v>
      </c>
      <c r="BA40" t="s">
        <v>161</v>
      </c>
      <c r="BB40" t="s">
        <v>153</v>
      </c>
      <c r="BC40" t="s">
        <v>308</v>
      </c>
      <c r="BD40" t="s">
        <v>6844</v>
      </c>
      <c r="BF40" t="s">
        <v>153</v>
      </c>
      <c r="BL40" t="s">
        <v>360</v>
      </c>
      <c r="BM40">
        <v>28</v>
      </c>
      <c r="BN40">
        <v>40</v>
      </c>
      <c r="BO40" s="305">
        <v>44308</v>
      </c>
      <c r="BP40" s="305">
        <v>44336</v>
      </c>
      <c r="BQ40" s="305">
        <v>44601</v>
      </c>
      <c r="BS40">
        <v>43467</v>
      </c>
      <c r="BT40">
        <v>43830</v>
      </c>
      <c r="BU40" t="s">
        <v>429</v>
      </c>
      <c r="BV40" t="s">
        <v>430</v>
      </c>
      <c r="CD40" t="e">
        <v>#N/A</v>
      </c>
    </row>
    <row r="41" spans="1:82" x14ac:dyDescent="0.3">
      <c r="A41">
        <v>406</v>
      </c>
      <c r="B41" t="e">
        <v>#NUM!</v>
      </c>
      <c r="C41" t="s">
        <v>4598</v>
      </c>
      <c r="D41">
        <v>642409222</v>
      </c>
      <c r="E41" t="s">
        <v>4599</v>
      </c>
      <c r="G41" t="s">
        <v>217</v>
      </c>
      <c r="H41" t="s">
        <v>217</v>
      </c>
      <c r="I41" s="305">
        <v>45567</v>
      </c>
      <c r="J41">
        <v>0</v>
      </c>
      <c r="K41">
        <v>0</v>
      </c>
      <c r="L41" t="s">
        <v>14</v>
      </c>
      <c r="M41" t="s">
        <v>187</v>
      </c>
      <c r="O41" s="305">
        <v>45657</v>
      </c>
      <c r="Q41" t="s">
        <v>206</v>
      </c>
      <c r="R41" t="s">
        <v>6863</v>
      </c>
      <c r="S41" t="s">
        <v>312</v>
      </c>
      <c r="W41" t="s">
        <v>121</v>
      </c>
      <c r="X41" t="s">
        <v>313</v>
      </c>
      <c r="AA41" t="s">
        <v>132</v>
      </c>
      <c r="AB41" t="s">
        <v>217</v>
      </c>
      <c r="AC41" s="305">
        <v>32398</v>
      </c>
      <c r="AD41">
        <v>36</v>
      </c>
      <c r="AE41" t="s">
        <v>4600</v>
      </c>
      <c r="AF41" t="s">
        <v>4601</v>
      </c>
      <c r="AG41" t="s">
        <v>4602</v>
      </c>
      <c r="AH41" t="s">
        <v>4603</v>
      </c>
      <c r="AI41" t="s">
        <v>4603</v>
      </c>
      <c r="AJ41" t="s">
        <v>4604</v>
      </c>
      <c r="AK41" t="s">
        <v>4605</v>
      </c>
      <c r="AL41" t="s">
        <v>4606</v>
      </c>
      <c r="AM41" t="s">
        <v>4733</v>
      </c>
      <c r="AN41" t="s">
        <v>4607</v>
      </c>
      <c r="AS41" t="s">
        <v>4608</v>
      </c>
      <c r="AT41" t="s">
        <v>4609</v>
      </c>
      <c r="AW41">
        <v>0</v>
      </c>
      <c r="AX41" t="s">
        <v>5627</v>
      </c>
      <c r="BA41" t="s">
        <v>161</v>
      </c>
      <c r="BB41" t="s">
        <v>349</v>
      </c>
      <c r="BC41" t="s">
        <v>91</v>
      </c>
      <c r="BD41" t="s">
        <v>350</v>
      </c>
      <c r="BE41">
        <v>2006</v>
      </c>
      <c r="BF41" t="s">
        <v>349</v>
      </c>
      <c r="BG41" t="s">
        <v>91</v>
      </c>
      <c r="BH41" t="s">
        <v>350</v>
      </c>
      <c r="BI41">
        <v>2006</v>
      </c>
      <c r="BL41" t="s">
        <v>4610</v>
      </c>
      <c r="BM41" t="s">
        <v>4611</v>
      </c>
      <c r="BN41">
        <v>44</v>
      </c>
    </row>
    <row r="42" spans="1:82" x14ac:dyDescent="0.3">
      <c r="A42">
        <v>11</v>
      </c>
      <c r="B42" t="e">
        <v>#NUM!</v>
      </c>
      <c r="C42" t="s">
        <v>517</v>
      </c>
      <c r="D42">
        <v>642001013</v>
      </c>
      <c r="E42">
        <v>1710003987008</v>
      </c>
      <c r="G42" t="s">
        <v>217</v>
      </c>
      <c r="H42" t="s">
        <v>217</v>
      </c>
      <c r="I42" s="305">
        <v>42095</v>
      </c>
      <c r="J42">
        <v>9</v>
      </c>
      <c r="K42">
        <v>9</v>
      </c>
      <c r="L42" t="s">
        <v>14</v>
      </c>
      <c r="M42" t="s">
        <v>187</v>
      </c>
      <c r="O42" s="305">
        <v>45657</v>
      </c>
      <c r="Q42" t="s">
        <v>206</v>
      </c>
      <c r="R42" t="s">
        <v>6863</v>
      </c>
      <c r="S42" t="s">
        <v>312</v>
      </c>
      <c r="T42" t="s">
        <v>204</v>
      </c>
      <c r="U42" t="s">
        <v>204</v>
      </c>
      <c r="V42" t="s">
        <v>518</v>
      </c>
      <c r="W42" t="s">
        <v>208</v>
      </c>
      <c r="X42" t="s">
        <v>313</v>
      </c>
      <c r="Y42" t="s">
        <v>462</v>
      </c>
      <c r="Z42" t="s">
        <v>337</v>
      </c>
      <c r="AA42" t="s">
        <v>132</v>
      </c>
      <c r="AB42" t="s">
        <v>217</v>
      </c>
      <c r="AC42" s="305">
        <v>27574</v>
      </c>
      <c r="AD42">
        <v>49</v>
      </c>
      <c r="AE42" t="s">
        <v>519</v>
      </c>
      <c r="AF42" t="s">
        <v>520</v>
      </c>
      <c r="AG42" t="s">
        <v>521</v>
      </c>
      <c r="AJ42" t="s">
        <v>522</v>
      </c>
      <c r="AK42" t="s">
        <v>523</v>
      </c>
      <c r="AL42">
        <v>16006272385</v>
      </c>
      <c r="AM42" t="s">
        <v>4716</v>
      </c>
      <c r="AS42" t="s">
        <v>524</v>
      </c>
      <c r="AT42" t="s">
        <v>525</v>
      </c>
      <c r="AU42" t="s">
        <v>306</v>
      </c>
      <c r="AV42" t="s">
        <v>306</v>
      </c>
      <c r="AW42">
        <v>0</v>
      </c>
      <c r="AX42" t="s">
        <v>5078</v>
      </c>
      <c r="AY42" t="s">
        <v>526</v>
      </c>
      <c r="AZ42" t="s">
        <v>526</v>
      </c>
      <c r="BA42" t="s">
        <v>161</v>
      </c>
      <c r="BB42" t="s">
        <v>349</v>
      </c>
      <c r="BC42" t="s">
        <v>527</v>
      </c>
      <c r="BD42" t="s">
        <v>516</v>
      </c>
      <c r="BF42" t="s">
        <v>475</v>
      </c>
      <c r="BG42" t="s">
        <v>527</v>
      </c>
      <c r="BH42" t="s">
        <v>516</v>
      </c>
      <c r="BL42" t="s">
        <v>360</v>
      </c>
      <c r="BM42">
        <v>32</v>
      </c>
      <c r="BN42">
        <v>39</v>
      </c>
      <c r="BO42" s="305">
        <v>44293</v>
      </c>
      <c r="BP42" s="305">
        <v>44322</v>
      </c>
      <c r="BS42">
        <v>43467</v>
      </c>
      <c r="BT42">
        <v>43830</v>
      </c>
      <c r="BU42" t="s">
        <v>528</v>
      </c>
      <c r="BV42" t="s">
        <v>529</v>
      </c>
      <c r="CD42" t="e">
        <v>#N/A</v>
      </c>
    </row>
    <row r="43" spans="1:82" x14ac:dyDescent="0.3">
      <c r="A43">
        <v>405</v>
      </c>
      <c r="B43" t="e">
        <v>#NUM!</v>
      </c>
      <c r="C43" t="s">
        <v>4584</v>
      </c>
      <c r="D43">
        <v>642409221</v>
      </c>
      <c r="E43" t="s">
        <v>4585</v>
      </c>
      <c r="G43" t="s">
        <v>217</v>
      </c>
      <c r="H43" t="s">
        <v>217</v>
      </c>
      <c r="I43" s="305">
        <v>45567</v>
      </c>
      <c r="J43">
        <v>0</v>
      </c>
      <c r="K43">
        <v>0</v>
      </c>
      <c r="L43" t="s">
        <v>14</v>
      </c>
      <c r="M43" t="s">
        <v>187</v>
      </c>
      <c r="O43" s="305">
        <v>45657</v>
      </c>
      <c r="Q43" t="s">
        <v>206</v>
      </c>
      <c r="R43" t="s">
        <v>6863</v>
      </c>
      <c r="S43" t="s">
        <v>312</v>
      </c>
      <c r="W43" t="s">
        <v>121</v>
      </c>
      <c r="X43" t="s">
        <v>313</v>
      </c>
      <c r="AA43" t="s">
        <v>132</v>
      </c>
      <c r="AB43" t="s">
        <v>217</v>
      </c>
      <c r="AC43" s="305">
        <v>35990</v>
      </c>
      <c r="AD43">
        <v>26</v>
      </c>
      <c r="AE43" t="s">
        <v>4586</v>
      </c>
      <c r="AF43" t="s">
        <v>4587</v>
      </c>
      <c r="AG43" t="s">
        <v>4588</v>
      </c>
      <c r="AH43" t="s">
        <v>4589</v>
      </c>
      <c r="AI43" t="s">
        <v>4589</v>
      </c>
      <c r="AJ43" t="s">
        <v>4590</v>
      </c>
      <c r="AK43" t="s">
        <v>4591</v>
      </c>
      <c r="AL43" t="s">
        <v>4592</v>
      </c>
      <c r="AM43" t="s">
        <v>4733</v>
      </c>
      <c r="AN43" t="s">
        <v>4593</v>
      </c>
      <c r="AS43" t="s">
        <v>4594</v>
      </c>
      <c r="AT43" t="s">
        <v>4595</v>
      </c>
      <c r="AU43" t="s">
        <v>4596</v>
      </c>
      <c r="AV43" t="s">
        <v>3321</v>
      </c>
      <c r="AW43">
        <v>0</v>
      </c>
      <c r="AX43" t="s">
        <v>5627</v>
      </c>
      <c r="BA43" t="s">
        <v>161</v>
      </c>
      <c r="BB43" t="s">
        <v>349</v>
      </c>
      <c r="BC43" t="s">
        <v>91</v>
      </c>
      <c r="BD43" t="s">
        <v>775</v>
      </c>
      <c r="BE43">
        <v>2016</v>
      </c>
      <c r="BF43" t="s">
        <v>349</v>
      </c>
      <c r="BG43" t="s">
        <v>91</v>
      </c>
      <c r="BH43" t="s">
        <v>775</v>
      </c>
      <c r="BI43">
        <v>2016</v>
      </c>
      <c r="BL43" t="s">
        <v>351</v>
      </c>
      <c r="BM43" t="s">
        <v>339</v>
      </c>
      <c r="BN43">
        <v>43</v>
      </c>
    </row>
    <row r="44" spans="1:82" x14ac:dyDescent="0.3">
      <c r="A44">
        <v>404</v>
      </c>
      <c r="B44" t="e">
        <v>#NUM!</v>
      </c>
      <c r="C44" t="s">
        <v>4566</v>
      </c>
      <c r="D44">
        <v>642409220</v>
      </c>
      <c r="E44" t="s">
        <v>4567</v>
      </c>
      <c r="G44" t="s">
        <v>217</v>
      </c>
      <c r="H44" t="s">
        <v>311</v>
      </c>
      <c r="I44" s="305">
        <v>45567</v>
      </c>
      <c r="J44">
        <v>0</v>
      </c>
      <c r="K44">
        <v>0</v>
      </c>
      <c r="L44" t="s">
        <v>14</v>
      </c>
      <c r="M44" t="s">
        <v>187</v>
      </c>
      <c r="O44" s="305">
        <v>45657</v>
      </c>
      <c r="Q44" t="s">
        <v>206</v>
      </c>
      <c r="R44" t="s">
        <v>6863</v>
      </c>
      <c r="S44" t="s">
        <v>312</v>
      </c>
      <c r="W44" t="s">
        <v>121</v>
      </c>
      <c r="X44" t="s">
        <v>313</v>
      </c>
      <c r="AA44" t="s">
        <v>132</v>
      </c>
      <c r="AB44" t="s">
        <v>311</v>
      </c>
      <c r="AC44" s="305">
        <v>36229</v>
      </c>
      <c r="AD44">
        <v>25</v>
      </c>
      <c r="AE44" t="s">
        <v>4568</v>
      </c>
      <c r="AF44" t="s">
        <v>4569</v>
      </c>
      <c r="AG44" t="s">
        <v>4570</v>
      </c>
      <c r="AH44" t="s">
        <v>4571</v>
      </c>
      <c r="AI44" t="s">
        <v>4571</v>
      </c>
      <c r="AJ44" t="s">
        <v>4572</v>
      </c>
      <c r="AK44" t="s">
        <v>4573</v>
      </c>
      <c r="AL44" t="s">
        <v>4574</v>
      </c>
      <c r="AM44" t="s">
        <v>4733</v>
      </c>
      <c r="AN44" t="s">
        <v>4575</v>
      </c>
      <c r="AO44" t="s">
        <v>4576</v>
      </c>
      <c r="AS44" t="s">
        <v>4577</v>
      </c>
      <c r="AT44" t="s">
        <v>4578</v>
      </c>
      <c r="AU44" t="s">
        <v>4579</v>
      </c>
      <c r="AV44" t="s">
        <v>4580</v>
      </c>
      <c r="AW44">
        <v>1</v>
      </c>
      <c r="AX44" t="s">
        <v>5637</v>
      </c>
      <c r="AZ44" t="s">
        <v>4581</v>
      </c>
      <c r="BA44" t="s">
        <v>359</v>
      </c>
      <c r="BB44" t="s">
        <v>349</v>
      </c>
      <c r="BC44" t="s">
        <v>4582</v>
      </c>
      <c r="BD44" t="s">
        <v>327</v>
      </c>
      <c r="BE44">
        <v>2017</v>
      </c>
      <c r="BF44" t="s">
        <v>349</v>
      </c>
      <c r="BG44" t="s">
        <v>4582</v>
      </c>
      <c r="BH44" t="s">
        <v>327</v>
      </c>
      <c r="BI44">
        <v>2017</v>
      </c>
      <c r="BL44" t="s">
        <v>4583</v>
      </c>
      <c r="BM44">
        <v>37</v>
      </c>
      <c r="BN44">
        <v>42</v>
      </c>
    </row>
    <row r="45" spans="1:82" x14ac:dyDescent="0.3">
      <c r="A45">
        <v>403</v>
      </c>
      <c r="B45" t="e">
        <v>#NUM!</v>
      </c>
      <c r="C45" t="s">
        <v>4556</v>
      </c>
      <c r="D45">
        <v>642409218</v>
      </c>
      <c r="E45" t="s">
        <v>4557</v>
      </c>
      <c r="G45" t="s">
        <v>217</v>
      </c>
      <c r="H45" t="s">
        <v>217</v>
      </c>
      <c r="I45" s="305">
        <v>45567</v>
      </c>
      <c r="J45">
        <v>0</v>
      </c>
      <c r="K45">
        <v>0</v>
      </c>
      <c r="L45" t="s">
        <v>14</v>
      </c>
      <c r="M45" t="s">
        <v>187</v>
      </c>
      <c r="O45" s="305">
        <v>45657</v>
      </c>
      <c r="Q45" t="s">
        <v>206</v>
      </c>
      <c r="R45" t="s">
        <v>6863</v>
      </c>
      <c r="S45" t="s">
        <v>312</v>
      </c>
      <c r="W45" t="s">
        <v>121</v>
      </c>
      <c r="X45" t="s">
        <v>313</v>
      </c>
      <c r="AA45" t="s">
        <v>132</v>
      </c>
      <c r="AB45" t="s">
        <v>217</v>
      </c>
      <c r="AC45" s="305">
        <v>33245</v>
      </c>
      <c r="AD45">
        <v>34</v>
      </c>
      <c r="AE45" t="s">
        <v>4558</v>
      </c>
      <c r="AF45" t="s">
        <v>4559</v>
      </c>
      <c r="AG45" t="s">
        <v>4560</v>
      </c>
      <c r="AH45" t="s">
        <v>4561</v>
      </c>
      <c r="AI45" t="s">
        <v>4561</v>
      </c>
      <c r="AJ45" t="s">
        <v>4562</v>
      </c>
      <c r="AK45" t="s">
        <v>4563</v>
      </c>
      <c r="AL45" t="s">
        <v>4564</v>
      </c>
      <c r="AM45" t="s">
        <v>4716</v>
      </c>
      <c r="AS45" t="s">
        <v>6753</v>
      </c>
      <c r="AT45" t="s">
        <v>1444</v>
      </c>
      <c r="AW45">
        <v>0</v>
      </c>
      <c r="AX45" t="s">
        <v>5078</v>
      </c>
      <c r="BA45" t="s">
        <v>359</v>
      </c>
      <c r="BB45" t="s">
        <v>475</v>
      </c>
      <c r="BC45" t="s">
        <v>91</v>
      </c>
      <c r="BD45" t="s">
        <v>4565</v>
      </c>
      <c r="BE45">
        <v>2011</v>
      </c>
      <c r="BF45" t="s">
        <v>475</v>
      </c>
      <c r="BG45" t="s">
        <v>91</v>
      </c>
      <c r="BH45" t="s">
        <v>4565</v>
      </c>
      <c r="BI45">
        <v>2011</v>
      </c>
      <c r="BL45" t="s">
        <v>351</v>
      </c>
      <c r="BM45" t="s">
        <v>351</v>
      </c>
      <c r="BN45">
        <v>40</v>
      </c>
    </row>
    <row r="46" spans="1:82" x14ac:dyDescent="0.3">
      <c r="A46">
        <v>20</v>
      </c>
      <c r="B46" t="e">
        <v>#NUM!</v>
      </c>
      <c r="C46" t="s">
        <v>628</v>
      </c>
      <c r="D46">
        <v>642001004</v>
      </c>
      <c r="E46">
        <v>1710004034461</v>
      </c>
      <c r="G46" t="s">
        <v>217</v>
      </c>
      <c r="H46" t="s">
        <v>432</v>
      </c>
      <c r="I46" s="305">
        <v>42125</v>
      </c>
      <c r="J46">
        <v>9</v>
      </c>
      <c r="K46">
        <v>8</v>
      </c>
      <c r="L46" t="s">
        <v>14</v>
      </c>
      <c r="M46" t="s">
        <v>187</v>
      </c>
      <c r="O46" s="305">
        <v>45657</v>
      </c>
      <c r="Q46" t="s">
        <v>206</v>
      </c>
      <c r="R46" t="s">
        <v>6863</v>
      </c>
      <c r="S46" t="s">
        <v>312</v>
      </c>
      <c r="T46" t="s">
        <v>24</v>
      </c>
      <c r="U46" t="s">
        <v>204</v>
      </c>
      <c r="V46" t="s">
        <v>629</v>
      </c>
      <c r="W46" t="s">
        <v>121</v>
      </c>
      <c r="X46" t="s">
        <v>313</v>
      </c>
      <c r="Y46" t="s">
        <v>462</v>
      </c>
      <c r="Z46" t="s">
        <v>337</v>
      </c>
      <c r="AA46" t="s">
        <v>132</v>
      </c>
      <c r="AB46" t="s">
        <v>432</v>
      </c>
      <c r="AC46" s="305">
        <v>34621</v>
      </c>
      <c r="AD46">
        <v>30</v>
      </c>
      <c r="AE46" t="s">
        <v>630</v>
      </c>
      <c r="AF46" t="s">
        <v>631</v>
      </c>
      <c r="AG46" t="s">
        <v>632</v>
      </c>
      <c r="AJ46" t="s">
        <v>633</v>
      </c>
      <c r="AK46" t="s">
        <v>634</v>
      </c>
      <c r="AL46">
        <v>16006272286</v>
      </c>
      <c r="AM46" t="s">
        <v>4733</v>
      </c>
      <c r="AN46" t="s">
        <v>635</v>
      </c>
      <c r="AS46" t="s">
        <v>306</v>
      </c>
      <c r="AT46" t="s">
        <v>306</v>
      </c>
      <c r="AU46" t="s">
        <v>306</v>
      </c>
      <c r="AV46" t="s">
        <v>306</v>
      </c>
      <c r="AW46">
        <v>0</v>
      </c>
      <c r="AX46" t="s">
        <v>5627</v>
      </c>
      <c r="BA46" t="s">
        <v>161</v>
      </c>
      <c r="BB46" t="s">
        <v>75</v>
      </c>
      <c r="BC46" t="s">
        <v>91</v>
      </c>
      <c r="BD46" t="s">
        <v>457</v>
      </c>
      <c r="BE46">
        <v>2017</v>
      </c>
      <c r="BF46" t="s">
        <v>75</v>
      </c>
      <c r="BG46" t="s">
        <v>91</v>
      </c>
      <c r="BH46" t="s">
        <v>457</v>
      </c>
      <c r="BI46">
        <v>2017</v>
      </c>
      <c r="BL46" t="s">
        <v>351</v>
      </c>
      <c r="BM46">
        <v>33</v>
      </c>
      <c r="BN46">
        <v>42</v>
      </c>
      <c r="BO46" s="305">
        <v>44293</v>
      </c>
      <c r="BP46" s="305">
        <v>44322</v>
      </c>
      <c r="BS46">
        <v>43467</v>
      </c>
      <c r="BT46">
        <v>43830</v>
      </c>
      <c r="BU46" t="s">
        <v>636</v>
      </c>
      <c r="BV46" t="s">
        <v>637</v>
      </c>
      <c r="CD46" t="e">
        <v>#N/A</v>
      </c>
    </row>
    <row r="47" spans="1:82" x14ac:dyDescent="0.3">
      <c r="A47">
        <v>21</v>
      </c>
      <c r="B47" t="e">
        <v>#NUM!</v>
      </c>
      <c r="C47" t="s">
        <v>638</v>
      </c>
      <c r="D47">
        <v>642001005</v>
      </c>
      <c r="E47">
        <v>1710003987818</v>
      </c>
      <c r="G47" t="s">
        <v>217</v>
      </c>
      <c r="H47" t="s">
        <v>217</v>
      </c>
      <c r="I47" s="305">
        <v>42125</v>
      </c>
      <c r="J47">
        <v>9</v>
      </c>
      <c r="K47">
        <v>8</v>
      </c>
      <c r="L47" t="s">
        <v>14</v>
      </c>
      <c r="M47" t="s">
        <v>187</v>
      </c>
      <c r="O47" s="305">
        <v>45657</v>
      </c>
      <c r="Q47" t="s">
        <v>206</v>
      </c>
      <c r="R47" t="s">
        <v>6863</v>
      </c>
      <c r="S47" t="s">
        <v>312</v>
      </c>
      <c r="T47" t="s">
        <v>31</v>
      </c>
      <c r="U47" t="s">
        <v>204</v>
      </c>
      <c r="V47" t="s">
        <v>639</v>
      </c>
      <c r="W47" t="s">
        <v>122</v>
      </c>
      <c r="X47" t="s">
        <v>313</v>
      </c>
      <c r="Y47" t="s">
        <v>462</v>
      </c>
      <c r="Z47" t="s">
        <v>337</v>
      </c>
      <c r="AA47" t="s">
        <v>132</v>
      </c>
      <c r="AB47" t="s">
        <v>217</v>
      </c>
      <c r="AC47" s="305">
        <v>29616</v>
      </c>
      <c r="AD47">
        <v>43</v>
      </c>
      <c r="AE47" t="s">
        <v>640</v>
      </c>
      <c r="AF47" t="s">
        <v>641</v>
      </c>
      <c r="AG47" t="s">
        <v>642</v>
      </c>
      <c r="AJ47" t="s">
        <v>643</v>
      </c>
      <c r="AK47" t="s">
        <v>644</v>
      </c>
      <c r="AL47">
        <v>16006271981</v>
      </c>
      <c r="AM47" t="s">
        <v>4733</v>
      </c>
      <c r="AN47" t="s">
        <v>645</v>
      </c>
      <c r="AO47" t="s">
        <v>646</v>
      </c>
      <c r="AS47" t="s">
        <v>647</v>
      </c>
      <c r="AT47" t="s">
        <v>648</v>
      </c>
      <c r="AU47" t="s">
        <v>649</v>
      </c>
      <c r="AV47" t="s">
        <v>650</v>
      </c>
      <c r="AW47">
        <v>1</v>
      </c>
      <c r="AX47" t="s">
        <v>5637</v>
      </c>
      <c r="AY47" t="s">
        <v>651</v>
      </c>
      <c r="AZ47" t="s">
        <v>651</v>
      </c>
      <c r="BA47" t="s">
        <v>161</v>
      </c>
      <c r="BB47" t="s">
        <v>349</v>
      </c>
      <c r="BC47" t="s">
        <v>515</v>
      </c>
      <c r="BD47" t="s">
        <v>560</v>
      </c>
      <c r="BE47">
        <v>2001</v>
      </c>
      <c r="BF47" t="s">
        <v>475</v>
      </c>
      <c r="BG47" t="s">
        <v>515</v>
      </c>
      <c r="BH47" t="s">
        <v>560</v>
      </c>
      <c r="BI47">
        <v>2001</v>
      </c>
      <c r="BL47" t="s">
        <v>360</v>
      </c>
      <c r="BM47">
        <v>28</v>
      </c>
      <c r="BN47">
        <v>39</v>
      </c>
      <c r="BQ47" s="305">
        <v>44711</v>
      </c>
      <c r="BS47">
        <v>43467</v>
      </c>
      <c r="BT47">
        <v>43830</v>
      </c>
      <c r="BU47" t="s">
        <v>652</v>
      </c>
      <c r="BV47" t="s">
        <v>653</v>
      </c>
      <c r="CD47" t="e">
        <v>#N/A</v>
      </c>
    </row>
    <row r="48" spans="1:82" x14ac:dyDescent="0.3">
      <c r="A48">
        <v>22</v>
      </c>
      <c r="B48" t="e">
        <v>#NUM!</v>
      </c>
      <c r="C48" t="s">
        <v>654</v>
      </c>
      <c r="D48">
        <v>642001015</v>
      </c>
      <c r="E48">
        <v>1710003987974</v>
      </c>
      <c r="G48" t="s">
        <v>217</v>
      </c>
      <c r="H48" t="s">
        <v>217</v>
      </c>
      <c r="I48" s="305">
        <v>42125</v>
      </c>
      <c r="J48">
        <v>9</v>
      </c>
      <c r="K48">
        <v>8</v>
      </c>
      <c r="L48" t="s">
        <v>14</v>
      </c>
      <c r="M48" t="s">
        <v>187</v>
      </c>
      <c r="O48" s="305">
        <v>45657</v>
      </c>
      <c r="Q48" t="s">
        <v>206</v>
      </c>
      <c r="R48" t="s">
        <v>6863</v>
      </c>
      <c r="S48" t="s">
        <v>312</v>
      </c>
      <c r="T48" t="s">
        <v>204</v>
      </c>
      <c r="U48" t="s">
        <v>208</v>
      </c>
      <c r="V48" t="s">
        <v>655</v>
      </c>
      <c r="W48" t="s">
        <v>208</v>
      </c>
      <c r="X48" t="s">
        <v>313</v>
      </c>
      <c r="Y48" t="s">
        <v>173</v>
      </c>
      <c r="Z48" t="s">
        <v>337</v>
      </c>
      <c r="AA48" t="s">
        <v>132</v>
      </c>
      <c r="AB48" t="s">
        <v>217</v>
      </c>
      <c r="AC48" s="305">
        <v>34010</v>
      </c>
      <c r="AD48">
        <v>31</v>
      </c>
      <c r="AE48" t="s">
        <v>656</v>
      </c>
      <c r="AF48" t="s">
        <v>657</v>
      </c>
      <c r="AG48" t="s">
        <v>658</v>
      </c>
      <c r="AJ48" t="s">
        <v>659</v>
      </c>
      <c r="AK48" t="s">
        <v>660</v>
      </c>
      <c r="AL48">
        <v>16006272005</v>
      </c>
      <c r="AM48" t="s">
        <v>4733</v>
      </c>
      <c r="AN48" t="s">
        <v>661</v>
      </c>
      <c r="AO48" t="s">
        <v>662</v>
      </c>
      <c r="AS48" t="s">
        <v>306</v>
      </c>
      <c r="AT48" t="s">
        <v>306</v>
      </c>
      <c r="AU48" t="s">
        <v>306</v>
      </c>
      <c r="AV48" t="s">
        <v>306</v>
      </c>
      <c r="AW48">
        <v>1</v>
      </c>
      <c r="AX48" t="s">
        <v>5637</v>
      </c>
      <c r="BA48" t="s">
        <v>161</v>
      </c>
      <c r="BB48" t="s">
        <v>349</v>
      </c>
      <c r="BC48" t="s">
        <v>515</v>
      </c>
      <c r="BD48" t="s">
        <v>663</v>
      </c>
      <c r="BE48">
        <v>2011</v>
      </c>
      <c r="BF48" t="s">
        <v>475</v>
      </c>
      <c r="BG48" t="s">
        <v>515</v>
      </c>
      <c r="BH48" t="s">
        <v>663</v>
      </c>
      <c r="BI48">
        <v>2011</v>
      </c>
      <c r="BL48" t="s">
        <v>360</v>
      </c>
      <c r="BM48">
        <v>29</v>
      </c>
      <c r="BN48">
        <v>40</v>
      </c>
      <c r="BO48" s="305">
        <v>44308</v>
      </c>
      <c r="BP48" s="305">
        <v>44336</v>
      </c>
      <c r="BS48">
        <v>43467</v>
      </c>
      <c r="BT48">
        <v>43830</v>
      </c>
      <c r="BU48" t="s">
        <v>664</v>
      </c>
      <c r="BV48" t="s">
        <v>665</v>
      </c>
      <c r="CD48" t="e">
        <v>#N/A</v>
      </c>
    </row>
    <row r="49" spans="1:82" x14ac:dyDescent="0.3">
      <c r="A49">
        <v>23</v>
      </c>
      <c r="B49" t="e">
        <v>#NUM!</v>
      </c>
      <c r="C49" t="s">
        <v>666</v>
      </c>
      <c r="D49">
        <v>642001011</v>
      </c>
      <c r="E49">
        <v>1710003988089</v>
      </c>
      <c r="G49" t="s">
        <v>217</v>
      </c>
      <c r="H49" t="s">
        <v>667</v>
      </c>
      <c r="I49" s="305">
        <v>42217</v>
      </c>
      <c r="J49">
        <v>9</v>
      </c>
      <c r="K49">
        <v>5</v>
      </c>
      <c r="L49" t="s">
        <v>14</v>
      </c>
      <c r="M49" t="s">
        <v>187</v>
      </c>
      <c r="O49" s="305">
        <v>45657</v>
      </c>
      <c r="Q49" t="s">
        <v>206</v>
      </c>
      <c r="R49" t="s">
        <v>6863</v>
      </c>
      <c r="S49" t="s">
        <v>312</v>
      </c>
      <c r="T49" t="s">
        <v>49</v>
      </c>
      <c r="U49" t="s">
        <v>204</v>
      </c>
      <c r="V49" t="s">
        <v>668</v>
      </c>
      <c r="W49" t="s">
        <v>120</v>
      </c>
      <c r="X49" t="s">
        <v>313</v>
      </c>
      <c r="Z49" t="s">
        <v>337</v>
      </c>
      <c r="AA49" t="s">
        <v>132</v>
      </c>
      <c r="AB49" t="s">
        <v>217</v>
      </c>
      <c r="AC49" s="305">
        <v>27959</v>
      </c>
      <c r="AD49">
        <v>48</v>
      </c>
      <c r="AE49" t="s">
        <v>669</v>
      </c>
      <c r="AF49" t="s">
        <v>670</v>
      </c>
      <c r="AG49" t="s">
        <v>671</v>
      </c>
      <c r="AJ49" t="s">
        <v>672</v>
      </c>
      <c r="AK49" t="s">
        <v>673</v>
      </c>
      <c r="AL49">
        <v>16006272096</v>
      </c>
      <c r="AM49" t="s">
        <v>4733</v>
      </c>
      <c r="AN49" t="s">
        <v>674</v>
      </c>
      <c r="AO49" t="s">
        <v>675</v>
      </c>
      <c r="AP49" t="s">
        <v>676</v>
      </c>
      <c r="AS49" t="s">
        <v>306</v>
      </c>
      <c r="AT49" t="s">
        <v>306</v>
      </c>
      <c r="AU49" t="s">
        <v>306</v>
      </c>
      <c r="AV49" t="s">
        <v>306</v>
      </c>
      <c r="AW49">
        <v>2</v>
      </c>
      <c r="AX49" t="s">
        <v>5002</v>
      </c>
      <c r="BA49" t="s">
        <v>161</v>
      </c>
      <c r="BB49" t="s">
        <v>349</v>
      </c>
      <c r="BC49" t="s">
        <v>91</v>
      </c>
      <c r="BD49" t="s">
        <v>677</v>
      </c>
      <c r="BE49">
        <v>1995</v>
      </c>
      <c r="BF49" t="s">
        <v>475</v>
      </c>
      <c r="BG49" t="s">
        <v>91</v>
      </c>
      <c r="BH49" t="s">
        <v>677</v>
      </c>
      <c r="BI49">
        <v>1995</v>
      </c>
      <c r="BL49" t="s">
        <v>360</v>
      </c>
      <c r="BM49">
        <v>28</v>
      </c>
      <c r="BN49">
        <v>40</v>
      </c>
      <c r="BQ49" s="305">
        <v>44601</v>
      </c>
      <c r="BS49">
        <v>43467</v>
      </c>
      <c r="BT49">
        <v>43830</v>
      </c>
      <c r="BU49" t="s">
        <v>678</v>
      </c>
      <c r="BV49" t="s">
        <v>679</v>
      </c>
      <c r="CD49" t="e">
        <v>#N/A</v>
      </c>
    </row>
    <row r="50" spans="1:82" x14ac:dyDescent="0.3">
      <c r="A50">
        <v>24</v>
      </c>
      <c r="B50" t="e">
        <v>#NUM!</v>
      </c>
      <c r="C50" t="s">
        <v>680</v>
      </c>
      <c r="D50">
        <v>642001012</v>
      </c>
      <c r="E50">
        <v>1710003988030</v>
      </c>
      <c r="G50" t="s">
        <v>217</v>
      </c>
      <c r="H50" t="s">
        <v>217</v>
      </c>
      <c r="I50" s="305">
        <v>42217</v>
      </c>
      <c r="J50">
        <v>9</v>
      </c>
      <c r="K50">
        <v>5</v>
      </c>
      <c r="L50" t="s">
        <v>14</v>
      </c>
      <c r="M50" t="s">
        <v>187</v>
      </c>
      <c r="O50" s="305">
        <v>45657</v>
      </c>
      <c r="Q50" t="s">
        <v>206</v>
      </c>
      <c r="R50" t="s">
        <v>6863</v>
      </c>
      <c r="S50" t="s">
        <v>296</v>
      </c>
      <c r="T50" t="s">
        <v>28</v>
      </c>
      <c r="U50" t="s">
        <v>461</v>
      </c>
      <c r="V50" t="s">
        <v>125</v>
      </c>
      <c r="W50" t="s">
        <v>122</v>
      </c>
      <c r="X50" t="s">
        <v>313</v>
      </c>
      <c r="Y50" t="s">
        <v>462</v>
      </c>
      <c r="Z50" t="s">
        <v>337</v>
      </c>
      <c r="AA50" t="s">
        <v>132</v>
      </c>
      <c r="AB50" t="s">
        <v>217</v>
      </c>
      <c r="AC50" s="305">
        <v>33907</v>
      </c>
      <c r="AD50">
        <v>32</v>
      </c>
      <c r="AE50" t="s">
        <v>681</v>
      </c>
      <c r="AF50" t="s">
        <v>682</v>
      </c>
      <c r="AG50" t="s">
        <v>683</v>
      </c>
      <c r="AJ50" t="s">
        <v>684</v>
      </c>
      <c r="AK50" t="s">
        <v>685</v>
      </c>
      <c r="AL50">
        <v>16006272344</v>
      </c>
      <c r="AM50" t="s">
        <v>4733</v>
      </c>
      <c r="AN50" t="s">
        <v>686</v>
      </c>
      <c r="AS50" t="s">
        <v>687</v>
      </c>
      <c r="AT50" t="s">
        <v>688</v>
      </c>
      <c r="AU50" t="s">
        <v>689</v>
      </c>
      <c r="AV50" t="s">
        <v>690</v>
      </c>
      <c r="AW50">
        <v>0</v>
      </c>
      <c r="AX50" t="s">
        <v>5627</v>
      </c>
      <c r="AY50" t="s">
        <v>691</v>
      </c>
      <c r="AZ50" t="s">
        <v>691</v>
      </c>
      <c r="BA50" t="s">
        <v>162</v>
      </c>
      <c r="BB50" t="s">
        <v>70</v>
      </c>
      <c r="BC50" t="s">
        <v>515</v>
      </c>
      <c r="BD50" t="s">
        <v>72</v>
      </c>
      <c r="BE50">
        <v>2011</v>
      </c>
      <c r="BF50" t="s">
        <v>70</v>
      </c>
      <c r="BG50" t="s">
        <v>515</v>
      </c>
      <c r="BH50" t="s">
        <v>72</v>
      </c>
      <c r="BI50">
        <v>2011</v>
      </c>
      <c r="BL50" t="s">
        <v>351</v>
      </c>
      <c r="BM50">
        <v>31</v>
      </c>
      <c r="BN50">
        <v>41</v>
      </c>
      <c r="BO50" s="305">
        <v>44294</v>
      </c>
      <c r="BP50" s="305">
        <v>44322</v>
      </c>
      <c r="BQ50" s="305">
        <v>44672</v>
      </c>
      <c r="BS50">
        <v>43467</v>
      </c>
      <c r="BT50">
        <v>43830</v>
      </c>
      <c r="BU50" t="s">
        <v>692</v>
      </c>
      <c r="BV50" t="s">
        <v>693</v>
      </c>
      <c r="CD50" t="e">
        <v>#N/A</v>
      </c>
    </row>
    <row r="51" spans="1:82" x14ac:dyDescent="0.3">
      <c r="A51">
        <v>402</v>
      </c>
      <c r="B51" t="e">
        <v>#NUM!</v>
      </c>
      <c r="C51" t="s">
        <v>4543</v>
      </c>
      <c r="D51">
        <v>642409217</v>
      </c>
      <c r="E51" t="s">
        <v>4544</v>
      </c>
      <c r="G51" t="s">
        <v>217</v>
      </c>
      <c r="H51" t="s">
        <v>311</v>
      </c>
      <c r="I51" s="305">
        <v>45567</v>
      </c>
      <c r="J51">
        <v>0</v>
      </c>
      <c r="K51">
        <v>0</v>
      </c>
      <c r="L51" t="s">
        <v>14</v>
      </c>
      <c r="M51" t="s">
        <v>187</v>
      </c>
      <c r="O51" s="305">
        <v>45657</v>
      </c>
      <c r="Q51" t="s">
        <v>206</v>
      </c>
      <c r="R51" t="s">
        <v>6863</v>
      </c>
      <c r="S51" t="s">
        <v>312</v>
      </c>
      <c r="W51" t="s">
        <v>121</v>
      </c>
      <c r="X51" t="s">
        <v>313</v>
      </c>
      <c r="AA51" t="s">
        <v>132</v>
      </c>
      <c r="AB51" t="s">
        <v>311</v>
      </c>
      <c r="AC51" s="305">
        <v>34550</v>
      </c>
      <c r="AD51">
        <v>30</v>
      </c>
      <c r="AE51" t="s">
        <v>4545</v>
      </c>
      <c r="AF51" t="s">
        <v>4546</v>
      </c>
      <c r="AG51" t="s">
        <v>4547</v>
      </c>
      <c r="AH51" t="s">
        <v>4548</v>
      </c>
      <c r="AI51" t="s">
        <v>4548</v>
      </c>
      <c r="AJ51" t="s">
        <v>4549</v>
      </c>
      <c r="AK51" t="s">
        <v>4550</v>
      </c>
      <c r="AL51" t="s">
        <v>4551</v>
      </c>
      <c r="AM51" t="s">
        <v>4733</v>
      </c>
      <c r="AN51" t="s">
        <v>4552</v>
      </c>
      <c r="AS51" t="s">
        <v>4498</v>
      </c>
      <c r="AT51" t="s">
        <v>4553</v>
      </c>
      <c r="AU51" t="s">
        <v>4554</v>
      </c>
      <c r="AV51" t="s">
        <v>4555</v>
      </c>
      <c r="AW51">
        <v>0</v>
      </c>
      <c r="AX51" t="s">
        <v>5627</v>
      </c>
      <c r="BA51" t="s">
        <v>161</v>
      </c>
      <c r="BB51" t="s">
        <v>349</v>
      </c>
      <c r="BC51" t="s">
        <v>91</v>
      </c>
      <c r="BD51" t="s">
        <v>3877</v>
      </c>
      <c r="BE51">
        <v>2013</v>
      </c>
      <c r="BF51" t="s">
        <v>349</v>
      </c>
      <c r="BG51" t="s">
        <v>91</v>
      </c>
      <c r="BH51" t="s">
        <v>3877</v>
      </c>
      <c r="BI51">
        <v>2013</v>
      </c>
      <c r="BL51" t="s">
        <v>351</v>
      </c>
      <c r="BM51" t="s">
        <v>351</v>
      </c>
      <c r="BN51">
        <v>42</v>
      </c>
    </row>
    <row r="52" spans="1:82" x14ac:dyDescent="0.3">
      <c r="A52">
        <v>401</v>
      </c>
      <c r="B52" t="e">
        <v>#NUM!</v>
      </c>
      <c r="C52" t="s">
        <v>4526</v>
      </c>
      <c r="D52">
        <v>642409216</v>
      </c>
      <c r="E52" t="s">
        <v>4527</v>
      </c>
      <c r="G52" t="s">
        <v>217</v>
      </c>
      <c r="H52" t="s">
        <v>217</v>
      </c>
      <c r="I52" s="305">
        <v>45567</v>
      </c>
      <c r="J52">
        <v>0</v>
      </c>
      <c r="K52">
        <v>0</v>
      </c>
      <c r="L52" t="s">
        <v>14</v>
      </c>
      <c r="M52" t="s">
        <v>187</v>
      </c>
      <c r="O52" s="305">
        <v>45657</v>
      </c>
      <c r="Q52" t="s">
        <v>206</v>
      </c>
      <c r="R52" t="s">
        <v>6863</v>
      </c>
      <c r="S52" t="s">
        <v>312</v>
      </c>
      <c r="W52" t="s">
        <v>121</v>
      </c>
      <c r="X52" t="s">
        <v>313</v>
      </c>
      <c r="AA52" t="s">
        <v>132</v>
      </c>
      <c r="AB52" t="s">
        <v>217</v>
      </c>
      <c r="AC52" s="305">
        <v>31722</v>
      </c>
      <c r="AD52">
        <v>38</v>
      </c>
      <c r="AE52" t="s">
        <v>4528</v>
      </c>
      <c r="AF52" t="s">
        <v>4529</v>
      </c>
      <c r="AG52" t="s">
        <v>4530</v>
      </c>
      <c r="AH52" t="s">
        <v>4531</v>
      </c>
      <c r="AI52" t="s">
        <v>4532</v>
      </c>
      <c r="AJ52" t="s">
        <v>4533</v>
      </c>
      <c r="AK52" t="s">
        <v>4534</v>
      </c>
      <c r="AL52" t="s">
        <v>4535</v>
      </c>
      <c r="AM52" t="s">
        <v>4733</v>
      </c>
      <c r="AN52" t="s">
        <v>4536</v>
      </c>
      <c r="AO52" t="s">
        <v>4537</v>
      </c>
      <c r="AP52" t="s">
        <v>4538</v>
      </c>
      <c r="AS52" t="s">
        <v>4539</v>
      </c>
      <c r="AT52" t="s">
        <v>4540</v>
      </c>
      <c r="AU52" t="s">
        <v>4541</v>
      </c>
      <c r="AV52" t="s">
        <v>4542</v>
      </c>
      <c r="AW52">
        <v>2</v>
      </c>
      <c r="AX52" t="s">
        <v>5002</v>
      </c>
      <c r="BA52" t="s">
        <v>161</v>
      </c>
      <c r="BB52" t="s">
        <v>349</v>
      </c>
      <c r="BC52" t="s">
        <v>515</v>
      </c>
      <c r="BD52" t="s">
        <v>976</v>
      </c>
      <c r="BE52">
        <v>2005</v>
      </c>
      <c r="BF52" t="s">
        <v>349</v>
      </c>
      <c r="BG52" t="s">
        <v>515</v>
      </c>
      <c r="BH52" t="s">
        <v>976</v>
      </c>
      <c r="BI52">
        <v>2005</v>
      </c>
      <c r="BL52" t="s">
        <v>4472</v>
      </c>
      <c r="BM52" t="s">
        <v>369</v>
      </c>
      <c r="BN52">
        <v>43</v>
      </c>
    </row>
    <row r="53" spans="1:82" x14ac:dyDescent="0.3">
      <c r="A53">
        <v>28</v>
      </c>
      <c r="B53" t="e">
        <v>#NUM!</v>
      </c>
      <c r="C53" t="s">
        <v>732</v>
      </c>
      <c r="D53">
        <v>642001009</v>
      </c>
      <c r="E53">
        <v>1710004045129</v>
      </c>
      <c r="G53" t="s">
        <v>217</v>
      </c>
      <c r="H53" t="s">
        <v>217</v>
      </c>
      <c r="I53" s="305">
        <v>42278</v>
      </c>
      <c r="J53">
        <v>9</v>
      </c>
      <c r="K53">
        <v>3</v>
      </c>
      <c r="L53" t="s">
        <v>14</v>
      </c>
      <c r="M53" t="s">
        <v>187</v>
      </c>
      <c r="O53" s="305">
        <v>45657</v>
      </c>
      <c r="Q53" t="s">
        <v>206</v>
      </c>
      <c r="R53" t="s">
        <v>6863</v>
      </c>
      <c r="S53" t="s">
        <v>312</v>
      </c>
      <c r="T53" t="s">
        <v>24</v>
      </c>
      <c r="U53" t="s">
        <v>204</v>
      </c>
      <c r="V53" t="s">
        <v>629</v>
      </c>
      <c r="W53" t="s">
        <v>121</v>
      </c>
      <c r="X53" t="s">
        <v>313</v>
      </c>
      <c r="Y53" t="s">
        <v>462</v>
      </c>
      <c r="Z53" t="s">
        <v>337</v>
      </c>
      <c r="AA53" t="s">
        <v>132</v>
      </c>
      <c r="AB53" t="s">
        <v>217</v>
      </c>
      <c r="AC53" s="305">
        <v>35130</v>
      </c>
      <c r="AD53">
        <v>28</v>
      </c>
      <c r="AE53" t="s">
        <v>733</v>
      </c>
      <c r="AF53" t="s">
        <v>734</v>
      </c>
      <c r="AG53" t="s">
        <v>735</v>
      </c>
      <c r="AJ53" t="s">
        <v>736</v>
      </c>
      <c r="AK53" t="s">
        <v>737</v>
      </c>
      <c r="AL53">
        <v>16006272153</v>
      </c>
      <c r="AM53" t="s">
        <v>4733</v>
      </c>
      <c r="AN53" t="s">
        <v>738</v>
      </c>
      <c r="AO53" t="s">
        <v>739</v>
      </c>
      <c r="AS53" t="s">
        <v>740</v>
      </c>
      <c r="AT53" t="s">
        <v>741</v>
      </c>
      <c r="AU53" t="s">
        <v>742</v>
      </c>
      <c r="AV53" t="s">
        <v>743</v>
      </c>
      <c r="AW53">
        <v>1</v>
      </c>
      <c r="AX53" t="s">
        <v>5637</v>
      </c>
      <c r="AY53" t="s">
        <v>744</v>
      </c>
      <c r="AZ53" t="s">
        <v>744</v>
      </c>
      <c r="BA53" t="s">
        <v>161</v>
      </c>
      <c r="BB53" t="s">
        <v>349</v>
      </c>
      <c r="BC53" t="s">
        <v>515</v>
      </c>
      <c r="BD53" t="s">
        <v>516</v>
      </c>
      <c r="BE53">
        <v>2015</v>
      </c>
      <c r="BF53" t="s">
        <v>475</v>
      </c>
      <c r="BG53" t="s">
        <v>515</v>
      </c>
      <c r="BH53" t="s">
        <v>516</v>
      </c>
      <c r="BI53">
        <v>2015</v>
      </c>
      <c r="BL53" t="s">
        <v>339</v>
      </c>
      <c r="BM53">
        <v>36</v>
      </c>
      <c r="BN53">
        <v>43</v>
      </c>
      <c r="BQ53" s="305">
        <v>44864</v>
      </c>
      <c r="BS53">
        <v>43467</v>
      </c>
      <c r="BT53">
        <v>43830</v>
      </c>
      <c r="BU53" t="s">
        <v>745</v>
      </c>
      <c r="BV53" t="s">
        <v>746</v>
      </c>
      <c r="CD53" t="e">
        <v>#N/A</v>
      </c>
    </row>
    <row r="54" spans="1:82" x14ac:dyDescent="0.3">
      <c r="A54">
        <v>400</v>
      </c>
      <c r="B54" t="e">
        <v>#NUM!</v>
      </c>
      <c r="C54" t="s">
        <v>4514</v>
      </c>
      <c r="D54">
        <v>642409215</v>
      </c>
      <c r="E54" t="s">
        <v>4515</v>
      </c>
      <c r="G54" t="s">
        <v>217</v>
      </c>
      <c r="H54" t="s">
        <v>217</v>
      </c>
      <c r="I54" s="305">
        <v>45567</v>
      </c>
      <c r="J54">
        <v>0</v>
      </c>
      <c r="K54">
        <v>0</v>
      </c>
      <c r="L54" t="s">
        <v>14</v>
      </c>
      <c r="M54" t="s">
        <v>187</v>
      </c>
      <c r="O54" s="305">
        <v>45657</v>
      </c>
      <c r="Q54" t="s">
        <v>206</v>
      </c>
      <c r="R54" t="s">
        <v>6863</v>
      </c>
      <c r="S54" t="s">
        <v>312</v>
      </c>
      <c r="W54" t="s">
        <v>121</v>
      </c>
      <c r="X54" t="s">
        <v>313</v>
      </c>
      <c r="AA54" t="s">
        <v>132</v>
      </c>
      <c r="AB54" t="s">
        <v>217</v>
      </c>
      <c r="AC54" s="305">
        <v>35517</v>
      </c>
      <c r="AD54">
        <v>27</v>
      </c>
      <c r="AE54" t="s">
        <v>4516</v>
      </c>
      <c r="AF54" t="s">
        <v>4517</v>
      </c>
      <c r="AG54" t="s">
        <v>4518</v>
      </c>
      <c r="AH54" t="s">
        <v>4519</v>
      </c>
      <c r="AI54" t="s">
        <v>4520</v>
      </c>
      <c r="AJ54" t="s">
        <v>4521</v>
      </c>
      <c r="AK54" t="s">
        <v>6842</v>
      </c>
      <c r="AL54" t="s">
        <v>4522</v>
      </c>
      <c r="AM54" t="s">
        <v>4716</v>
      </c>
      <c r="AS54" t="s">
        <v>4523</v>
      </c>
      <c r="AT54" t="s">
        <v>4524</v>
      </c>
      <c r="AW54">
        <v>0</v>
      </c>
      <c r="AX54" t="s">
        <v>5078</v>
      </c>
      <c r="BA54" t="s">
        <v>161</v>
      </c>
      <c r="BB54" t="s">
        <v>349</v>
      </c>
      <c r="BC54" t="s">
        <v>527</v>
      </c>
      <c r="BD54" t="s">
        <v>516</v>
      </c>
      <c r="BE54">
        <v>2010</v>
      </c>
      <c r="BF54" t="s">
        <v>349</v>
      </c>
      <c r="BG54" t="s">
        <v>527</v>
      </c>
      <c r="BH54" t="s">
        <v>516</v>
      </c>
      <c r="BI54">
        <v>2010</v>
      </c>
      <c r="BL54" t="s">
        <v>4472</v>
      </c>
      <c r="BM54" t="s">
        <v>369</v>
      </c>
      <c r="BN54">
        <v>41</v>
      </c>
    </row>
    <row r="55" spans="1:82" x14ac:dyDescent="0.3">
      <c r="A55">
        <v>32</v>
      </c>
      <c r="B55" t="e">
        <v>#NUM!</v>
      </c>
      <c r="C55" t="s">
        <v>793</v>
      </c>
      <c r="D55">
        <v>642001008</v>
      </c>
      <c r="E55">
        <v>1710003988105</v>
      </c>
      <c r="G55" t="s">
        <v>217</v>
      </c>
      <c r="H55" t="s">
        <v>217</v>
      </c>
      <c r="I55" s="305">
        <v>42401</v>
      </c>
      <c r="J55">
        <v>8</v>
      </c>
      <c r="K55">
        <v>11</v>
      </c>
      <c r="L55" t="s">
        <v>14</v>
      </c>
      <c r="M55" t="s">
        <v>187</v>
      </c>
      <c r="O55" s="305">
        <v>45657</v>
      </c>
      <c r="Q55" t="s">
        <v>206</v>
      </c>
      <c r="R55" t="s">
        <v>6863</v>
      </c>
      <c r="S55" t="s">
        <v>296</v>
      </c>
      <c r="T55" t="s">
        <v>49</v>
      </c>
      <c r="U55" t="s">
        <v>49</v>
      </c>
      <c r="V55" t="s">
        <v>49</v>
      </c>
      <c r="W55" t="s">
        <v>120</v>
      </c>
      <c r="X55" t="s">
        <v>313</v>
      </c>
      <c r="Z55" t="s">
        <v>337</v>
      </c>
      <c r="AA55" t="s">
        <v>132</v>
      </c>
      <c r="AB55" t="s">
        <v>217</v>
      </c>
      <c r="AC55" s="305">
        <v>29699</v>
      </c>
      <c r="AD55">
        <v>43</v>
      </c>
      <c r="AE55" t="s">
        <v>794</v>
      </c>
      <c r="AF55" t="s">
        <v>795</v>
      </c>
      <c r="AG55" t="s">
        <v>796</v>
      </c>
      <c r="AJ55" t="s">
        <v>797</v>
      </c>
      <c r="AK55" t="s">
        <v>798</v>
      </c>
      <c r="AL55">
        <v>16006272377</v>
      </c>
      <c r="AM55" t="s">
        <v>4733</v>
      </c>
      <c r="AN55" t="s">
        <v>799</v>
      </c>
      <c r="AO55" t="s">
        <v>800</v>
      </c>
      <c r="AP55" t="s">
        <v>801</v>
      </c>
      <c r="AQ55" t="s">
        <v>802</v>
      </c>
      <c r="AS55" t="s">
        <v>306</v>
      </c>
      <c r="AT55" t="s">
        <v>306</v>
      </c>
      <c r="AU55" t="s">
        <v>306</v>
      </c>
      <c r="AV55" t="s">
        <v>306</v>
      </c>
      <c r="AW55">
        <v>3</v>
      </c>
      <c r="AX55" t="s">
        <v>5145</v>
      </c>
      <c r="BA55" t="s">
        <v>161</v>
      </c>
      <c r="BB55" t="s">
        <v>349</v>
      </c>
      <c r="BC55" t="s">
        <v>91</v>
      </c>
      <c r="BD55" t="s">
        <v>350</v>
      </c>
      <c r="BE55">
        <v>1999</v>
      </c>
      <c r="BF55" t="s">
        <v>475</v>
      </c>
      <c r="BG55" t="s">
        <v>91</v>
      </c>
      <c r="BH55" t="s">
        <v>350</v>
      </c>
      <c r="BI55">
        <v>1999</v>
      </c>
      <c r="BL55" t="s">
        <v>351</v>
      </c>
      <c r="BM55">
        <v>32</v>
      </c>
      <c r="BN55">
        <v>40</v>
      </c>
      <c r="BO55" s="305">
        <v>44294</v>
      </c>
      <c r="BP55" s="305">
        <v>44322</v>
      </c>
      <c r="BQ55" s="305">
        <v>44601</v>
      </c>
      <c r="BS55">
        <v>43467</v>
      </c>
      <c r="BT55">
        <v>43830</v>
      </c>
      <c r="BU55" t="s">
        <v>803</v>
      </c>
      <c r="BV55" t="s">
        <v>804</v>
      </c>
      <c r="CD55" t="e">
        <v>#N/A</v>
      </c>
    </row>
    <row r="56" spans="1:82" x14ac:dyDescent="0.3">
      <c r="A56">
        <v>33</v>
      </c>
      <c r="B56" t="e">
        <v>#NUM!</v>
      </c>
      <c r="C56" t="s">
        <v>805</v>
      </c>
      <c r="D56">
        <v>642001019</v>
      </c>
      <c r="E56">
        <v>1710003987891</v>
      </c>
      <c r="G56" t="s">
        <v>217</v>
      </c>
      <c r="H56" t="s">
        <v>217</v>
      </c>
      <c r="I56" s="305">
        <v>42401</v>
      </c>
      <c r="J56">
        <v>8</v>
      </c>
      <c r="K56">
        <v>11</v>
      </c>
      <c r="L56" t="s">
        <v>14</v>
      </c>
      <c r="M56" t="s">
        <v>187</v>
      </c>
      <c r="O56" s="305">
        <v>45657</v>
      </c>
      <c r="Q56" t="s">
        <v>206</v>
      </c>
      <c r="R56" t="s">
        <v>6863</v>
      </c>
      <c r="S56" t="s">
        <v>312</v>
      </c>
      <c r="T56" t="s">
        <v>31</v>
      </c>
      <c r="U56" t="s">
        <v>204</v>
      </c>
      <c r="V56" t="s">
        <v>639</v>
      </c>
      <c r="W56" t="s">
        <v>122</v>
      </c>
      <c r="X56" t="s">
        <v>313</v>
      </c>
      <c r="Y56" t="s">
        <v>462</v>
      </c>
      <c r="Z56" t="s">
        <v>337</v>
      </c>
      <c r="AA56" t="s">
        <v>132</v>
      </c>
      <c r="AB56" t="s">
        <v>217</v>
      </c>
      <c r="AC56" s="305">
        <v>31203</v>
      </c>
      <c r="AD56">
        <v>39</v>
      </c>
      <c r="AE56" t="s">
        <v>806</v>
      </c>
      <c r="AF56" t="s">
        <v>807</v>
      </c>
      <c r="AG56" t="s">
        <v>808</v>
      </c>
      <c r="AJ56" t="s">
        <v>809</v>
      </c>
      <c r="AK56" t="s">
        <v>810</v>
      </c>
      <c r="AL56">
        <v>16013068677</v>
      </c>
      <c r="AM56" t="s">
        <v>4733</v>
      </c>
      <c r="AN56" t="s">
        <v>811</v>
      </c>
      <c r="AO56" t="s">
        <v>812</v>
      </c>
      <c r="AP56" t="s">
        <v>813</v>
      </c>
      <c r="AS56" t="s">
        <v>814</v>
      </c>
      <c r="AT56" t="s">
        <v>815</v>
      </c>
      <c r="AU56" t="s">
        <v>816</v>
      </c>
      <c r="AV56" t="s">
        <v>817</v>
      </c>
      <c r="AW56">
        <v>2</v>
      </c>
      <c r="AX56" t="s">
        <v>5002</v>
      </c>
      <c r="AY56" t="s">
        <v>818</v>
      </c>
      <c r="AZ56" t="s">
        <v>818</v>
      </c>
      <c r="BA56" t="s">
        <v>161</v>
      </c>
      <c r="BB56" t="s">
        <v>349</v>
      </c>
      <c r="BC56" t="s">
        <v>515</v>
      </c>
      <c r="BD56" t="s">
        <v>663</v>
      </c>
      <c r="BE56">
        <v>2003</v>
      </c>
      <c r="BF56" t="s">
        <v>475</v>
      </c>
      <c r="BG56" t="s">
        <v>515</v>
      </c>
      <c r="BH56" t="s">
        <v>663</v>
      </c>
      <c r="BI56">
        <v>2003</v>
      </c>
      <c r="BL56" t="s">
        <v>360</v>
      </c>
      <c r="BM56">
        <v>29</v>
      </c>
      <c r="BN56">
        <v>38</v>
      </c>
      <c r="BS56">
        <v>43467</v>
      </c>
      <c r="BT56">
        <v>43830</v>
      </c>
      <c r="BU56" t="s">
        <v>819</v>
      </c>
      <c r="BV56" t="s">
        <v>820</v>
      </c>
      <c r="CD56" t="e">
        <v>#N/A</v>
      </c>
    </row>
    <row r="57" spans="1:82" x14ac:dyDescent="0.3">
      <c r="A57">
        <v>399</v>
      </c>
      <c r="B57" t="e">
        <v>#NUM!</v>
      </c>
      <c r="C57" t="s">
        <v>4503</v>
      </c>
      <c r="D57">
        <v>642409214</v>
      </c>
      <c r="E57" t="s">
        <v>4504</v>
      </c>
      <c r="G57" t="s">
        <v>217</v>
      </c>
      <c r="H57" t="s">
        <v>217</v>
      </c>
      <c r="I57" s="305">
        <v>45567</v>
      </c>
      <c r="J57">
        <v>0</v>
      </c>
      <c r="K57">
        <v>0</v>
      </c>
      <c r="L57" t="s">
        <v>14</v>
      </c>
      <c r="M57" t="s">
        <v>187</v>
      </c>
      <c r="O57" s="305">
        <v>45657</v>
      </c>
      <c r="Q57" t="s">
        <v>206</v>
      </c>
      <c r="R57" t="s">
        <v>6863</v>
      </c>
      <c r="S57" t="s">
        <v>312</v>
      </c>
      <c r="W57" t="s">
        <v>121</v>
      </c>
      <c r="X57" t="s">
        <v>313</v>
      </c>
      <c r="AA57" t="s">
        <v>132</v>
      </c>
      <c r="AB57" t="s">
        <v>217</v>
      </c>
      <c r="AC57" s="305">
        <v>38051</v>
      </c>
      <c r="AD57">
        <v>20</v>
      </c>
      <c r="AE57" t="s">
        <v>4505</v>
      </c>
      <c r="AF57" t="s">
        <v>4506</v>
      </c>
      <c r="AG57" t="s">
        <v>4507</v>
      </c>
      <c r="AH57" t="s">
        <v>4508</v>
      </c>
      <c r="AI57" t="s">
        <v>4509</v>
      </c>
      <c r="AJ57" t="s">
        <v>4510</v>
      </c>
      <c r="AK57" t="s">
        <v>4511</v>
      </c>
      <c r="AL57">
        <v>24154903520</v>
      </c>
      <c r="AM57" t="s">
        <v>4716</v>
      </c>
      <c r="AS57" t="s">
        <v>1140</v>
      </c>
      <c r="AT57" t="s">
        <v>4512</v>
      </c>
      <c r="AW57">
        <v>0</v>
      </c>
      <c r="AX57" t="s">
        <v>5078</v>
      </c>
      <c r="BA57" t="s">
        <v>161</v>
      </c>
      <c r="BB57" t="s">
        <v>349</v>
      </c>
      <c r="BC57" t="s">
        <v>4513</v>
      </c>
      <c r="BD57" t="s">
        <v>516</v>
      </c>
      <c r="BE57">
        <v>2023</v>
      </c>
      <c r="BF57" t="s">
        <v>349</v>
      </c>
      <c r="BG57" t="s">
        <v>4513</v>
      </c>
      <c r="BH57" t="s">
        <v>516</v>
      </c>
      <c r="BI57">
        <v>2023</v>
      </c>
      <c r="BL57" t="s">
        <v>4472</v>
      </c>
      <c r="BM57" t="s">
        <v>369</v>
      </c>
      <c r="BN57">
        <v>43</v>
      </c>
    </row>
    <row r="58" spans="1:82" x14ac:dyDescent="0.3">
      <c r="A58">
        <v>35</v>
      </c>
      <c r="B58" t="e">
        <v>#NUM!</v>
      </c>
      <c r="C58" t="s">
        <v>831</v>
      </c>
      <c r="D58">
        <v>642001014</v>
      </c>
      <c r="E58">
        <v>1710003987925</v>
      </c>
      <c r="G58" t="s">
        <v>217</v>
      </c>
      <c r="H58" t="s">
        <v>311</v>
      </c>
      <c r="I58" s="305">
        <v>42401</v>
      </c>
      <c r="J58">
        <v>8</v>
      </c>
      <c r="K58">
        <v>11</v>
      </c>
      <c r="L58" t="s">
        <v>14</v>
      </c>
      <c r="M58" t="s">
        <v>187</v>
      </c>
      <c r="O58" s="305">
        <v>45657</v>
      </c>
      <c r="Q58" t="s">
        <v>206</v>
      </c>
      <c r="R58" t="s">
        <v>6863</v>
      </c>
      <c r="S58" t="s">
        <v>312</v>
      </c>
      <c r="T58" t="s">
        <v>204</v>
      </c>
      <c r="U58" t="s">
        <v>204</v>
      </c>
      <c r="V58" t="s">
        <v>832</v>
      </c>
      <c r="W58" t="s">
        <v>208</v>
      </c>
      <c r="X58" t="s">
        <v>313</v>
      </c>
      <c r="Y58" t="s">
        <v>173</v>
      </c>
      <c r="Z58" t="s">
        <v>337</v>
      </c>
      <c r="AA58" t="s">
        <v>132</v>
      </c>
      <c r="AB58" t="s">
        <v>432</v>
      </c>
      <c r="AC58" s="305">
        <v>34890</v>
      </c>
      <c r="AD58">
        <v>29</v>
      </c>
      <c r="AE58" t="s">
        <v>833</v>
      </c>
      <c r="AF58" t="s">
        <v>834</v>
      </c>
      <c r="AG58" t="s">
        <v>835</v>
      </c>
      <c r="AJ58" t="s">
        <v>836</v>
      </c>
      <c r="AK58" t="s">
        <v>837</v>
      </c>
      <c r="AL58">
        <v>16006271973</v>
      </c>
      <c r="AM58" t="s">
        <v>4716</v>
      </c>
      <c r="AS58" t="s">
        <v>601</v>
      </c>
      <c r="AT58" t="s">
        <v>306</v>
      </c>
      <c r="AU58" t="s">
        <v>306</v>
      </c>
      <c r="AV58" t="s">
        <v>306</v>
      </c>
      <c r="AW58">
        <v>0</v>
      </c>
      <c r="AX58" t="s">
        <v>5078</v>
      </c>
      <c r="BA58" t="s">
        <v>161</v>
      </c>
      <c r="BB58" t="s">
        <v>349</v>
      </c>
      <c r="BC58" t="s">
        <v>838</v>
      </c>
      <c r="BD58" t="s">
        <v>839</v>
      </c>
      <c r="BE58">
        <v>2014</v>
      </c>
      <c r="BF58" t="s">
        <v>475</v>
      </c>
      <c r="BG58" t="s">
        <v>838</v>
      </c>
      <c r="BH58" t="s">
        <v>839</v>
      </c>
      <c r="BI58">
        <v>2014</v>
      </c>
      <c r="BL58" t="s">
        <v>339</v>
      </c>
      <c r="BM58">
        <v>32</v>
      </c>
      <c r="BN58">
        <v>40</v>
      </c>
      <c r="BO58" s="305">
        <v>44293</v>
      </c>
      <c r="BP58" s="305">
        <v>44322</v>
      </c>
      <c r="BS58">
        <v>43467</v>
      </c>
      <c r="BT58">
        <v>43830</v>
      </c>
      <c r="BU58" t="s">
        <v>840</v>
      </c>
      <c r="BV58" t="s">
        <v>841</v>
      </c>
      <c r="CD58" t="e">
        <v>#N/A</v>
      </c>
    </row>
    <row r="59" spans="1:82" x14ac:dyDescent="0.3">
      <c r="A59">
        <v>37</v>
      </c>
      <c r="B59" t="e">
        <v>#NUM!</v>
      </c>
      <c r="C59" t="s">
        <v>853</v>
      </c>
      <c r="D59">
        <v>642001068</v>
      </c>
      <c r="E59">
        <v>1710003987552</v>
      </c>
      <c r="G59" t="s">
        <v>217</v>
      </c>
      <c r="H59" t="s">
        <v>217</v>
      </c>
      <c r="I59" s="305">
        <v>42430</v>
      </c>
      <c r="J59">
        <v>8</v>
      </c>
      <c r="K59">
        <v>10</v>
      </c>
      <c r="L59" t="s">
        <v>14</v>
      </c>
      <c r="M59" t="s">
        <v>187</v>
      </c>
      <c r="O59" s="305">
        <v>45657</v>
      </c>
      <c r="Q59" t="s">
        <v>206</v>
      </c>
      <c r="R59" t="s">
        <v>6863</v>
      </c>
      <c r="S59" t="s">
        <v>312</v>
      </c>
      <c r="T59" t="s">
        <v>204</v>
      </c>
      <c r="U59" t="s">
        <v>204</v>
      </c>
      <c r="V59" t="s">
        <v>208</v>
      </c>
      <c r="W59" t="s">
        <v>208</v>
      </c>
      <c r="X59" t="s">
        <v>313</v>
      </c>
      <c r="Y59" t="s">
        <v>854</v>
      </c>
      <c r="Z59" t="s">
        <v>337</v>
      </c>
      <c r="AA59" t="s">
        <v>132</v>
      </c>
      <c r="AB59" t="s">
        <v>217</v>
      </c>
      <c r="AC59" s="305">
        <v>31940</v>
      </c>
      <c r="AD59">
        <v>37</v>
      </c>
      <c r="AE59" t="s">
        <v>855</v>
      </c>
      <c r="AF59" t="s">
        <v>856</v>
      </c>
      <c r="AG59" t="s">
        <v>857</v>
      </c>
      <c r="AH59" t="s">
        <v>858</v>
      </c>
      <c r="AJ59" t="s">
        <v>859</v>
      </c>
      <c r="AK59" t="s">
        <v>860</v>
      </c>
      <c r="AL59">
        <v>16006272054</v>
      </c>
      <c r="AM59" t="s">
        <v>4733</v>
      </c>
      <c r="AN59" t="s">
        <v>861</v>
      </c>
      <c r="AO59" t="s">
        <v>862</v>
      </c>
      <c r="AS59" t="s">
        <v>306</v>
      </c>
      <c r="AT59" t="s">
        <v>306</v>
      </c>
      <c r="AU59" t="s">
        <v>306</v>
      </c>
      <c r="AV59" t="s">
        <v>306</v>
      </c>
      <c r="AW59">
        <v>1</v>
      </c>
      <c r="AX59" t="s">
        <v>5637</v>
      </c>
      <c r="BA59" t="s">
        <v>161</v>
      </c>
      <c r="BB59" t="s">
        <v>307</v>
      </c>
      <c r="BC59" t="s">
        <v>308</v>
      </c>
      <c r="BD59" t="s">
        <v>863</v>
      </c>
      <c r="BE59">
        <v>2005</v>
      </c>
      <c r="BF59" t="s">
        <v>307</v>
      </c>
      <c r="BG59" t="s">
        <v>308</v>
      </c>
      <c r="BH59" t="s">
        <v>863</v>
      </c>
      <c r="BI59">
        <v>2005</v>
      </c>
      <c r="BL59" t="s">
        <v>339</v>
      </c>
      <c r="BM59">
        <v>36</v>
      </c>
      <c r="BN59">
        <v>44</v>
      </c>
      <c r="BO59" s="305">
        <v>44308</v>
      </c>
      <c r="BP59" s="305">
        <v>44336</v>
      </c>
      <c r="BQ59" s="305">
        <v>44601</v>
      </c>
      <c r="BS59">
        <v>43467</v>
      </c>
      <c r="BT59">
        <v>43830</v>
      </c>
      <c r="BU59" t="s">
        <v>864</v>
      </c>
      <c r="BV59" t="s">
        <v>865</v>
      </c>
      <c r="CD59" t="e">
        <v>#N/A</v>
      </c>
    </row>
    <row r="60" spans="1:82" x14ac:dyDescent="0.3">
      <c r="A60">
        <v>38</v>
      </c>
      <c r="B60" t="e">
        <v>#NUM!</v>
      </c>
      <c r="C60" t="s">
        <v>866</v>
      </c>
      <c r="D60">
        <v>642001069</v>
      </c>
      <c r="E60">
        <v>1710004034404</v>
      </c>
      <c r="G60" t="s">
        <v>217</v>
      </c>
      <c r="H60" t="s">
        <v>867</v>
      </c>
      <c r="I60" s="305">
        <v>42430</v>
      </c>
      <c r="J60">
        <v>8</v>
      </c>
      <c r="K60">
        <v>10</v>
      </c>
      <c r="L60" t="s">
        <v>14</v>
      </c>
      <c r="M60" t="s">
        <v>187</v>
      </c>
      <c r="O60" s="305">
        <v>45657</v>
      </c>
      <c r="Q60" t="s">
        <v>206</v>
      </c>
      <c r="R60" t="s">
        <v>6863</v>
      </c>
      <c r="S60" t="s">
        <v>312</v>
      </c>
      <c r="T60" t="s">
        <v>24</v>
      </c>
      <c r="U60" t="s">
        <v>204</v>
      </c>
      <c r="V60" t="s">
        <v>629</v>
      </c>
      <c r="W60" t="s">
        <v>121</v>
      </c>
      <c r="X60" t="s">
        <v>313</v>
      </c>
      <c r="Y60" t="s">
        <v>462</v>
      </c>
      <c r="Z60" t="s">
        <v>337</v>
      </c>
      <c r="AA60" t="s">
        <v>132</v>
      </c>
      <c r="AB60" t="s">
        <v>867</v>
      </c>
      <c r="AC60" s="305">
        <v>35648</v>
      </c>
      <c r="AD60">
        <v>27</v>
      </c>
      <c r="AE60" t="s">
        <v>868</v>
      </c>
      <c r="AF60" t="s">
        <v>869</v>
      </c>
      <c r="AG60" t="s">
        <v>870</v>
      </c>
      <c r="AJ60" t="s">
        <v>871</v>
      </c>
      <c r="AK60" t="s">
        <v>872</v>
      </c>
      <c r="AL60">
        <v>16013068693</v>
      </c>
      <c r="AM60" t="s">
        <v>4716</v>
      </c>
      <c r="AS60" t="s">
        <v>873</v>
      </c>
      <c r="AT60" t="s">
        <v>874</v>
      </c>
      <c r="AU60" t="s">
        <v>306</v>
      </c>
      <c r="AV60" t="s">
        <v>306</v>
      </c>
      <c r="AW60">
        <v>0</v>
      </c>
      <c r="AX60" t="s">
        <v>5078</v>
      </c>
      <c r="AY60" t="s">
        <v>875</v>
      </c>
      <c r="AZ60" t="s">
        <v>875</v>
      </c>
      <c r="BA60" t="s">
        <v>161</v>
      </c>
      <c r="BB60" t="s">
        <v>349</v>
      </c>
      <c r="BC60" t="s">
        <v>527</v>
      </c>
      <c r="BD60" t="s">
        <v>876</v>
      </c>
      <c r="BE60">
        <v>2015</v>
      </c>
      <c r="BF60" t="s">
        <v>475</v>
      </c>
      <c r="BG60" t="s">
        <v>527</v>
      </c>
      <c r="BH60" t="s">
        <v>876</v>
      </c>
      <c r="BI60">
        <v>2015</v>
      </c>
      <c r="BL60" t="s">
        <v>360</v>
      </c>
      <c r="BM60">
        <v>29</v>
      </c>
      <c r="BN60">
        <v>42</v>
      </c>
      <c r="BS60">
        <v>43467</v>
      </c>
      <c r="BT60">
        <v>43830</v>
      </c>
      <c r="BU60" t="s">
        <v>877</v>
      </c>
      <c r="BV60" t="s">
        <v>878</v>
      </c>
      <c r="CD60" t="e">
        <v>#N/A</v>
      </c>
    </row>
    <row r="61" spans="1:82" x14ac:dyDescent="0.3">
      <c r="A61">
        <v>39</v>
      </c>
      <c r="B61" t="e">
        <v>#NUM!</v>
      </c>
      <c r="C61" t="s">
        <v>879</v>
      </c>
      <c r="D61">
        <v>642001067</v>
      </c>
      <c r="E61">
        <v>1710003988436</v>
      </c>
      <c r="G61" t="s">
        <v>217</v>
      </c>
      <c r="H61" t="s">
        <v>217</v>
      </c>
      <c r="I61" s="305">
        <v>42430</v>
      </c>
      <c r="J61">
        <v>8</v>
      </c>
      <c r="K61">
        <v>10</v>
      </c>
      <c r="L61" t="s">
        <v>14</v>
      </c>
      <c r="M61" t="s">
        <v>187</v>
      </c>
      <c r="O61" s="305">
        <v>45657</v>
      </c>
      <c r="Q61" t="s">
        <v>206</v>
      </c>
      <c r="R61" t="s">
        <v>6863</v>
      </c>
      <c r="S61" t="s">
        <v>296</v>
      </c>
      <c r="T61" t="s">
        <v>49</v>
      </c>
      <c r="U61" t="s">
        <v>49</v>
      </c>
      <c r="V61" t="s">
        <v>49</v>
      </c>
      <c r="W61" t="s">
        <v>120</v>
      </c>
      <c r="X61" t="s">
        <v>313</v>
      </c>
      <c r="Z61" t="s">
        <v>337</v>
      </c>
      <c r="AA61" t="s">
        <v>132</v>
      </c>
      <c r="AB61" t="s">
        <v>217</v>
      </c>
      <c r="AC61" s="305">
        <v>33941</v>
      </c>
      <c r="AD61">
        <v>32</v>
      </c>
      <c r="AE61" t="s">
        <v>880</v>
      </c>
      <c r="AF61" t="s">
        <v>881</v>
      </c>
      <c r="AG61" t="s">
        <v>882</v>
      </c>
      <c r="AJ61" t="s">
        <v>883</v>
      </c>
      <c r="AK61" t="s">
        <v>884</v>
      </c>
      <c r="AL61">
        <v>16006272070</v>
      </c>
      <c r="AM61" t="s">
        <v>6821</v>
      </c>
      <c r="AS61" t="s">
        <v>306</v>
      </c>
      <c r="AT61" t="s">
        <v>306</v>
      </c>
      <c r="AU61" t="s">
        <v>306</v>
      </c>
      <c r="AV61" t="s">
        <v>306</v>
      </c>
      <c r="AW61">
        <v>0</v>
      </c>
      <c r="AX61" t="s">
        <v>5078</v>
      </c>
      <c r="AY61" t="s">
        <v>885</v>
      </c>
      <c r="AZ61" t="s">
        <v>885</v>
      </c>
      <c r="BA61" t="s">
        <v>161</v>
      </c>
      <c r="BB61" t="s">
        <v>349</v>
      </c>
      <c r="BC61" t="s">
        <v>515</v>
      </c>
      <c r="BD61" t="s">
        <v>350</v>
      </c>
      <c r="BE61">
        <v>2012</v>
      </c>
      <c r="BF61" t="s">
        <v>475</v>
      </c>
      <c r="BG61" t="s">
        <v>515</v>
      </c>
      <c r="BH61" t="s">
        <v>350</v>
      </c>
      <c r="BI61">
        <v>2012</v>
      </c>
      <c r="BL61" t="s">
        <v>360</v>
      </c>
      <c r="BM61">
        <v>30</v>
      </c>
      <c r="BN61">
        <v>42</v>
      </c>
      <c r="BO61" s="305">
        <v>44294</v>
      </c>
      <c r="BP61" s="305">
        <v>44322</v>
      </c>
      <c r="BQ61" s="305">
        <v>44601</v>
      </c>
      <c r="BS61">
        <v>43467</v>
      </c>
      <c r="BT61">
        <v>43830</v>
      </c>
      <c r="BU61" t="s">
        <v>886</v>
      </c>
      <c r="BV61" t="s">
        <v>887</v>
      </c>
      <c r="CD61" t="e">
        <v>#N/A</v>
      </c>
    </row>
    <row r="62" spans="1:82" x14ac:dyDescent="0.3">
      <c r="A62">
        <v>40</v>
      </c>
      <c r="B62" t="e">
        <v>#NUM!</v>
      </c>
      <c r="C62" t="s">
        <v>888</v>
      </c>
      <c r="D62">
        <v>642001065</v>
      </c>
      <c r="E62">
        <v>1710003987339</v>
      </c>
      <c r="G62" t="s">
        <v>217</v>
      </c>
      <c r="H62" t="s">
        <v>217</v>
      </c>
      <c r="I62" s="305">
        <v>42461</v>
      </c>
      <c r="J62">
        <v>8</v>
      </c>
      <c r="K62">
        <v>9</v>
      </c>
      <c r="L62" t="s">
        <v>14</v>
      </c>
      <c r="M62" t="s">
        <v>187</v>
      </c>
      <c r="O62" s="305">
        <v>45657</v>
      </c>
      <c r="Q62" t="s">
        <v>206</v>
      </c>
      <c r="R62" t="s">
        <v>6863</v>
      </c>
      <c r="S62" t="s">
        <v>312</v>
      </c>
      <c r="T62" t="s">
        <v>24</v>
      </c>
      <c r="U62" t="s">
        <v>204</v>
      </c>
      <c r="V62" t="s">
        <v>629</v>
      </c>
      <c r="W62" t="s">
        <v>121</v>
      </c>
      <c r="X62" t="s">
        <v>313</v>
      </c>
      <c r="Y62" t="s">
        <v>462</v>
      </c>
      <c r="Z62" t="s">
        <v>337</v>
      </c>
      <c r="AA62" t="s">
        <v>132</v>
      </c>
      <c r="AB62" t="s">
        <v>217</v>
      </c>
      <c r="AC62" s="305">
        <v>35249</v>
      </c>
      <c r="AD62">
        <v>28</v>
      </c>
      <c r="AE62" t="s">
        <v>889</v>
      </c>
      <c r="AF62" t="s">
        <v>890</v>
      </c>
      <c r="AG62" t="s">
        <v>891</v>
      </c>
      <c r="AJ62" t="s">
        <v>892</v>
      </c>
      <c r="AK62" t="s">
        <v>893</v>
      </c>
      <c r="AL62">
        <v>16030084418</v>
      </c>
      <c r="AM62" t="s">
        <v>4733</v>
      </c>
      <c r="AN62" t="s">
        <v>894</v>
      </c>
      <c r="AO62" t="s">
        <v>895</v>
      </c>
      <c r="AS62" t="s">
        <v>896</v>
      </c>
      <c r="AT62" t="s">
        <v>897</v>
      </c>
      <c r="AU62" t="s">
        <v>898</v>
      </c>
      <c r="AV62" t="s">
        <v>899</v>
      </c>
      <c r="AW62">
        <v>1</v>
      </c>
      <c r="AX62" t="s">
        <v>5637</v>
      </c>
      <c r="AY62" t="s">
        <v>900</v>
      </c>
      <c r="AZ62" t="s">
        <v>901</v>
      </c>
      <c r="BA62" t="s">
        <v>161</v>
      </c>
      <c r="BB62" t="s">
        <v>349</v>
      </c>
      <c r="BC62" t="s">
        <v>91</v>
      </c>
      <c r="BD62" t="s">
        <v>350</v>
      </c>
      <c r="BE62">
        <v>2015</v>
      </c>
      <c r="BF62" t="s">
        <v>475</v>
      </c>
      <c r="BG62" t="s">
        <v>91</v>
      </c>
      <c r="BH62" t="s">
        <v>350</v>
      </c>
      <c r="BI62">
        <v>2015</v>
      </c>
      <c r="BL62" t="s">
        <v>351</v>
      </c>
      <c r="BM62">
        <v>31</v>
      </c>
      <c r="BN62">
        <v>41</v>
      </c>
      <c r="BO62" s="305">
        <v>44293</v>
      </c>
      <c r="BP62" s="305">
        <v>44322</v>
      </c>
      <c r="BS62">
        <v>43467</v>
      </c>
      <c r="BT62">
        <v>43830</v>
      </c>
      <c r="BU62" t="s">
        <v>902</v>
      </c>
      <c r="BV62" t="s">
        <v>903</v>
      </c>
      <c r="CD62" t="e">
        <v>#N/A</v>
      </c>
    </row>
    <row r="63" spans="1:82" x14ac:dyDescent="0.3">
      <c r="A63">
        <v>41</v>
      </c>
      <c r="B63" t="e">
        <v>#NUM!</v>
      </c>
      <c r="C63" t="s">
        <v>904</v>
      </c>
      <c r="D63">
        <v>642001062</v>
      </c>
      <c r="E63">
        <v>1710003988071</v>
      </c>
      <c r="G63" t="s">
        <v>217</v>
      </c>
      <c r="H63" t="s">
        <v>217</v>
      </c>
      <c r="I63" s="305">
        <v>42491</v>
      </c>
      <c r="J63">
        <v>8</v>
      </c>
      <c r="K63">
        <v>8</v>
      </c>
      <c r="L63" t="s">
        <v>14</v>
      </c>
      <c r="M63" t="s">
        <v>187</v>
      </c>
      <c r="O63" s="305">
        <v>45657</v>
      </c>
      <c r="Q63" t="s">
        <v>206</v>
      </c>
      <c r="R63" t="s">
        <v>6863</v>
      </c>
      <c r="S63" t="s">
        <v>312</v>
      </c>
      <c r="T63" t="s">
        <v>204</v>
      </c>
      <c r="U63" t="s">
        <v>204</v>
      </c>
      <c r="V63" t="s">
        <v>518</v>
      </c>
      <c r="W63" t="s">
        <v>208</v>
      </c>
      <c r="X63" t="s">
        <v>313</v>
      </c>
      <c r="Y63" t="s">
        <v>173</v>
      </c>
      <c r="Z63" t="s">
        <v>337</v>
      </c>
      <c r="AA63" t="s">
        <v>132</v>
      </c>
      <c r="AB63" t="s">
        <v>217</v>
      </c>
      <c r="AC63" s="305">
        <v>35470</v>
      </c>
      <c r="AD63">
        <v>27</v>
      </c>
      <c r="AE63" t="s">
        <v>905</v>
      </c>
      <c r="AF63" t="s">
        <v>906</v>
      </c>
      <c r="AG63" t="s">
        <v>907</v>
      </c>
      <c r="AJ63" t="s">
        <v>908</v>
      </c>
      <c r="AK63" t="s">
        <v>909</v>
      </c>
      <c r="AL63">
        <v>16030084350</v>
      </c>
      <c r="AM63" t="s">
        <v>4716</v>
      </c>
      <c r="AS63" t="s">
        <v>306</v>
      </c>
      <c r="AT63" t="s">
        <v>910</v>
      </c>
      <c r="AU63" t="s">
        <v>306</v>
      </c>
      <c r="AV63" t="s">
        <v>306</v>
      </c>
      <c r="AW63">
        <v>0</v>
      </c>
      <c r="AX63" t="s">
        <v>5078</v>
      </c>
      <c r="AY63" t="s">
        <v>911</v>
      </c>
      <c r="AZ63" t="s">
        <v>911</v>
      </c>
      <c r="BA63" t="s">
        <v>161</v>
      </c>
      <c r="BB63" t="s">
        <v>349</v>
      </c>
      <c r="BC63" t="s">
        <v>91</v>
      </c>
      <c r="BD63" t="s">
        <v>350</v>
      </c>
      <c r="BE63">
        <v>2016</v>
      </c>
      <c r="BF63" t="s">
        <v>475</v>
      </c>
      <c r="BG63" t="s">
        <v>91</v>
      </c>
      <c r="BH63" t="s">
        <v>350</v>
      </c>
      <c r="BI63">
        <v>2016</v>
      </c>
      <c r="BL63" t="s">
        <v>351</v>
      </c>
      <c r="BM63">
        <v>33</v>
      </c>
      <c r="BN63">
        <v>42</v>
      </c>
      <c r="BO63" s="305">
        <v>44293</v>
      </c>
      <c r="BP63" s="305">
        <v>44322</v>
      </c>
      <c r="BS63">
        <v>43467</v>
      </c>
      <c r="BT63">
        <v>43830</v>
      </c>
      <c r="BU63" t="s">
        <v>912</v>
      </c>
      <c r="BV63" t="e">
        <v>#REF!</v>
      </c>
      <c r="CD63" t="e">
        <v>#N/A</v>
      </c>
    </row>
    <row r="64" spans="1:82" x14ac:dyDescent="0.3">
      <c r="A64">
        <v>42</v>
      </c>
      <c r="B64" t="e">
        <v>#NUM!</v>
      </c>
      <c r="C64" t="s">
        <v>913</v>
      </c>
      <c r="D64">
        <v>642001061</v>
      </c>
      <c r="E64">
        <v>1710003987149</v>
      </c>
      <c r="G64" t="s">
        <v>217</v>
      </c>
      <c r="H64" t="s">
        <v>217</v>
      </c>
      <c r="I64" s="305">
        <v>42491</v>
      </c>
      <c r="J64">
        <v>8</v>
      </c>
      <c r="K64">
        <v>8</v>
      </c>
      <c r="L64" t="s">
        <v>14</v>
      </c>
      <c r="M64" t="s">
        <v>187</v>
      </c>
      <c r="O64" s="305">
        <v>45657</v>
      </c>
      <c r="Q64" t="s">
        <v>206</v>
      </c>
      <c r="R64" t="s">
        <v>6863</v>
      </c>
      <c r="S64" t="s">
        <v>312</v>
      </c>
      <c r="T64" t="s">
        <v>29</v>
      </c>
      <c r="U64" t="s">
        <v>461</v>
      </c>
      <c r="V64" t="s">
        <v>127</v>
      </c>
      <c r="W64" t="s">
        <v>122</v>
      </c>
      <c r="X64" t="s">
        <v>313</v>
      </c>
      <c r="Z64" t="s">
        <v>337</v>
      </c>
      <c r="AA64" t="s">
        <v>132</v>
      </c>
      <c r="AB64" t="s">
        <v>217</v>
      </c>
      <c r="AC64" s="305">
        <v>26241</v>
      </c>
      <c r="AD64">
        <v>53</v>
      </c>
      <c r="AE64" t="s">
        <v>914</v>
      </c>
      <c r="AF64" t="s">
        <v>915</v>
      </c>
      <c r="AG64" t="s">
        <v>916</v>
      </c>
      <c r="AJ64" t="s">
        <v>917</v>
      </c>
      <c r="AK64" t="s">
        <v>918</v>
      </c>
      <c r="AL64">
        <v>16030084392</v>
      </c>
      <c r="AM64" t="s">
        <v>4733</v>
      </c>
      <c r="AN64" t="s">
        <v>919</v>
      </c>
      <c r="AO64" t="s">
        <v>920</v>
      </c>
      <c r="AS64" t="s">
        <v>921</v>
      </c>
      <c r="AT64" t="s">
        <v>922</v>
      </c>
      <c r="AU64" t="s">
        <v>923</v>
      </c>
      <c r="AV64" t="s">
        <v>924</v>
      </c>
      <c r="AW64">
        <v>1</v>
      </c>
      <c r="AX64" t="s">
        <v>5637</v>
      </c>
      <c r="AY64" t="s">
        <v>925</v>
      </c>
      <c r="AZ64" t="s">
        <v>926</v>
      </c>
      <c r="BA64" t="s">
        <v>161</v>
      </c>
      <c r="BB64" t="s">
        <v>349</v>
      </c>
      <c r="BC64" t="s">
        <v>515</v>
      </c>
      <c r="BD64" t="s">
        <v>516</v>
      </c>
      <c r="BE64">
        <v>1999</v>
      </c>
      <c r="BF64" t="s">
        <v>475</v>
      </c>
      <c r="BG64" t="s">
        <v>515</v>
      </c>
      <c r="BH64" t="s">
        <v>516</v>
      </c>
      <c r="BI64">
        <v>1999</v>
      </c>
      <c r="BL64" t="s">
        <v>339</v>
      </c>
      <c r="BM64">
        <v>36</v>
      </c>
      <c r="BN64">
        <v>43</v>
      </c>
      <c r="BS64">
        <v>43467</v>
      </c>
      <c r="BT64">
        <v>43830</v>
      </c>
      <c r="BU64" t="s">
        <v>927</v>
      </c>
      <c r="BV64" t="e">
        <v>#REF!</v>
      </c>
      <c r="CD64" t="e">
        <v>#N/A</v>
      </c>
    </row>
    <row r="65" spans="1:82" x14ac:dyDescent="0.3">
      <c r="A65">
        <v>44</v>
      </c>
      <c r="B65" t="e">
        <v>#NUM!</v>
      </c>
      <c r="C65" t="s">
        <v>933</v>
      </c>
      <c r="D65">
        <v>642001060</v>
      </c>
      <c r="E65">
        <v>1710003987560</v>
      </c>
      <c r="G65" t="s">
        <v>217</v>
      </c>
      <c r="H65" t="s">
        <v>217</v>
      </c>
      <c r="I65" s="305">
        <v>42522</v>
      </c>
      <c r="J65">
        <v>8</v>
      </c>
      <c r="K65">
        <v>7</v>
      </c>
      <c r="L65" t="s">
        <v>14</v>
      </c>
      <c r="M65" t="s">
        <v>187</v>
      </c>
      <c r="O65" s="305">
        <v>45657</v>
      </c>
      <c r="Q65" t="s">
        <v>206</v>
      </c>
      <c r="R65" t="s">
        <v>6863</v>
      </c>
      <c r="S65" t="s">
        <v>312</v>
      </c>
      <c r="T65" t="s">
        <v>204</v>
      </c>
      <c r="U65" t="s">
        <v>208</v>
      </c>
      <c r="V65" t="s">
        <v>655</v>
      </c>
      <c r="W65" t="s">
        <v>208</v>
      </c>
      <c r="X65" t="s">
        <v>313</v>
      </c>
      <c r="Z65" t="s">
        <v>337</v>
      </c>
      <c r="AA65" t="s">
        <v>132</v>
      </c>
      <c r="AB65" t="s">
        <v>217</v>
      </c>
      <c r="AC65" s="305">
        <v>24603</v>
      </c>
      <c r="AD65">
        <v>57</v>
      </c>
      <c r="AE65" t="s">
        <v>934</v>
      </c>
      <c r="AF65" t="s">
        <v>935</v>
      </c>
      <c r="AG65" t="s">
        <v>936</v>
      </c>
      <c r="AJ65" t="s">
        <v>937</v>
      </c>
      <c r="AK65" t="s">
        <v>938</v>
      </c>
      <c r="AL65">
        <v>16040373561</v>
      </c>
      <c r="AM65" t="s">
        <v>4733</v>
      </c>
      <c r="AN65" t="s">
        <v>939</v>
      </c>
      <c r="AO65" t="s">
        <v>940</v>
      </c>
      <c r="AP65" t="s">
        <v>941</v>
      </c>
      <c r="AS65" t="s">
        <v>942</v>
      </c>
      <c r="AT65" t="s">
        <v>943</v>
      </c>
      <c r="AU65" t="s">
        <v>944</v>
      </c>
      <c r="AV65" t="s">
        <v>945</v>
      </c>
      <c r="AW65">
        <v>2</v>
      </c>
      <c r="AX65" t="s">
        <v>5002</v>
      </c>
      <c r="AY65" t="s">
        <v>946</v>
      </c>
      <c r="AZ65" t="s">
        <v>946</v>
      </c>
      <c r="BA65" t="s">
        <v>161</v>
      </c>
      <c r="BB65" t="s">
        <v>307</v>
      </c>
      <c r="BC65" t="s">
        <v>544</v>
      </c>
      <c r="BD65" t="s">
        <v>947</v>
      </c>
      <c r="BF65" t="s">
        <v>307</v>
      </c>
      <c r="BG65" t="s">
        <v>544</v>
      </c>
      <c r="BH65" t="s">
        <v>947</v>
      </c>
      <c r="BL65" t="s">
        <v>351</v>
      </c>
      <c r="BM65">
        <v>32</v>
      </c>
      <c r="BN65">
        <v>41</v>
      </c>
      <c r="BO65" s="305">
        <v>44294</v>
      </c>
      <c r="BP65" s="305">
        <v>44322</v>
      </c>
      <c r="BQ65" s="305">
        <v>44601</v>
      </c>
      <c r="BS65">
        <v>43467</v>
      </c>
      <c r="BT65">
        <v>43830</v>
      </c>
      <c r="BU65" t="s">
        <v>948</v>
      </c>
      <c r="BV65" t="s">
        <v>949</v>
      </c>
      <c r="CD65" t="e">
        <v>#N/A</v>
      </c>
    </row>
    <row r="66" spans="1:82" x14ac:dyDescent="0.3">
      <c r="A66">
        <v>45</v>
      </c>
      <c r="B66" t="e">
        <v>#NUM!</v>
      </c>
      <c r="C66" t="s">
        <v>950</v>
      </c>
      <c r="D66">
        <v>642001057</v>
      </c>
      <c r="E66">
        <v>1710003987024</v>
      </c>
      <c r="G66" t="s">
        <v>217</v>
      </c>
      <c r="H66" t="s">
        <v>311</v>
      </c>
      <c r="I66" s="305">
        <v>42522</v>
      </c>
      <c r="J66">
        <v>8</v>
      </c>
      <c r="K66">
        <v>7</v>
      </c>
      <c r="L66" t="s">
        <v>14</v>
      </c>
      <c r="M66" t="s">
        <v>187</v>
      </c>
      <c r="O66" s="305">
        <v>45657</v>
      </c>
      <c r="Q66" t="s">
        <v>206</v>
      </c>
      <c r="R66" t="s">
        <v>6863</v>
      </c>
      <c r="S66" t="s">
        <v>312</v>
      </c>
      <c r="T66" t="s">
        <v>204</v>
      </c>
      <c r="U66" t="s">
        <v>204</v>
      </c>
      <c r="V66" t="s">
        <v>35</v>
      </c>
      <c r="W66" t="s">
        <v>208</v>
      </c>
      <c r="X66" t="s">
        <v>313</v>
      </c>
      <c r="Y66" t="s">
        <v>173</v>
      </c>
      <c r="Z66" t="s">
        <v>337</v>
      </c>
      <c r="AA66" t="s">
        <v>132</v>
      </c>
      <c r="AB66" t="s">
        <v>311</v>
      </c>
      <c r="AC66" s="305">
        <v>32214</v>
      </c>
      <c r="AD66">
        <v>36</v>
      </c>
      <c r="AE66" t="s">
        <v>951</v>
      </c>
      <c r="AF66" t="s">
        <v>952</v>
      </c>
      <c r="AG66" t="s">
        <v>953</v>
      </c>
      <c r="AJ66" t="s">
        <v>954</v>
      </c>
      <c r="AK66" t="s">
        <v>955</v>
      </c>
      <c r="AL66">
        <v>16030084434</v>
      </c>
      <c r="AM66" t="s">
        <v>4716</v>
      </c>
      <c r="AS66" t="s">
        <v>956</v>
      </c>
      <c r="AT66" t="s">
        <v>957</v>
      </c>
      <c r="AU66" t="s">
        <v>306</v>
      </c>
      <c r="AV66" t="s">
        <v>306</v>
      </c>
      <c r="AW66">
        <v>0</v>
      </c>
      <c r="AX66" t="s">
        <v>5078</v>
      </c>
      <c r="AY66" t="s">
        <v>958</v>
      </c>
      <c r="AZ66" t="s">
        <v>958</v>
      </c>
      <c r="BA66" t="s">
        <v>161</v>
      </c>
      <c r="BB66" t="s">
        <v>349</v>
      </c>
      <c r="BC66" t="s">
        <v>91</v>
      </c>
      <c r="BD66" t="s">
        <v>959</v>
      </c>
      <c r="BE66">
        <v>2007</v>
      </c>
      <c r="BF66" t="s">
        <v>475</v>
      </c>
      <c r="BG66" t="s">
        <v>91</v>
      </c>
      <c r="BH66" t="s">
        <v>959</v>
      </c>
      <c r="BI66">
        <v>2007</v>
      </c>
      <c r="BL66" t="s">
        <v>351</v>
      </c>
      <c r="BM66">
        <v>32</v>
      </c>
      <c r="BN66">
        <v>40</v>
      </c>
      <c r="BO66" s="305">
        <v>44293</v>
      </c>
      <c r="BP66" s="305">
        <v>44322</v>
      </c>
      <c r="BQ66" s="305">
        <v>44601</v>
      </c>
      <c r="BS66">
        <v>43467</v>
      </c>
      <c r="BT66">
        <v>43830</v>
      </c>
      <c r="BU66" t="s">
        <v>960</v>
      </c>
      <c r="BV66" t="s">
        <v>961</v>
      </c>
      <c r="CD66" t="e">
        <v>#N/A</v>
      </c>
    </row>
    <row r="67" spans="1:82" x14ac:dyDescent="0.3">
      <c r="A67">
        <v>46</v>
      </c>
      <c r="B67" t="e">
        <v>#NUM!</v>
      </c>
      <c r="C67" t="s">
        <v>962</v>
      </c>
      <c r="D67">
        <v>642001053</v>
      </c>
      <c r="E67">
        <v>1710003988303</v>
      </c>
      <c r="G67" t="s">
        <v>217</v>
      </c>
      <c r="H67" t="s">
        <v>217</v>
      </c>
      <c r="I67" s="305">
        <v>42522</v>
      </c>
      <c r="J67">
        <v>8</v>
      </c>
      <c r="K67">
        <v>7</v>
      </c>
      <c r="L67" t="s">
        <v>14</v>
      </c>
      <c r="M67" t="s">
        <v>187</v>
      </c>
      <c r="O67" s="305">
        <v>45657</v>
      </c>
      <c r="Q67" t="s">
        <v>206</v>
      </c>
      <c r="R67" t="s">
        <v>6863</v>
      </c>
      <c r="S67" t="s">
        <v>312</v>
      </c>
      <c r="T67" t="s">
        <v>23</v>
      </c>
      <c r="U67" t="s">
        <v>204</v>
      </c>
      <c r="V67" t="s">
        <v>51</v>
      </c>
      <c r="W67" t="s">
        <v>121</v>
      </c>
      <c r="X67" t="s">
        <v>313</v>
      </c>
      <c r="Z67" t="s">
        <v>337</v>
      </c>
      <c r="AA67" t="s">
        <v>132</v>
      </c>
      <c r="AB67" t="s">
        <v>217</v>
      </c>
      <c r="AC67" s="305">
        <v>34369</v>
      </c>
      <c r="AD67">
        <v>30</v>
      </c>
      <c r="AE67" t="s">
        <v>963</v>
      </c>
      <c r="AF67" t="s">
        <v>964</v>
      </c>
      <c r="AG67" t="s">
        <v>965</v>
      </c>
      <c r="AJ67" t="s">
        <v>966</v>
      </c>
      <c r="AK67" t="s">
        <v>967</v>
      </c>
      <c r="AL67">
        <v>16040373579</v>
      </c>
      <c r="AM67" t="s">
        <v>4733</v>
      </c>
      <c r="AN67" t="s">
        <v>968</v>
      </c>
      <c r="AO67" t="s">
        <v>969</v>
      </c>
      <c r="AS67" t="s">
        <v>970</v>
      </c>
      <c r="AT67" t="s">
        <v>971</v>
      </c>
      <c r="AU67" t="s">
        <v>972</v>
      </c>
      <c r="AV67" t="s">
        <v>973</v>
      </c>
      <c r="AW67">
        <v>1</v>
      </c>
      <c r="AX67" t="s">
        <v>5637</v>
      </c>
      <c r="AY67" t="s">
        <v>974</v>
      </c>
      <c r="AZ67" t="s">
        <v>975</v>
      </c>
      <c r="BA67" t="s">
        <v>161</v>
      </c>
      <c r="BB67" t="s">
        <v>349</v>
      </c>
      <c r="BC67" t="s">
        <v>91</v>
      </c>
      <c r="BD67" t="s">
        <v>976</v>
      </c>
      <c r="BE67">
        <v>2016</v>
      </c>
      <c r="BF67" t="s">
        <v>475</v>
      </c>
      <c r="BG67" t="s">
        <v>91</v>
      </c>
      <c r="BH67" t="s">
        <v>976</v>
      </c>
      <c r="BI67">
        <v>2016</v>
      </c>
      <c r="BL67" t="s">
        <v>360</v>
      </c>
      <c r="BM67">
        <v>29</v>
      </c>
      <c r="BN67">
        <v>40</v>
      </c>
      <c r="BO67" s="305">
        <v>44294</v>
      </c>
      <c r="BP67" s="305">
        <v>44322</v>
      </c>
      <c r="BQ67" s="305">
        <v>44859</v>
      </c>
      <c r="BS67">
        <v>43467</v>
      </c>
      <c r="BT67">
        <v>43830</v>
      </c>
      <c r="BU67" t="s">
        <v>977</v>
      </c>
      <c r="BV67" t="s">
        <v>978</v>
      </c>
      <c r="CD67" t="e">
        <v>#N/A</v>
      </c>
    </row>
    <row r="68" spans="1:82" x14ac:dyDescent="0.3">
      <c r="A68">
        <v>47</v>
      </c>
      <c r="B68" t="e">
        <v>#NUM!</v>
      </c>
      <c r="C68" t="s">
        <v>979</v>
      </c>
      <c r="D68">
        <v>642001058</v>
      </c>
      <c r="E68">
        <v>1710003987461</v>
      </c>
      <c r="G68" t="s">
        <v>217</v>
      </c>
      <c r="H68" t="s">
        <v>311</v>
      </c>
      <c r="I68" s="305">
        <v>42522</v>
      </c>
      <c r="J68">
        <v>8</v>
      </c>
      <c r="K68">
        <v>7</v>
      </c>
      <c r="L68" t="s">
        <v>14</v>
      </c>
      <c r="M68" t="s">
        <v>187</v>
      </c>
      <c r="O68" s="305">
        <v>45657</v>
      </c>
      <c r="Q68" t="s">
        <v>206</v>
      </c>
      <c r="R68" t="s">
        <v>6863</v>
      </c>
      <c r="S68" t="s">
        <v>312</v>
      </c>
      <c r="T68" t="s">
        <v>23</v>
      </c>
      <c r="U68" t="s">
        <v>204</v>
      </c>
      <c r="V68" t="s">
        <v>51</v>
      </c>
      <c r="W68" t="s">
        <v>121</v>
      </c>
      <c r="X68" t="s">
        <v>313</v>
      </c>
      <c r="Z68" t="s">
        <v>337</v>
      </c>
      <c r="AA68" t="s">
        <v>132</v>
      </c>
      <c r="AB68" t="s">
        <v>311</v>
      </c>
      <c r="AC68" s="305">
        <v>32676</v>
      </c>
      <c r="AD68">
        <v>35</v>
      </c>
      <c r="AE68" t="s">
        <v>980</v>
      </c>
      <c r="AF68" t="s">
        <v>981</v>
      </c>
      <c r="AG68" t="s">
        <v>982</v>
      </c>
      <c r="AJ68" t="s">
        <v>983</v>
      </c>
      <c r="AK68" t="s">
        <v>984</v>
      </c>
      <c r="AL68">
        <v>16030084426</v>
      </c>
      <c r="AM68" t="s">
        <v>4733</v>
      </c>
      <c r="AN68" t="s">
        <v>985</v>
      </c>
      <c r="AO68" t="s">
        <v>986</v>
      </c>
      <c r="AP68" t="s">
        <v>987</v>
      </c>
      <c r="AS68" t="s">
        <v>988</v>
      </c>
      <c r="AT68" t="s">
        <v>989</v>
      </c>
      <c r="AU68" t="s">
        <v>990</v>
      </c>
      <c r="AV68" t="s">
        <v>991</v>
      </c>
      <c r="AW68">
        <v>2</v>
      </c>
      <c r="AX68" t="s">
        <v>5002</v>
      </c>
      <c r="AY68" t="s">
        <v>992</v>
      </c>
      <c r="AZ68" t="s">
        <v>993</v>
      </c>
      <c r="BA68" t="s">
        <v>161</v>
      </c>
      <c r="BB68" t="s">
        <v>349</v>
      </c>
      <c r="BC68" t="s">
        <v>515</v>
      </c>
      <c r="BD68" t="s">
        <v>994</v>
      </c>
      <c r="BE68">
        <v>2007</v>
      </c>
      <c r="BF68" t="s">
        <v>475</v>
      </c>
      <c r="BG68" t="s">
        <v>515</v>
      </c>
      <c r="BH68" t="s">
        <v>994</v>
      </c>
      <c r="BI68">
        <v>2007</v>
      </c>
      <c r="BL68" t="s">
        <v>351</v>
      </c>
      <c r="BM68">
        <v>34</v>
      </c>
      <c r="BN68">
        <v>42</v>
      </c>
      <c r="BS68">
        <v>43467</v>
      </c>
      <c r="BT68">
        <v>43830</v>
      </c>
      <c r="BU68" t="s">
        <v>995</v>
      </c>
      <c r="BV68" t="e">
        <v>#REF!</v>
      </c>
      <c r="CD68" t="e">
        <v>#N/A</v>
      </c>
    </row>
    <row r="69" spans="1:82" x14ac:dyDescent="0.3">
      <c r="A69">
        <v>48</v>
      </c>
      <c r="B69" t="e">
        <v>#NUM!</v>
      </c>
      <c r="C69" t="s">
        <v>996</v>
      </c>
      <c r="D69">
        <v>642001056</v>
      </c>
      <c r="E69">
        <v>1710003986901</v>
      </c>
      <c r="G69" t="s">
        <v>217</v>
      </c>
      <c r="H69" t="s">
        <v>217</v>
      </c>
      <c r="I69" s="305">
        <v>42522</v>
      </c>
      <c r="J69">
        <v>8</v>
      </c>
      <c r="K69">
        <v>7</v>
      </c>
      <c r="L69" t="s">
        <v>14</v>
      </c>
      <c r="M69" t="s">
        <v>187</v>
      </c>
      <c r="O69" s="305">
        <v>45657</v>
      </c>
      <c r="Q69" t="s">
        <v>206</v>
      </c>
      <c r="R69" t="s">
        <v>6863</v>
      </c>
      <c r="S69" t="s">
        <v>312</v>
      </c>
      <c r="T69" t="s">
        <v>204</v>
      </c>
      <c r="U69" t="s">
        <v>208</v>
      </c>
      <c r="V69" t="s">
        <v>655</v>
      </c>
      <c r="W69" t="s">
        <v>208</v>
      </c>
      <c r="X69" t="s">
        <v>313</v>
      </c>
      <c r="Y69" t="s">
        <v>173</v>
      </c>
      <c r="Z69" t="s">
        <v>337</v>
      </c>
      <c r="AA69" t="s">
        <v>132</v>
      </c>
      <c r="AB69" t="s">
        <v>217</v>
      </c>
      <c r="AC69" s="305">
        <v>29391</v>
      </c>
      <c r="AD69">
        <v>44</v>
      </c>
      <c r="AE69" t="s">
        <v>997</v>
      </c>
      <c r="AF69" t="s">
        <v>998</v>
      </c>
      <c r="AG69" t="s">
        <v>999</v>
      </c>
      <c r="AJ69" t="s">
        <v>1000</v>
      </c>
      <c r="AK69" t="s">
        <v>1001</v>
      </c>
      <c r="AL69">
        <v>16040373553</v>
      </c>
      <c r="AM69" t="s">
        <v>6821</v>
      </c>
      <c r="AO69" t="s">
        <v>1002</v>
      </c>
      <c r="AS69" t="s">
        <v>1003</v>
      </c>
      <c r="AT69" t="s">
        <v>1004</v>
      </c>
      <c r="AU69" t="s">
        <v>306</v>
      </c>
      <c r="AV69" t="s">
        <v>306</v>
      </c>
      <c r="AW69">
        <v>1</v>
      </c>
      <c r="AX69" t="s">
        <v>7130</v>
      </c>
      <c r="AY69" t="s">
        <v>1005</v>
      </c>
      <c r="AZ69" t="s">
        <v>1005</v>
      </c>
      <c r="BA69" t="s">
        <v>161</v>
      </c>
      <c r="BB69" t="s">
        <v>349</v>
      </c>
      <c r="BC69" t="s">
        <v>515</v>
      </c>
      <c r="BD69" t="s">
        <v>560</v>
      </c>
      <c r="BE69">
        <v>1998</v>
      </c>
      <c r="BF69" t="s">
        <v>475</v>
      </c>
      <c r="BG69" t="s">
        <v>515</v>
      </c>
      <c r="BH69" t="s">
        <v>560</v>
      </c>
      <c r="BI69">
        <v>1998</v>
      </c>
      <c r="BL69" t="s">
        <v>360</v>
      </c>
      <c r="BM69">
        <v>29</v>
      </c>
      <c r="BN69">
        <v>39</v>
      </c>
      <c r="BQ69" s="305">
        <v>44601</v>
      </c>
      <c r="BS69">
        <v>43467</v>
      </c>
      <c r="BT69">
        <v>43830</v>
      </c>
      <c r="BU69" t="s">
        <v>1006</v>
      </c>
      <c r="BV69" t="s">
        <v>1007</v>
      </c>
      <c r="CD69" t="e">
        <v>#N/A</v>
      </c>
    </row>
    <row r="70" spans="1:82" x14ac:dyDescent="0.3">
      <c r="A70">
        <v>49</v>
      </c>
      <c r="B70" t="e">
        <v>#NUM!</v>
      </c>
      <c r="C70" t="s">
        <v>1008</v>
      </c>
      <c r="D70">
        <v>642001055</v>
      </c>
      <c r="E70">
        <v>1710004028984</v>
      </c>
      <c r="G70" t="s">
        <v>217</v>
      </c>
      <c r="H70" t="s">
        <v>311</v>
      </c>
      <c r="I70" s="305">
        <v>42522</v>
      </c>
      <c r="J70">
        <v>8</v>
      </c>
      <c r="K70">
        <v>7</v>
      </c>
      <c r="L70" t="s">
        <v>14</v>
      </c>
      <c r="M70" t="s">
        <v>187</v>
      </c>
      <c r="O70" s="305">
        <v>45657</v>
      </c>
      <c r="Q70" t="s">
        <v>206</v>
      </c>
      <c r="R70" t="s">
        <v>6863</v>
      </c>
      <c r="S70" t="s">
        <v>312</v>
      </c>
      <c r="T70" t="s">
        <v>204</v>
      </c>
      <c r="U70" t="s">
        <v>204</v>
      </c>
      <c r="V70" t="s">
        <v>35</v>
      </c>
      <c r="W70" t="s">
        <v>208</v>
      </c>
      <c r="X70" t="s">
        <v>313</v>
      </c>
      <c r="Z70" t="s">
        <v>337</v>
      </c>
      <c r="AA70" t="s">
        <v>132</v>
      </c>
      <c r="AB70" t="s">
        <v>311</v>
      </c>
      <c r="AC70" s="305">
        <v>30638</v>
      </c>
      <c r="AD70">
        <v>41</v>
      </c>
      <c r="AE70" t="s">
        <v>1009</v>
      </c>
      <c r="AF70" t="s">
        <v>952</v>
      </c>
      <c r="AG70" t="s">
        <v>1010</v>
      </c>
      <c r="AJ70" t="s">
        <v>1011</v>
      </c>
      <c r="AK70" t="s">
        <v>1012</v>
      </c>
      <c r="AL70">
        <v>16040373595</v>
      </c>
      <c r="AM70" t="s">
        <v>4733</v>
      </c>
      <c r="AN70" t="s">
        <v>1013</v>
      </c>
      <c r="AO70" t="s">
        <v>1014</v>
      </c>
      <c r="AS70" t="s">
        <v>956</v>
      </c>
      <c r="AT70" t="s">
        <v>957</v>
      </c>
      <c r="AU70" t="s">
        <v>1015</v>
      </c>
      <c r="AV70" t="s">
        <v>1016</v>
      </c>
      <c r="AW70">
        <v>1</v>
      </c>
      <c r="AX70" t="s">
        <v>5637</v>
      </c>
      <c r="AY70" t="s">
        <v>1017</v>
      </c>
      <c r="AZ70" t="s">
        <v>1017</v>
      </c>
      <c r="BA70" t="s">
        <v>161</v>
      </c>
      <c r="BB70" t="s">
        <v>153</v>
      </c>
      <c r="BC70" t="s">
        <v>308</v>
      </c>
      <c r="BD70" t="s">
        <v>1018</v>
      </c>
      <c r="BF70" t="s">
        <v>153</v>
      </c>
      <c r="BG70" t="s">
        <v>1018</v>
      </c>
      <c r="BH70" t="s">
        <v>1018</v>
      </c>
      <c r="BL70" t="s">
        <v>351</v>
      </c>
      <c r="BM70">
        <v>32</v>
      </c>
      <c r="BN70">
        <v>39</v>
      </c>
      <c r="BO70" s="305">
        <v>44293</v>
      </c>
      <c r="BP70" s="305">
        <v>44322</v>
      </c>
      <c r="BS70">
        <v>43467</v>
      </c>
      <c r="BT70">
        <v>43830</v>
      </c>
      <c r="BU70" t="s">
        <v>1019</v>
      </c>
      <c r="BV70" t="s">
        <v>1020</v>
      </c>
      <c r="CD70" t="e">
        <v>#N/A</v>
      </c>
    </row>
    <row r="71" spans="1:82" x14ac:dyDescent="0.3">
      <c r="A71">
        <v>50</v>
      </c>
      <c r="B71" t="e">
        <v>#NUM!</v>
      </c>
      <c r="C71" t="s">
        <v>1021</v>
      </c>
      <c r="D71">
        <v>642001059</v>
      </c>
      <c r="E71">
        <v>1710003987032</v>
      </c>
      <c r="G71" t="s">
        <v>217</v>
      </c>
      <c r="H71" t="s">
        <v>311</v>
      </c>
      <c r="I71" s="305">
        <v>42522</v>
      </c>
      <c r="J71">
        <v>8</v>
      </c>
      <c r="K71">
        <v>7</v>
      </c>
      <c r="L71" t="s">
        <v>14</v>
      </c>
      <c r="M71" t="s">
        <v>187</v>
      </c>
      <c r="O71" s="305">
        <v>45657</v>
      </c>
      <c r="Q71" t="s">
        <v>206</v>
      </c>
      <c r="R71" t="s">
        <v>6863</v>
      </c>
      <c r="S71" t="s">
        <v>312</v>
      </c>
      <c r="T71" t="s">
        <v>204</v>
      </c>
      <c r="U71" t="s">
        <v>208</v>
      </c>
      <c r="V71" t="s">
        <v>655</v>
      </c>
      <c r="W71" t="s">
        <v>208</v>
      </c>
      <c r="X71" t="s">
        <v>313</v>
      </c>
      <c r="Z71" t="s">
        <v>337</v>
      </c>
      <c r="AA71" t="s">
        <v>132</v>
      </c>
      <c r="AB71" t="s">
        <v>311</v>
      </c>
      <c r="AC71" s="305">
        <v>32003</v>
      </c>
      <c r="AD71">
        <v>37</v>
      </c>
      <c r="AE71" t="s">
        <v>1022</v>
      </c>
      <c r="AF71" t="s">
        <v>1023</v>
      </c>
      <c r="AG71" t="s">
        <v>1024</v>
      </c>
      <c r="AJ71" t="s">
        <v>1025</v>
      </c>
      <c r="AK71" t="s">
        <v>1026</v>
      </c>
      <c r="AL71">
        <v>13000574908</v>
      </c>
      <c r="AM71" t="s">
        <v>4733</v>
      </c>
      <c r="AN71" t="s">
        <v>1027</v>
      </c>
      <c r="AO71" t="s">
        <v>1028</v>
      </c>
      <c r="AP71" t="s">
        <v>1029</v>
      </c>
      <c r="AS71" t="s">
        <v>323</v>
      </c>
      <c r="AT71" t="s">
        <v>1030</v>
      </c>
      <c r="AU71" t="s">
        <v>1031</v>
      </c>
      <c r="AV71" t="s">
        <v>1032</v>
      </c>
      <c r="AW71">
        <v>2</v>
      </c>
      <c r="AX71" t="s">
        <v>5002</v>
      </c>
      <c r="AY71" t="s">
        <v>1033</v>
      </c>
      <c r="AZ71" t="s">
        <v>1034</v>
      </c>
      <c r="BA71" t="s">
        <v>161</v>
      </c>
      <c r="BB71" t="s">
        <v>153</v>
      </c>
      <c r="BC71" t="s">
        <v>308</v>
      </c>
      <c r="BD71" t="s">
        <v>1018</v>
      </c>
      <c r="BE71">
        <v>2003</v>
      </c>
      <c r="BF71" t="s">
        <v>153</v>
      </c>
      <c r="BH71" t="s">
        <v>1018</v>
      </c>
      <c r="BI71">
        <v>2003</v>
      </c>
      <c r="BL71" t="s">
        <v>351</v>
      </c>
      <c r="BM71">
        <v>32</v>
      </c>
      <c r="BN71">
        <v>41</v>
      </c>
      <c r="BO71" s="305">
        <v>44293</v>
      </c>
      <c r="BP71" s="305">
        <v>44322</v>
      </c>
      <c r="BS71">
        <v>43467</v>
      </c>
      <c r="BT71">
        <v>43830</v>
      </c>
      <c r="BU71" t="s">
        <v>1035</v>
      </c>
      <c r="BV71" t="s">
        <v>1036</v>
      </c>
      <c r="CD71" t="e">
        <v>#N/A</v>
      </c>
    </row>
    <row r="72" spans="1:82" x14ac:dyDescent="0.3">
      <c r="A72">
        <v>398</v>
      </c>
      <c r="B72" t="e">
        <v>#NUM!</v>
      </c>
      <c r="C72" t="s">
        <v>4488</v>
      </c>
      <c r="D72">
        <v>642409213</v>
      </c>
      <c r="E72" t="s">
        <v>4489</v>
      </c>
      <c r="G72" t="s">
        <v>217</v>
      </c>
      <c r="H72" t="s">
        <v>217</v>
      </c>
      <c r="I72" s="305">
        <v>45567</v>
      </c>
      <c r="J72">
        <v>0</v>
      </c>
      <c r="K72">
        <v>0</v>
      </c>
      <c r="L72" t="s">
        <v>14</v>
      </c>
      <c r="M72" t="s">
        <v>187</v>
      </c>
      <c r="O72" s="305">
        <v>45657</v>
      </c>
      <c r="Q72" t="s">
        <v>206</v>
      </c>
      <c r="R72" t="s">
        <v>6863</v>
      </c>
      <c r="S72" t="s">
        <v>312</v>
      </c>
      <c r="W72" t="s">
        <v>121</v>
      </c>
      <c r="X72" t="s">
        <v>313</v>
      </c>
      <c r="AA72" t="s">
        <v>132</v>
      </c>
      <c r="AB72" t="s">
        <v>217</v>
      </c>
      <c r="AC72" s="305">
        <v>36041</v>
      </c>
      <c r="AD72">
        <v>26</v>
      </c>
      <c r="AE72" t="s">
        <v>4490</v>
      </c>
      <c r="AF72" t="s">
        <v>4491</v>
      </c>
      <c r="AG72" t="s">
        <v>4492</v>
      </c>
      <c r="AH72" t="s">
        <v>4493</v>
      </c>
      <c r="AI72" t="s">
        <v>4493</v>
      </c>
      <c r="AJ72" t="s">
        <v>4494</v>
      </c>
      <c r="AK72" t="s">
        <v>4495</v>
      </c>
      <c r="AL72" t="s">
        <v>4496</v>
      </c>
      <c r="AM72" t="s">
        <v>4733</v>
      </c>
      <c r="AN72" t="s">
        <v>4497</v>
      </c>
      <c r="AS72" t="s">
        <v>4498</v>
      </c>
      <c r="AT72" t="s">
        <v>4499</v>
      </c>
      <c r="AU72" t="s">
        <v>4500</v>
      </c>
      <c r="AV72" t="s">
        <v>4501</v>
      </c>
      <c r="AW72">
        <v>0</v>
      </c>
      <c r="AX72" t="s">
        <v>5627</v>
      </c>
      <c r="BA72" t="s">
        <v>161</v>
      </c>
      <c r="BB72" t="s">
        <v>349</v>
      </c>
      <c r="BC72" t="s">
        <v>4502</v>
      </c>
      <c r="BD72" t="s">
        <v>516</v>
      </c>
      <c r="BE72">
        <v>2017</v>
      </c>
      <c r="BF72" t="s">
        <v>349</v>
      </c>
      <c r="BG72" t="s">
        <v>4502</v>
      </c>
      <c r="BH72" t="s">
        <v>516</v>
      </c>
      <c r="BI72">
        <v>2017</v>
      </c>
      <c r="BL72" t="s">
        <v>4472</v>
      </c>
      <c r="BM72" t="s">
        <v>369</v>
      </c>
      <c r="BN72">
        <v>43</v>
      </c>
    </row>
    <row r="73" spans="1:82" x14ac:dyDescent="0.3">
      <c r="A73">
        <v>56</v>
      </c>
      <c r="B73" t="e">
        <v>#NUM!</v>
      </c>
      <c r="C73" t="s">
        <v>1098</v>
      </c>
      <c r="D73">
        <v>641702080</v>
      </c>
      <c r="E73">
        <v>1710004040377</v>
      </c>
      <c r="G73" t="s">
        <v>21</v>
      </c>
      <c r="H73" t="s">
        <v>21</v>
      </c>
      <c r="I73" s="305">
        <v>42767</v>
      </c>
      <c r="J73">
        <v>7</v>
      </c>
      <c r="K73">
        <v>11</v>
      </c>
      <c r="L73" t="s">
        <v>14</v>
      </c>
      <c r="M73" t="s">
        <v>187</v>
      </c>
      <c r="O73" s="305">
        <v>45657</v>
      </c>
      <c r="Q73" t="s">
        <v>206</v>
      </c>
      <c r="R73" t="s">
        <v>6863</v>
      </c>
      <c r="S73" t="s">
        <v>312</v>
      </c>
      <c r="T73" t="s">
        <v>21</v>
      </c>
      <c r="U73" t="s">
        <v>547</v>
      </c>
      <c r="V73" t="s">
        <v>696</v>
      </c>
      <c r="W73" t="s">
        <v>122</v>
      </c>
      <c r="X73" t="s">
        <v>313</v>
      </c>
      <c r="Z73" t="s">
        <v>337</v>
      </c>
      <c r="AA73" t="s">
        <v>132</v>
      </c>
      <c r="AB73" t="s">
        <v>1099</v>
      </c>
      <c r="AC73" s="305">
        <v>34249</v>
      </c>
      <c r="AD73">
        <v>31</v>
      </c>
      <c r="AE73" t="s">
        <v>1100</v>
      </c>
      <c r="AF73" t="s">
        <v>1101</v>
      </c>
      <c r="AG73" t="s">
        <v>1102</v>
      </c>
      <c r="AJ73" t="s">
        <v>1103</v>
      </c>
      <c r="AK73" t="s">
        <v>1104</v>
      </c>
      <c r="AL73">
        <v>16059487997</v>
      </c>
      <c r="AM73" t="s">
        <v>4716</v>
      </c>
      <c r="AS73" t="s">
        <v>306</v>
      </c>
      <c r="AT73" t="s">
        <v>306</v>
      </c>
      <c r="AU73" t="s">
        <v>306</v>
      </c>
      <c r="AV73" t="s">
        <v>306</v>
      </c>
      <c r="AW73">
        <v>0</v>
      </c>
      <c r="AX73" t="s">
        <v>5078</v>
      </c>
      <c r="BA73" t="s">
        <v>161</v>
      </c>
      <c r="BB73" t="s">
        <v>307</v>
      </c>
      <c r="BC73" t="s">
        <v>308</v>
      </c>
      <c r="BD73" t="s">
        <v>1105</v>
      </c>
      <c r="BF73" t="s">
        <v>307</v>
      </c>
      <c r="BG73" t="s">
        <v>308</v>
      </c>
      <c r="BH73" t="s">
        <v>1105</v>
      </c>
      <c r="BL73" t="s">
        <v>351</v>
      </c>
      <c r="BM73">
        <v>32</v>
      </c>
      <c r="BN73">
        <v>40</v>
      </c>
      <c r="CD73" t="e">
        <v>#N/A</v>
      </c>
    </row>
    <row r="74" spans="1:82" x14ac:dyDescent="0.3">
      <c r="A74">
        <v>57</v>
      </c>
      <c r="B74" t="e">
        <v>#NUM!</v>
      </c>
      <c r="C74" t="s">
        <v>1106</v>
      </c>
      <c r="D74">
        <v>642001047</v>
      </c>
      <c r="E74">
        <v>1710003988394</v>
      </c>
      <c r="G74" t="s">
        <v>217</v>
      </c>
      <c r="H74" t="s">
        <v>217</v>
      </c>
      <c r="I74" s="305">
        <v>42767</v>
      </c>
      <c r="J74">
        <v>7</v>
      </c>
      <c r="K74">
        <v>11</v>
      </c>
      <c r="L74" t="s">
        <v>14</v>
      </c>
      <c r="M74" t="s">
        <v>187</v>
      </c>
      <c r="O74" s="305">
        <v>45657</v>
      </c>
      <c r="Q74" t="s">
        <v>206</v>
      </c>
      <c r="R74" t="s">
        <v>6863</v>
      </c>
      <c r="S74" t="s">
        <v>312</v>
      </c>
      <c r="T74" t="s">
        <v>204</v>
      </c>
      <c r="U74" t="s">
        <v>204</v>
      </c>
      <c r="V74" t="s">
        <v>832</v>
      </c>
      <c r="W74" t="s">
        <v>208</v>
      </c>
      <c r="X74" t="s">
        <v>313</v>
      </c>
      <c r="Y74" t="s">
        <v>173</v>
      </c>
      <c r="Z74" t="s">
        <v>337</v>
      </c>
      <c r="AA74" t="s">
        <v>132</v>
      </c>
      <c r="AB74" t="s">
        <v>217</v>
      </c>
      <c r="AC74" s="305">
        <v>35284</v>
      </c>
      <c r="AD74">
        <v>28</v>
      </c>
      <c r="AE74" t="s">
        <v>1107</v>
      </c>
      <c r="AF74" t="s">
        <v>1108</v>
      </c>
      <c r="AG74" t="s">
        <v>1109</v>
      </c>
      <c r="AJ74" t="s">
        <v>1110</v>
      </c>
      <c r="AK74" t="s">
        <v>1111</v>
      </c>
      <c r="AL74">
        <v>17028637779</v>
      </c>
      <c r="AM74" t="s">
        <v>4716</v>
      </c>
      <c r="AS74" t="s">
        <v>306</v>
      </c>
      <c r="AT74" t="s">
        <v>306</v>
      </c>
      <c r="AU74" t="s">
        <v>306</v>
      </c>
      <c r="AV74" t="s">
        <v>306</v>
      </c>
      <c r="AW74">
        <v>0</v>
      </c>
      <c r="AX74" t="s">
        <v>5078</v>
      </c>
      <c r="BA74" t="s">
        <v>161</v>
      </c>
      <c r="BB74" t="s">
        <v>349</v>
      </c>
      <c r="BC74" t="s">
        <v>4502</v>
      </c>
      <c r="BD74" t="s">
        <v>663</v>
      </c>
      <c r="BE74">
        <v>2016</v>
      </c>
      <c r="BF74" t="s">
        <v>475</v>
      </c>
      <c r="BG74" t="s">
        <v>4502</v>
      </c>
      <c r="BH74" t="s">
        <v>663</v>
      </c>
      <c r="BI74">
        <v>2016</v>
      </c>
      <c r="BL74" t="s">
        <v>369</v>
      </c>
      <c r="BM74">
        <v>42</v>
      </c>
      <c r="BN74">
        <v>43</v>
      </c>
      <c r="BO74" s="305">
        <v>44294</v>
      </c>
      <c r="BP74" s="305">
        <v>44322</v>
      </c>
      <c r="BS74">
        <v>43467</v>
      </c>
      <c r="BT74">
        <v>43830</v>
      </c>
      <c r="BU74" t="s">
        <v>1112</v>
      </c>
      <c r="BV74" t="s">
        <v>1113</v>
      </c>
      <c r="CD74" t="e">
        <v>#N/A</v>
      </c>
    </row>
    <row r="75" spans="1:82" x14ac:dyDescent="0.3">
      <c r="A75">
        <v>58</v>
      </c>
      <c r="B75" t="e">
        <v>#NUM!</v>
      </c>
      <c r="C75" t="s">
        <v>1114</v>
      </c>
      <c r="D75">
        <v>642001046</v>
      </c>
      <c r="E75">
        <v>1710003987917</v>
      </c>
      <c r="G75" t="s">
        <v>217</v>
      </c>
      <c r="H75" t="s">
        <v>432</v>
      </c>
      <c r="I75" s="305">
        <v>42767</v>
      </c>
      <c r="J75">
        <v>7</v>
      </c>
      <c r="K75">
        <v>11</v>
      </c>
      <c r="L75" t="s">
        <v>14</v>
      </c>
      <c r="M75" t="s">
        <v>187</v>
      </c>
      <c r="O75" s="305">
        <v>45657</v>
      </c>
      <c r="Q75" t="s">
        <v>206</v>
      </c>
      <c r="R75" t="s">
        <v>6863</v>
      </c>
      <c r="S75" t="s">
        <v>296</v>
      </c>
      <c r="T75" t="s">
        <v>187</v>
      </c>
      <c r="U75" t="s">
        <v>1115</v>
      </c>
      <c r="V75" t="s">
        <v>119</v>
      </c>
      <c r="W75" t="s">
        <v>120</v>
      </c>
      <c r="X75" t="s">
        <v>313</v>
      </c>
      <c r="Y75" t="s">
        <v>462</v>
      </c>
      <c r="Z75" t="s">
        <v>337</v>
      </c>
      <c r="AA75" t="s">
        <v>132</v>
      </c>
      <c r="AB75" t="s">
        <v>432</v>
      </c>
      <c r="AC75" s="305">
        <v>34484</v>
      </c>
      <c r="AD75">
        <v>30</v>
      </c>
      <c r="AE75" t="s">
        <v>1116</v>
      </c>
      <c r="AF75" t="s">
        <v>1117</v>
      </c>
      <c r="AG75" t="s">
        <v>1118</v>
      </c>
      <c r="AJ75" t="s">
        <v>1119</v>
      </c>
      <c r="AK75" t="s">
        <v>1120</v>
      </c>
      <c r="AL75">
        <v>16035177704</v>
      </c>
      <c r="AM75" t="s">
        <v>4733</v>
      </c>
      <c r="AN75" t="s">
        <v>1121</v>
      </c>
      <c r="AO75" t="s">
        <v>1122</v>
      </c>
      <c r="AS75" t="s">
        <v>306</v>
      </c>
      <c r="AT75" t="s">
        <v>306</v>
      </c>
      <c r="AU75" t="s">
        <v>306</v>
      </c>
      <c r="AV75" t="s">
        <v>306</v>
      </c>
      <c r="AW75">
        <v>1</v>
      </c>
      <c r="AX75" t="s">
        <v>5637</v>
      </c>
      <c r="BA75" t="s">
        <v>161</v>
      </c>
      <c r="BB75" t="s">
        <v>75</v>
      </c>
      <c r="BC75" t="s">
        <v>91</v>
      </c>
      <c r="BD75" t="s">
        <v>457</v>
      </c>
      <c r="BE75">
        <v>2017</v>
      </c>
      <c r="BF75" t="s">
        <v>75</v>
      </c>
      <c r="BG75" t="s">
        <v>91</v>
      </c>
      <c r="BH75" t="s">
        <v>457</v>
      </c>
      <c r="BI75">
        <v>2017</v>
      </c>
      <c r="BL75" t="s">
        <v>351</v>
      </c>
      <c r="BM75">
        <v>31</v>
      </c>
      <c r="BN75">
        <v>42</v>
      </c>
      <c r="BO75" s="305">
        <v>44293</v>
      </c>
      <c r="BP75" s="305">
        <v>44322</v>
      </c>
      <c r="BS75">
        <v>43467</v>
      </c>
      <c r="BT75">
        <v>43830</v>
      </c>
      <c r="BU75" t="s">
        <v>1123</v>
      </c>
      <c r="BV75" t="s">
        <v>1124</v>
      </c>
      <c r="CD75" t="e">
        <v>#N/A</v>
      </c>
    </row>
    <row r="76" spans="1:82" x14ac:dyDescent="0.3">
      <c r="A76">
        <v>59</v>
      </c>
      <c r="B76" t="e">
        <v>#NUM!</v>
      </c>
      <c r="C76" t="s">
        <v>1125</v>
      </c>
      <c r="D76">
        <v>642001048</v>
      </c>
      <c r="E76">
        <v>1710004028919</v>
      </c>
      <c r="G76" t="s">
        <v>217</v>
      </c>
      <c r="H76" t="s">
        <v>217</v>
      </c>
      <c r="I76" s="305">
        <v>42767</v>
      </c>
      <c r="J76">
        <v>7</v>
      </c>
      <c r="K76">
        <v>11</v>
      </c>
      <c r="L76" t="s">
        <v>14</v>
      </c>
      <c r="M76" t="s">
        <v>187</v>
      </c>
      <c r="O76" s="305">
        <v>45657</v>
      </c>
      <c r="Q76" t="s">
        <v>206</v>
      </c>
      <c r="R76" t="s">
        <v>6863</v>
      </c>
      <c r="S76" t="s">
        <v>312</v>
      </c>
      <c r="T76" t="s">
        <v>22</v>
      </c>
      <c r="U76" t="s">
        <v>547</v>
      </c>
      <c r="V76" t="s">
        <v>78</v>
      </c>
      <c r="W76" t="s">
        <v>122</v>
      </c>
      <c r="X76" t="s">
        <v>313</v>
      </c>
      <c r="Y76" t="s">
        <v>462</v>
      </c>
      <c r="Z76" t="s">
        <v>337</v>
      </c>
      <c r="AA76" t="s">
        <v>132</v>
      </c>
      <c r="AB76" t="s">
        <v>217</v>
      </c>
      <c r="AC76" s="305">
        <v>32695</v>
      </c>
      <c r="AD76">
        <v>35</v>
      </c>
      <c r="AE76" t="s">
        <v>1126</v>
      </c>
      <c r="AF76" t="s">
        <v>1127</v>
      </c>
      <c r="AG76" t="s">
        <v>1128</v>
      </c>
      <c r="AJ76" t="s">
        <v>1129</v>
      </c>
      <c r="AK76" t="s">
        <v>1130</v>
      </c>
      <c r="AL76">
        <v>17028637761</v>
      </c>
      <c r="AM76" t="s">
        <v>4716</v>
      </c>
      <c r="AS76" t="s">
        <v>306</v>
      </c>
      <c r="AT76" t="s">
        <v>306</v>
      </c>
      <c r="AU76" t="s">
        <v>306</v>
      </c>
      <c r="AV76" t="s">
        <v>306</v>
      </c>
      <c r="AW76">
        <v>0</v>
      </c>
      <c r="AX76" t="s">
        <v>5078</v>
      </c>
      <c r="BA76" t="s">
        <v>161</v>
      </c>
      <c r="BB76" t="s">
        <v>349</v>
      </c>
      <c r="BC76" t="s">
        <v>515</v>
      </c>
      <c r="BD76" t="s">
        <v>350</v>
      </c>
      <c r="BE76">
        <v>2007</v>
      </c>
      <c r="BF76" t="s">
        <v>475</v>
      </c>
      <c r="BG76" t="s">
        <v>515</v>
      </c>
      <c r="BH76" t="s">
        <v>350</v>
      </c>
      <c r="BI76">
        <v>2007</v>
      </c>
      <c r="BL76" t="s">
        <v>351</v>
      </c>
      <c r="BM76">
        <v>36</v>
      </c>
      <c r="BN76">
        <v>45</v>
      </c>
      <c r="BO76" s="305">
        <v>44293</v>
      </c>
      <c r="BQ76" s="305">
        <v>44923</v>
      </c>
      <c r="BS76">
        <v>43467</v>
      </c>
      <c r="BT76">
        <v>43830</v>
      </c>
      <c r="BU76" t="s">
        <v>1131</v>
      </c>
      <c r="BV76" t="s">
        <v>1132</v>
      </c>
      <c r="CD76" t="e">
        <v>#N/A</v>
      </c>
    </row>
    <row r="77" spans="1:82" x14ac:dyDescent="0.3">
      <c r="A77">
        <v>60</v>
      </c>
      <c r="B77" t="e">
        <v>#NUM!</v>
      </c>
      <c r="C77" t="s">
        <v>470</v>
      </c>
      <c r="D77">
        <v>642001050</v>
      </c>
      <c r="E77">
        <v>1710004034438</v>
      </c>
      <c r="G77" t="s">
        <v>217</v>
      </c>
      <c r="H77" t="s">
        <v>311</v>
      </c>
      <c r="I77" s="305">
        <v>42767</v>
      </c>
      <c r="J77">
        <v>7</v>
      </c>
      <c r="K77">
        <v>11</v>
      </c>
      <c r="L77" t="s">
        <v>14</v>
      </c>
      <c r="M77" t="s">
        <v>187</v>
      </c>
      <c r="O77" s="305">
        <v>45657</v>
      </c>
      <c r="Q77" t="s">
        <v>206</v>
      </c>
      <c r="R77" t="s">
        <v>6863</v>
      </c>
      <c r="S77" t="s">
        <v>312</v>
      </c>
      <c r="T77" t="s">
        <v>24</v>
      </c>
      <c r="U77" t="s">
        <v>204</v>
      </c>
      <c r="V77" t="s">
        <v>629</v>
      </c>
      <c r="W77" t="s">
        <v>121</v>
      </c>
      <c r="X77" t="s">
        <v>313</v>
      </c>
      <c r="Y77" t="s">
        <v>445</v>
      </c>
      <c r="Z77" t="s">
        <v>337</v>
      </c>
      <c r="AA77" t="s">
        <v>132</v>
      </c>
      <c r="AB77" t="s">
        <v>311</v>
      </c>
      <c r="AC77" s="305">
        <v>32852</v>
      </c>
      <c r="AD77">
        <v>35</v>
      </c>
      <c r="AE77" t="s">
        <v>1133</v>
      </c>
      <c r="AF77" t="s">
        <v>1134</v>
      </c>
      <c r="AG77" t="s">
        <v>1135</v>
      </c>
      <c r="AJ77" t="s">
        <v>1136</v>
      </c>
      <c r="AK77" t="s">
        <v>1137</v>
      </c>
      <c r="AL77">
        <v>17028637746</v>
      </c>
      <c r="AM77" t="s">
        <v>4733</v>
      </c>
      <c r="AN77" t="s">
        <v>1138</v>
      </c>
      <c r="AO77" t="s">
        <v>1139</v>
      </c>
      <c r="AS77" t="s">
        <v>1140</v>
      </c>
      <c r="AT77" t="s">
        <v>1141</v>
      </c>
      <c r="AU77" t="s">
        <v>1142</v>
      </c>
      <c r="AV77" t="s">
        <v>1143</v>
      </c>
      <c r="AW77">
        <v>1</v>
      </c>
      <c r="AX77" t="s">
        <v>5637</v>
      </c>
      <c r="AY77" t="s">
        <v>1144</v>
      </c>
      <c r="AZ77" t="s">
        <v>1145</v>
      </c>
      <c r="BA77" t="s">
        <v>161</v>
      </c>
      <c r="BB77" t="s">
        <v>349</v>
      </c>
      <c r="BC77" t="s">
        <v>515</v>
      </c>
      <c r="BD77" t="s">
        <v>1146</v>
      </c>
      <c r="BE77">
        <v>2008</v>
      </c>
      <c r="BF77" t="s">
        <v>475</v>
      </c>
      <c r="BG77" t="s">
        <v>515</v>
      </c>
      <c r="BH77" t="s">
        <v>1146</v>
      </c>
      <c r="BI77">
        <v>2008</v>
      </c>
      <c r="BL77" t="s">
        <v>339</v>
      </c>
      <c r="BM77">
        <v>36</v>
      </c>
      <c r="BN77">
        <v>42</v>
      </c>
      <c r="BQ77" s="305">
        <v>44689</v>
      </c>
      <c r="BS77">
        <v>43467</v>
      </c>
      <c r="BT77">
        <v>43830</v>
      </c>
      <c r="BU77" t="s">
        <v>1147</v>
      </c>
      <c r="BV77" t="s">
        <v>1148</v>
      </c>
      <c r="CD77" t="e">
        <v>#N/A</v>
      </c>
    </row>
    <row r="78" spans="1:82" x14ac:dyDescent="0.3">
      <c r="A78">
        <v>64</v>
      </c>
      <c r="B78" t="e">
        <v>#NUM!</v>
      </c>
      <c r="C78" t="s">
        <v>1185</v>
      </c>
      <c r="D78">
        <v>642001044</v>
      </c>
      <c r="E78">
        <v>1710003987370</v>
      </c>
      <c r="G78" t="s">
        <v>217</v>
      </c>
      <c r="H78" t="s">
        <v>311</v>
      </c>
      <c r="I78" s="305">
        <v>42857</v>
      </c>
      <c r="J78">
        <v>7</v>
      </c>
      <c r="K78">
        <v>8</v>
      </c>
      <c r="L78" t="s">
        <v>14</v>
      </c>
      <c r="M78" t="s">
        <v>187</v>
      </c>
      <c r="O78" s="305">
        <v>45657</v>
      </c>
      <c r="Q78" t="s">
        <v>206</v>
      </c>
      <c r="R78" t="s">
        <v>6863</v>
      </c>
      <c r="S78" t="s">
        <v>312</v>
      </c>
      <c r="T78" t="s">
        <v>24</v>
      </c>
      <c r="U78" t="s">
        <v>204</v>
      </c>
      <c r="V78" t="s">
        <v>629</v>
      </c>
      <c r="W78" t="s">
        <v>121</v>
      </c>
      <c r="X78" t="s">
        <v>313</v>
      </c>
      <c r="Z78" t="s">
        <v>337</v>
      </c>
      <c r="AA78" t="s">
        <v>132</v>
      </c>
      <c r="AB78" t="s">
        <v>217</v>
      </c>
      <c r="AC78" s="305">
        <v>32977</v>
      </c>
      <c r="AD78">
        <v>34</v>
      </c>
      <c r="AE78" t="s">
        <v>1186</v>
      </c>
      <c r="AF78" t="s">
        <v>1187</v>
      </c>
      <c r="AG78" t="s">
        <v>1188</v>
      </c>
      <c r="AJ78" t="s">
        <v>1189</v>
      </c>
      <c r="AK78" t="s">
        <v>1190</v>
      </c>
      <c r="AL78">
        <v>17043907751</v>
      </c>
      <c r="AM78" t="s">
        <v>4733</v>
      </c>
      <c r="AN78" t="s">
        <v>1191</v>
      </c>
      <c r="AO78" t="s">
        <v>1192</v>
      </c>
      <c r="AS78" t="s">
        <v>1193</v>
      </c>
      <c r="AT78" t="s">
        <v>1194</v>
      </c>
      <c r="AU78" t="s">
        <v>1195</v>
      </c>
      <c r="AV78" t="s">
        <v>1196</v>
      </c>
      <c r="AW78">
        <v>1</v>
      </c>
      <c r="AX78" t="s">
        <v>5637</v>
      </c>
      <c r="AY78" t="s">
        <v>1197</v>
      </c>
      <c r="AZ78" t="s">
        <v>1197</v>
      </c>
      <c r="BA78" t="s">
        <v>161</v>
      </c>
      <c r="BB78" t="s">
        <v>349</v>
      </c>
      <c r="BC78" t="s">
        <v>87</v>
      </c>
      <c r="BD78" t="s">
        <v>350</v>
      </c>
      <c r="BE78">
        <v>2007</v>
      </c>
      <c r="BF78" t="s">
        <v>475</v>
      </c>
      <c r="BG78" t="s">
        <v>87</v>
      </c>
      <c r="BH78" t="s">
        <v>350</v>
      </c>
      <c r="BI78">
        <v>2007</v>
      </c>
      <c r="BL78" t="s">
        <v>351</v>
      </c>
      <c r="BM78">
        <v>36</v>
      </c>
      <c r="BN78">
        <v>42</v>
      </c>
      <c r="BQ78" s="305">
        <v>44674</v>
      </c>
      <c r="BS78">
        <v>43467</v>
      </c>
      <c r="BT78">
        <v>43830</v>
      </c>
      <c r="BU78" t="s">
        <v>1198</v>
      </c>
      <c r="BV78" t="s">
        <v>1199</v>
      </c>
      <c r="CD78" t="e">
        <v>#N/A</v>
      </c>
    </row>
    <row r="79" spans="1:82" x14ac:dyDescent="0.3">
      <c r="A79">
        <v>65</v>
      </c>
      <c r="B79" t="e">
        <v>#NUM!</v>
      </c>
      <c r="C79" t="s">
        <v>1200</v>
      </c>
      <c r="D79">
        <v>642001045</v>
      </c>
      <c r="E79">
        <v>1710003988253</v>
      </c>
      <c r="G79" t="s">
        <v>217</v>
      </c>
      <c r="H79" t="s">
        <v>311</v>
      </c>
      <c r="I79" s="305">
        <v>42857</v>
      </c>
      <c r="J79">
        <v>7</v>
      </c>
      <c r="K79">
        <v>8</v>
      </c>
      <c r="L79" t="s">
        <v>14</v>
      </c>
      <c r="M79" t="s">
        <v>187</v>
      </c>
      <c r="O79" s="305">
        <v>45657</v>
      </c>
      <c r="Q79" t="s">
        <v>206</v>
      </c>
      <c r="R79" t="s">
        <v>6863</v>
      </c>
      <c r="S79" t="s">
        <v>312</v>
      </c>
      <c r="T79" t="s">
        <v>23</v>
      </c>
      <c r="U79" t="s">
        <v>204</v>
      </c>
      <c r="V79" t="s">
        <v>51</v>
      </c>
      <c r="W79" t="s">
        <v>121</v>
      </c>
      <c r="X79" t="s">
        <v>313</v>
      </c>
      <c r="Z79" t="s">
        <v>337</v>
      </c>
      <c r="AA79" t="s">
        <v>132</v>
      </c>
      <c r="AB79" t="s">
        <v>311</v>
      </c>
      <c r="AC79" s="305">
        <v>35965</v>
      </c>
      <c r="AD79">
        <v>26</v>
      </c>
      <c r="AE79" t="s">
        <v>1201</v>
      </c>
      <c r="AF79" t="s">
        <v>1202</v>
      </c>
      <c r="AG79" t="s">
        <v>1203</v>
      </c>
      <c r="AJ79" t="s">
        <v>1204</v>
      </c>
      <c r="AK79" t="s">
        <v>1205</v>
      </c>
      <c r="AL79">
        <v>17043907694</v>
      </c>
      <c r="AM79" t="s">
        <v>4733</v>
      </c>
      <c r="AN79" t="s">
        <v>1206</v>
      </c>
      <c r="AO79" t="s">
        <v>1207</v>
      </c>
      <c r="AS79" t="s">
        <v>1208</v>
      </c>
      <c r="AT79" t="s">
        <v>1209</v>
      </c>
      <c r="AU79" t="s">
        <v>1210</v>
      </c>
      <c r="AV79" t="s">
        <v>1211</v>
      </c>
      <c r="AW79">
        <v>1</v>
      </c>
      <c r="AX79" t="s">
        <v>5637</v>
      </c>
      <c r="AY79" t="s">
        <v>1212</v>
      </c>
      <c r="AZ79" t="s">
        <v>1212</v>
      </c>
      <c r="BA79" t="s">
        <v>161</v>
      </c>
      <c r="BB79" t="s">
        <v>349</v>
      </c>
      <c r="BC79" t="s">
        <v>1213</v>
      </c>
      <c r="BD79" t="s">
        <v>1214</v>
      </c>
      <c r="BE79">
        <v>2017</v>
      </c>
      <c r="BF79" t="s">
        <v>475</v>
      </c>
      <c r="BG79" t="s">
        <v>1213</v>
      </c>
      <c r="BH79" t="s">
        <v>1214</v>
      </c>
      <c r="BI79">
        <v>2017</v>
      </c>
      <c r="BL79" t="s">
        <v>360</v>
      </c>
      <c r="BM79">
        <v>30</v>
      </c>
      <c r="BN79">
        <v>40</v>
      </c>
      <c r="BS79">
        <v>43467</v>
      </c>
      <c r="BT79">
        <v>43830</v>
      </c>
      <c r="BU79" t="s">
        <v>1215</v>
      </c>
      <c r="BV79" t="s">
        <v>1216</v>
      </c>
      <c r="CD79" t="e">
        <v>#N/A</v>
      </c>
    </row>
    <row r="80" spans="1:82" x14ac:dyDescent="0.3">
      <c r="A80">
        <v>397</v>
      </c>
      <c r="B80" t="e">
        <v>#NUM!</v>
      </c>
      <c r="C80" t="s">
        <v>4474</v>
      </c>
      <c r="D80">
        <v>642409212</v>
      </c>
      <c r="E80" t="s">
        <v>4475</v>
      </c>
      <c r="G80" t="s">
        <v>217</v>
      </c>
      <c r="H80" t="s">
        <v>311</v>
      </c>
      <c r="I80" s="305">
        <v>45567</v>
      </c>
      <c r="J80">
        <v>0</v>
      </c>
      <c r="K80">
        <v>0</v>
      </c>
      <c r="L80" t="s">
        <v>14</v>
      </c>
      <c r="M80" t="s">
        <v>187</v>
      </c>
      <c r="O80" s="305">
        <v>45657</v>
      </c>
      <c r="Q80" t="s">
        <v>206</v>
      </c>
      <c r="R80" t="s">
        <v>6863</v>
      </c>
      <c r="S80" t="s">
        <v>312</v>
      </c>
      <c r="W80" t="s">
        <v>121</v>
      </c>
      <c r="X80" t="s">
        <v>313</v>
      </c>
      <c r="AA80" t="s">
        <v>132</v>
      </c>
      <c r="AB80" t="s">
        <v>217</v>
      </c>
      <c r="AC80" s="305">
        <v>32184</v>
      </c>
      <c r="AD80">
        <v>36</v>
      </c>
      <c r="AE80" t="s">
        <v>4476</v>
      </c>
      <c r="AF80" t="s">
        <v>4477</v>
      </c>
      <c r="AG80" t="s">
        <v>4478</v>
      </c>
      <c r="AH80" t="s">
        <v>4479</v>
      </c>
      <c r="AI80" t="s">
        <v>4479</v>
      </c>
      <c r="AJ80" t="s">
        <v>4480</v>
      </c>
      <c r="AK80" t="s">
        <v>4481</v>
      </c>
      <c r="AL80" t="s">
        <v>4482</v>
      </c>
      <c r="AM80" t="s">
        <v>4733</v>
      </c>
      <c r="AN80" t="s">
        <v>4483</v>
      </c>
      <c r="AS80" t="s">
        <v>4484</v>
      </c>
      <c r="AT80" t="s">
        <v>4254</v>
      </c>
      <c r="AU80" t="s">
        <v>4485</v>
      </c>
      <c r="AV80" t="s">
        <v>4486</v>
      </c>
      <c r="AW80">
        <v>0</v>
      </c>
      <c r="AX80" t="s">
        <v>5627</v>
      </c>
      <c r="AZ80" t="s">
        <v>4487</v>
      </c>
      <c r="BA80" t="s">
        <v>161</v>
      </c>
      <c r="BB80" t="s">
        <v>349</v>
      </c>
      <c r="BC80" t="s">
        <v>91</v>
      </c>
      <c r="BD80" t="s">
        <v>790</v>
      </c>
      <c r="BE80">
        <v>2006</v>
      </c>
      <c r="BF80" t="s">
        <v>349</v>
      </c>
      <c r="BG80" t="s">
        <v>91</v>
      </c>
      <c r="BH80" t="s">
        <v>790</v>
      </c>
      <c r="BI80">
        <v>2006</v>
      </c>
      <c r="BL80" t="s">
        <v>617</v>
      </c>
      <c r="BM80" t="s">
        <v>351</v>
      </c>
      <c r="BN80">
        <v>39</v>
      </c>
    </row>
    <row r="81" spans="1:82" x14ac:dyDescent="0.3">
      <c r="A81">
        <v>67</v>
      </c>
      <c r="B81" t="e">
        <v>#NUM!</v>
      </c>
      <c r="C81" t="s">
        <v>1226</v>
      </c>
      <c r="D81">
        <v>642001038</v>
      </c>
      <c r="E81">
        <v>1710004034446</v>
      </c>
      <c r="G81" t="s">
        <v>217</v>
      </c>
      <c r="H81" t="s">
        <v>311</v>
      </c>
      <c r="I81" s="305">
        <v>42857</v>
      </c>
      <c r="J81">
        <v>7</v>
      </c>
      <c r="K81">
        <v>8</v>
      </c>
      <c r="L81" t="s">
        <v>14</v>
      </c>
      <c r="M81" t="s">
        <v>187</v>
      </c>
      <c r="O81" s="305">
        <v>45657</v>
      </c>
      <c r="Q81" t="s">
        <v>206</v>
      </c>
      <c r="R81" t="s">
        <v>6863</v>
      </c>
      <c r="S81" t="s">
        <v>312</v>
      </c>
      <c r="T81" t="s">
        <v>24</v>
      </c>
      <c r="U81" t="s">
        <v>461</v>
      </c>
      <c r="V81" t="s">
        <v>126</v>
      </c>
      <c r="W81" t="s">
        <v>121</v>
      </c>
      <c r="X81" t="s">
        <v>313</v>
      </c>
      <c r="Z81" t="s">
        <v>337</v>
      </c>
      <c r="AA81" t="s">
        <v>132</v>
      </c>
      <c r="AB81" t="s">
        <v>311</v>
      </c>
      <c r="AC81" s="305">
        <v>34444</v>
      </c>
      <c r="AD81">
        <v>30</v>
      </c>
      <c r="AE81" t="s">
        <v>1227</v>
      </c>
      <c r="AF81" t="s">
        <v>1228</v>
      </c>
      <c r="AG81" t="s">
        <v>1229</v>
      </c>
      <c r="AJ81" t="s">
        <v>1230</v>
      </c>
      <c r="AK81" t="s">
        <v>1231</v>
      </c>
      <c r="AL81">
        <v>17043907660</v>
      </c>
      <c r="AM81" t="s">
        <v>4716</v>
      </c>
      <c r="AS81" t="s">
        <v>306</v>
      </c>
      <c r="AT81" t="s">
        <v>306</v>
      </c>
      <c r="AU81" t="s">
        <v>306</v>
      </c>
      <c r="AV81" t="s">
        <v>306</v>
      </c>
      <c r="AW81">
        <v>0</v>
      </c>
      <c r="AX81" t="s">
        <v>5078</v>
      </c>
      <c r="BA81" t="s">
        <v>161</v>
      </c>
      <c r="BB81" t="s">
        <v>349</v>
      </c>
      <c r="BC81" t="s">
        <v>91</v>
      </c>
      <c r="BD81" t="s">
        <v>1232</v>
      </c>
      <c r="BE81">
        <v>2013</v>
      </c>
      <c r="BF81" t="s">
        <v>475</v>
      </c>
      <c r="BG81" t="s">
        <v>91</v>
      </c>
      <c r="BH81" t="s">
        <v>1233</v>
      </c>
      <c r="BI81">
        <v>2013</v>
      </c>
      <c r="BL81" t="s">
        <v>360</v>
      </c>
      <c r="BM81">
        <v>31</v>
      </c>
      <c r="BN81">
        <v>41</v>
      </c>
      <c r="BO81" s="305">
        <v>44365</v>
      </c>
      <c r="BP81" s="305">
        <v>44404</v>
      </c>
      <c r="BS81">
        <v>43467</v>
      </c>
      <c r="BT81">
        <v>43830</v>
      </c>
      <c r="BU81" t="s">
        <v>1234</v>
      </c>
      <c r="BV81" t="s">
        <v>1235</v>
      </c>
      <c r="CD81" t="e">
        <v>#N/A</v>
      </c>
    </row>
    <row r="82" spans="1:82" x14ac:dyDescent="0.3">
      <c r="A82">
        <v>68</v>
      </c>
      <c r="B82" t="e">
        <v>#NUM!</v>
      </c>
      <c r="C82" t="s">
        <v>1236</v>
      </c>
      <c r="D82">
        <v>642001035</v>
      </c>
      <c r="E82">
        <v>1710004028950</v>
      </c>
      <c r="G82" t="s">
        <v>217</v>
      </c>
      <c r="H82" t="s">
        <v>217</v>
      </c>
      <c r="I82" s="305">
        <v>42857</v>
      </c>
      <c r="J82">
        <v>7</v>
      </c>
      <c r="K82">
        <v>8</v>
      </c>
      <c r="L82" t="s">
        <v>14</v>
      </c>
      <c r="M82" t="s">
        <v>187</v>
      </c>
      <c r="O82" s="305">
        <v>45657</v>
      </c>
      <c r="Q82" t="s">
        <v>206</v>
      </c>
      <c r="R82" t="s">
        <v>6863</v>
      </c>
      <c r="S82" t="s">
        <v>312</v>
      </c>
      <c r="T82" t="s">
        <v>23</v>
      </c>
      <c r="U82" t="s">
        <v>204</v>
      </c>
      <c r="V82" t="s">
        <v>51</v>
      </c>
      <c r="W82" t="s">
        <v>121</v>
      </c>
      <c r="X82" t="s">
        <v>313</v>
      </c>
      <c r="Y82" t="s">
        <v>462</v>
      </c>
      <c r="Z82" t="s">
        <v>337</v>
      </c>
      <c r="AA82" t="s">
        <v>132</v>
      </c>
      <c r="AB82" t="s">
        <v>217</v>
      </c>
      <c r="AC82" s="305">
        <v>35855</v>
      </c>
      <c r="AD82">
        <v>26</v>
      </c>
      <c r="AE82" t="s">
        <v>1237</v>
      </c>
      <c r="AF82" t="s">
        <v>1238</v>
      </c>
      <c r="AG82" t="s">
        <v>1239</v>
      </c>
      <c r="AJ82" t="s">
        <v>1240</v>
      </c>
      <c r="AK82" t="s">
        <v>1241</v>
      </c>
      <c r="AL82">
        <v>17043907819</v>
      </c>
      <c r="AM82" t="s">
        <v>4733</v>
      </c>
      <c r="AN82" t="s">
        <v>1242</v>
      </c>
      <c r="AO82" t="s">
        <v>1243</v>
      </c>
      <c r="AS82" t="s">
        <v>1244</v>
      </c>
      <c r="AT82" t="s">
        <v>1245</v>
      </c>
      <c r="AU82" t="s">
        <v>1246</v>
      </c>
      <c r="AV82" t="s">
        <v>1247</v>
      </c>
      <c r="AW82">
        <v>1</v>
      </c>
      <c r="AX82" t="s">
        <v>5637</v>
      </c>
      <c r="AY82" t="s">
        <v>1248</v>
      </c>
      <c r="AZ82" t="s">
        <v>1248</v>
      </c>
      <c r="BA82" t="s">
        <v>161</v>
      </c>
      <c r="BB82" t="s">
        <v>349</v>
      </c>
      <c r="BC82" t="s">
        <v>515</v>
      </c>
      <c r="BD82" t="s">
        <v>560</v>
      </c>
      <c r="BE82">
        <v>2016</v>
      </c>
      <c r="BF82" t="s">
        <v>475</v>
      </c>
      <c r="BG82" t="s">
        <v>515</v>
      </c>
      <c r="BH82" t="s">
        <v>560</v>
      </c>
      <c r="BI82">
        <v>2016</v>
      </c>
      <c r="BL82" t="s">
        <v>351</v>
      </c>
      <c r="BM82">
        <v>30</v>
      </c>
      <c r="BN82">
        <v>41</v>
      </c>
      <c r="BO82" s="305">
        <v>44293</v>
      </c>
      <c r="BP82" s="305">
        <v>44322</v>
      </c>
      <c r="BS82">
        <v>43467</v>
      </c>
      <c r="BT82">
        <v>43830</v>
      </c>
      <c r="BU82" t="s">
        <v>1249</v>
      </c>
      <c r="BV82" t="s">
        <v>1250</v>
      </c>
      <c r="CD82" t="e">
        <v>#N/A</v>
      </c>
    </row>
    <row r="83" spans="1:82" x14ac:dyDescent="0.3">
      <c r="A83">
        <v>69</v>
      </c>
      <c r="B83" t="e">
        <v>#NUM!</v>
      </c>
      <c r="C83" t="s">
        <v>1251</v>
      </c>
      <c r="D83">
        <v>642001037</v>
      </c>
      <c r="E83">
        <v>1710004028901</v>
      </c>
      <c r="G83" t="s">
        <v>217</v>
      </c>
      <c r="H83" t="s">
        <v>217</v>
      </c>
      <c r="I83" s="305">
        <v>42857</v>
      </c>
      <c r="J83">
        <v>7</v>
      </c>
      <c r="K83">
        <v>8</v>
      </c>
      <c r="L83" t="s">
        <v>14</v>
      </c>
      <c r="M83" t="s">
        <v>187</v>
      </c>
      <c r="O83" s="305">
        <v>45657</v>
      </c>
      <c r="Q83" t="s">
        <v>206</v>
      </c>
      <c r="R83" t="s">
        <v>6863</v>
      </c>
      <c r="S83" t="s">
        <v>312</v>
      </c>
      <c r="T83" t="s">
        <v>24</v>
      </c>
      <c r="U83" t="s">
        <v>204</v>
      </c>
      <c r="V83" t="s">
        <v>629</v>
      </c>
      <c r="W83" t="s">
        <v>121</v>
      </c>
      <c r="X83" t="s">
        <v>313</v>
      </c>
      <c r="Y83" t="s">
        <v>1218</v>
      </c>
      <c r="Z83" t="s">
        <v>337</v>
      </c>
      <c r="AA83" t="s">
        <v>132</v>
      </c>
      <c r="AB83" t="s">
        <v>217</v>
      </c>
      <c r="AC83" s="305">
        <v>35306</v>
      </c>
      <c r="AD83">
        <v>28</v>
      </c>
      <c r="AE83" t="s">
        <v>1252</v>
      </c>
      <c r="AF83" t="s">
        <v>1253</v>
      </c>
      <c r="AG83" t="s">
        <v>1254</v>
      </c>
      <c r="AH83" t="s">
        <v>1255</v>
      </c>
      <c r="AJ83" t="s">
        <v>1256</v>
      </c>
      <c r="AK83" t="s">
        <v>1257</v>
      </c>
      <c r="AL83">
        <v>17043907843</v>
      </c>
      <c r="AM83" t="s">
        <v>4733</v>
      </c>
      <c r="AN83" t="s">
        <v>1258</v>
      </c>
      <c r="AO83" t="s">
        <v>1259</v>
      </c>
      <c r="AS83" t="s">
        <v>306</v>
      </c>
      <c r="AT83" t="s">
        <v>306</v>
      </c>
      <c r="AU83" t="s">
        <v>306</v>
      </c>
      <c r="AV83" t="s">
        <v>306</v>
      </c>
      <c r="AW83">
        <v>1</v>
      </c>
      <c r="AX83" t="s">
        <v>5637</v>
      </c>
      <c r="BA83" t="s">
        <v>161</v>
      </c>
      <c r="BB83" t="s">
        <v>349</v>
      </c>
      <c r="BC83" t="s">
        <v>515</v>
      </c>
      <c r="BD83" t="s">
        <v>663</v>
      </c>
      <c r="BE83">
        <v>2016</v>
      </c>
      <c r="BF83" t="s">
        <v>475</v>
      </c>
      <c r="BG83" t="s">
        <v>515</v>
      </c>
      <c r="BH83" t="s">
        <v>663</v>
      </c>
      <c r="BI83">
        <v>2016</v>
      </c>
      <c r="BL83" t="s">
        <v>339</v>
      </c>
      <c r="BM83">
        <v>34</v>
      </c>
      <c r="BN83">
        <v>45</v>
      </c>
      <c r="BO83" s="305">
        <v>44293</v>
      </c>
      <c r="BP83" s="305">
        <v>44322</v>
      </c>
      <c r="BS83">
        <v>43467</v>
      </c>
      <c r="BT83">
        <v>43830</v>
      </c>
      <c r="BU83" t="s">
        <v>1260</v>
      </c>
      <c r="BV83" t="s">
        <v>1261</v>
      </c>
      <c r="CD83" t="e">
        <v>#N/A</v>
      </c>
    </row>
    <row r="84" spans="1:82" x14ac:dyDescent="0.3">
      <c r="A84">
        <v>70</v>
      </c>
      <c r="B84" t="e">
        <v>#NUM!</v>
      </c>
      <c r="C84" t="s">
        <v>1262</v>
      </c>
      <c r="D84">
        <v>642001043</v>
      </c>
      <c r="E84">
        <v>1710003987719</v>
      </c>
      <c r="G84" t="s">
        <v>217</v>
      </c>
      <c r="H84" t="s">
        <v>217</v>
      </c>
      <c r="I84" s="305">
        <v>42857</v>
      </c>
      <c r="J84">
        <v>7</v>
      </c>
      <c r="K84">
        <v>8</v>
      </c>
      <c r="L84" t="s">
        <v>14</v>
      </c>
      <c r="M84" t="s">
        <v>187</v>
      </c>
      <c r="O84" s="305">
        <v>45657</v>
      </c>
      <c r="Q84" t="s">
        <v>206</v>
      </c>
      <c r="R84" t="s">
        <v>6863</v>
      </c>
      <c r="S84" t="s">
        <v>312</v>
      </c>
      <c r="T84" t="s">
        <v>204</v>
      </c>
      <c r="U84" t="s">
        <v>420</v>
      </c>
      <c r="V84" t="s">
        <v>121</v>
      </c>
      <c r="W84" t="s">
        <v>121</v>
      </c>
      <c r="X84" t="s">
        <v>313</v>
      </c>
      <c r="Z84" t="s">
        <v>337</v>
      </c>
      <c r="AA84" t="s">
        <v>132</v>
      </c>
      <c r="AB84" t="s">
        <v>1263</v>
      </c>
      <c r="AC84" s="305">
        <v>35699</v>
      </c>
      <c r="AD84">
        <v>27</v>
      </c>
      <c r="AE84" t="s">
        <v>1264</v>
      </c>
      <c r="AF84" t="s">
        <v>1265</v>
      </c>
      <c r="AG84" t="s">
        <v>1266</v>
      </c>
      <c r="AH84" t="s">
        <v>1267</v>
      </c>
      <c r="AJ84" t="s">
        <v>1268</v>
      </c>
      <c r="AK84" t="s">
        <v>1269</v>
      </c>
      <c r="AL84">
        <v>16034599197</v>
      </c>
      <c r="AM84" t="s">
        <v>4733</v>
      </c>
      <c r="AN84" t="s">
        <v>1270</v>
      </c>
      <c r="AS84" t="s">
        <v>1208</v>
      </c>
      <c r="AT84" t="s">
        <v>1271</v>
      </c>
      <c r="AU84" t="s">
        <v>689</v>
      </c>
      <c r="AV84" t="s">
        <v>1272</v>
      </c>
      <c r="AW84">
        <v>0</v>
      </c>
      <c r="AX84" t="s">
        <v>5627</v>
      </c>
      <c r="AY84" t="s">
        <v>1273</v>
      </c>
      <c r="AZ84" t="s">
        <v>1273</v>
      </c>
      <c r="BA84" t="s">
        <v>161</v>
      </c>
      <c r="BB84" t="s">
        <v>349</v>
      </c>
      <c r="BC84" t="s">
        <v>515</v>
      </c>
      <c r="BD84" t="s">
        <v>1274</v>
      </c>
      <c r="BE84">
        <v>2016</v>
      </c>
      <c r="BF84" t="s">
        <v>475</v>
      </c>
      <c r="BG84" t="s">
        <v>515</v>
      </c>
      <c r="BH84" t="s">
        <v>1274</v>
      </c>
      <c r="BI84">
        <v>2016</v>
      </c>
      <c r="BL84" t="s">
        <v>339</v>
      </c>
      <c r="BM84">
        <v>36</v>
      </c>
      <c r="BN84">
        <v>43</v>
      </c>
      <c r="BS84">
        <v>43467</v>
      </c>
      <c r="BT84">
        <v>43830</v>
      </c>
      <c r="BU84" t="s">
        <v>1275</v>
      </c>
      <c r="BV84" t="s">
        <v>1276</v>
      </c>
      <c r="CD84" t="e">
        <v>#N/A</v>
      </c>
    </row>
    <row r="85" spans="1:82" x14ac:dyDescent="0.3">
      <c r="A85">
        <v>71</v>
      </c>
      <c r="B85" t="e">
        <v>#NUM!</v>
      </c>
      <c r="C85" t="s">
        <v>1277</v>
      </c>
      <c r="D85">
        <v>642001042</v>
      </c>
      <c r="E85">
        <v>1710004040773</v>
      </c>
      <c r="G85" t="s">
        <v>217</v>
      </c>
      <c r="H85" t="s">
        <v>432</v>
      </c>
      <c r="I85" s="305">
        <v>42857</v>
      </c>
      <c r="J85">
        <v>7</v>
      </c>
      <c r="K85">
        <v>8</v>
      </c>
      <c r="L85" t="s">
        <v>14</v>
      </c>
      <c r="M85" t="s">
        <v>187</v>
      </c>
      <c r="O85" s="305">
        <v>45657</v>
      </c>
      <c r="Q85" t="s">
        <v>206</v>
      </c>
      <c r="R85" t="s">
        <v>6863</v>
      </c>
      <c r="S85" t="s">
        <v>312</v>
      </c>
      <c r="T85" t="s">
        <v>20</v>
      </c>
      <c r="U85" t="s">
        <v>204</v>
      </c>
      <c r="V85" t="s">
        <v>1278</v>
      </c>
      <c r="W85" t="s">
        <v>122</v>
      </c>
      <c r="X85" t="s">
        <v>313</v>
      </c>
      <c r="Y85" t="s">
        <v>173</v>
      </c>
      <c r="Z85" t="s">
        <v>337</v>
      </c>
      <c r="AA85" t="s">
        <v>132</v>
      </c>
      <c r="AB85" t="s">
        <v>432</v>
      </c>
      <c r="AC85" s="305">
        <v>35744</v>
      </c>
      <c r="AD85">
        <v>27</v>
      </c>
      <c r="AE85" t="s">
        <v>1279</v>
      </c>
      <c r="AF85" t="s">
        <v>1280</v>
      </c>
      <c r="AG85" t="s">
        <v>1281</v>
      </c>
      <c r="AH85" t="s">
        <v>1282</v>
      </c>
      <c r="AJ85" t="s">
        <v>1283</v>
      </c>
      <c r="AK85" t="s">
        <v>1284</v>
      </c>
      <c r="AL85">
        <v>17043907769</v>
      </c>
      <c r="AM85" t="s">
        <v>4733</v>
      </c>
      <c r="AN85" t="s">
        <v>1285</v>
      </c>
      <c r="AO85" t="s">
        <v>1286</v>
      </c>
      <c r="AS85" t="s">
        <v>1287</v>
      </c>
      <c r="AT85" t="s">
        <v>1288</v>
      </c>
      <c r="AU85" t="s">
        <v>1289</v>
      </c>
      <c r="AV85" t="s">
        <v>1290</v>
      </c>
      <c r="AW85">
        <v>1</v>
      </c>
      <c r="AX85" t="s">
        <v>5637</v>
      </c>
      <c r="AY85" t="s">
        <v>1291</v>
      </c>
      <c r="AZ85" t="s">
        <v>1291</v>
      </c>
      <c r="BA85" t="s">
        <v>161</v>
      </c>
      <c r="BB85" t="s">
        <v>349</v>
      </c>
      <c r="BC85" t="s">
        <v>515</v>
      </c>
      <c r="BD85" t="s">
        <v>1292</v>
      </c>
      <c r="BE85">
        <v>2016</v>
      </c>
      <c r="BF85" t="s">
        <v>475</v>
      </c>
      <c r="BG85" t="s">
        <v>515</v>
      </c>
      <c r="BH85" t="s">
        <v>1292</v>
      </c>
      <c r="BI85">
        <v>2016</v>
      </c>
      <c r="BL85" t="s">
        <v>339</v>
      </c>
      <c r="BM85">
        <v>33</v>
      </c>
      <c r="BN85">
        <v>42</v>
      </c>
      <c r="BS85">
        <v>43467</v>
      </c>
      <c r="BT85">
        <v>43830</v>
      </c>
      <c r="BU85" t="s">
        <v>1293</v>
      </c>
      <c r="BV85" t="s">
        <v>1294</v>
      </c>
      <c r="CD85" t="e">
        <v>#N/A</v>
      </c>
    </row>
    <row r="86" spans="1:82" x14ac:dyDescent="0.3">
      <c r="A86">
        <v>72</v>
      </c>
      <c r="B86" t="e">
        <v>#NUM!</v>
      </c>
      <c r="C86" t="s">
        <v>1295</v>
      </c>
      <c r="D86">
        <v>642001036</v>
      </c>
      <c r="E86">
        <v>1710003987784</v>
      </c>
      <c r="G86" t="s">
        <v>217</v>
      </c>
      <c r="H86" t="s">
        <v>217</v>
      </c>
      <c r="I86" s="305">
        <v>42857</v>
      </c>
      <c r="J86">
        <v>7</v>
      </c>
      <c r="K86">
        <v>8</v>
      </c>
      <c r="L86" t="s">
        <v>14</v>
      </c>
      <c r="M86" t="s">
        <v>187</v>
      </c>
      <c r="O86" s="305">
        <v>45657</v>
      </c>
      <c r="Q86" t="s">
        <v>206</v>
      </c>
      <c r="R86" t="s">
        <v>6863</v>
      </c>
      <c r="S86" t="s">
        <v>312</v>
      </c>
      <c r="T86" t="s">
        <v>24</v>
      </c>
      <c r="U86" t="s">
        <v>204</v>
      </c>
      <c r="V86" t="s">
        <v>629</v>
      </c>
      <c r="W86" t="s">
        <v>121</v>
      </c>
      <c r="X86" t="s">
        <v>313</v>
      </c>
      <c r="Z86" t="s">
        <v>337</v>
      </c>
      <c r="AA86" t="s">
        <v>132</v>
      </c>
      <c r="AB86" t="s">
        <v>217</v>
      </c>
      <c r="AC86" s="305">
        <v>34614</v>
      </c>
      <c r="AD86">
        <v>30</v>
      </c>
      <c r="AE86" t="s">
        <v>1296</v>
      </c>
      <c r="AF86" t="s">
        <v>1297</v>
      </c>
      <c r="AG86" t="s">
        <v>1298</v>
      </c>
      <c r="AJ86" t="s">
        <v>1299</v>
      </c>
      <c r="AK86" t="s">
        <v>1300</v>
      </c>
      <c r="AL86">
        <v>17043907637</v>
      </c>
      <c r="AM86" t="s">
        <v>4716</v>
      </c>
      <c r="AS86" t="s">
        <v>306</v>
      </c>
      <c r="AT86" t="s">
        <v>306</v>
      </c>
      <c r="AU86" t="s">
        <v>306</v>
      </c>
      <c r="AV86" t="s">
        <v>306</v>
      </c>
      <c r="AW86">
        <v>0</v>
      </c>
      <c r="AX86" t="s">
        <v>5078</v>
      </c>
      <c r="BA86" t="s">
        <v>161</v>
      </c>
      <c r="BB86" t="s">
        <v>349</v>
      </c>
      <c r="BC86" t="s">
        <v>515</v>
      </c>
      <c r="BD86" t="s">
        <v>1274</v>
      </c>
      <c r="BE86">
        <v>2013</v>
      </c>
      <c r="BF86" t="s">
        <v>475</v>
      </c>
      <c r="BG86" t="s">
        <v>515</v>
      </c>
      <c r="BH86" t="s">
        <v>1274</v>
      </c>
      <c r="BI86">
        <v>2013</v>
      </c>
      <c r="BL86" t="s">
        <v>351</v>
      </c>
      <c r="BM86">
        <v>32</v>
      </c>
      <c r="BN86">
        <v>40</v>
      </c>
      <c r="BS86">
        <v>43467</v>
      </c>
      <c r="BT86">
        <v>43830</v>
      </c>
      <c r="BU86" t="s">
        <v>1301</v>
      </c>
      <c r="BV86" t="s">
        <v>1302</v>
      </c>
      <c r="CD86" t="e">
        <v>#N/A</v>
      </c>
    </row>
    <row r="87" spans="1:82" x14ac:dyDescent="0.3">
      <c r="A87">
        <v>73</v>
      </c>
      <c r="B87" t="e">
        <v>#NUM!</v>
      </c>
      <c r="C87" t="s">
        <v>1303</v>
      </c>
      <c r="D87">
        <v>642001039</v>
      </c>
      <c r="E87">
        <v>1710004028935</v>
      </c>
      <c r="G87" t="s">
        <v>217</v>
      </c>
      <c r="H87" t="s">
        <v>217</v>
      </c>
      <c r="I87" s="305">
        <v>42857</v>
      </c>
      <c r="J87">
        <v>7</v>
      </c>
      <c r="K87">
        <v>8</v>
      </c>
      <c r="L87" t="s">
        <v>14</v>
      </c>
      <c r="M87" t="s">
        <v>187</v>
      </c>
      <c r="O87" s="305">
        <v>45657</v>
      </c>
      <c r="Q87" t="s">
        <v>206</v>
      </c>
      <c r="R87" t="s">
        <v>6863</v>
      </c>
      <c r="S87" t="s">
        <v>312</v>
      </c>
      <c r="T87" t="s">
        <v>20</v>
      </c>
      <c r="U87" t="s">
        <v>204</v>
      </c>
      <c r="V87" t="s">
        <v>1278</v>
      </c>
      <c r="W87" t="s">
        <v>122</v>
      </c>
      <c r="X87" t="s">
        <v>313</v>
      </c>
      <c r="Z87" t="s">
        <v>337</v>
      </c>
      <c r="AA87" t="s">
        <v>132</v>
      </c>
      <c r="AB87" t="s">
        <v>315</v>
      </c>
      <c r="AC87" s="305">
        <v>30069</v>
      </c>
      <c r="AD87">
        <v>42</v>
      </c>
      <c r="AE87" t="s">
        <v>1304</v>
      </c>
      <c r="AF87" t="s">
        <v>1305</v>
      </c>
      <c r="AG87" t="s">
        <v>1306</v>
      </c>
      <c r="AH87" t="s">
        <v>1307</v>
      </c>
      <c r="AJ87" t="s">
        <v>1308</v>
      </c>
      <c r="AK87" t="s">
        <v>1309</v>
      </c>
      <c r="AL87">
        <v>18024053250</v>
      </c>
      <c r="AM87" t="s">
        <v>4733</v>
      </c>
      <c r="AN87" t="s">
        <v>1310</v>
      </c>
      <c r="AO87" t="s">
        <v>1311</v>
      </c>
      <c r="AP87" t="s">
        <v>1312</v>
      </c>
      <c r="AS87" t="s">
        <v>1313</v>
      </c>
      <c r="AT87" t="s">
        <v>1314</v>
      </c>
      <c r="AU87" t="s">
        <v>1315</v>
      </c>
      <c r="AV87" t="s">
        <v>1316</v>
      </c>
      <c r="AW87">
        <v>2</v>
      </c>
      <c r="AX87" t="s">
        <v>5002</v>
      </c>
      <c r="AY87" t="s">
        <v>1317</v>
      </c>
      <c r="AZ87" t="s">
        <v>1318</v>
      </c>
      <c r="BA87" t="s">
        <v>161</v>
      </c>
      <c r="BB87" t="s">
        <v>349</v>
      </c>
      <c r="BC87" t="s">
        <v>515</v>
      </c>
      <c r="BD87" t="s">
        <v>1319</v>
      </c>
      <c r="BE87">
        <v>2002</v>
      </c>
      <c r="BF87" t="s">
        <v>475</v>
      </c>
      <c r="BG87" t="s">
        <v>515</v>
      </c>
      <c r="BH87" t="s">
        <v>1319</v>
      </c>
      <c r="BI87">
        <v>2002</v>
      </c>
      <c r="BL87" t="s">
        <v>360</v>
      </c>
      <c r="BM87">
        <v>31</v>
      </c>
      <c r="BN87">
        <v>39</v>
      </c>
      <c r="BO87" s="305">
        <v>44293</v>
      </c>
      <c r="BP87" s="305">
        <v>44322</v>
      </c>
      <c r="BS87">
        <v>43467</v>
      </c>
      <c r="BT87">
        <v>43830</v>
      </c>
      <c r="BU87" t="s">
        <v>1320</v>
      </c>
      <c r="BV87" t="s">
        <v>1321</v>
      </c>
      <c r="CD87" t="e">
        <v>#N/A</v>
      </c>
    </row>
    <row r="88" spans="1:82" x14ac:dyDescent="0.3">
      <c r="A88">
        <v>78</v>
      </c>
      <c r="B88" t="e">
        <v>#NUM!</v>
      </c>
      <c r="C88" t="s">
        <v>1359</v>
      </c>
      <c r="D88">
        <v>642001028</v>
      </c>
      <c r="E88">
        <v>1710003987636</v>
      </c>
      <c r="G88" t="s">
        <v>217</v>
      </c>
      <c r="H88" t="s">
        <v>217</v>
      </c>
      <c r="I88" s="305">
        <v>42919</v>
      </c>
      <c r="J88">
        <v>7</v>
      </c>
      <c r="K88">
        <v>6</v>
      </c>
      <c r="L88" t="s">
        <v>14</v>
      </c>
      <c r="M88" t="s">
        <v>187</v>
      </c>
      <c r="O88" s="305">
        <v>45657</v>
      </c>
      <c r="Q88" t="s">
        <v>206</v>
      </c>
      <c r="R88" t="s">
        <v>6863</v>
      </c>
      <c r="S88" t="s">
        <v>312</v>
      </c>
      <c r="T88" t="s">
        <v>204</v>
      </c>
      <c r="U88" t="s">
        <v>204</v>
      </c>
      <c r="V88" t="s">
        <v>1054</v>
      </c>
      <c r="W88" t="s">
        <v>208</v>
      </c>
      <c r="X88" t="s">
        <v>313</v>
      </c>
      <c r="Z88" t="s">
        <v>337</v>
      </c>
      <c r="AA88" t="s">
        <v>132</v>
      </c>
      <c r="AB88" t="s">
        <v>217</v>
      </c>
      <c r="AC88" s="305">
        <v>32767</v>
      </c>
      <c r="AD88">
        <v>35</v>
      </c>
      <c r="AE88" t="s">
        <v>1360</v>
      </c>
      <c r="AF88" t="s">
        <v>1361</v>
      </c>
      <c r="AG88" t="s">
        <v>1362</v>
      </c>
      <c r="AH88" t="s">
        <v>1363</v>
      </c>
      <c r="AJ88" t="s">
        <v>1364</v>
      </c>
      <c r="AK88" t="s">
        <v>1365</v>
      </c>
      <c r="AL88">
        <v>17043907892</v>
      </c>
      <c r="AM88" t="s">
        <v>4733</v>
      </c>
      <c r="AN88" t="s">
        <v>1366</v>
      </c>
      <c r="AO88" t="s">
        <v>1367</v>
      </c>
      <c r="AS88" t="s">
        <v>306</v>
      </c>
      <c r="AT88" t="s">
        <v>306</v>
      </c>
      <c r="AU88" t="s">
        <v>306</v>
      </c>
      <c r="AV88" t="s">
        <v>306</v>
      </c>
      <c r="AW88">
        <v>1</v>
      </c>
      <c r="AX88" t="s">
        <v>5637</v>
      </c>
      <c r="BA88" t="s">
        <v>161</v>
      </c>
      <c r="BB88" t="s">
        <v>307</v>
      </c>
      <c r="BC88" t="s">
        <v>308</v>
      </c>
      <c r="BD88" t="s">
        <v>1368</v>
      </c>
      <c r="BE88">
        <v>2008</v>
      </c>
      <c r="BF88" t="s">
        <v>307</v>
      </c>
      <c r="BG88" t="s">
        <v>308</v>
      </c>
      <c r="BH88" t="s">
        <v>1368</v>
      </c>
      <c r="BI88">
        <v>2008</v>
      </c>
      <c r="BL88" t="s">
        <v>339</v>
      </c>
      <c r="BM88">
        <v>34</v>
      </c>
      <c r="BN88">
        <v>42</v>
      </c>
      <c r="BO88" s="305">
        <v>44308</v>
      </c>
      <c r="BP88" s="305">
        <v>44336</v>
      </c>
      <c r="BQ88" s="305">
        <v>44601</v>
      </c>
      <c r="BS88">
        <v>43467</v>
      </c>
      <c r="BT88">
        <v>43830</v>
      </c>
      <c r="BU88" t="s">
        <v>1369</v>
      </c>
      <c r="BV88" t="s">
        <v>1370</v>
      </c>
      <c r="CD88" t="e">
        <v>#N/A</v>
      </c>
    </row>
    <row r="89" spans="1:82" x14ac:dyDescent="0.3">
      <c r="A89">
        <v>79</v>
      </c>
      <c r="B89" t="e">
        <v>#NUM!</v>
      </c>
      <c r="C89" t="s">
        <v>1371</v>
      </c>
      <c r="D89">
        <v>642001030</v>
      </c>
      <c r="E89">
        <v>1710004040815</v>
      </c>
      <c r="G89" t="s">
        <v>217</v>
      </c>
      <c r="H89" t="s">
        <v>217</v>
      </c>
      <c r="I89" s="305">
        <v>42919</v>
      </c>
      <c r="J89">
        <v>7</v>
      </c>
      <c r="K89">
        <v>6</v>
      </c>
      <c r="L89" t="s">
        <v>14</v>
      </c>
      <c r="M89" t="s">
        <v>187</v>
      </c>
      <c r="O89" s="305">
        <v>45657</v>
      </c>
      <c r="Q89" t="s">
        <v>206</v>
      </c>
      <c r="R89" t="s">
        <v>6863</v>
      </c>
      <c r="S89" t="s">
        <v>312</v>
      </c>
      <c r="T89" t="s">
        <v>24</v>
      </c>
      <c r="U89" t="s">
        <v>204</v>
      </c>
      <c r="V89" t="s">
        <v>629</v>
      </c>
      <c r="W89" t="s">
        <v>121</v>
      </c>
      <c r="X89" t="s">
        <v>313</v>
      </c>
      <c r="Y89" t="s">
        <v>462</v>
      </c>
      <c r="Z89" t="s">
        <v>337</v>
      </c>
      <c r="AA89" t="s">
        <v>132</v>
      </c>
      <c r="AB89" t="s">
        <v>217</v>
      </c>
      <c r="AC89" s="305">
        <v>36089</v>
      </c>
      <c r="AD89">
        <v>26</v>
      </c>
      <c r="AE89" t="s">
        <v>1372</v>
      </c>
      <c r="AF89" t="s">
        <v>1373</v>
      </c>
      <c r="AG89" t="s">
        <v>1374</v>
      </c>
      <c r="AJ89" t="s">
        <v>1375</v>
      </c>
      <c r="AK89" t="s">
        <v>1376</v>
      </c>
      <c r="AL89">
        <v>17043907801</v>
      </c>
      <c r="AM89" t="s">
        <v>4733</v>
      </c>
      <c r="AN89" t="s">
        <v>1377</v>
      </c>
      <c r="AS89" t="s">
        <v>601</v>
      </c>
      <c r="AT89" t="s">
        <v>1378</v>
      </c>
      <c r="AU89" t="s">
        <v>1379</v>
      </c>
      <c r="AV89" t="s">
        <v>1380</v>
      </c>
      <c r="AW89">
        <v>0</v>
      </c>
      <c r="AX89" t="s">
        <v>5627</v>
      </c>
      <c r="AY89" t="s">
        <v>1381</v>
      </c>
      <c r="AZ89" t="s">
        <v>1381</v>
      </c>
      <c r="BA89" t="s">
        <v>161</v>
      </c>
      <c r="BB89" t="s">
        <v>349</v>
      </c>
      <c r="BC89" t="s">
        <v>1382</v>
      </c>
      <c r="BD89" t="s">
        <v>516</v>
      </c>
      <c r="BE89">
        <v>2017</v>
      </c>
      <c r="BF89" t="s">
        <v>475</v>
      </c>
      <c r="BG89" t="s">
        <v>1382</v>
      </c>
      <c r="BH89" t="s">
        <v>516</v>
      </c>
      <c r="BI89">
        <v>2017</v>
      </c>
      <c r="BL89" t="s">
        <v>369</v>
      </c>
      <c r="BM89">
        <v>36</v>
      </c>
      <c r="BN89">
        <v>43</v>
      </c>
      <c r="BS89">
        <v>43467</v>
      </c>
      <c r="BT89">
        <v>43830</v>
      </c>
      <c r="BU89" t="s">
        <v>1383</v>
      </c>
      <c r="BV89" t="s">
        <v>1384</v>
      </c>
      <c r="CD89" t="e">
        <v>#N/A</v>
      </c>
    </row>
    <row r="90" spans="1:82" x14ac:dyDescent="0.3">
      <c r="A90">
        <v>80</v>
      </c>
      <c r="B90" t="e">
        <v>#NUM!</v>
      </c>
      <c r="C90" t="s">
        <v>1385</v>
      </c>
      <c r="D90">
        <v>642001033</v>
      </c>
      <c r="E90">
        <v>1710003986919</v>
      </c>
      <c r="G90" t="s">
        <v>217</v>
      </c>
      <c r="H90" t="s">
        <v>217</v>
      </c>
      <c r="I90" s="305">
        <v>42919</v>
      </c>
      <c r="J90">
        <v>7</v>
      </c>
      <c r="K90">
        <v>6</v>
      </c>
      <c r="L90" t="s">
        <v>14</v>
      </c>
      <c r="M90" t="s">
        <v>187</v>
      </c>
      <c r="O90" s="305">
        <v>45657</v>
      </c>
      <c r="Q90" t="s">
        <v>206</v>
      </c>
      <c r="R90" t="s">
        <v>6863</v>
      </c>
      <c r="S90" t="s">
        <v>312</v>
      </c>
      <c r="T90" t="s">
        <v>24</v>
      </c>
      <c r="U90" t="s">
        <v>204</v>
      </c>
      <c r="V90" t="s">
        <v>629</v>
      </c>
      <c r="W90" t="s">
        <v>121</v>
      </c>
      <c r="X90" t="s">
        <v>313</v>
      </c>
      <c r="Z90" t="s">
        <v>337</v>
      </c>
      <c r="AA90" t="s">
        <v>132</v>
      </c>
      <c r="AB90" t="s">
        <v>217</v>
      </c>
      <c r="AC90" s="305">
        <v>32057</v>
      </c>
      <c r="AD90">
        <v>37</v>
      </c>
      <c r="AE90" t="s">
        <v>1386</v>
      </c>
      <c r="AF90" t="s">
        <v>1387</v>
      </c>
      <c r="AG90" t="s">
        <v>1388</v>
      </c>
      <c r="AJ90" t="s">
        <v>1389</v>
      </c>
      <c r="AK90" t="s">
        <v>1390</v>
      </c>
      <c r="AL90">
        <v>17043907728</v>
      </c>
      <c r="AM90" t="s">
        <v>4733</v>
      </c>
      <c r="AN90" t="s">
        <v>1391</v>
      </c>
      <c r="AO90" t="s">
        <v>1392</v>
      </c>
      <c r="AS90" t="s">
        <v>759</v>
      </c>
      <c r="AT90" t="s">
        <v>1393</v>
      </c>
      <c r="AU90" t="s">
        <v>1394</v>
      </c>
      <c r="AV90" t="s">
        <v>1395</v>
      </c>
      <c r="AW90">
        <v>1</v>
      </c>
      <c r="AX90" t="s">
        <v>5637</v>
      </c>
      <c r="AY90" t="s">
        <v>1396</v>
      </c>
      <c r="AZ90" t="s">
        <v>1396</v>
      </c>
      <c r="BA90" t="s">
        <v>161</v>
      </c>
      <c r="BB90" t="s">
        <v>349</v>
      </c>
      <c r="BC90" t="s">
        <v>87</v>
      </c>
      <c r="BD90" t="s">
        <v>1397</v>
      </c>
      <c r="BE90">
        <v>2005</v>
      </c>
      <c r="BF90" t="s">
        <v>475</v>
      </c>
      <c r="BG90" t="s">
        <v>87</v>
      </c>
      <c r="BH90" t="s">
        <v>1397</v>
      </c>
      <c r="BI90">
        <v>2005</v>
      </c>
      <c r="BL90" t="s">
        <v>351</v>
      </c>
      <c r="BM90">
        <v>34</v>
      </c>
      <c r="BN90">
        <v>40</v>
      </c>
      <c r="BS90">
        <v>43467</v>
      </c>
      <c r="BT90">
        <v>43830</v>
      </c>
      <c r="BU90" t="s">
        <v>1398</v>
      </c>
      <c r="BV90" t="e">
        <v>#REF!</v>
      </c>
      <c r="CD90" t="e">
        <v>#N/A</v>
      </c>
    </row>
    <row r="91" spans="1:82" x14ac:dyDescent="0.3">
      <c r="A91">
        <v>81</v>
      </c>
      <c r="B91" t="e">
        <v>#NUM!</v>
      </c>
      <c r="C91" t="s">
        <v>1399</v>
      </c>
      <c r="D91">
        <v>642001029</v>
      </c>
      <c r="E91">
        <v>1710003987081</v>
      </c>
      <c r="G91" t="s">
        <v>217</v>
      </c>
      <c r="H91" t="s">
        <v>217</v>
      </c>
      <c r="I91" s="305">
        <v>42919</v>
      </c>
      <c r="J91">
        <v>7</v>
      </c>
      <c r="K91">
        <v>6</v>
      </c>
      <c r="L91" t="s">
        <v>14</v>
      </c>
      <c r="M91" t="s">
        <v>187</v>
      </c>
      <c r="O91" s="305">
        <v>45657</v>
      </c>
      <c r="Q91" t="s">
        <v>206</v>
      </c>
      <c r="R91" t="s">
        <v>6863</v>
      </c>
      <c r="S91" t="s">
        <v>312</v>
      </c>
      <c r="T91" t="s">
        <v>23</v>
      </c>
      <c r="U91" t="s">
        <v>204</v>
      </c>
      <c r="V91" t="s">
        <v>51</v>
      </c>
      <c r="W91" t="s">
        <v>121</v>
      </c>
      <c r="X91" t="s">
        <v>313</v>
      </c>
      <c r="Z91" t="s">
        <v>337</v>
      </c>
      <c r="AA91" t="s">
        <v>132</v>
      </c>
      <c r="AB91" t="s">
        <v>217</v>
      </c>
      <c r="AC91" s="305">
        <v>32838</v>
      </c>
      <c r="AD91">
        <v>35</v>
      </c>
      <c r="AE91" t="s">
        <v>1400</v>
      </c>
      <c r="AF91" t="s">
        <v>1401</v>
      </c>
      <c r="AG91" t="s">
        <v>1402</v>
      </c>
      <c r="AJ91" t="s">
        <v>1403</v>
      </c>
      <c r="AK91" t="s">
        <v>1404</v>
      </c>
      <c r="AL91">
        <v>18024053276</v>
      </c>
      <c r="AM91" t="s">
        <v>4716</v>
      </c>
      <c r="AS91" t="s">
        <v>1405</v>
      </c>
      <c r="AT91" t="s">
        <v>1406</v>
      </c>
      <c r="AU91" t="s">
        <v>306</v>
      </c>
      <c r="AV91" t="s">
        <v>306</v>
      </c>
      <c r="AW91">
        <v>0</v>
      </c>
      <c r="AX91" t="s">
        <v>5078</v>
      </c>
      <c r="AY91" t="s">
        <v>1407</v>
      </c>
      <c r="AZ91" t="s">
        <v>1408</v>
      </c>
      <c r="BA91" t="s">
        <v>161</v>
      </c>
      <c r="BB91" t="s">
        <v>349</v>
      </c>
      <c r="BC91" t="s">
        <v>1213</v>
      </c>
      <c r="BD91" t="s">
        <v>516</v>
      </c>
      <c r="BE91">
        <v>2008</v>
      </c>
      <c r="BF91" t="s">
        <v>475</v>
      </c>
      <c r="BG91" t="s">
        <v>1213</v>
      </c>
      <c r="BH91" t="s">
        <v>516</v>
      </c>
      <c r="BI91">
        <v>2008</v>
      </c>
      <c r="BL91" t="s">
        <v>360</v>
      </c>
      <c r="BM91">
        <v>29</v>
      </c>
      <c r="BN91">
        <v>40</v>
      </c>
      <c r="BS91">
        <v>43467</v>
      </c>
      <c r="BT91">
        <v>43830</v>
      </c>
      <c r="BU91" t="s">
        <v>1409</v>
      </c>
      <c r="BV91" t="s">
        <v>1410</v>
      </c>
      <c r="CD91" t="e">
        <v>#N/A</v>
      </c>
    </row>
    <row r="92" spans="1:82" x14ac:dyDescent="0.3">
      <c r="A92">
        <v>82</v>
      </c>
      <c r="B92" t="e">
        <v>#NUM!</v>
      </c>
      <c r="C92" t="s">
        <v>1411</v>
      </c>
      <c r="D92">
        <v>642001022</v>
      </c>
      <c r="E92">
        <v>1710003988402</v>
      </c>
      <c r="G92" t="s">
        <v>217</v>
      </c>
      <c r="H92" t="s">
        <v>217</v>
      </c>
      <c r="I92" s="305">
        <v>42919</v>
      </c>
      <c r="J92">
        <v>7</v>
      </c>
      <c r="K92">
        <v>6</v>
      </c>
      <c r="L92" t="s">
        <v>14</v>
      </c>
      <c r="M92" t="s">
        <v>187</v>
      </c>
      <c r="O92" s="305">
        <v>45657</v>
      </c>
      <c r="Q92" t="s">
        <v>206</v>
      </c>
      <c r="R92" t="s">
        <v>6863</v>
      </c>
      <c r="S92" t="s">
        <v>312</v>
      </c>
      <c r="T92" t="s">
        <v>24</v>
      </c>
      <c r="U92" t="s">
        <v>204</v>
      </c>
      <c r="V92" t="s">
        <v>629</v>
      </c>
      <c r="W92" t="s">
        <v>121</v>
      </c>
      <c r="X92" t="s">
        <v>313</v>
      </c>
      <c r="Z92" t="s">
        <v>337</v>
      </c>
      <c r="AA92" t="s">
        <v>132</v>
      </c>
      <c r="AB92" t="s">
        <v>1412</v>
      </c>
      <c r="AC92" s="305">
        <v>35922</v>
      </c>
      <c r="AD92">
        <v>26</v>
      </c>
      <c r="AE92" t="s">
        <v>1413</v>
      </c>
      <c r="AF92" t="s">
        <v>1414</v>
      </c>
      <c r="AG92" t="s">
        <v>1415</v>
      </c>
      <c r="AH92" t="s">
        <v>1416</v>
      </c>
      <c r="AJ92" t="s">
        <v>1417</v>
      </c>
      <c r="AK92" t="s">
        <v>1418</v>
      </c>
      <c r="AL92">
        <v>17043907710</v>
      </c>
      <c r="AM92" t="s">
        <v>4716</v>
      </c>
      <c r="AS92" t="s">
        <v>1419</v>
      </c>
      <c r="AT92" t="s">
        <v>1420</v>
      </c>
      <c r="AU92" t="s">
        <v>306</v>
      </c>
      <c r="AV92" t="s">
        <v>306</v>
      </c>
      <c r="AW92">
        <v>0</v>
      </c>
      <c r="AX92" t="s">
        <v>5078</v>
      </c>
      <c r="AY92" t="s">
        <v>1421</v>
      </c>
      <c r="AZ92" t="s">
        <v>1422</v>
      </c>
      <c r="BA92" t="s">
        <v>161</v>
      </c>
      <c r="BB92" t="s">
        <v>349</v>
      </c>
      <c r="BC92" t="s">
        <v>4502</v>
      </c>
      <c r="BD92" t="s">
        <v>516</v>
      </c>
      <c r="BE92">
        <v>2016</v>
      </c>
      <c r="BF92" t="s">
        <v>475</v>
      </c>
      <c r="BG92" t="s">
        <v>4502</v>
      </c>
      <c r="BH92" t="s">
        <v>516</v>
      </c>
      <c r="BI92">
        <v>2016</v>
      </c>
      <c r="BL92" t="s">
        <v>339</v>
      </c>
      <c r="BM92">
        <v>36</v>
      </c>
      <c r="BN92">
        <v>42</v>
      </c>
      <c r="BO92" s="305">
        <v>44365</v>
      </c>
      <c r="BP92" s="305">
        <v>44400</v>
      </c>
      <c r="BS92">
        <v>43467</v>
      </c>
      <c r="BT92">
        <v>43830</v>
      </c>
      <c r="BU92" t="s">
        <v>1423</v>
      </c>
      <c r="BV92" t="s">
        <v>1424</v>
      </c>
      <c r="CD92" t="e">
        <v>#N/A</v>
      </c>
    </row>
    <row r="93" spans="1:82" x14ac:dyDescent="0.3">
      <c r="A93">
        <v>83</v>
      </c>
      <c r="B93" t="e">
        <v>#NUM!</v>
      </c>
      <c r="C93" t="s">
        <v>1425</v>
      </c>
      <c r="D93">
        <v>642001032</v>
      </c>
      <c r="E93">
        <v>1710003988428</v>
      </c>
      <c r="G93" t="s">
        <v>217</v>
      </c>
      <c r="H93" t="s">
        <v>217</v>
      </c>
      <c r="I93" s="305">
        <v>42919</v>
      </c>
      <c r="J93">
        <v>7</v>
      </c>
      <c r="K93">
        <v>6</v>
      </c>
      <c r="L93" t="s">
        <v>14</v>
      </c>
      <c r="M93" t="s">
        <v>187</v>
      </c>
      <c r="O93" s="305">
        <v>45657</v>
      </c>
      <c r="Q93" t="s">
        <v>206</v>
      </c>
      <c r="R93" t="s">
        <v>6863</v>
      </c>
      <c r="S93" t="s">
        <v>312</v>
      </c>
      <c r="T93" t="s">
        <v>204</v>
      </c>
      <c r="U93" t="s">
        <v>204</v>
      </c>
      <c r="V93" t="s">
        <v>1426</v>
      </c>
      <c r="W93" t="s">
        <v>121</v>
      </c>
      <c r="X93" t="s">
        <v>313</v>
      </c>
      <c r="Z93" t="s">
        <v>337</v>
      </c>
      <c r="AA93" t="s">
        <v>132</v>
      </c>
      <c r="AB93" t="s">
        <v>217</v>
      </c>
      <c r="AC93" s="305">
        <v>34318</v>
      </c>
      <c r="AD93">
        <v>31</v>
      </c>
      <c r="AE93" t="s">
        <v>1427</v>
      </c>
      <c r="AF93" t="s">
        <v>1428</v>
      </c>
      <c r="AG93" t="s">
        <v>1429</v>
      </c>
      <c r="AJ93" t="s">
        <v>1430</v>
      </c>
      <c r="AK93" t="s">
        <v>1431</v>
      </c>
      <c r="AL93">
        <v>12028275217</v>
      </c>
      <c r="AM93" t="s">
        <v>4733</v>
      </c>
      <c r="AN93" t="s">
        <v>1432</v>
      </c>
      <c r="AO93" t="s">
        <v>1433</v>
      </c>
      <c r="AS93" t="s">
        <v>306</v>
      </c>
      <c r="AT93" t="s">
        <v>306</v>
      </c>
      <c r="AU93" t="s">
        <v>306</v>
      </c>
      <c r="AV93" t="s">
        <v>306</v>
      </c>
      <c r="AW93">
        <v>1</v>
      </c>
      <c r="AX93" t="s">
        <v>5637</v>
      </c>
      <c r="BA93" t="s">
        <v>161</v>
      </c>
      <c r="BB93" t="s">
        <v>349</v>
      </c>
      <c r="BC93" t="s">
        <v>4502</v>
      </c>
      <c r="BD93" t="s">
        <v>350</v>
      </c>
      <c r="BE93">
        <v>2012</v>
      </c>
      <c r="BF93" t="s">
        <v>475</v>
      </c>
      <c r="BG93" t="s">
        <v>4502</v>
      </c>
      <c r="BH93" t="s">
        <v>350</v>
      </c>
      <c r="BI93">
        <v>2012</v>
      </c>
      <c r="BL93" t="s">
        <v>360</v>
      </c>
      <c r="BM93">
        <v>30</v>
      </c>
      <c r="BN93">
        <v>41</v>
      </c>
      <c r="BO93" s="305">
        <v>44294</v>
      </c>
      <c r="BP93" s="305">
        <v>44322</v>
      </c>
      <c r="BS93">
        <v>43467</v>
      </c>
      <c r="BT93">
        <v>43830</v>
      </c>
      <c r="BU93" t="s">
        <v>1434</v>
      </c>
      <c r="BV93" t="s">
        <v>1435</v>
      </c>
      <c r="CD93" t="e">
        <v>#N/A</v>
      </c>
    </row>
    <row r="94" spans="1:82" x14ac:dyDescent="0.3">
      <c r="A94">
        <v>84</v>
      </c>
      <c r="B94" t="e">
        <v>#NUM!</v>
      </c>
      <c r="C94" t="s">
        <v>1436</v>
      </c>
      <c r="D94">
        <v>642001026</v>
      </c>
      <c r="E94">
        <v>1710003987172</v>
      </c>
      <c r="G94" t="s">
        <v>217</v>
      </c>
      <c r="H94" t="s">
        <v>217</v>
      </c>
      <c r="I94" s="305">
        <v>42919</v>
      </c>
      <c r="J94">
        <v>7</v>
      </c>
      <c r="K94">
        <v>6</v>
      </c>
      <c r="L94" t="s">
        <v>14</v>
      </c>
      <c r="M94" t="s">
        <v>187</v>
      </c>
      <c r="O94" s="305">
        <v>45657</v>
      </c>
      <c r="Q94" t="s">
        <v>206</v>
      </c>
      <c r="R94" t="s">
        <v>6863</v>
      </c>
      <c r="S94" t="s">
        <v>312</v>
      </c>
      <c r="T94" t="s">
        <v>23</v>
      </c>
      <c r="U94" t="s">
        <v>204</v>
      </c>
      <c r="V94" t="s">
        <v>51</v>
      </c>
      <c r="W94" t="s">
        <v>121</v>
      </c>
      <c r="X94" t="s">
        <v>313</v>
      </c>
      <c r="Z94" t="s">
        <v>337</v>
      </c>
      <c r="AA94" t="s">
        <v>132</v>
      </c>
      <c r="AB94" t="s">
        <v>217</v>
      </c>
      <c r="AC94" s="305">
        <v>36114</v>
      </c>
      <c r="AD94">
        <v>26</v>
      </c>
      <c r="AE94" t="s">
        <v>1437</v>
      </c>
      <c r="AF94" t="s">
        <v>1438</v>
      </c>
      <c r="AG94" t="s">
        <v>1439</v>
      </c>
      <c r="AH94" t="s">
        <v>1440</v>
      </c>
      <c r="AJ94" t="s">
        <v>1441</v>
      </c>
      <c r="AK94" t="s">
        <v>1442</v>
      </c>
      <c r="AL94">
        <v>17043907827</v>
      </c>
      <c r="AM94" t="s">
        <v>4716</v>
      </c>
      <c r="AS94" t="s">
        <v>1443</v>
      </c>
      <c r="AT94" t="s">
        <v>1444</v>
      </c>
      <c r="AU94" t="s">
        <v>306</v>
      </c>
      <c r="AV94" t="s">
        <v>306</v>
      </c>
      <c r="AW94">
        <v>0</v>
      </c>
      <c r="AX94" t="s">
        <v>5078</v>
      </c>
      <c r="AY94" t="s">
        <v>1445</v>
      </c>
      <c r="AZ94" t="s">
        <v>1445</v>
      </c>
      <c r="BA94" t="s">
        <v>161</v>
      </c>
      <c r="BB94" t="s">
        <v>349</v>
      </c>
      <c r="BC94" t="s">
        <v>91</v>
      </c>
      <c r="BD94" t="s">
        <v>516</v>
      </c>
      <c r="BE94">
        <v>2017</v>
      </c>
      <c r="BF94" t="s">
        <v>475</v>
      </c>
      <c r="BG94" t="s">
        <v>91</v>
      </c>
      <c r="BH94" t="s">
        <v>516</v>
      </c>
      <c r="BI94">
        <v>2017</v>
      </c>
      <c r="BL94" t="s">
        <v>360</v>
      </c>
      <c r="BM94">
        <v>29</v>
      </c>
      <c r="BN94">
        <v>39</v>
      </c>
      <c r="BS94">
        <v>43467</v>
      </c>
      <c r="BT94">
        <v>43830</v>
      </c>
      <c r="BU94" t="s">
        <v>1446</v>
      </c>
      <c r="BV94" t="s">
        <v>1447</v>
      </c>
      <c r="CD94" t="e">
        <v>#N/A</v>
      </c>
    </row>
    <row r="95" spans="1:82" x14ac:dyDescent="0.3">
      <c r="A95">
        <v>85</v>
      </c>
      <c r="B95" t="e">
        <v>#NUM!</v>
      </c>
      <c r="C95" t="s">
        <v>1448</v>
      </c>
      <c r="D95">
        <v>642001027</v>
      </c>
      <c r="E95">
        <v>1710003987198</v>
      </c>
      <c r="G95" t="s">
        <v>217</v>
      </c>
      <c r="H95" t="s">
        <v>315</v>
      </c>
      <c r="I95" s="305">
        <v>42919</v>
      </c>
      <c r="J95">
        <v>7</v>
      </c>
      <c r="K95">
        <v>6</v>
      </c>
      <c r="L95" t="s">
        <v>14</v>
      </c>
      <c r="M95" t="s">
        <v>187</v>
      </c>
      <c r="O95" s="305">
        <v>45657</v>
      </c>
      <c r="Q95" t="s">
        <v>206</v>
      </c>
      <c r="R95" t="s">
        <v>6863</v>
      </c>
      <c r="S95" t="s">
        <v>312</v>
      </c>
      <c r="T95" t="s">
        <v>27</v>
      </c>
      <c r="U95" t="s">
        <v>547</v>
      </c>
      <c r="V95" t="s">
        <v>93</v>
      </c>
      <c r="W95" t="s">
        <v>122</v>
      </c>
      <c r="X95" t="s">
        <v>313</v>
      </c>
      <c r="Z95" t="s">
        <v>337</v>
      </c>
      <c r="AA95" t="s">
        <v>132</v>
      </c>
      <c r="AB95" t="s">
        <v>315</v>
      </c>
      <c r="AC95" s="305">
        <v>34925</v>
      </c>
      <c r="AD95">
        <v>29</v>
      </c>
      <c r="AE95" t="s">
        <v>1449</v>
      </c>
      <c r="AF95" t="s">
        <v>1450</v>
      </c>
      <c r="AG95" t="s">
        <v>1451</v>
      </c>
      <c r="AJ95" t="s">
        <v>1452</v>
      </c>
      <c r="AK95" t="s">
        <v>1453</v>
      </c>
      <c r="AL95">
        <v>16003086085</v>
      </c>
      <c r="AM95" t="s">
        <v>4716</v>
      </c>
      <c r="AS95" t="s">
        <v>306</v>
      </c>
      <c r="AT95" t="s">
        <v>306</v>
      </c>
      <c r="AU95" t="s">
        <v>306</v>
      </c>
      <c r="AV95" t="s">
        <v>306</v>
      </c>
      <c r="AW95">
        <v>0</v>
      </c>
      <c r="AX95" t="s">
        <v>5078</v>
      </c>
      <c r="BA95" t="s">
        <v>161</v>
      </c>
      <c r="BB95" t="s">
        <v>349</v>
      </c>
      <c r="BC95" t="s">
        <v>515</v>
      </c>
      <c r="BD95" t="s">
        <v>1454</v>
      </c>
      <c r="BE95">
        <v>2013</v>
      </c>
      <c r="BF95" t="s">
        <v>475</v>
      </c>
      <c r="BG95" t="s">
        <v>515</v>
      </c>
      <c r="BH95" t="s">
        <v>1454</v>
      </c>
      <c r="BI95">
        <v>2013</v>
      </c>
      <c r="BL95" t="s">
        <v>351</v>
      </c>
      <c r="BM95">
        <v>28</v>
      </c>
      <c r="BN95">
        <v>42</v>
      </c>
      <c r="BS95">
        <v>43467</v>
      </c>
      <c r="BT95">
        <v>43830</v>
      </c>
      <c r="BU95" t="s">
        <v>1455</v>
      </c>
      <c r="BV95" t="s">
        <v>1456</v>
      </c>
      <c r="CD95" t="e">
        <v>#N/A</v>
      </c>
    </row>
    <row r="96" spans="1:82" x14ac:dyDescent="0.3">
      <c r="A96">
        <v>86</v>
      </c>
      <c r="B96" t="e">
        <v>#NUM!</v>
      </c>
      <c r="C96" t="s">
        <v>1457</v>
      </c>
      <c r="D96">
        <v>642001024</v>
      </c>
      <c r="E96">
        <v>1710003987313</v>
      </c>
      <c r="G96" t="s">
        <v>217</v>
      </c>
      <c r="H96" t="s">
        <v>217</v>
      </c>
      <c r="I96" s="305">
        <v>42919</v>
      </c>
      <c r="J96">
        <v>7</v>
      </c>
      <c r="K96">
        <v>6</v>
      </c>
      <c r="L96" t="s">
        <v>14</v>
      </c>
      <c r="M96" t="s">
        <v>187</v>
      </c>
      <c r="O96" s="305">
        <v>45657</v>
      </c>
      <c r="Q96" t="s">
        <v>206</v>
      </c>
      <c r="R96" t="s">
        <v>6863</v>
      </c>
      <c r="S96" t="s">
        <v>312</v>
      </c>
      <c r="T96" t="s">
        <v>24</v>
      </c>
      <c r="U96" t="s">
        <v>204</v>
      </c>
      <c r="V96" t="s">
        <v>629</v>
      </c>
      <c r="W96" t="s">
        <v>121</v>
      </c>
      <c r="X96" t="s">
        <v>313</v>
      </c>
      <c r="Z96" t="s">
        <v>337</v>
      </c>
      <c r="AA96" t="s">
        <v>132</v>
      </c>
      <c r="AB96" t="s">
        <v>217</v>
      </c>
      <c r="AC96" s="305">
        <v>35299</v>
      </c>
      <c r="AD96">
        <v>28</v>
      </c>
      <c r="AE96" t="s">
        <v>1458</v>
      </c>
      <c r="AF96" t="s">
        <v>1459</v>
      </c>
      <c r="AG96" t="s">
        <v>1460</v>
      </c>
      <c r="AH96" t="s">
        <v>1461</v>
      </c>
      <c r="AJ96" t="s">
        <v>1462</v>
      </c>
      <c r="AK96" t="s">
        <v>1463</v>
      </c>
      <c r="AL96">
        <v>17043907835</v>
      </c>
      <c r="AM96" t="s">
        <v>4716</v>
      </c>
      <c r="AS96" t="s">
        <v>306</v>
      </c>
      <c r="AT96" t="s">
        <v>306</v>
      </c>
      <c r="AU96" t="s">
        <v>306</v>
      </c>
      <c r="AV96" t="s">
        <v>306</v>
      </c>
      <c r="AW96">
        <v>0</v>
      </c>
      <c r="AX96" t="s">
        <v>5078</v>
      </c>
      <c r="BA96" t="s">
        <v>161</v>
      </c>
      <c r="BB96" t="s">
        <v>349</v>
      </c>
      <c r="BC96" t="s">
        <v>515</v>
      </c>
      <c r="BD96" t="s">
        <v>1274</v>
      </c>
      <c r="BE96">
        <v>2016</v>
      </c>
      <c r="BF96" t="s">
        <v>475</v>
      </c>
      <c r="BG96" t="s">
        <v>515</v>
      </c>
      <c r="BH96" t="s">
        <v>1274</v>
      </c>
      <c r="BI96">
        <v>2016</v>
      </c>
      <c r="BL96" t="s">
        <v>339</v>
      </c>
      <c r="BM96">
        <v>31</v>
      </c>
      <c r="BN96">
        <v>41</v>
      </c>
      <c r="BO96" s="305">
        <v>44293</v>
      </c>
      <c r="BP96" s="305">
        <v>44322</v>
      </c>
      <c r="BQ96" s="305">
        <v>44674</v>
      </c>
      <c r="BS96">
        <v>43467</v>
      </c>
      <c r="BT96">
        <v>43830</v>
      </c>
      <c r="BU96" t="s">
        <v>1464</v>
      </c>
      <c r="BV96" t="s">
        <v>1465</v>
      </c>
      <c r="CD96" t="e">
        <v>#N/A</v>
      </c>
    </row>
    <row r="97" spans="1:82" x14ac:dyDescent="0.3">
      <c r="A97">
        <v>87</v>
      </c>
      <c r="B97" t="e">
        <v>#NUM!</v>
      </c>
      <c r="C97" t="s">
        <v>1466</v>
      </c>
      <c r="D97">
        <v>642001031</v>
      </c>
      <c r="E97">
        <v>1710003988311</v>
      </c>
      <c r="G97" t="s">
        <v>217</v>
      </c>
      <c r="H97" t="s">
        <v>217</v>
      </c>
      <c r="I97" s="305">
        <v>42919</v>
      </c>
      <c r="J97">
        <v>7</v>
      </c>
      <c r="K97">
        <v>6</v>
      </c>
      <c r="L97" t="s">
        <v>14</v>
      </c>
      <c r="M97" t="s">
        <v>187</v>
      </c>
      <c r="O97" s="305">
        <v>45657</v>
      </c>
      <c r="Q97" t="s">
        <v>206</v>
      </c>
      <c r="R97" t="s">
        <v>6863</v>
      </c>
      <c r="S97" t="s">
        <v>312</v>
      </c>
      <c r="T97" t="s">
        <v>24</v>
      </c>
      <c r="U97" t="s">
        <v>204</v>
      </c>
      <c r="V97" t="s">
        <v>629</v>
      </c>
      <c r="W97" t="s">
        <v>121</v>
      </c>
      <c r="X97" t="s">
        <v>313</v>
      </c>
      <c r="Z97" t="s">
        <v>337</v>
      </c>
      <c r="AA97" t="s">
        <v>132</v>
      </c>
      <c r="AB97" t="s">
        <v>217</v>
      </c>
      <c r="AC97" s="305">
        <v>35295</v>
      </c>
      <c r="AD97">
        <v>28</v>
      </c>
      <c r="AE97" t="s">
        <v>1467</v>
      </c>
      <c r="AF97" t="s">
        <v>1468</v>
      </c>
      <c r="AG97" t="s">
        <v>1469</v>
      </c>
      <c r="AJ97" t="s">
        <v>1470</v>
      </c>
      <c r="AK97" t="s">
        <v>1471</v>
      </c>
      <c r="AL97">
        <v>18024053284</v>
      </c>
      <c r="AM97" t="s">
        <v>4733</v>
      </c>
      <c r="AS97" t="s">
        <v>306</v>
      </c>
      <c r="AT97" t="s">
        <v>306</v>
      </c>
      <c r="AU97" t="s">
        <v>306</v>
      </c>
      <c r="AV97" t="s">
        <v>306</v>
      </c>
      <c r="AW97">
        <v>0</v>
      </c>
      <c r="AX97" t="s">
        <v>5627</v>
      </c>
      <c r="BA97" t="s">
        <v>161</v>
      </c>
      <c r="BB97" t="s">
        <v>349</v>
      </c>
      <c r="BC97" t="s">
        <v>515</v>
      </c>
      <c r="BD97" t="s">
        <v>1472</v>
      </c>
      <c r="BE97">
        <v>2016</v>
      </c>
      <c r="BF97" t="s">
        <v>475</v>
      </c>
      <c r="BG97" t="s">
        <v>515</v>
      </c>
      <c r="BH97" t="s">
        <v>1472</v>
      </c>
      <c r="BI97">
        <v>2016</v>
      </c>
      <c r="BL97" t="s">
        <v>360</v>
      </c>
      <c r="BM97">
        <v>30</v>
      </c>
      <c r="BN97">
        <v>43</v>
      </c>
      <c r="BO97" s="305">
        <v>44293</v>
      </c>
      <c r="BP97" s="305">
        <v>44322</v>
      </c>
      <c r="BS97">
        <v>43467</v>
      </c>
      <c r="BT97">
        <v>43830</v>
      </c>
      <c r="BU97" t="s">
        <v>1473</v>
      </c>
      <c r="BV97" t="s">
        <v>1474</v>
      </c>
      <c r="CD97" t="e">
        <v>#N/A</v>
      </c>
    </row>
    <row r="98" spans="1:82" x14ac:dyDescent="0.3">
      <c r="A98">
        <v>91</v>
      </c>
      <c r="B98" t="e">
        <v>#NUM!</v>
      </c>
      <c r="C98" t="s">
        <v>1510</v>
      </c>
      <c r="D98">
        <v>642001021</v>
      </c>
      <c r="E98">
        <v>1710003987495</v>
      </c>
      <c r="G98" t="s">
        <v>217</v>
      </c>
      <c r="H98" t="s">
        <v>1511</v>
      </c>
      <c r="I98" s="305">
        <v>43010</v>
      </c>
      <c r="J98">
        <v>7</v>
      </c>
      <c r="K98">
        <v>3</v>
      </c>
      <c r="L98" t="s">
        <v>14</v>
      </c>
      <c r="M98" t="s">
        <v>187</v>
      </c>
      <c r="O98" s="305">
        <v>45657</v>
      </c>
      <c r="Q98" t="s">
        <v>206</v>
      </c>
      <c r="R98" t="s">
        <v>6863</v>
      </c>
      <c r="S98" t="s">
        <v>312</v>
      </c>
      <c r="T98" t="s">
        <v>24</v>
      </c>
      <c r="U98" t="s">
        <v>443</v>
      </c>
      <c r="V98" t="s">
        <v>1512</v>
      </c>
      <c r="W98" t="s">
        <v>121</v>
      </c>
      <c r="X98" t="s">
        <v>313</v>
      </c>
      <c r="Y98" t="s">
        <v>1218</v>
      </c>
      <c r="Z98" t="s">
        <v>337</v>
      </c>
      <c r="AA98" t="s">
        <v>132</v>
      </c>
      <c r="AB98" t="s">
        <v>1511</v>
      </c>
      <c r="AC98" s="305">
        <v>35990</v>
      </c>
      <c r="AD98">
        <v>26</v>
      </c>
      <c r="AE98" t="s">
        <v>1513</v>
      </c>
      <c r="AF98" t="s">
        <v>1514</v>
      </c>
      <c r="AG98" t="s">
        <v>1515</v>
      </c>
      <c r="AJ98" t="s">
        <v>1516</v>
      </c>
      <c r="AK98" t="s">
        <v>1517</v>
      </c>
      <c r="AL98">
        <v>18024053243</v>
      </c>
      <c r="AM98" t="s">
        <v>4716</v>
      </c>
      <c r="AS98" t="s">
        <v>1518</v>
      </c>
      <c r="AT98" t="s">
        <v>1211</v>
      </c>
      <c r="AU98" t="s">
        <v>306</v>
      </c>
      <c r="AV98" t="s">
        <v>306</v>
      </c>
      <c r="AW98">
        <v>0</v>
      </c>
      <c r="AX98" t="s">
        <v>5078</v>
      </c>
      <c r="AY98" t="s">
        <v>1519</v>
      </c>
      <c r="AZ98" t="s">
        <v>1519</v>
      </c>
      <c r="BA98" t="s">
        <v>161</v>
      </c>
      <c r="BB98" t="s">
        <v>349</v>
      </c>
      <c r="BC98" t="s">
        <v>515</v>
      </c>
      <c r="BD98" t="s">
        <v>1520</v>
      </c>
      <c r="BE98">
        <v>2017</v>
      </c>
      <c r="BF98" t="s">
        <v>475</v>
      </c>
      <c r="BG98" t="s">
        <v>515</v>
      </c>
      <c r="BH98" t="s">
        <v>1520</v>
      </c>
      <c r="BI98">
        <v>2017</v>
      </c>
      <c r="BL98" t="s">
        <v>339</v>
      </c>
      <c r="BM98">
        <v>31</v>
      </c>
      <c r="BN98">
        <v>42</v>
      </c>
      <c r="BQ98" s="305">
        <v>44674</v>
      </c>
      <c r="BS98">
        <v>43467</v>
      </c>
      <c r="BT98">
        <v>43830</v>
      </c>
      <c r="BU98" t="s">
        <v>1521</v>
      </c>
      <c r="BV98" t="s">
        <v>1522</v>
      </c>
      <c r="CD98" t="e">
        <v>#N/A</v>
      </c>
    </row>
    <row r="99" spans="1:82" x14ac:dyDescent="0.3">
      <c r="A99">
        <v>92</v>
      </c>
      <c r="B99" t="e">
        <v>#NUM!</v>
      </c>
      <c r="C99" t="s">
        <v>1523</v>
      </c>
      <c r="D99">
        <v>641801134</v>
      </c>
      <c r="E99">
        <v>1710004029354</v>
      </c>
      <c r="G99" t="s">
        <v>24</v>
      </c>
      <c r="H99" t="s">
        <v>24</v>
      </c>
      <c r="I99" s="305">
        <v>43115</v>
      </c>
      <c r="J99">
        <v>7</v>
      </c>
      <c r="K99">
        <v>0</v>
      </c>
      <c r="L99" t="s">
        <v>14</v>
      </c>
      <c r="M99" t="s">
        <v>187</v>
      </c>
      <c r="O99" s="305">
        <v>45657</v>
      </c>
      <c r="Q99" t="s">
        <v>206</v>
      </c>
      <c r="R99" t="s">
        <v>6863</v>
      </c>
      <c r="S99" t="s">
        <v>312</v>
      </c>
      <c r="T99" t="s">
        <v>24</v>
      </c>
      <c r="U99" t="s">
        <v>443</v>
      </c>
      <c r="V99" t="s">
        <v>444</v>
      </c>
      <c r="W99" t="s">
        <v>121</v>
      </c>
      <c r="X99" t="s">
        <v>313</v>
      </c>
      <c r="Y99" t="s">
        <v>462</v>
      </c>
      <c r="Z99" t="s">
        <v>337</v>
      </c>
      <c r="AA99" t="s">
        <v>132</v>
      </c>
      <c r="AB99" t="s">
        <v>1524</v>
      </c>
      <c r="AC99" s="305">
        <v>35471</v>
      </c>
      <c r="AD99">
        <v>27</v>
      </c>
      <c r="AE99" t="s">
        <v>1525</v>
      </c>
      <c r="AF99" t="s">
        <v>1526</v>
      </c>
      <c r="AG99" t="s">
        <v>1527</v>
      </c>
      <c r="AJ99" t="s">
        <v>1528</v>
      </c>
      <c r="AK99" t="s">
        <v>1529</v>
      </c>
      <c r="AL99" t="s">
        <v>6853</v>
      </c>
      <c r="AM99" t="s">
        <v>4716</v>
      </c>
      <c r="AS99" t="s">
        <v>306</v>
      </c>
      <c r="AT99" t="s">
        <v>306</v>
      </c>
      <c r="AU99" t="s">
        <v>306</v>
      </c>
      <c r="AV99" t="s">
        <v>306</v>
      </c>
      <c r="AW99">
        <v>0</v>
      </c>
      <c r="AX99" t="s">
        <v>5078</v>
      </c>
      <c r="AY99" t="s">
        <v>1530</v>
      </c>
      <c r="AZ99" t="s">
        <v>1530</v>
      </c>
      <c r="BA99" t="s">
        <v>161</v>
      </c>
      <c r="BB99" t="s">
        <v>349</v>
      </c>
      <c r="BC99" t="s">
        <v>87</v>
      </c>
      <c r="BD99" t="s">
        <v>1531</v>
      </c>
      <c r="BE99">
        <v>2016</v>
      </c>
      <c r="BF99" t="s">
        <v>475</v>
      </c>
      <c r="BG99" t="s">
        <v>87</v>
      </c>
      <c r="BH99" t="s">
        <v>1531</v>
      </c>
      <c r="BI99">
        <v>2016</v>
      </c>
      <c r="BL99" t="s">
        <v>360</v>
      </c>
      <c r="BM99">
        <v>30</v>
      </c>
      <c r="BN99">
        <v>40</v>
      </c>
      <c r="CD99" t="e">
        <v>#N/A</v>
      </c>
    </row>
    <row r="100" spans="1:82" x14ac:dyDescent="0.3">
      <c r="A100">
        <v>93</v>
      </c>
      <c r="B100" t="e">
        <v>#NUM!</v>
      </c>
      <c r="C100" t="s">
        <v>1532</v>
      </c>
      <c r="D100">
        <v>641801133</v>
      </c>
      <c r="E100">
        <v>1710003988360</v>
      </c>
      <c r="G100" t="s">
        <v>24</v>
      </c>
      <c r="H100" t="s">
        <v>24</v>
      </c>
      <c r="I100" s="305">
        <v>43115</v>
      </c>
      <c r="J100">
        <v>7</v>
      </c>
      <c r="K100">
        <v>0</v>
      </c>
      <c r="L100" t="s">
        <v>14</v>
      </c>
      <c r="M100" t="s">
        <v>187</v>
      </c>
      <c r="O100" s="305">
        <v>45657</v>
      </c>
      <c r="Q100" t="s">
        <v>206</v>
      </c>
      <c r="R100" t="s">
        <v>6863</v>
      </c>
      <c r="S100" t="s">
        <v>312</v>
      </c>
      <c r="T100" t="s">
        <v>24</v>
      </c>
      <c r="U100" t="s">
        <v>443</v>
      </c>
      <c r="V100" t="s">
        <v>444</v>
      </c>
      <c r="W100" t="s">
        <v>121</v>
      </c>
      <c r="X100" t="s">
        <v>313</v>
      </c>
      <c r="Z100" t="s">
        <v>337</v>
      </c>
      <c r="AA100" t="s">
        <v>132</v>
      </c>
      <c r="AB100" t="s">
        <v>1533</v>
      </c>
      <c r="AC100" s="305">
        <v>34231</v>
      </c>
      <c r="AD100">
        <v>31</v>
      </c>
      <c r="AE100" t="s">
        <v>1534</v>
      </c>
      <c r="AF100" t="s">
        <v>1535</v>
      </c>
      <c r="AG100" t="s">
        <v>1536</v>
      </c>
      <c r="AJ100" t="s">
        <v>1537</v>
      </c>
      <c r="AK100" t="s">
        <v>1538</v>
      </c>
      <c r="AL100">
        <v>18035613365</v>
      </c>
      <c r="AM100" t="s">
        <v>4733</v>
      </c>
      <c r="AN100" t="s">
        <v>1539</v>
      </c>
      <c r="AS100" t="s">
        <v>1540</v>
      </c>
      <c r="AT100" t="s">
        <v>1541</v>
      </c>
      <c r="AU100" t="s">
        <v>1542</v>
      </c>
      <c r="AV100" t="s">
        <v>1543</v>
      </c>
      <c r="AW100">
        <v>0</v>
      </c>
      <c r="AX100" t="s">
        <v>5627</v>
      </c>
      <c r="AY100" t="s">
        <v>1544</v>
      </c>
      <c r="AZ100" t="s">
        <v>1544</v>
      </c>
      <c r="BA100" t="s">
        <v>161</v>
      </c>
      <c r="BB100" t="s">
        <v>75</v>
      </c>
      <c r="BC100" t="s">
        <v>87</v>
      </c>
      <c r="BD100" t="s">
        <v>1545</v>
      </c>
      <c r="BE100">
        <v>2017</v>
      </c>
      <c r="BF100" t="s">
        <v>75</v>
      </c>
      <c r="BG100" t="s">
        <v>87</v>
      </c>
      <c r="BH100" t="s">
        <v>1545</v>
      </c>
      <c r="BI100">
        <v>2017</v>
      </c>
      <c r="BL100" t="s">
        <v>351</v>
      </c>
      <c r="BM100">
        <v>31</v>
      </c>
      <c r="BN100">
        <v>40</v>
      </c>
      <c r="CD100" t="e">
        <v>#N/A</v>
      </c>
    </row>
    <row r="101" spans="1:82" x14ac:dyDescent="0.3">
      <c r="A101">
        <v>94</v>
      </c>
      <c r="B101" t="e">
        <v>#NUM!</v>
      </c>
      <c r="C101" t="s">
        <v>1546</v>
      </c>
      <c r="D101">
        <v>641801137</v>
      </c>
      <c r="E101">
        <v>1710003988238</v>
      </c>
      <c r="G101" t="s">
        <v>24</v>
      </c>
      <c r="H101" t="s">
        <v>24</v>
      </c>
      <c r="I101" s="305">
        <v>43115</v>
      </c>
      <c r="J101">
        <v>7</v>
      </c>
      <c r="K101">
        <v>0</v>
      </c>
      <c r="L101" t="s">
        <v>14</v>
      </c>
      <c r="M101" t="s">
        <v>187</v>
      </c>
      <c r="O101" s="305">
        <v>45657</v>
      </c>
      <c r="Q101" t="s">
        <v>206</v>
      </c>
      <c r="R101" t="s">
        <v>6863</v>
      </c>
      <c r="S101" t="s">
        <v>312</v>
      </c>
      <c r="T101" t="s">
        <v>24</v>
      </c>
      <c r="U101" t="s">
        <v>204</v>
      </c>
      <c r="V101" t="s">
        <v>629</v>
      </c>
      <c r="W101" t="s">
        <v>121</v>
      </c>
      <c r="X101" t="s">
        <v>313</v>
      </c>
      <c r="Y101" t="s">
        <v>462</v>
      </c>
      <c r="Z101" t="s">
        <v>337</v>
      </c>
      <c r="AA101" t="s">
        <v>132</v>
      </c>
      <c r="AB101" t="s">
        <v>24</v>
      </c>
      <c r="AC101" s="305">
        <v>33012</v>
      </c>
      <c r="AD101">
        <v>34</v>
      </c>
      <c r="AE101" t="s">
        <v>1547</v>
      </c>
      <c r="AF101" t="s">
        <v>1548</v>
      </c>
      <c r="AG101" t="s">
        <v>1549</v>
      </c>
      <c r="AJ101" t="s">
        <v>1550</v>
      </c>
      <c r="AK101" t="s">
        <v>1551</v>
      </c>
      <c r="AL101">
        <v>15048999781</v>
      </c>
      <c r="AM101" t="s">
        <v>4733</v>
      </c>
      <c r="AN101" t="s">
        <v>1552</v>
      </c>
      <c r="AS101" t="s">
        <v>306</v>
      </c>
      <c r="AT101" t="s">
        <v>306</v>
      </c>
      <c r="AU101" t="s">
        <v>306</v>
      </c>
      <c r="AV101" t="s">
        <v>306</v>
      </c>
      <c r="AW101">
        <v>0</v>
      </c>
      <c r="AX101" t="s">
        <v>5627</v>
      </c>
      <c r="BA101" t="s">
        <v>161</v>
      </c>
      <c r="BB101" t="s">
        <v>75</v>
      </c>
      <c r="BC101" t="s">
        <v>91</v>
      </c>
      <c r="BD101" t="s">
        <v>1553</v>
      </c>
      <c r="BE101">
        <v>2014</v>
      </c>
      <c r="BF101" t="s">
        <v>75</v>
      </c>
      <c r="BG101" t="s">
        <v>91</v>
      </c>
      <c r="BH101" t="s">
        <v>1553</v>
      </c>
      <c r="BI101">
        <v>2014</v>
      </c>
      <c r="BL101" t="s">
        <v>351</v>
      </c>
      <c r="BM101">
        <v>35</v>
      </c>
      <c r="BN101">
        <v>42</v>
      </c>
      <c r="BQ101" s="305">
        <v>44649</v>
      </c>
      <c r="CD101" t="e">
        <v>#N/A</v>
      </c>
    </row>
    <row r="102" spans="1:82" x14ac:dyDescent="0.3">
      <c r="A102">
        <v>95</v>
      </c>
      <c r="B102" t="e">
        <v>#NUM!</v>
      </c>
      <c r="C102" t="s">
        <v>1554</v>
      </c>
      <c r="D102">
        <v>641801140</v>
      </c>
      <c r="E102">
        <v>1710004055417</v>
      </c>
      <c r="G102" t="s">
        <v>24</v>
      </c>
      <c r="H102" t="s">
        <v>24</v>
      </c>
      <c r="I102" s="305">
        <v>43160</v>
      </c>
      <c r="J102">
        <v>6</v>
      </c>
      <c r="K102">
        <v>10</v>
      </c>
      <c r="L102" t="s">
        <v>14</v>
      </c>
      <c r="M102" t="s">
        <v>187</v>
      </c>
      <c r="O102" s="305">
        <v>45657</v>
      </c>
      <c r="Q102" t="s">
        <v>206</v>
      </c>
      <c r="R102" t="s">
        <v>6863</v>
      </c>
      <c r="S102" t="s">
        <v>312</v>
      </c>
      <c r="T102" t="s">
        <v>24</v>
      </c>
      <c r="U102" t="s">
        <v>204</v>
      </c>
      <c r="V102" t="s">
        <v>629</v>
      </c>
      <c r="W102" t="s">
        <v>121</v>
      </c>
      <c r="X102" t="s">
        <v>313</v>
      </c>
      <c r="Y102" t="s">
        <v>462</v>
      </c>
      <c r="Z102" t="s">
        <v>337</v>
      </c>
      <c r="AA102" t="s">
        <v>132</v>
      </c>
      <c r="AB102" t="s">
        <v>1555</v>
      </c>
      <c r="AC102" s="305">
        <v>28769</v>
      </c>
      <c r="AD102">
        <v>46</v>
      </c>
      <c r="AE102" t="s">
        <v>1556</v>
      </c>
      <c r="AF102" t="s">
        <v>1557</v>
      </c>
      <c r="AG102" t="s">
        <v>1558</v>
      </c>
      <c r="AJ102" t="s">
        <v>1559</v>
      </c>
      <c r="AK102" t="s">
        <v>1560</v>
      </c>
      <c r="AL102">
        <v>18035613423</v>
      </c>
      <c r="AM102" t="s">
        <v>4733</v>
      </c>
      <c r="AN102" t="s">
        <v>1561</v>
      </c>
      <c r="AO102" t="s">
        <v>1562</v>
      </c>
      <c r="AP102" t="s">
        <v>1563</v>
      </c>
      <c r="AS102" t="s">
        <v>1564</v>
      </c>
      <c r="AT102" t="s">
        <v>1565</v>
      </c>
      <c r="AU102" t="s">
        <v>1566</v>
      </c>
      <c r="AV102" t="s">
        <v>1567</v>
      </c>
      <c r="AW102">
        <v>2</v>
      </c>
      <c r="AX102" t="s">
        <v>5002</v>
      </c>
      <c r="AY102" t="s">
        <v>1568</v>
      </c>
      <c r="AZ102" t="s">
        <v>1568</v>
      </c>
      <c r="BA102" t="s">
        <v>161</v>
      </c>
      <c r="BB102" t="s">
        <v>349</v>
      </c>
      <c r="BC102" t="s">
        <v>91</v>
      </c>
      <c r="BD102" t="s">
        <v>1569</v>
      </c>
      <c r="BE102">
        <v>1998</v>
      </c>
      <c r="BF102" t="s">
        <v>475</v>
      </c>
      <c r="BG102" t="s">
        <v>91</v>
      </c>
      <c r="BH102" t="s">
        <v>1569</v>
      </c>
      <c r="BI102">
        <v>1998</v>
      </c>
      <c r="BL102" t="s">
        <v>360</v>
      </c>
      <c r="BM102">
        <v>31</v>
      </c>
      <c r="BN102">
        <v>40</v>
      </c>
      <c r="BP102" s="305">
        <v>44314</v>
      </c>
      <c r="CD102" t="e">
        <v>#N/A</v>
      </c>
    </row>
    <row r="103" spans="1:82" x14ac:dyDescent="0.3">
      <c r="A103">
        <v>96</v>
      </c>
      <c r="B103" t="e">
        <v>#NUM!</v>
      </c>
      <c r="C103" t="s">
        <v>1570</v>
      </c>
      <c r="D103">
        <v>641801141</v>
      </c>
      <c r="E103">
        <v>1710003988162</v>
      </c>
      <c r="G103" t="s">
        <v>24</v>
      </c>
      <c r="H103" t="s">
        <v>24</v>
      </c>
      <c r="I103" s="305">
        <v>43160</v>
      </c>
      <c r="J103">
        <v>6</v>
      </c>
      <c r="K103">
        <v>10</v>
      </c>
      <c r="L103" t="s">
        <v>14</v>
      </c>
      <c r="M103" t="s">
        <v>187</v>
      </c>
      <c r="O103" s="305">
        <v>45657</v>
      </c>
      <c r="Q103" t="s">
        <v>206</v>
      </c>
      <c r="R103" t="s">
        <v>6863</v>
      </c>
      <c r="S103" t="s">
        <v>312</v>
      </c>
      <c r="T103" t="s">
        <v>24</v>
      </c>
      <c r="U103" t="s">
        <v>204</v>
      </c>
      <c r="V103" t="s">
        <v>629</v>
      </c>
      <c r="W103" t="s">
        <v>121</v>
      </c>
      <c r="X103" t="s">
        <v>313</v>
      </c>
      <c r="Y103" t="s">
        <v>462</v>
      </c>
      <c r="Z103" t="s">
        <v>337</v>
      </c>
      <c r="AA103" t="s">
        <v>132</v>
      </c>
      <c r="AB103" t="s">
        <v>1571</v>
      </c>
      <c r="AC103" s="305">
        <v>34095</v>
      </c>
      <c r="AD103">
        <v>31</v>
      </c>
      <c r="AE103" t="s">
        <v>1572</v>
      </c>
      <c r="AF103" t="s">
        <v>1573</v>
      </c>
      <c r="AG103" t="s">
        <v>1574</v>
      </c>
      <c r="AJ103" t="s">
        <v>1575</v>
      </c>
      <c r="AK103" t="s">
        <v>1576</v>
      </c>
      <c r="AL103">
        <v>18035613381</v>
      </c>
      <c r="AM103" t="s">
        <v>4733</v>
      </c>
      <c r="AN103" t="s">
        <v>1577</v>
      </c>
      <c r="AO103" t="s">
        <v>1578</v>
      </c>
      <c r="AS103" t="s">
        <v>306</v>
      </c>
      <c r="AT103" t="s">
        <v>306</v>
      </c>
      <c r="AU103" t="s">
        <v>306</v>
      </c>
      <c r="AV103" t="s">
        <v>306</v>
      </c>
      <c r="AW103">
        <v>1</v>
      </c>
      <c r="AX103" t="s">
        <v>5637</v>
      </c>
      <c r="BA103" t="s">
        <v>161</v>
      </c>
      <c r="BB103" t="s">
        <v>349</v>
      </c>
      <c r="BC103" t="s">
        <v>515</v>
      </c>
      <c r="BD103" t="s">
        <v>1579</v>
      </c>
      <c r="BE103">
        <v>2011</v>
      </c>
      <c r="BF103" t="s">
        <v>349</v>
      </c>
      <c r="BG103" t="s">
        <v>515</v>
      </c>
      <c r="BH103" t="s">
        <v>1579</v>
      </c>
      <c r="BI103">
        <v>2011</v>
      </c>
      <c r="BL103" t="s">
        <v>351</v>
      </c>
      <c r="BM103">
        <v>32</v>
      </c>
      <c r="BN103">
        <v>42</v>
      </c>
      <c r="CD103" t="e">
        <v>#N/A</v>
      </c>
    </row>
    <row r="104" spans="1:82" x14ac:dyDescent="0.3">
      <c r="A104">
        <v>396</v>
      </c>
      <c r="B104" t="e">
        <v>#NUM!</v>
      </c>
      <c r="C104" t="s">
        <v>4457</v>
      </c>
      <c r="D104">
        <v>642409210</v>
      </c>
      <c r="E104" t="s">
        <v>4458</v>
      </c>
      <c r="G104" t="s">
        <v>217</v>
      </c>
      <c r="H104" t="s">
        <v>217</v>
      </c>
      <c r="I104" s="305">
        <v>45567</v>
      </c>
      <c r="J104">
        <v>0</v>
      </c>
      <c r="K104">
        <v>0</v>
      </c>
      <c r="L104" t="s">
        <v>14</v>
      </c>
      <c r="M104" t="s">
        <v>187</v>
      </c>
      <c r="O104" s="305">
        <v>45657</v>
      </c>
      <c r="Q104" t="s">
        <v>206</v>
      </c>
      <c r="R104" t="s">
        <v>6863</v>
      </c>
      <c r="S104" t="s">
        <v>312</v>
      </c>
      <c r="W104" t="s">
        <v>121</v>
      </c>
      <c r="X104" t="s">
        <v>313</v>
      </c>
      <c r="AA104" t="s">
        <v>132</v>
      </c>
      <c r="AB104" t="s">
        <v>311</v>
      </c>
      <c r="AC104" s="305">
        <v>35700</v>
      </c>
      <c r="AD104">
        <v>27</v>
      </c>
      <c r="AE104" t="s">
        <v>4459</v>
      </c>
      <c r="AF104" t="s">
        <v>4460</v>
      </c>
      <c r="AG104" t="s">
        <v>4461</v>
      </c>
      <c r="AH104" t="s">
        <v>4462</v>
      </c>
      <c r="AI104" t="s">
        <v>4462</v>
      </c>
      <c r="AJ104" t="s">
        <v>4463</v>
      </c>
      <c r="AK104" t="s">
        <v>4464</v>
      </c>
      <c r="AL104" t="s">
        <v>4465</v>
      </c>
      <c r="AM104" t="s">
        <v>4733</v>
      </c>
      <c r="AN104" t="s">
        <v>4466</v>
      </c>
      <c r="AO104" t="s">
        <v>4467</v>
      </c>
      <c r="AS104" t="s">
        <v>4468</v>
      </c>
      <c r="AT104" t="s">
        <v>4469</v>
      </c>
      <c r="AU104" t="s">
        <v>4470</v>
      </c>
      <c r="AV104" t="s">
        <v>4471</v>
      </c>
      <c r="AW104">
        <v>1</v>
      </c>
      <c r="AX104" t="s">
        <v>5637</v>
      </c>
      <c r="BA104" t="s">
        <v>161</v>
      </c>
      <c r="BB104" t="s">
        <v>349</v>
      </c>
      <c r="BC104" t="s">
        <v>4386</v>
      </c>
      <c r="BD104" t="s">
        <v>1292</v>
      </c>
      <c r="BE104">
        <v>2016</v>
      </c>
      <c r="BF104" t="s">
        <v>349</v>
      </c>
      <c r="BG104" t="s">
        <v>4386</v>
      </c>
      <c r="BH104" t="s">
        <v>1292</v>
      </c>
      <c r="BI104">
        <v>2016</v>
      </c>
      <c r="BL104" t="s">
        <v>4472</v>
      </c>
      <c r="BM104" t="s">
        <v>4473</v>
      </c>
      <c r="BN104">
        <v>45</v>
      </c>
    </row>
    <row r="105" spans="1:82" x14ac:dyDescent="0.3">
      <c r="A105">
        <v>395</v>
      </c>
      <c r="B105" t="e">
        <v>#NUM!</v>
      </c>
      <c r="C105" t="s">
        <v>4440</v>
      </c>
      <c r="D105">
        <v>642409211</v>
      </c>
      <c r="E105" t="s">
        <v>4441</v>
      </c>
      <c r="G105" t="s">
        <v>217</v>
      </c>
      <c r="H105" t="s">
        <v>217</v>
      </c>
      <c r="I105" s="305">
        <v>45567</v>
      </c>
      <c r="J105">
        <v>0</v>
      </c>
      <c r="K105">
        <v>0</v>
      </c>
      <c r="L105" t="s">
        <v>14</v>
      </c>
      <c r="M105" t="s">
        <v>187</v>
      </c>
      <c r="O105" s="305">
        <v>45657</v>
      </c>
      <c r="Q105" t="s">
        <v>206</v>
      </c>
      <c r="R105" t="s">
        <v>6863</v>
      </c>
      <c r="S105" t="s">
        <v>312</v>
      </c>
      <c r="W105" t="s">
        <v>121</v>
      </c>
      <c r="X105" t="s">
        <v>313</v>
      </c>
      <c r="AA105" t="s">
        <v>132</v>
      </c>
      <c r="AB105" t="s">
        <v>4442</v>
      </c>
      <c r="AC105" s="305">
        <v>33805</v>
      </c>
      <c r="AD105">
        <v>32</v>
      </c>
      <c r="AE105" t="s">
        <v>4443</v>
      </c>
      <c r="AF105" t="s">
        <v>4444</v>
      </c>
      <c r="AG105" t="s">
        <v>4445</v>
      </c>
      <c r="AH105" t="s">
        <v>4446</v>
      </c>
      <c r="AI105" t="s">
        <v>4446</v>
      </c>
      <c r="AJ105" t="s">
        <v>4447</v>
      </c>
      <c r="AK105" t="s">
        <v>4448</v>
      </c>
      <c r="AL105" t="s">
        <v>4449</v>
      </c>
      <c r="AM105" t="s">
        <v>4733</v>
      </c>
      <c r="AN105" t="s">
        <v>4450</v>
      </c>
      <c r="AO105" t="s">
        <v>4451</v>
      </c>
      <c r="AS105" t="s">
        <v>4452</v>
      </c>
      <c r="AT105" t="s">
        <v>4453</v>
      </c>
      <c r="AU105" t="s">
        <v>4454</v>
      </c>
      <c r="AV105" t="s">
        <v>4455</v>
      </c>
      <c r="AW105">
        <v>1</v>
      </c>
      <c r="AX105" t="s">
        <v>5637</v>
      </c>
      <c r="AZ105" t="s">
        <v>4456</v>
      </c>
      <c r="BA105" t="s">
        <v>161</v>
      </c>
      <c r="BB105" t="s">
        <v>349</v>
      </c>
      <c r="BC105" t="s">
        <v>515</v>
      </c>
      <c r="BD105" t="s">
        <v>350</v>
      </c>
      <c r="BE105">
        <v>2010</v>
      </c>
      <c r="BF105" t="s">
        <v>349</v>
      </c>
      <c r="BG105" t="s">
        <v>515</v>
      </c>
      <c r="BH105" t="s">
        <v>350</v>
      </c>
      <c r="BI105">
        <v>2010</v>
      </c>
      <c r="BL105" t="s">
        <v>617</v>
      </c>
      <c r="BM105" t="s">
        <v>360</v>
      </c>
      <c r="BN105">
        <v>41</v>
      </c>
    </row>
    <row r="106" spans="1:82" x14ac:dyDescent="0.3">
      <c r="A106">
        <v>99</v>
      </c>
      <c r="B106">
        <v>108</v>
      </c>
      <c r="C106" t="s">
        <v>1606</v>
      </c>
      <c r="D106">
        <v>641805148</v>
      </c>
      <c r="E106">
        <v>1710004257716</v>
      </c>
      <c r="G106" t="s">
        <v>217</v>
      </c>
      <c r="H106" t="s">
        <v>217</v>
      </c>
      <c r="I106" s="305">
        <v>43227</v>
      </c>
      <c r="J106">
        <v>6</v>
      </c>
      <c r="K106">
        <v>8</v>
      </c>
      <c r="L106" t="s">
        <v>14</v>
      </c>
      <c r="M106" t="s">
        <v>187</v>
      </c>
      <c r="O106" s="305">
        <v>45782</v>
      </c>
      <c r="Q106" t="s">
        <v>206</v>
      </c>
      <c r="R106" t="s">
        <v>6863</v>
      </c>
      <c r="S106" t="s">
        <v>312</v>
      </c>
      <c r="T106" t="s">
        <v>24</v>
      </c>
      <c r="U106" t="s">
        <v>204</v>
      </c>
      <c r="V106" t="s">
        <v>629</v>
      </c>
      <c r="W106" t="s">
        <v>121</v>
      </c>
      <c r="X106" t="s">
        <v>313</v>
      </c>
      <c r="Z106" t="s">
        <v>337</v>
      </c>
      <c r="AA106" t="s">
        <v>132</v>
      </c>
      <c r="AB106" t="s">
        <v>217</v>
      </c>
      <c r="AC106" s="305">
        <v>35151</v>
      </c>
      <c r="AD106">
        <v>28</v>
      </c>
      <c r="AE106" t="s">
        <v>1607</v>
      </c>
      <c r="AF106" t="s">
        <v>1608</v>
      </c>
      <c r="AG106" t="s">
        <v>1609</v>
      </c>
      <c r="AJ106" t="s">
        <v>1610</v>
      </c>
      <c r="AK106" t="s">
        <v>1611</v>
      </c>
      <c r="AL106">
        <v>18035613480</v>
      </c>
      <c r="AM106" t="s">
        <v>4733</v>
      </c>
      <c r="AN106" t="s">
        <v>1612</v>
      </c>
      <c r="AO106" t="s">
        <v>1613</v>
      </c>
      <c r="AS106" t="s">
        <v>1614</v>
      </c>
      <c r="AT106" t="s">
        <v>1615</v>
      </c>
      <c r="AU106" t="s">
        <v>1616</v>
      </c>
      <c r="AV106" t="s">
        <v>1617</v>
      </c>
      <c r="AW106">
        <v>1</v>
      </c>
      <c r="AX106" t="s">
        <v>5637</v>
      </c>
      <c r="AY106" t="s">
        <v>1618</v>
      </c>
      <c r="AZ106" t="s">
        <v>1618</v>
      </c>
      <c r="BA106" t="s">
        <v>161</v>
      </c>
      <c r="BB106" t="s">
        <v>349</v>
      </c>
      <c r="BC106" t="s">
        <v>91</v>
      </c>
      <c r="BD106" t="s">
        <v>663</v>
      </c>
      <c r="BE106">
        <v>2014</v>
      </c>
      <c r="BF106" t="s">
        <v>475</v>
      </c>
      <c r="BG106" t="s">
        <v>91</v>
      </c>
      <c r="BH106" t="s">
        <v>663</v>
      </c>
      <c r="BI106">
        <v>2014</v>
      </c>
      <c r="BL106" t="s">
        <v>351</v>
      </c>
      <c r="BM106">
        <v>34</v>
      </c>
      <c r="BN106">
        <v>42</v>
      </c>
      <c r="BQ106" s="305">
        <v>44674</v>
      </c>
      <c r="CD106" t="e">
        <v>#N/A</v>
      </c>
    </row>
    <row r="107" spans="1:82" x14ac:dyDescent="0.3">
      <c r="A107">
        <v>100</v>
      </c>
      <c r="B107" t="e">
        <v>#NUM!</v>
      </c>
      <c r="C107" t="s">
        <v>1619</v>
      </c>
      <c r="D107">
        <v>641805143</v>
      </c>
      <c r="E107">
        <v>1710004257682</v>
      </c>
      <c r="G107" t="s">
        <v>217</v>
      </c>
      <c r="H107" t="s">
        <v>217</v>
      </c>
      <c r="I107" s="305">
        <v>43227</v>
      </c>
      <c r="J107">
        <v>6</v>
      </c>
      <c r="K107">
        <v>8</v>
      </c>
      <c r="L107" t="s">
        <v>14</v>
      </c>
      <c r="M107" t="s">
        <v>187</v>
      </c>
      <c r="O107" s="305">
        <v>45657</v>
      </c>
      <c r="Q107" t="s">
        <v>206</v>
      </c>
      <c r="R107" t="s">
        <v>6863</v>
      </c>
      <c r="S107" t="s">
        <v>312</v>
      </c>
      <c r="T107" t="s">
        <v>24</v>
      </c>
      <c r="U107" t="s">
        <v>443</v>
      </c>
      <c r="V107" t="s">
        <v>121</v>
      </c>
      <c r="W107" t="s">
        <v>121</v>
      </c>
      <c r="X107" t="s">
        <v>313</v>
      </c>
      <c r="Z107" t="s">
        <v>337</v>
      </c>
      <c r="AA107" t="s">
        <v>132</v>
      </c>
      <c r="AB107" t="s">
        <v>217</v>
      </c>
      <c r="AC107" s="305">
        <v>34966</v>
      </c>
      <c r="AD107">
        <v>29</v>
      </c>
      <c r="AE107" t="s">
        <v>1620</v>
      </c>
      <c r="AF107" t="s">
        <v>1621</v>
      </c>
      <c r="AG107" t="s">
        <v>1622</v>
      </c>
      <c r="AJ107" t="s">
        <v>1623</v>
      </c>
      <c r="AK107" t="s">
        <v>1624</v>
      </c>
      <c r="AL107">
        <v>18035613548</v>
      </c>
      <c r="AM107" t="s">
        <v>4733</v>
      </c>
      <c r="AN107" t="s">
        <v>1625</v>
      </c>
      <c r="AS107" t="s">
        <v>1626</v>
      </c>
      <c r="AT107" t="s">
        <v>1627</v>
      </c>
      <c r="AU107" t="s">
        <v>1628</v>
      </c>
      <c r="AV107" t="s">
        <v>1629</v>
      </c>
      <c r="AW107">
        <v>0</v>
      </c>
      <c r="AX107" t="s">
        <v>5627</v>
      </c>
      <c r="AY107" t="s">
        <v>1630</v>
      </c>
      <c r="AZ107" t="s">
        <v>1630</v>
      </c>
      <c r="BA107" t="s">
        <v>161</v>
      </c>
      <c r="BB107" t="s">
        <v>349</v>
      </c>
      <c r="BC107" t="s">
        <v>515</v>
      </c>
      <c r="BD107" t="s">
        <v>1631</v>
      </c>
      <c r="BE107">
        <v>2013</v>
      </c>
      <c r="BF107" t="s">
        <v>475</v>
      </c>
      <c r="BG107" t="s">
        <v>515</v>
      </c>
      <c r="BH107" t="s">
        <v>1631</v>
      </c>
      <c r="BI107">
        <v>2013</v>
      </c>
      <c r="BL107" t="s">
        <v>339</v>
      </c>
      <c r="BM107">
        <v>36</v>
      </c>
      <c r="BN107">
        <v>42</v>
      </c>
      <c r="CD107" t="e">
        <v>#N/A</v>
      </c>
    </row>
    <row r="108" spans="1:82" x14ac:dyDescent="0.3">
      <c r="A108">
        <v>101</v>
      </c>
      <c r="B108">
        <v>108</v>
      </c>
      <c r="C108" t="s">
        <v>1632</v>
      </c>
      <c r="D108">
        <v>641805147</v>
      </c>
      <c r="E108">
        <v>1710004257757</v>
      </c>
      <c r="G108" t="s">
        <v>217</v>
      </c>
      <c r="H108" t="s">
        <v>217</v>
      </c>
      <c r="I108" s="305">
        <v>43227</v>
      </c>
      <c r="J108">
        <v>6</v>
      </c>
      <c r="K108">
        <v>8</v>
      </c>
      <c r="L108" t="s">
        <v>14</v>
      </c>
      <c r="M108" t="s">
        <v>187</v>
      </c>
      <c r="O108" s="305">
        <v>45782</v>
      </c>
      <c r="Q108" t="s">
        <v>206</v>
      </c>
      <c r="R108" t="s">
        <v>6863</v>
      </c>
      <c r="S108" t="s">
        <v>312</v>
      </c>
      <c r="T108" t="s">
        <v>24</v>
      </c>
      <c r="U108" t="s">
        <v>204</v>
      </c>
      <c r="V108" t="s">
        <v>629</v>
      </c>
      <c r="W108" t="s">
        <v>121</v>
      </c>
      <c r="X108" t="s">
        <v>313</v>
      </c>
      <c r="Y108" t="s">
        <v>1218</v>
      </c>
      <c r="Z108" t="s">
        <v>337</v>
      </c>
      <c r="AA108" t="s">
        <v>132</v>
      </c>
      <c r="AB108" t="s">
        <v>217</v>
      </c>
      <c r="AC108" s="305">
        <v>36050</v>
      </c>
      <c r="AD108">
        <v>26</v>
      </c>
      <c r="AE108" t="s">
        <v>1633</v>
      </c>
      <c r="AF108" t="s">
        <v>1634</v>
      </c>
      <c r="AG108" t="s">
        <v>1635</v>
      </c>
      <c r="AJ108" t="s">
        <v>1636</v>
      </c>
      <c r="AK108" t="s">
        <v>1637</v>
      </c>
      <c r="AL108">
        <v>18035613464</v>
      </c>
      <c r="AM108" t="s">
        <v>4733</v>
      </c>
      <c r="AN108" t="s">
        <v>1638</v>
      </c>
      <c r="AO108" t="s">
        <v>1639</v>
      </c>
      <c r="AS108" t="s">
        <v>1640</v>
      </c>
      <c r="AT108" t="s">
        <v>1641</v>
      </c>
      <c r="AU108" t="s">
        <v>1642</v>
      </c>
      <c r="AV108" t="s">
        <v>1643</v>
      </c>
      <c r="AW108">
        <v>1</v>
      </c>
      <c r="AX108" t="s">
        <v>5637</v>
      </c>
      <c r="AY108" t="s">
        <v>1644</v>
      </c>
      <c r="AZ108" t="s">
        <v>1644</v>
      </c>
      <c r="BA108" t="s">
        <v>161</v>
      </c>
      <c r="BB108" t="s">
        <v>349</v>
      </c>
      <c r="BC108" t="s">
        <v>515</v>
      </c>
      <c r="BD108" t="s">
        <v>516</v>
      </c>
      <c r="BE108">
        <v>2017</v>
      </c>
      <c r="BF108" t="s">
        <v>475</v>
      </c>
      <c r="BG108" t="s">
        <v>515</v>
      </c>
      <c r="BH108" t="s">
        <v>516</v>
      </c>
      <c r="BI108">
        <v>2017</v>
      </c>
      <c r="BL108" t="s">
        <v>339</v>
      </c>
      <c r="BM108">
        <v>34</v>
      </c>
      <c r="BN108">
        <v>42</v>
      </c>
      <c r="BQ108" s="305">
        <v>44914</v>
      </c>
      <c r="CD108" t="e">
        <v>#N/A</v>
      </c>
    </row>
    <row r="109" spans="1:82" x14ac:dyDescent="0.3">
      <c r="A109">
        <v>102</v>
      </c>
      <c r="B109">
        <v>108</v>
      </c>
      <c r="C109" t="s">
        <v>1645</v>
      </c>
      <c r="D109">
        <v>641805145</v>
      </c>
      <c r="E109">
        <v>1710004257831</v>
      </c>
      <c r="G109" t="s">
        <v>217</v>
      </c>
      <c r="H109" t="s">
        <v>311</v>
      </c>
      <c r="I109" s="305">
        <v>43227</v>
      </c>
      <c r="J109">
        <v>6</v>
      </c>
      <c r="K109">
        <v>8</v>
      </c>
      <c r="L109" t="s">
        <v>14</v>
      </c>
      <c r="M109" t="s">
        <v>187</v>
      </c>
      <c r="O109" s="305">
        <v>45782</v>
      </c>
      <c r="Q109" t="s">
        <v>206</v>
      </c>
      <c r="R109" t="s">
        <v>6863</v>
      </c>
      <c r="S109" t="s">
        <v>312</v>
      </c>
      <c r="T109" t="s">
        <v>24</v>
      </c>
      <c r="U109" t="s">
        <v>204</v>
      </c>
      <c r="V109" t="s">
        <v>706</v>
      </c>
      <c r="W109" t="s">
        <v>121</v>
      </c>
      <c r="X109" t="s">
        <v>313</v>
      </c>
      <c r="Y109" t="s">
        <v>1218</v>
      </c>
      <c r="Z109" t="s">
        <v>337</v>
      </c>
      <c r="AA109" t="s">
        <v>132</v>
      </c>
      <c r="AB109" t="s">
        <v>311</v>
      </c>
      <c r="AC109" s="305">
        <v>35575</v>
      </c>
      <c r="AD109">
        <v>27</v>
      </c>
      <c r="AE109" t="s">
        <v>1646</v>
      </c>
      <c r="AF109" t="s">
        <v>1647</v>
      </c>
      <c r="AG109" t="s">
        <v>1648</v>
      </c>
      <c r="AH109" t="s">
        <v>1648</v>
      </c>
      <c r="AJ109" t="s">
        <v>1649</v>
      </c>
      <c r="AK109" t="s">
        <v>1650</v>
      </c>
      <c r="AL109">
        <v>18035613498</v>
      </c>
      <c r="AM109" t="s">
        <v>4716</v>
      </c>
      <c r="AS109" t="s">
        <v>306</v>
      </c>
      <c r="AT109" t="s">
        <v>306</v>
      </c>
      <c r="AU109" t="s">
        <v>306</v>
      </c>
      <c r="AV109" t="s">
        <v>306</v>
      </c>
      <c r="AW109">
        <v>0</v>
      </c>
      <c r="AX109" t="s">
        <v>5078</v>
      </c>
      <c r="BA109" t="s">
        <v>161</v>
      </c>
      <c r="BB109" t="s">
        <v>349</v>
      </c>
      <c r="BC109" t="s">
        <v>515</v>
      </c>
      <c r="BD109" t="s">
        <v>327</v>
      </c>
      <c r="BE109">
        <v>2015</v>
      </c>
      <c r="BF109" t="s">
        <v>475</v>
      </c>
      <c r="BG109" t="s">
        <v>515</v>
      </c>
      <c r="BH109" t="s">
        <v>327</v>
      </c>
      <c r="BI109">
        <v>2015</v>
      </c>
      <c r="BL109" t="s">
        <v>339</v>
      </c>
      <c r="BM109">
        <v>38</v>
      </c>
      <c r="BN109">
        <v>44</v>
      </c>
      <c r="CD109" t="e">
        <v>#N/A</v>
      </c>
    </row>
    <row r="110" spans="1:82" x14ac:dyDescent="0.3">
      <c r="A110">
        <v>103</v>
      </c>
      <c r="B110">
        <v>108</v>
      </c>
      <c r="C110" t="s">
        <v>1651</v>
      </c>
      <c r="D110">
        <v>641805144</v>
      </c>
      <c r="E110">
        <v>1710004257807</v>
      </c>
      <c r="G110" t="s">
        <v>217</v>
      </c>
      <c r="H110" t="s">
        <v>315</v>
      </c>
      <c r="I110" s="305">
        <v>43227</v>
      </c>
      <c r="J110">
        <v>6</v>
      </c>
      <c r="K110">
        <v>8</v>
      </c>
      <c r="L110" t="s">
        <v>14</v>
      </c>
      <c r="M110" t="s">
        <v>187</v>
      </c>
      <c r="O110" s="305">
        <v>45782</v>
      </c>
      <c r="Q110" t="s">
        <v>206</v>
      </c>
      <c r="R110" t="s">
        <v>6863</v>
      </c>
      <c r="S110" t="s">
        <v>312</v>
      </c>
      <c r="T110" t="s">
        <v>23</v>
      </c>
      <c r="U110" t="s">
        <v>204</v>
      </c>
      <c r="V110" t="s">
        <v>51</v>
      </c>
      <c r="W110" t="s">
        <v>121</v>
      </c>
      <c r="X110" t="s">
        <v>313</v>
      </c>
      <c r="Z110" t="s">
        <v>337</v>
      </c>
      <c r="AA110" t="s">
        <v>132</v>
      </c>
      <c r="AB110" t="s">
        <v>315</v>
      </c>
      <c r="AC110" s="305">
        <v>36000</v>
      </c>
      <c r="AD110">
        <v>26</v>
      </c>
      <c r="AE110" t="s">
        <v>1652</v>
      </c>
      <c r="AF110" t="s">
        <v>1653</v>
      </c>
      <c r="AG110" t="s">
        <v>1654</v>
      </c>
      <c r="AJ110" t="s">
        <v>1655</v>
      </c>
      <c r="AK110" t="s">
        <v>1656</v>
      </c>
      <c r="AL110">
        <v>18035613530</v>
      </c>
      <c r="AM110" t="s">
        <v>4716</v>
      </c>
      <c r="AS110" t="s">
        <v>411</v>
      </c>
      <c r="AT110" t="s">
        <v>1657</v>
      </c>
      <c r="AU110" t="s">
        <v>306</v>
      </c>
      <c r="AV110" t="s">
        <v>306</v>
      </c>
      <c r="AW110">
        <v>0</v>
      </c>
      <c r="AX110" t="s">
        <v>5078</v>
      </c>
      <c r="AY110" t="s">
        <v>1658</v>
      </c>
      <c r="AZ110" t="s">
        <v>1659</v>
      </c>
      <c r="BA110" t="s">
        <v>161</v>
      </c>
      <c r="BB110" t="s">
        <v>349</v>
      </c>
      <c r="BC110" t="s">
        <v>515</v>
      </c>
      <c r="BD110" t="s">
        <v>1660</v>
      </c>
      <c r="BE110">
        <v>2018</v>
      </c>
      <c r="BF110" t="s">
        <v>475</v>
      </c>
      <c r="BG110" t="s">
        <v>515</v>
      </c>
      <c r="BH110" t="s">
        <v>1660</v>
      </c>
      <c r="BI110">
        <v>2018</v>
      </c>
      <c r="BL110" t="s">
        <v>360</v>
      </c>
      <c r="BM110">
        <v>30</v>
      </c>
      <c r="BN110">
        <v>40</v>
      </c>
      <c r="BO110" s="305">
        <v>44293</v>
      </c>
      <c r="BP110" s="305">
        <v>44322</v>
      </c>
      <c r="CD110" t="e">
        <v>#N/A</v>
      </c>
    </row>
    <row r="111" spans="1:82" x14ac:dyDescent="0.3">
      <c r="A111">
        <v>394</v>
      </c>
      <c r="B111" t="e">
        <v>#NUM!</v>
      </c>
      <c r="C111" t="s">
        <v>4429</v>
      </c>
      <c r="D111">
        <v>642409209</v>
      </c>
      <c r="E111" t="s">
        <v>4430</v>
      </c>
      <c r="G111" t="s">
        <v>217</v>
      </c>
      <c r="H111" t="s">
        <v>1779</v>
      </c>
      <c r="I111" s="305">
        <v>45567</v>
      </c>
      <c r="J111">
        <v>0</v>
      </c>
      <c r="K111">
        <v>0</v>
      </c>
      <c r="L111" t="s">
        <v>14</v>
      </c>
      <c r="M111" t="s">
        <v>187</v>
      </c>
      <c r="O111" s="305">
        <v>45657</v>
      </c>
      <c r="Q111" t="s">
        <v>206</v>
      </c>
      <c r="R111" t="s">
        <v>6863</v>
      </c>
      <c r="S111" t="s">
        <v>312</v>
      </c>
      <c r="W111" t="s">
        <v>121</v>
      </c>
      <c r="X111" t="s">
        <v>313</v>
      </c>
      <c r="AA111" t="s">
        <v>132</v>
      </c>
      <c r="AB111" t="s">
        <v>1511</v>
      </c>
      <c r="AC111" s="305">
        <v>35592</v>
      </c>
      <c r="AD111">
        <v>27</v>
      </c>
      <c r="AE111" t="s">
        <v>4431</v>
      </c>
      <c r="AF111" t="s">
        <v>4432</v>
      </c>
      <c r="AG111" t="s">
        <v>4433</v>
      </c>
      <c r="AH111" t="s">
        <v>4434</v>
      </c>
      <c r="AI111" t="s">
        <v>4434</v>
      </c>
      <c r="AJ111" t="s">
        <v>4435</v>
      </c>
      <c r="AK111" t="s">
        <v>4436</v>
      </c>
      <c r="AL111" t="s">
        <v>4437</v>
      </c>
      <c r="AM111" t="s">
        <v>4716</v>
      </c>
      <c r="AS111" t="s">
        <v>4438</v>
      </c>
      <c r="AT111" t="s">
        <v>4439</v>
      </c>
      <c r="AW111">
        <v>0</v>
      </c>
      <c r="AX111" t="s">
        <v>5078</v>
      </c>
      <c r="BA111" t="s">
        <v>161</v>
      </c>
      <c r="BB111" t="s">
        <v>349</v>
      </c>
      <c r="BC111" t="s">
        <v>4360</v>
      </c>
      <c r="BD111" t="s">
        <v>1793</v>
      </c>
      <c r="BE111">
        <v>2016</v>
      </c>
      <c r="BF111" t="s">
        <v>349</v>
      </c>
      <c r="BG111" t="s">
        <v>4360</v>
      </c>
      <c r="BH111" t="s">
        <v>1793</v>
      </c>
      <c r="BI111">
        <v>2016</v>
      </c>
      <c r="BL111" t="s">
        <v>351</v>
      </c>
      <c r="BM111" t="s">
        <v>351</v>
      </c>
      <c r="BN111">
        <v>40</v>
      </c>
    </row>
    <row r="112" spans="1:82" x14ac:dyDescent="0.3">
      <c r="A112">
        <v>105</v>
      </c>
      <c r="B112">
        <v>138</v>
      </c>
      <c r="C112" t="s">
        <v>1676</v>
      </c>
      <c r="D112">
        <v>641806159</v>
      </c>
      <c r="E112">
        <v>1710004289552</v>
      </c>
      <c r="G112" t="s">
        <v>217</v>
      </c>
      <c r="H112" t="s">
        <v>217</v>
      </c>
      <c r="I112" s="305">
        <v>43255</v>
      </c>
      <c r="J112">
        <v>6</v>
      </c>
      <c r="K112">
        <v>7</v>
      </c>
      <c r="L112" t="s">
        <v>14</v>
      </c>
      <c r="M112" t="s">
        <v>187</v>
      </c>
      <c r="O112" s="305">
        <v>45812</v>
      </c>
      <c r="Q112" t="s">
        <v>206</v>
      </c>
      <c r="R112" t="s">
        <v>6863</v>
      </c>
      <c r="S112" t="s">
        <v>312</v>
      </c>
      <c r="T112" t="s">
        <v>24</v>
      </c>
      <c r="U112" t="s">
        <v>204</v>
      </c>
      <c r="V112" t="s">
        <v>629</v>
      </c>
      <c r="W112" t="s">
        <v>121</v>
      </c>
      <c r="X112" t="s">
        <v>313</v>
      </c>
      <c r="Z112" t="s">
        <v>337</v>
      </c>
      <c r="AA112" t="s">
        <v>132</v>
      </c>
      <c r="AB112" t="s">
        <v>217</v>
      </c>
      <c r="AC112" s="305">
        <v>35390</v>
      </c>
      <c r="AD112">
        <v>28</v>
      </c>
      <c r="AE112" t="s">
        <v>1677</v>
      </c>
      <c r="AF112" t="s">
        <v>1678</v>
      </c>
      <c r="AG112" t="s">
        <v>1679</v>
      </c>
      <c r="AH112" t="s">
        <v>1680</v>
      </c>
      <c r="AJ112" t="s">
        <v>1681</v>
      </c>
      <c r="AK112" t="s">
        <v>1682</v>
      </c>
      <c r="AL112">
        <v>18041757131</v>
      </c>
      <c r="AM112" t="s">
        <v>4733</v>
      </c>
      <c r="AN112" t="s">
        <v>1683</v>
      </c>
      <c r="AS112" t="s">
        <v>1684</v>
      </c>
      <c r="AT112" t="s">
        <v>1685</v>
      </c>
      <c r="AU112" t="s">
        <v>1686</v>
      </c>
      <c r="AV112" t="s">
        <v>1687</v>
      </c>
      <c r="AW112">
        <v>0</v>
      </c>
      <c r="AX112" t="s">
        <v>5627</v>
      </c>
      <c r="AY112" t="s">
        <v>1688</v>
      </c>
      <c r="AZ112">
        <v>744875790621000</v>
      </c>
      <c r="BA112" t="s">
        <v>161</v>
      </c>
      <c r="BB112" t="s">
        <v>349</v>
      </c>
      <c r="BC112" t="s">
        <v>91</v>
      </c>
      <c r="BD112" t="s">
        <v>775</v>
      </c>
      <c r="BE112">
        <v>2015</v>
      </c>
      <c r="BF112" t="s">
        <v>475</v>
      </c>
      <c r="BG112" t="s">
        <v>91</v>
      </c>
      <c r="BH112" t="s">
        <v>775</v>
      </c>
      <c r="BI112">
        <v>2015</v>
      </c>
      <c r="BL112" t="s">
        <v>351</v>
      </c>
      <c r="BM112">
        <v>32</v>
      </c>
      <c r="BN112">
        <v>42</v>
      </c>
      <c r="BQ112" s="305">
        <v>44674</v>
      </c>
      <c r="CD112" t="e">
        <v>#N/A</v>
      </c>
    </row>
    <row r="113" spans="1:82" x14ac:dyDescent="0.3">
      <c r="A113">
        <v>106</v>
      </c>
      <c r="B113" t="e">
        <v>#NUM!</v>
      </c>
      <c r="C113" t="s">
        <v>1689</v>
      </c>
      <c r="D113">
        <v>641806155</v>
      </c>
      <c r="E113">
        <v>1710004289610</v>
      </c>
      <c r="G113" t="s">
        <v>217</v>
      </c>
      <c r="H113" t="s">
        <v>311</v>
      </c>
      <c r="I113" s="305">
        <v>43255</v>
      </c>
      <c r="J113">
        <v>6</v>
      </c>
      <c r="K113">
        <v>7</v>
      </c>
      <c r="L113" t="s">
        <v>14</v>
      </c>
      <c r="M113" t="s">
        <v>187</v>
      </c>
      <c r="O113" s="305">
        <v>45657</v>
      </c>
      <c r="Q113" t="s">
        <v>206</v>
      </c>
      <c r="R113" t="s">
        <v>6863</v>
      </c>
      <c r="S113" t="s">
        <v>312</v>
      </c>
      <c r="T113" t="s">
        <v>23</v>
      </c>
      <c r="U113" t="s">
        <v>204</v>
      </c>
      <c r="V113" t="s">
        <v>51</v>
      </c>
      <c r="W113" t="s">
        <v>121</v>
      </c>
      <c r="X113" t="s">
        <v>313</v>
      </c>
      <c r="Y113" t="s">
        <v>445</v>
      </c>
      <c r="Z113" t="s">
        <v>337</v>
      </c>
      <c r="AA113" t="s">
        <v>132</v>
      </c>
      <c r="AB113" t="s">
        <v>1690</v>
      </c>
      <c r="AC113" s="305">
        <v>33683</v>
      </c>
      <c r="AD113">
        <v>32</v>
      </c>
      <c r="AE113" t="s">
        <v>1691</v>
      </c>
      <c r="AF113" t="s">
        <v>1692</v>
      </c>
      <c r="AG113" t="s">
        <v>1693</v>
      </c>
      <c r="AH113" t="s">
        <v>1694</v>
      </c>
      <c r="AJ113" t="s">
        <v>1695</v>
      </c>
      <c r="AK113" t="s">
        <v>1696</v>
      </c>
      <c r="AL113">
        <v>18041757198</v>
      </c>
      <c r="AM113" t="s">
        <v>4733</v>
      </c>
      <c r="AN113" t="s">
        <v>1697</v>
      </c>
      <c r="AO113" t="s">
        <v>1698</v>
      </c>
      <c r="AS113" t="s">
        <v>306</v>
      </c>
      <c r="AT113" t="s">
        <v>306</v>
      </c>
      <c r="AU113" t="s">
        <v>306</v>
      </c>
      <c r="AV113" t="s">
        <v>306</v>
      </c>
      <c r="AW113">
        <v>1</v>
      </c>
      <c r="AX113" t="s">
        <v>5637</v>
      </c>
      <c r="BA113" t="s">
        <v>161</v>
      </c>
      <c r="BB113" t="s">
        <v>70</v>
      </c>
      <c r="BC113" t="s">
        <v>91</v>
      </c>
      <c r="BD113" t="s">
        <v>402</v>
      </c>
      <c r="BE113">
        <v>2016</v>
      </c>
      <c r="BF113" t="s">
        <v>70</v>
      </c>
      <c r="BG113" t="s">
        <v>91</v>
      </c>
      <c r="BH113" t="s">
        <v>402</v>
      </c>
      <c r="BI113">
        <v>2016</v>
      </c>
      <c r="BL113" t="s">
        <v>1699</v>
      </c>
      <c r="BM113">
        <v>45</v>
      </c>
      <c r="BN113">
        <v>44</v>
      </c>
      <c r="BO113" s="305">
        <v>44293</v>
      </c>
      <c r="BP113" s="305">
        <v>44322</v>
      </c>
      <c r="CD113" t="s">
        <v>7131</v>
      </c>
    </row>
    <row r="114" spans="1:82" x14ac:dyDescent="0.3">
      <c r="A114">
        <v>107</v>
      </c>
      <c r="B114">
        <v>138</v>
      </c>
      <c r="C114" t="s">
        <v>1700</v>
      </c>
      <c r="D114">
        <v>641806160</v>
      </c>
      <c r="E114">
        <v>1710004289701</v>
      </c>
      <c r="G114" t="s">
        <v>217</v>
      </c>
      <c r="H114" t="s">
        <v>217</v>
      </c>
      <c r="I114" s="305">
        <v>43255</v>
      </c>
      <c r="J114">
        <v>6</v>
      </c>
      <c r="K114">
        <v>7</v>
      </c>
      <c r="L114" t="s">
        <v>14</v>
      </c>
      <c r="M114" t="s">
        <v>187</v>
      </c>
      <c r="O114" s="305">
        <v>45812</v>
      </c>
      <c r="Q114" t="s">
        <v>206</v>
      </c>
      <c r="R114" t="s">
        <v>6863</v>
      </c>
      <c r="S114" t="s">
        <v>312</v>
      </c>
      <c r="T114" t="s">
        <v>24</v>
      </c>
      <c r="U114" t="s">
        <v>204</v>
      </c>
      <c r="V114" t="s">
        <v>629</v>
      </c>
      <c r="W114" t="s">
        <v>121</v>
      </c>
      <c r="X114" t="s">
        <v>313</v>
      </c>
      <c r="Z114" t="s">
        <v>337</v>
      </c>
      <c r="AA114" t="s">
        <v>132</v>
      </c>
      <c r="AB114" t="s">
        <v>217</v>
      </c>
      <c r="AC114" s="305">
        <v>35863</v>
      </c>
      <c r="AD114">
        <v>26</v>
      </c>
      <c r="AE114" t="s">
        <v>1701</v>
      </c>
      <c r="AF114" t="s">
        <v>1702</v>
      </c>
      <c r="AG114" t="s">
        <v>1703</v>
      </c>
      <c r="AJ114" t="s">
        <v>1704</v>
      </c>
      <c r="AK114" t="s">
        <v>1705</v>
      </c>
      <c r="AL114">
        <v>18041757156</v>
      </c>
      <c r="AM114" t="s">
        <v>4716</v>
      </c>
      <c r="AS114" t="s">
        <v>306</v>
      </c>
      <c r="AT114" t="s">
        <v>306</v>
      </c>
      <c r="AU114" t="s">
        <v>306</v>
      </c>
      <c r="AV114" t="s">
        <v>306</v>
      </c>
      <c r="AW114">
        <v>0</v>
      </c>
      <c r="AX114" t="s">
        <v>5078</v>
      </c>
      <c r="BA114" t="s">
        <v>161</v>
      </c>
      <c r="BB114" t="s">
        <v>349</v>
      </c>
      <c r="BC114" t="s">
        <v>515</v>
      </c>
      <c r="BD114" t="s">
        <v>1274</v>
      </c>
      <c r="BE114">
        <v>2017</v>
      </c>
      <c r="BF114" t="s">
        <v>475</v>
      </c>
      <c r="BG114" t="s">
        <v>515</v>
      </c>
      <c r="BH114" t="s">
        <v>1274</v>
      </c>
      <c r="BI114">
        <v>2017</v>
      </c>
      <c r="BL114" t="s">
        <v>351</v>
      </c>
      <c r="BM114">
        <v>30</v>
      </c>
      <c r="BN114">
        <v>42</v>
      </c>
      <c r="CD114" t="e">
        <v>#N/A</v>
      </c>
    </row>
    <row r="115" spans="1:82" x14ac:dyDescent="0.3">
      <c r="A115">
        <v>108</v>
      </c>
      <c r="B115" t="e">
        <v>#NUM!</v>
      </c>
      <c r="C115" t="s">
        <v>1706</v>
      </c>
      <c r="D115">
        <v>641806157</v>
      </c>
      <c r="E115">
        <v>1710004289644</v>
      </c>
      <c r="G115" t="s">
        <v>217</v>
      </c>
      <c r="H115" t="s">
        <v>217</v>
      </c>
      <c r="I115" s="305">
        <v>43255</v>
      </c>
      <c r="J115">
        <v>6</v>
      </c>
      <c r="K115">
        <v>7</v>
      </c>
      <c r="L115" t="s">
        <v>14</v>
      </c>
      <c r="M115" t="s">
        <v>187</v>
      </c>
      <c r="O115" s="305">
        <v>45447</v>
      </c>
      <c r="Q115" t="s">
        <v>206</v>
      </c>
      <c r="R115" t="s">
        <v>6863</v>
      </c>
      <c r="S115" t="s">
        <v>312</v>
      </c>
      <c r="T115" t="s">
        <v>24</v>
      </c>
      <c r="U115" t="s">
        <v>204</v>
      </c>
      <c r="V115" t="s">
        <v>629</v>
      </c>
      <c r="W115" t="s">
        <v>121</v>
      </c>
      <c r="X115" t="s">
        <v>313</v>
      </c>
      <c r="Z115" t="s">
        <v>337</v>
      </c>
      <c r="AA115" t="s">
        <v>132</v>
      </c>
      <c r="AB115" t="s">
        <v>217</v>
      </c>
      <c r="AC115" s="305">
        <v>35916</v>
      </c>
      <c r="AD115">
        <v>26</v>
      </c>
      <c r="AE115" t="s">
        <v>1707</v>
      </c>
      <c r="AF115" t="s">
        <v>1708</v>
      </c>
      <c r="AG115" t="s">
        <v>1709</v>
      </c>
      <c r="AH115" t="s">
        <v>1710</v>
      </c>
      <c r="AJ115" t="s">
        <v>1711</v>
      </c>
      <c r="AK115" t="s">
        <v>1712</v>
      </c>
      <c r="AL115">
        <v>18041757115</v>
      </c>
      <c r="AM115" t="s">
        <v>4733</v>
      </c>
      <c r="AN115" t="s">
        <v>1713</v>
      </c>
      <c r="AS115" t="s">
        <v>1714</v>
      </c>
      <c r="AT115" t="s">
        <v>1715</v>
      </c>
      <c r="AU115" t="s">
        <v>1716</v>
      </c>
      <c r="AV115" t="s">
        <v>1717</v>
      </c>
      <c r="AW115">
        <v>0</v>
      </c>
      <c r="AX115" t="s">
        <v>5627</v>
      </c>
      <c r="AY115" t="s">
        <v>1718</v>
      </c>
      <c r="AZ115" t="s">
        <v>1718</v>
      </c>
      <c r="BA115" t="s">
        <v>161</v>
      </c>
      <c r="BB115" t="s">
        <v>349</v>
      </c>
      <c r="BC115" t="s">
        <v>515</v>
      </c>
      <c r="BD115" t="s">
        <v>350</v>
      </c>
      <c r="BE115">
        <v>2017</v>
      </c>
      <c r="BF115" t="s">
        <v>475</v>
      </c>
      <c r="BG115" t="s">
        <v>515</v>
      </c>
      <c r="BH115" t="s">
        <v>350</v>
      </c>
      <c r="BI115">
        <v>2017</v>
      </c>
      <c r="BL115" t="s">
        <v>351</v>
      </c>
      <c r="BM115">
        <v>29</v>
      </c>
      <c r="BN115">
        <v>39</v>
      </c>
      <c r="BO115" s="305">
        <v>44293</v>
      </c>
      <c r="BP115" s="305">
        <v>44322</v>
      </c>
      <c r="CD115" t="e">
        <v>#N/A</v>
      </c>
    </row>
    <row r="116" spans="1:82" x14ac:dyDescent="0.3">
      <c r="A116">
        <v>109</v>
      </c>
      <c r="B116" t="e">
        <v>#NUM!</v>
      </c>
      <c r="C116" t="s">
        <v>1719</v>
      </c>
      <c r="D116">
        <v>641806156</v>
      </c>
      <c r="E116">
        <v>1710004289651</v>
      </c>
      <c r="G116" t="s">
        <v>24</v>
      </c>
      <c r="H116" t="s">
        <v>33</v>
      </c>
      <c r="I116" s="305">
        <v>43255</v>
      </c>
      <c r="J116">
        <v>6</v>
      </c>
      <c r="K116">
        <v>7</v>
      </c>
      <c r="L116" t="s">
        <v>14</v>
      </c>
      <c r="M116" t="s">
        <v>187</v>
      </c>
      <c r="O116" s="305">
        <v>45657</v>
      </c>
      <c r="Q116" t="s">
        <v>206</v>
      </c>
      <c r="R116" t="s">
        <v>6863</v>
      </c>
      <c r="S116" t="s">
        <v>312</v>
      </c>
      <c r="T116" t="s">
        <v>28</v>
      </c>
      <c r="U116" t="s">
        <v>461</v>
      </c>
      <c r="V116" t="s">
        <v>129</v>
      </c>
      <c r="W116" t="s">
        <v>121</v>
      </c>
      <c r="X116" t="s">
        <v>313</v>
      </c>
      <c r="Y116" t="s">
        <v>462</v>
      </c>
      <c r="Z116" t="s">
        <v>337</v>
      </c>
      <c r="AA116" t="s">
        <v>132</v>
      </c>
      <c r="AB116" t="s">
        <v>1720</v>
      </c>
      <c r="AC116" s="305">
        <v>34283</v>
      </c>
      <c r="AD116">
        <v>31</v>
      </c>
      <c r="AE116" t="s">
        <v>1721</v>
      </c>
      <c r="AF116" t="s">
        <v>1722</v>
      </c>
      <c r="AG116" t="s">
        <v>1723</v>
      </c>
      <c r="AJ116" t="s">
        <v>1724</v>
      </c>
      <c r="AK116" t="s">
        <v>1725</v>
      </c>
      <c r="AL116">
        <v>18041757180</v>
      </c>
      <c r="AM116" t="s">
        <v>4733</v>
      </c>
      <c r="AN116" t="s">
        <v>1726</v>
      </c>
      <c r="AS116" t="s">
        <v>1727</v>
      </c>
      <c r="AT116" t="s">
        <v>1728</v>
      </c>
      <c r="AU116" t="s">
        <v>1729</v>
      </c>
      <c r="AV116" t="s">
        <v>1730</v>
      </c>
      <c r="AW116">
        <v>0</v>
      </c>
      <c r="AX116" t="s">
        <v>5627</v>
      </c>
      <c r="AY116" t="s">
        <v>1731</v>
      </c>
      <c r="AZ116" t="s">
        <v>1731</v>
      </c>
      <c r="BA116" t="s">
        <v>161</v>
      </c>
      <c r="BB116" t="s">
        <v>349</v>
      </c>
      <c r="BC116" t="s">
        <v>515</v>
      </c>
      <c r="BD116" t="s">
        <v>1732</v>
      </c>
      <c r="BE116">
        <v>2012</v>
      </c>
      <c r="BF116" t="s">
        <v>475</v>
      </c>
      <c r="BG116" t="s">
        <v>515</v>
      </c>
      <c r="BH116" t="s">
        <v>1732</v>
      </c>
      <c r="BI116">
        <v>2012</v>
      </c>
      <c r="BL116" t="s">
        <v>339</v>
      </c>
      <c r="BM116">
        <v>36</v>
      </c>
      <c r="BN116">
        <v>44</v>
      </c>
      <c r="CD116" t="e">
        <v>#N/A</v>
      </c>
    </row>
    <row r="117" spans="1:82" x14ac:dyDescent="0.3">
      <c r="A117">
        <v>110</v>
      </c>
      <c r="B117" t="e">
        <v>#NUM!</v>
      </c>
      <c r="C117" t="s">
        <v>1733</v>
      </c>
      <c r="D117">
        <v>641807163</v>
      </c>
      <c r="E117">
        <v>1710004387554</v>
      </c>
      <c r="G117" t="s">
        <v>217</v>
      </c>
      <c r="H117" t="s">
        <v>311</v>
      </c>
      <c r="I117" s="305">
        <v>43282</v>
      </c>
      <c r="J117">
        <v>6</v>
      </c>
      <c r="K117">
        <v>6</v>
      </c>
      <c r="L117" t="s">
        <v>14</v>
      </c>
      <c r="M117" t="s">
        <v>187</v>
      </c>
      <c r="O117" s="305">
        <v>45475</v>
      </c>
      <c r="Q117" t="s">
        <v>206</v>
      </c>
      <c r="R117" t="s">
        <v>6863</v>
      </c>
      <c r="S117" t="s">
        <v>312</v>
      </c>
      <c r="T117" t="s">
        <v>25</v>
      </c>
      <c r="U117" t="s">
        <v>443</v>
      </c>
      <c r="V117" t="s">
        <v>748</v>
      </c>
      <c r="W117" t="s">
        <v>122</v>
      </c>
      <c r="X117" t="s">
        <v>313</v>
      </c>
      <c r="Z117" t="s">
        <v>337</v>
      </c>
      <c r="AA117" t="s">
        <v>132</v>
      </c>
      <c r="AB117" t="s">
        <v>311</v>
      </c>
      <c r="AC117" s="305">
        <v>36404</v>
      </c>
      <c r="AD117">
        <v>25</v>
      </c>
      <c r="AE117" t="s">
        <v>1734</v>
      </c>
      <c r="AF117" t="s">
        <v>1735</v>
      </c>
      <c r="AG117" t="s">
        <v>1736</v>
      </c>
      <c r="AJ117" t="s">
        <v>1737</v>
      </c>
      <c r="AK117" t="s">
        <v>1738</v>
      </c>
      <c r="AL117">
        <v>18056171947</v>
      </c>
      <c r="AM117" t="s">
        <v>4716</v>
      </c>
      <c r="AS117" t="s">
        <v>1739</v>
      </c>
      <c r="AT117" t="s">
        <v>1740</v>
      </c>
      <c r="AU117" t="s">
        <v>306</v>
      </c>
      <c r="AV117" t="s">
        <v>306</v>
      </c>
      <c r="AW117">
        <v>0</v>
      </c>
      <c r="AX117" t="s">
        <v>5078</v>
      </c>
      <c r="AY117" t="s">
        <v>1741</v>
      </c>
      <c r="AZ117" t="s">
        <v>1741</v>
      </c>
      <c r="BA117" t="s">
        <v>161</v>
      </c>
      <c r="BB117" t="s">
        <v>349</v>
      </c>
      <c r="BC117" t="s">
        <v>1742</v>
      </c>
      <c r="BD117" t="s">
        <v>327</v>
      </c>
      <c r="BE117">
        <v>2017</v>
      </c>
      <c r="BF117" t="s">
        <v>475</v>
      </c>
      <c r="BG117" t="s">
        <v>1742</v>
      </c>
      <c r="BH117" t="s">
        <v>327</v>
      </c>
      <c r="BI117">
        <v>2017</v>
      </c>
      <c r="BL117" t="s">
        <v>351</v>
      </c>
      <c r="BM117">
        <v>30</v>
      </c>
      <c r="BN117">
        <v>42</v>
      </c>
      <c r="BO117" s="305">
        <v>44390</v>
      </c>
      <c r="BQ117" s="305">
        <v>44663</v>
      </c>
      <c r="CD117" t="e">
        <v>#N/A</v>
      </c>
    </row>
    <row r="118" spans="1:82" x14ac:dyDescent="0.3">
      <c r="A118">
        <v>111</v>
      </c>
      <c r="B118" t="e">
        <v>#NUM!</v>
      </c>
      <c r="C118" t="s">
        <v>1743</v>
      </c>
      <c r="D118">
        <v>641807169</v>
      </c>
      <c r="E118">
        <v>1710004387588</v>
      </c>
      <c r="G118" t="s">
        <v>217</v>
      </c>
      <c r="H118" t="s">
        <v>217</v>
      </c>
      <c r="I118" s="305">
        <v>43282</v>
      </c>
      <c r="J118">
        <v>6</v>
      </c>
      <c r="K118">
        <v>6</v>
      </c>
      <c r="L118" t="s">
        <v>14</v>
      </c>
      <c r="M118" t="s">
        <v>187</v>
      </c>
      <c r="O118" s="305">
        <v>45657</v>
      </c>
      <c r="Q118" t="s">
        <v>206</v>
      </c>
      <c r="R118" t="s">
        <v>6863</v>
      </c>
      <c r="S118" t="s">
        <v>312</v>
      </c>
      <c r="T118" t="s">
        <v>28</v>
      </c>
      <c r="U118" t="s">
        <v>461</v>
      </c>
      <c r="V118" t="s">
        <v>129</v>
      </c>
      <c r="W118" t="s">
        <v>121</v>
      </c>
      <c r="X118" t="s">
        <v>313</v>
      </c>
      <c r="Y118" t="s">
        <v>462</v>
      </c>
      <c r="Z118" t="s">
        <v>337</v>
      </c>
      <c r="AA118" t="s">
        <v>132</v>
      </c>
      <c r="AB118" t="s">
        <v>1744</v>
      </c>
      <c r="AC118" s="305">
        <v>36346</v>
      </c>
      <c r="AD118">
        <v>25</v>
      </c>
      <c r="AE118" t="s">
        <v>1745</v>
      </c>
      <c r="AF118" t="s">
        <v>1746</v>
      </c>
      <c r="AG118" t="s">
        <v>1747</v>
      </c>
      <c r="AJ118" t="s">
        <v>1748</v>
      </c>
      <c r="AK118" t="s">
        <v>1749</v>
      </c>
      <c r="AL118">
        <v>18056172036</v>
      </c>
      <c r="AM118" t="s">
        <v>4716</v>
      </c>
      <c r="AS118" t="s">
        <v>1750</v>
      </c>
      <c r="AT118" t="s">
        <v>1751</v>
      </c>
      <c r="AU118" t="s">
        <v>306</v>
      </c>
      <c r="AV118" t="s">
        <v>306</v>
      </c>
      <c r="AW118">
        <v>0</v>
      </c>
      <c r="AX118" t="s">
        <v>5078</v>
      </c>
      <c r="AY118" t="s">
        <v>1752</v>
      </c>
      <c r="AZ118" t="s">
        <v>1752</v>
      </c>
      <c r="BA118" t="s">
        <v>161</v>
      </c>
      <c r="BB118" t="s">
        <v>349</v>
      </c>
      <c r="BC118" t="s">
        <v>1742</v>
      </c>
      <c r="BD118" t="s">
        <v>516</v>
      </c>
      <c r="BE118">
        <v>2017</v>
      </c>
      <c r="BF118" t="s">
        <v>475</v>
      </c>
      <c r="BG118" t="s">
        <v>1742</v>
      </c>
      <c r="BH118" t="s">
        <v>516</v>
      </c>
      <c r="BI118">
        <v>2017</v>
      </c>
      <c r="BL118" t="s">
        <v>351</v>
      </c>
      <c r="BM118">
        <v>30</v>
      </c>
      <c r="BN118">
        <v>41</v>
      </c>
      <c r="BQ118" s="305">
        <v>44648</v>
      </c>
      <c r="CD118" t="e">
        <v>#N/A</v>
      </c>
    </row>
    <row r="119" spans="1:82" x14ac:dyDescent="0.3">
      <c r="A119">
        <v>112</v>
      </c>
      <c r="B119" t="e">
        <v>#NUM!</v>
      </c>
      <c r="C119" t="s">
        <v>1753</v>
      </c>
      <c r="D119">
        <v>641807168</v>
      </c>
      <c r="E119">
        <v>1710004387539</v>
      </c>
      <c r="G119" t="s">
        <v>217</v>
      </c>
      <c r="H119" t="s">
        <v>311</v>
      </c>
      <c r="I119" s="305">
        <v>43282</v>
      </c>
      <c r="J119">
        <v>6</v>
      </c>
      <c r="K119">
        <v>6</v>
      </c>
      <c r="L119" t="s">
        <v>14</v>
      </c>
      <c r="M119" t="s">
        <v>187</v>
      </c>
      <c r="O119" s="305">
        <v>45657</v>
      </c>
      <c r="Q119" t="s">
        <v>206</v>
      </c>
      <c r="R119" t="s">
        <v>6863</v>
      </c>
      <c r="S119" t="s">
        <v>312</v>
      </c>
      <c r="T119" t="s">
        <v>23</v>
      </c>
      <c r="U119" t="s">
        <v>204</v>
      </c>
      <c r="V119" t="s">
        <v>51</v>
      </c>
      <c r="W119" t="s">
        <v>121</v>
      </c>
      <c r="X119" t="s">
        <v>313</v>
      </c>
      <c r="Z119" t="s">
        <v>337</v>
      </c>
      <c r="AA119" t="s">
        <v>132</v>
      </c>
      <c r="AB119" t="s">
        <v>311</v>
      </c>
      <c r="AC119" s="305">
        <v>34189</v>
      </c>
      <c r="AD119">
        <v>31</v>
      </c>
      <c r="AE119" t="s">
        <v>1754</v>
      </c>
      <c r="AF119" t="s">
        <v>1755</v>
      </c>
      <c r="AG119" t="s">
        <v>1756</v>
      </c>
      <c r="AJ119" t="s">
        <v>1757</v>
      </c>
      <c r="AK119" t="s">
        <v>1758</v>
      </c>
      <c r="AL119">
        <v>11035959722</v>
      </c>
      <c r="AM119" t="s">
        <v>4716</v>
      </c>
      <c r="AS119" t="s">
        <v>1759</v>
      </c>
      <c r="AT119" t="s">
        <v>1760</v>
      </c>
      <c r="AU119" t="s">
        <v>306</v>
      </c>
      <c r="AV119" t="s">
        <v>306</v>
      </c>
      <c r="AW119">
        <v>0</v>
      </c>
      <c r="AX119" t="s">
        <v>5078</v>
      </c>
      <c r="AY119" t="s">
        <v>1761</v>
      </c>
      <c r="AZ119" t="s">
        <v>1761</v>
      </c>
      <c r="BA119" t="s">
        <v>161</v>
      </c>
      <c r="BB119" t="s">
        <v>349</v>
      </c>
      <c r="BC119" t="s">
        <v>91</v>
      </c>
      <c r="BD119" t="s">
        <v>1762</v>
      </c>
      <c r="BE119">
        <v>2011</v>
      </c>
      <c r="BF119" t="s">
        <v>475</v>
      </c>
      <c r="BG119" t="s">
        <v>91</v>
      </c>
      <c r="BH119" t="s">
        <v>1762</v>
      </c>
      <c r="BI119">
        <v>2011</v>
      </c>
      <c r="BL119" t="s">
        <v>339</v>
      </c>
      <c r="BM119">
        <v>31</v>
      </c>
      <c r="BN119">
        <v>42</v>
      </c>
      <c r="BO119" s="305">
        <v>44293</v>
      </c>
      <c r="BP119" s="305">
        <v>44322</v>
      </c>
      <c r="CD119" t="e">
        <v>#N/A</v>
      </c>
    </row>
    <row r="120" spans="1:82" x14ac:dyDescent="0.3">
      <c r="A120">
        <v>113</v>
      </c>
      <c r="B120" t="e">
        <v>#NUM!</v>
      </c>
      <c r="C120" t="s">
        <v>1763</v>
      </c>
      <c r="D120">
        <v>641807164</v>
      </c>
      <c r="E120">
        <v>1710004387612</v>
      </c>
      <c r="G120" t="s">
        <v>217</v>
      </c>
      <c r="H120" t="s">
        <v>315</v>
      </c>
      <c r="I120" s="305">
        <v>43282</v>
      </c>
      <c r="J120">
        <v>6</v>
      </c>
      <c r="K120">
        <v>6</v>
      </c>
      <c r="L120" t="s">
        <v>14</v>
      </c>
      <c r="M120" t="s">
        <v>187</v>
      </c>
      <c r="O120" s="305">
        <v>45657</v>
      </c>
      <c r="Q120" t="s">
        <v>206</v>
      </c>
      <c r="R120" t="s">
        <v>6863</v>
      </c>
      <c r="S120" t="s">
        <v>312</v>
      </c>
      <c r="T120" t="s">
        <v>28</v>
      </c>
      <c r="U120" t="s">
        <v>461</v>
      </c>
      <c r="V120" t="s">
        <v>129</v>
      </c>
      <c r="W120" t="s">
        <v>121</v>
      </c>
      <c r="X120" t="s">
        <v>313</v>
      </c>
      <c r="Y120" t="s">
        <v>462</v>
      </c>
      <c r="Z120" t="s">
        <v>337</v>
      </c>
      <c r="AA120" t="s">
        <v>132</v>
      </c>
      <c r="AB120" t="s">
        <v>315</v>
      </c>
      <c r="AC120" s="305">
        <v>34088</v>
      </c>
      <c r="AD120">
        <v>31</v>
      </c>
      <c r="AE120" t="s">
        <v>1764</v>
      </c>
      <c r="AF120" t="s">
        <v>1765</v>
      </c>
      <c r="AG120" t="s">
        <v>1766</v>
      </c>
      <c r="AH120" t="s">
        <v>1767</v>
      </c>
      <c r="AJ120" t="s">
        <v>1768</v>
      </c>
      <c r="AK120" t="s">
        <v>1769</v>
      </c>
      <c r="AL120">
        <v>18056171970</v>
      </c>
      <c r="AM120" t="s">
        <v>4733</v>
      </c>
      <c r="AN120" t="s">
        <v>1770</v>
      </c>
      <c r="AO120" t="s">
        <v>1771</v>
      </c>
      <c r="AS120" t="s">
        <v>1772</v>
      </c>
      <c r="AT120" t="s">
        <v>1773</v>
      </c>
      <c r="AU120" t="s">
        <v>1774</v>
      </c>
      <c r="AV120" t="s">
        <v>1775</v>
      </c>
      <c r="AW120">
        <v>1</v>
      </c>
      <c r="AX120" t="s">
        <v>5637</v>
      </c>
      <c r="AY120" t="s">
        <v>1776</v>
      </c>
      <c r="AZ120">
        <v>711181883647000</v>
      </c>
      <c r="BA120" t="s">
        <v>161</v>
      </c>
      <c r="BB120" t="s">
        <v>349</v>
      </c>
      <c r="BC120" t="s">
        <v>515</v>
      </c>
      <c r="BD120" t="s">
        <v>1631</v>
      </c>
      <c r="BE120">
        <v>2014</v>
      </c>
      <c r="BF120" t="s">
        <v>475</v>
      </c>
      <c r="BG120" t="s">
        <v>515</v>
      </c>
      <c r="BH120" t="s">
        <v>1631</v>
      </c>
      <c r="BI120">
        <v>2014</v>
      </c>
      <c r="BL120" t="s">
        <v>351</v>
      </c>
      <c r="BM120">
        <v>30</v>
      </c>
      <c r="BN120">
        <v>42</v>
      </c>
      <c r="BQ120" s="305">
        <v>44761</v>
      </c>
      <c r="CD120" t="e">
        <v>#N/A</v>
      </c>
    </row>
    <row r="121" spans="1:82" x14ac:dyDescent="0.3">
      <c r="A121">
        <v>114</v>
      </c>
      <c r="B121" t="e">
        <v>#NUM!</v>
      </c>
      <c r="C121" t="s">
        <v>1777</v>
      </c>
      <c r="D121">
        <v>641807166</v>
      </c>
      <c r="E121">
        <v>1710004376862</v>
      </c>
      <c r="G121" t="s">
        <v>217</v>
      </c>
      <c r="H121" t="s">
        <v>1778</v>
      </c>
      <c r="I121" s="305">
        <v>43282</v>
      </c>
      <c r="J121">
        <v>6</v>
      </c>
      <c r="K121">
        <v>6</v>
      </c>
      <c r="L121" t="s">
        <v>14</v>
      </c>
      <c r="M121" t="s">
        <v>187</v>
      </c>
      <c r="O121" s="305">
        <v>45474</v>
      </c>
      <c r="Q121" t="s">
        <v>206</v>
      </c>
      <c r="R121" t="s">
        <v>6863</v>
      </c>
      <c r="S121" t="s">
        <v>312</v>
      </c>
      <c r="T121" t="s">
        <v>25</v>
      </c>
      <c r="U121" t="s">
        <v>443</v>
      </c>
      <c r="V121" t="s">
        <v>748</v>
      </c>
      <c r="W121" t="s">
        <v>122</v>
      </c>
      <c r="X121" t="s">
        <v>313</v>
      </c>
      <c r="Z121" t="s">
        <v>337</v>
      </c>
      <c r="AA121" t="s">
        <v>132</v>
      </c>
      <c r="AB121" t="s">
        <v>1779</v>
      </c>
      <c r="AC121" s="305">
        <v>35796</v>
      </c>
      <c r="AD121">
        <v>27</v>
      </c>
      <c r="AE121" t="s">
        <v>1780</v>
      </c>
      <c r="AF121" t="s">
        <v>1781</v>
      </c>
      <c r="AG121" t="s">
        <v>1782</v>
      </c>
      <c r="AJ121" t="s">
        <v>1783</v>
      </c>
      <c r="AK121" t="s">
        <v>1784</v>
      </c>
      <c r="AL121">
        <v>18056171962</v>
      </c>
      <c r="AM121" t="s">
        <v>4733</v>
      </c>
      <c r="AN121" t="s">
        <v>1785</v>
      </c>
      <c r="AO121" t="s">
        <v>1786</v>
      </c>
      <c r="AS121" t="s">
        <v>1787</v>
      </c>
      <c r="AT121" t="s">
        <v>1788</v>
      </c>
      <c r="AU121" t="s">
        <v>1789</v>
      </c>
      <c r="AV121" t="s">
        <v>1790</v>
      </c>
      <c r="AW121">
        <v>1</v>
      </c>
      <c r="AX121" t="s">
        <v>5637</v>
      </c>
      <c r="AY121" t="s">
        <v>1791</v>
      </c>
      <c r="AZ121" t="s">
        <v>1792</v>
      </c>
      <c r="BA121" t="s">
        <v>161</v>
      </c>
      <c r="BB121" t="s">
        <v>349</v>
      </c>
      <c r="BC121" t="s">
        <v>515</v>
      </c>
      <c r="BD121" t="s">
        <v>1793</v>
      </c>
      <c r="BE121">
        <v>2016</v>
      </c>
      <c r="BF121" t="s">
        <v>475</v>
      </c>
      <c r="BG121" t="s">
        <v>515</v>
      </c>
      <c r="BH121" t="s">
        <v>1793</v>
      </c>
      <c r="BI121">
        <v>2016</v>
      </c>
      <c r="BL121" t="s">
        <v>351</v>
      </c>
      <c r="BM121">
        <v>32</v>
      </c>
      <c r="BN121">
        <v>41</v>
      </c>
      <c r="BO121" s="305">
        <v>44377</v>
      </c>
      <c r="BP121" s="305">
        <v>44405</v>
      </c>
      <c r="BQ121" s="305">
        <v>44663</v>
      </c>
      <c r="CD121" t="e">
        <v>#N/A</v>
      </c>
    </row>
    <row r="122" spans="1:82" x14ac:dyDescent="0.3">
      <c r="A122">
        <v>115</v>
      </c>
      <c r="B122" t="e">
        <v>#NUM!</v>
      </c>
      <c r="C122" t="s">
        <v>1794</v>
      </c>
      <c r="D122">
        <v>641807165</v>
      </c>
      <c r="E122">
        <v>1710004387596</v>
      </c>
      <c r="G122" t="s">
        <v>217</v>
      </c>
      <c r="H122" t="s">
        <v>31</v>
      </c>
      <c r="I122" s="305">
        <v>43282</v>
      </c>
      <c r="J122">
        <v>6</v>
      </c>
      <c r="K122">
        <v>6</v>
      </c>
      <c r="L122" t="s">
        <v>14</v>
      </c>
      <c r="M122" t="s">
        <v>187</v>
      </c>
      <c r="O122" s="305">
        <v>45657</v>
      </c>
      <c r="Q122" t="s">
        <v>206</v>
      </c>
      <c r="R122" t="s">
        <v>6863</v>
      </c>
      <c r="S122" t="s">
        <v>312</v>
      </c>
      <c r="T122" t="s">
        <v>31</v>
      </c>
      <c r="U122" t="s">
        <v>204</v>
      </c>
      <c r="V122" t="s">
        <v>639</v>
      </c>
      <c r="W122" t="s">
        <v>122</v>
      </c>
      <c r="X122" t="s">
        <v>313</v>
      </c>
      <c r="Y122" t="s">
        <v>1218</v>
      </c>
      <c r="Z122" t="s">
        <v>337</v>
      </c>
      <c r="AA122" t="s">
        <v>132</v>
      </c>
      <c r="AB122" t="s">
        <v>1795</v>
      </c>
      <c r="AC122" s="305">
        <v>35890</v>
      </c>
      <c r="AD122">
        <v>26</v>
      </c>
      <c r="AE122" t="s">
        <v>1796</v>
      </c>
      <c r="AF122" t="s">
        <v>1797</v>
      </c>
      <c r="AG122" t="s">
        <v>1798</v>
      </c>
      <c r="AJ122" t="s">
        <v>1799</v>
      </c>
      <c r="AK122" t="s">
        <v>1800</v>
      </c>
      <c r="AL122">
        <v>18056172028</v>
      </c>
      <c r="AM122" t="s">
        <v>4716</v>
      </c>
      <c r="AS122" t="s">
        <v>1801</v>
      </c>
      <c r="AT122" t="s">
        <v>1802</v>
      </c>
      <c r="AU122" t="s">
        <v>306</v>
      </c>
      <c r="AV122" t="s">
        <v>306</v>
      </c>
      <c r="AW122">
        <v>0</v>
      </c>
      <c r="AX122" t="s">
        <v>5078</v>
      </c>
      <c r="AY122" t="s">
        <v>1803</v>
      </c>
      <c r="AZ122" t="s">
        <v>1803</v>
      </c>
      <c r="BA122" t="s">
        <v>161</v>
      </c>
      <c r="BB122" t="s">
        <v>349</v>
      </c>
      <c r="BC122" t="s">
        <v>515</v>
      </c>
      <c r="BD122" t="s">
        <v>1804</v>
      </c>
      <c r="BE122">
        <v>2017</v>
      </c>
      <c r="BF122" t="s">
        <v>475</v>
      </c>
      <c r="BG122" t="s">
        <v>515</v>
      </c>
      <c r="BH122" t="s">
        <v>1804</v>
      </c>
      <c r="BI122">
        <v>2017</v>
      </c>
      <c r="BL122" t="s">
        <v>369</v>
      </c>
      <c r="BM122">
        <v>36</v>
      </c>
      <c r="BN122">
        <v>43</v>
      </c>
      <c r="CD122" t="e">
        <v>#N/A</v>
      </c>
    </row>
    <row r="123" spans="1:82" x14ac:dyDescent="0.3">
      <c r="A123">
        <v>116</v>
      </c>
      <c r="B123" t="e">
        <v>#NUM!</v>
      </c>
      <c r="C123" t="s">
        <v>1805</v>
      </c>
      <c r="D123">
        <v>641807170</v>
      </c>
      <c r="E123">
        <v>1710004374735</v>
      </c>
      <c r="G123" t="s">
        <v>217</v>
      </c>
      <c r="H123" t="s">
        <v>25</v>
      </c>
      <c r="I123" s="305">
        <v>43282</v>
      </c>
      <c r="J123">
        <v>6</v>
      </c>
      <c r="K123">
        <v>6</v>
      </c>
      <c r="L123" t="s">
        <v>14</v>
      </c>
      <c r="M123" t="s">
        <v>187</v>
      </c>
      <c r="O123" s="305">
        <v>45474</v>
      </c>
      <c r="Q123" t="s">
        <v>206</v>
      </c>
      <c r="R123" t="s">
        <v>6863</v>
      </c>
      <c r="S123" t="s">
        <v>312</v>
      </c>
      <c r="T123" t="s">
        <v>25</v>
      </c>
      <c r="U123" t="s">
        <v>443</v>
      </c>
      <c r="V123" t="s">
        <v>748</v>
      </c>
      <c r="W123" t="s">
        <v>122</v>
      </c>
      <c r="X123" t="s">
        <v>313</v>
      </c>
      <c r="Z123" t="s">
        <v>337</v>
      </c>
      <c r="AA123" t="s">
        <v>132</v>
      </c>
      <c r="AB123" t="s">
        <v>217</v>
      </c>
      <c r="AC123" s="305">
        <v>33219</v>
      </c>
      <c r="AD123">
        <v>34</v>
      </c>
      <c r="AE123" t="s">
        <v>1806</v>
      </c>
      <c r="AF123" t="s">
        <v>1807</v>
      </c>
      <c r="AG123" t="s">
        <v>1808</v>
      </c>
      <c r="AJ123" t="s">
        <v>1809</v>
      </c>
      <c r="AK123" t="s">
        <v>1810</v>
      </c>
      <c r="AL123">
        <v>18056171954</v>
      </c>
      <c r="AM123" t="s">
        <v>4716</v>
      </c>
      <c r="AS123" t="s">
        <v>306</v>
      </c>
      <c r="AT123" t="s">
        <v>306</v>
      </c>
      <c r="AU123" t="s">
        <v>306</v>
      </c>
      <c r="AV123" t="s">
        <v>306</v>
      </c>
      <c r="AW123">
        <v>0</v>
      </c>
      <c r="AX123" t="s">
        <v>5078</v>
      </c>
      <c r="BA123" t="s">
        <v>161</v>
      </c>
      <c r="BB123" t="s">
        <v>349</v>
      </c>
      <c r="BC123" t="s">
        <v>515</v>
      </c>
      <c r="BD123" t="s">
        <v>1811</v>
      </c>
      <c r="BE123">
        <v>2008</v>
      </c>
      <c r="BF123" t="s">
        <v>475</v>
      </c>
      <c r="BG123" t="s">
        <v>515</v>
      </c>
      <c r="BH123" t="s">
        <v>1811</v>
      </c>
      <c r="BI123">
        <v>2008</v>
      </c>
      <c r="BL123" t="s">
        <v>351</v>
      </c>
      <c r="BM123">
        <v>30</v>
      </c>
      <c r="BN123">
        <v>40</v>
      </c>
      <c r="CD123" t="e">
        <v>#N/A</v>
      </c>
    </row>
    <row r="124" spans="1:82" x14ac:dyDescent="0.3">
      <c r="A124">
        <v>117</v>
      </c>
      <c r="B124" t="e">
        <v>#NUM!</v>
      </c>
      <c r="C124" t="s">
        <v>1812</v>
      </c>
      <c r="D124">
        <v>641807162</v>
      </c>
      <c r="E124">
        <v>1710004387604</v>
      </c>
      <c r="G124" t="s">
        <v>217</v>
      </c>
      <c r="H124" t="s">
        <v>217</v>
      </c>
      <c r="I124" s="305">
        <v>43282</v>
      </c>
      <c r="J124">
        <v>6</v>
      </c>
      <c r="K124">
        <v>6</v>
      </c>
      <c r="L124" t="s">
        <v>14</v>
      </c>
      <c r="M124" t="s">
        <v>187</v>
      </c>
      <c r="O124" s="305">
        <v>45657</v>
      </c>
      <c r="Q124" t="s">
        <v>206</v>
      </c>
      <c r="R124" t="s">
        <v>6863</v>
      </c>
      <c r="S124" t="s">
        <v>312</v>
      </c>
      <c r="T124" t="s">
        <v>22</v>
      </c>
      <c r="U124" t="s">
        <v>547</v>
      </c>
      <c r="V124" t="s">
        <v>78</v>
      </c>
      <c r="W124" t="s">
        <v>122</v>
      </c>
      <c r="X124" t="s">
        <v>313</v>
      </c>
      <c r="Y124" t="s">
        <v>462</v>
      </c>
      <c r="Z124" t="s">
        <v>337</v>
      </c>
      <c r="AA124" t="s">
        <v>132</v>
      </c>
      <c r="AB124" t="s">
        <v>217</v>
      </c>
      <c r="AC124" s="305">
        <v>34835</v>
      </c>
      <c r="AD124">
        <v>29</v>
      </c>
      <c r="AE124" t="s">
        <v>1813</v>
      </c>
      <c r="AF124" t="s">
        <v>1814</v>
      </c>
      <c r="AG124" t="s">
        <v>1815</v>
      </c>
      <c r="AJ124" t="s">
        <v>1816</v>
      </c>
      <c r="AK124" t="s">
        <v>1817</v>
      </c>
      <c r="AL124">
        <v>18056171988</v>
      </c>
      <c r="AM124" t="s">
        <v>4716</v>
      </c>
      <c r="AS124" t="s">
        <v>1346</v>
      </c>
      <c r="AT124" t="s">
        <v>1818</v>
      </c>
      <c r="AU124" t="s">
        <v>306</v>
      </c>
      <c r="AV124" t="s">
        <v>306</v>
      </c>
      <c r="AW124">
        <v>0</v>
      </c>
      <c r="AX124" t="s">
        <v>5078</v>
      </c>
      <c r="AY124" t="s">
        <v>1819</v>
      </c>
      <c r="AZ124" t="s">
        <v>1819</v>
      </c>
      <c r="BA124" t="s">
        <v>161</v>
      </c>
      <c r="BB124" t="s">
        <v>349</v>
      </c>
      <c r="BC124" t="s">
        <v>515</v>
      </c>
      <c r="BD124" t="s">
        <v>516</v>
      </c>
      <c r="BE124">
        <v>2013</v>
      </c>
      <c r="BF124" t="s">
        <v>475</v>
      </c>
      <c r="BG124" t="s">
        <v>515</v>
      </c>
      <c r="BH124" t="s">
        <v>516</v>
      </c>
      <c r="BI124">
        <v>2013</v>
      </c>
      <c r="BL124" t="s">
        <v>351</v>
      </c>
      <c r="BM124">
        <v>30</v>
      </c>
      <c r="BN124">
        <v>41</v>
      </c>
      <c r="CD124" t="e">
        <v>#N/A</v>
      </c>
    </row>
    <row r="125" spans="1:82" x14ac:dyDescent="0.3">
      <c r="A125">
        <v>118</v>
      </c>
      <c r="B125" t="e">
        <v>#NUM!</v>
      </c>
      <c r="C125" t="s">
        <v>1820</v>
      </c>
      <c r="D125">
        <v>641807161</v>
      </c>
      <c r="E125">
        <v>1710004387570</v>
      </c>
      <c r="G125" t="s">
        <v>217</v>
      </c>
      <c r="H125" t="s">
        <v>217</v>
      </c>
      <c r="I125" s="305">
        <v>43283</v>
      </c>
      <c r="J125">
        <v>6</v>
      </c>
      <c r="K125">
        <v>6</v>
      </c>
      <c r="L125" t="s">
        <v>14</v>
      </c>
      <c r="M125" t="s">
        <v>187</v>
      </c>
      <c r="O125" s="305">
        <v>45657</v>
      </c>
      <c r="Q125" t="s">
        <v>206</v>
      </c>
      <c r="R125" t="s">
        <v>6863</v>
      </c>
      <c r="S125" t="s">
        <v>312</v>
      </c>
      <c r="T125" t="s">
        <v>28</v>
      </c>
      <c r="U125" t="s">
        <v>461</v>
      </c>
      <c r="V125" t="s">
        <v>129</v>
      </c>
      <c r="W125" t="s">
        <v>121</v>
      </c>
      <c r="X125" t="s">
        <v>313</v>
      </c>
      <c r="Z125" t="s">
        <v>337</v>
      </c>
      <c r="AA125" t="s">
        <v>132</v>
      </c>
      <c r="AB125" t="s">
        <v>217</v>
      </c>
      <c r="AC125" s="305">
        <v>34465</v>
      </c>
      <c r="AD125">
        <v>30</v>
      </c>
      <c r="AE125" t="s">
        <v>1821</v>
      </c>
      <c r="AF125" t="s">
        <v>1822</v>
      </c>
      <c r="AG125" t="s">
        <v>1823</v>
      </c>
      <c r="AJ125" t="s">
        <v>1824</v>
      </c>
      <c r="AK125" t="s">
        <v>1825</v>
      </c>
      <c r="AL125">
        <v>18056172010</v>
      </c>
      <c r="AM125" t="s">
        <v>4733</v>
      </c>
      <c r="AN125" t="s">
        <v>1826</v>
      </c>
      <c r="AO125" t="s">
        <v>1827</v>
      </c>
      <c r="AS125" t="s">
        <v>1828</v>
      </c>
      <c r="AT125" t="s">
        <v>306</v>
      </c>
      <c r="AU125" t="s">
        <v>306</v>
      </c>
      <c r="AV125" t="s">
        <v>306</v>
      </c>
      <c r="AW125">
        <v>1</v>
      </c>
      <c r="AX125" t="s">
        <v>5637</v>
      </c>
      <c r="AY125" t="s">
        <v>1829</v>
      </c>
      <c r="AZ125" t="s">
        <v>1829</v>
      </c>
      <c r="BA125" t="s">
        <v>161</v>
      </c>
      <c r="BB125" t="s">
        <v>349</v>
      </c>
      <c r="BC125" t="s">
        <v>1742</v>
      </c>
      <c r="BD125" t="s">
        <v>790</v>
      </c>
      <c r="BE125">
        <v>2012</v>
      </c>
      <c r="BF125" t="s">
        <v>475</v>
      </c>
      <c r="BG125" t="s">
        <v>1742</v>
      </c>
      <c r="BH125" t="s">
        <v>790</v>
      </c>
      <c r="BI125">
        <v>2012</v>
      </c>
      <c r="BL125" t="s">
        <v>339</v>
      </c>
      <c r="BM125">
        <v>30</v>
      </c>
      <c r="BN125">
        <v>41</v>
      </c>
      <c r="CD125" t="e">
        <v>#N/A</v>
      </c>
    </row>
    <row r="126" spans="1:82" x14ac:dyDescent="0.3">
      <c r="A126">
        <v>119</v>
      </c>
      <c r="B126" t="e">
        <v>#NUM!</v>
      </c>
      <c r="C126" t="s">
        <v>1830</v>
      </c>
      <c r="D126">
        <v>641808174</v>
      </c>
      <c r="E126">
        <v>1710004607027</v>
      </c>
      <c r="G126" t="s">
        <v>25</v>
      </c>
      <c r="H126" t="s">
        <v>25</v>
      </c>
      <c r="I126" s="305">
        <v>43325</v>
      </c>
      <c r="J126">
        <v>6</v>
      </c>
      <c r="K126">
        <v>5</v>
      </c>
      <c r="L126" t="s">
        <v>14</v>
      </c>
      <c r="M126" t="s">
        <v>187</v>
      </c>
      <c r="O126" s="305">
        <v>45515</v>
      </c>
      <c r="Q126" t="s">
        <v>206</v>
      </c>
      <c r="R126" t="s">
        <v>6863</v>
      </c>
      <c r="S126" t="s">
        <v>312</v>
      </c>
      <c r="T126" t="s">
        <v>25</v>
      </c>
      <c r="U126" t="s">
        <v>443</v>
      </c>
      <c r="V126" t="s">
        <v>748</v>
      </c>
      <c r="W126" t="s">
        <v>122</v>
      </c>
      <c r="X126" t="s">
        <v>313</v>
      </c>
      <c r="Y126" t="s">
        <v>445</v>
      </c>
      <c r="Z126" t="s">
        <v>337</v>
      </c>
      <c r="AA126" t="s">
        <v>132</v>
      </c>
      <c r="AB126" t="s">
        <v>25</v>
      </c>
      <c r="AC126" s="305">
        <v>34344</v>
      </c>
      <c r="AD126">
        <v>31</v>
      </c>
      <c r="AE126" t="s">
        <v>1831</v>
      </c>
      <c r="AF126" t="s">
        <v>1832</v>
      </c>
      <c r="AG126" t="s">
        <v>1833</v>
      </c>
      <c r="AJ126" t="s">
        <v>1834</v>
      </c>
      <c r="AK126" t="s">
        <v>1835</v>
      </c>
      <c r="AL126">
        <v>18070554029</v>
      </c>
      <c r="AM126" t="s">
        <v>4733</v>
      </c>
      <c r="AN126" t="s">
        <v>1836</v>
      </c>
      <c r="AS126" t="s">
        <v>1837</v>
      </c>
      <c r="AT126" t="s">
        <v>1838</v>
      </c>
      <c r="AU126" t="s">
        <v>1839</v>
      </c>
      <c r="AV126" t="s">
        <v>1840</v>
      </c>
      <c r="AW126">
        <v>0</v>
      </c>
      <c r="AX126" t="s">
        <v>5627</v>
      </c>
      <c r="AY126" t="s">
        <v>1841</v>
      </c>
      <c r="AZ126" t="s">
        <v>1841</v>
      </c>
      <c r="BA126" t="s">
        <v>161</v>
      </c>
      <c r="BB126" t="s">
        <v>75</v>
      </c>
      <c r="BC126" t="s">
        <v>87</v>
      </c>
      <c r="BD126" t="s">
        <v>1842</v>
      </c>
      <c r="BE126">
        <v>2016</v>
      </c>
      <c r="BF126" t="s">
        <v>75</v>
      </c>
      <c r="BG126" t="s">
        <v>87</v>
      </c>
      <c r="BH126" t="s">
        <v>1842</v>
      </c>
      <c r="BI126">
        <v>2016</v>
      </c>
      <c r="BL126" t="s">
        <v>339</v>
      </c>
      <c r="BM126">
        <v>32</v>
      </c>
      <c r="BN126">
        <v>42</v>
      </c>
      <c r="CD126" t="s">
        <v>7131</v>
      </c>
    </row>
    <row r="127" spans="1:82" x14ac:dyDescent="0.3">
      <c r="A127">
        <v>120</v>
      </c>
      <c r="B127" t="e">
        <v>#NUM!</v>
      </c>
      <c r="C127" t="s">
        <v>1843</v>
      </c>
      <c r="D127">
        <v>641808176</v>
      </c>
      <c r="E127">
        <v>1130012942250</v>
      </c>
      <c r="G127" t="s">
        <v>25</v>
      </c>
      <c r="H127" t="s">
        <v>25</v>
      </c>
      <c r="I127" s="305">
        <v>43325</v>
      </c>
      <c r="J127">
        <v>6</v>
      </c>
      <c r="K127">
        <v>5</v>
      </c>
      <c r="L127" t="s">
        <v>14</v>
      </c>
      <c r="M127" t="s">
        <v>187</v>
      </c>
      <c r="O127" s="305">
        <v>45515</v>
      </c>
      <c r="Q127" t="s">
        <v>206</v>
      </c>
      <c r="R127" t="s">
        <v>6863</v>
      </c>
      <c r="S127" t="s">
        <v>312</v>
      </c>
      <c r="T127" t="s">
        <v>29</v>
      </c>
      <c r="U127" t="s">
        <v>204</v>
      </c>
      <c r="V127" t="s">
        <v>41</v>
      </c>
      <c r="W127" t="s">
        <v>122</v>
      </c>
      <c r="X127" t="s">
        <v>313</v>
      </c>
      <c r="Z127" t="s">
        <v>337</v>
      </c>
      <c r="AA127" t="s">
        <v>132</v>
      </c>
      <c r="AB127" t="s">
        <v>25</v>
      </c>
      <c r="AC127" s="305">
        <v>29619</v>
      </c>
      <c r="AD127">
        <v>43</v>
      </c>
      <c r="AE127" t="s">
        <v>1844</v>
      </c>
      <c r="AF127" t="s">
        <v>1845</v>
      </c>
      <c r="AG127" t="s">
        <v>1846</v>
      </c>
      <c r="AJ127" t="s">
        <v>1847</v>
      </c>
      <c r="AK127" t="s">
        <v>1848</v>
      </c>
      <c r="AL127">
        <v>10024668435</v>
      </c>
      <c r="AM127" t="s">
        <v>4733</v>
      </c>
      <c r="AN127" t="s">
        <v>1849</v>
      </c>
      <c r="AO127" t="s">
        <v>1850</v>
      </c>
      <c r="AP127" t="s">
        <v>1851</v>
      </c>
      <c r="AQ127" t="s">
        <v>1852</v>
      </c>
      <c r="AR127" t="s">
        <v>1853</v>
      </c>
      <c r="AS127" t="s">
        <v>306</v>
      </c>
      <c r="AT127" t="s">
        <v>306</v>
      </c>
      <c r="AU127" t="s">
        <v>306</v>
      </c>
      <c r="AV127" t="s">
        <v>306</v>
      </c>
      <c r="AW127">
        <v>4</v>
      </c>
      <c r="AX127" t="s">
        <v>6900</v>
      </c>
      <c r="BA127" t="s">
        <v>161</v>
      </c>
      <c r="BB127" t="s">
        <v>349</v>
      </c>
      <c r="BC127" t="s">
        <v>1854</v>
      </c>
      <c r="BD127" t="s">
        <v>1855</v>
      </c>
      <c r="BE127">
        <v>1999</v>
      </c>
      <c r="BF127" t="s">
        <v>475</v>
      </c>
      <c r="BG127" t="s">
        <v>1854</v>
      </c>
      <c r="BH127" t="s">
        <v>1855</v>
      </c>
      <c r="BI127">
        <v>1999</v>
      </c>
      <c r="BL127" t="s">
        <v>351</v>
      </c>
      <c r="BM127">
        <v>33</v>
      </c>
      <c r="BN127">
        <v>41</v>
      </c>
      <c r="BQ127" s="305">
        <v>44776</v>
      </c>
      <c r="CD127" t="e">
        <v>#N/A</v>
      </c>
    </row>
    <row r="128" spans="1:82" x14ac:dyDescent="0.3">
      <c r="A128">
        <v>121</v>
      </c>
      <c r="B128" t="e">
        <v>#NUM!</v>
      </c>
      <c r="C128" t="s">
        <v>1856</v>
      </c>
      <c r="D128">
        <v>641808171</v>
      </c>
      <c r="E128">
        <v>1710004607035</v>
      </c>
      <c r="G128" t="s">
        <v>25</v>
      </c>
      <c r="H128" t="s">
        <v>25</v>
      </c>
      <c r="I128" s="305">
        <v>43325</v>
      </c>
      <c r="J128">
        <v>6</v>
      </c>
      <c r="K128">
        <v>5</v>
      </c>
      <c r="L128" t="s">
        <v>14</v>
      </c>
      <c r="M128" t="s">
        <v>187</v>
      </c>
      <c r="O128" s="305">
        <v>45515</v>
      </c>
      <c r="Q128" t="s">
        <v>206</v>
      </c>
      <c r="R128" t="s">
        <v>6863</v>
      </c>
      <c r="S128" t="s">
        <v>312</v>
      </c>
      <c r="T128" t="s">
        <v>25</v>
      </c>
      <c r="U128" t="s">
        <v>443</v>
      </c>
      <c r="V128" t="s">
        <v>748</v>
      </c>
      <c r="W128" t="s">
        <v>122</v>
      </c>
      <c r="X128" t="s">
        <v>313</v>
      </c>
      <c r="Z128" t="s">
        <v>337</v>
      </c>
      <c r="AA128" t="s">
        <v>132</v>
      </c>
      <c r="AB128" t="s">
        <v>25</v>
      </c>
      <c r="AC128" s="305">
        <v>35618</v>
      </c>
      <c r="AD128">
        <v>27</v>
      </c>
      <c r="AE128" t="s">
        <v>1857</v>
      </c>
      <c r="AF128" t="s">
        <v>1858</v>
      </c>
      <c r="AG128" t="s">
        <v>1859</v>
      </c>
      <c r="AJ128" t="s">
        <v>1860</v>
      </c>
      <c r="AK128" t="s">
        <v>1861</v>
      </c>
      <c r="AL128">
        <v>17066876644</v>
      </c>
      <c r="AM128" t="s">
        <v>4716</v>
      </c>
      <c r="AS128" t="s">
        <v>306</v>
      </c>
      <c r="AT128" t="s">
        <v>306</v>
      </c>
      <c r="AU128" t="s">
        <v>306</v>
      </c>
      <c r="AV128" t="s">
        <v>306</v>
      </c>
      <c r="AW128">
        <v>0</v>
      </c>
      <c r="AX128" t="s">
        <v>5078</v>
      </c>
      <c r="BA128" t="s">
        <v>161</v>
      </c>
      <c r="BB128" t="s">
        <v>349</v>
      </c>
      <c r="BC128" t="s">
        <v>515</v>
      </c>
      <c r="BD128" t="s">
        <v>1862</v>
      </c>
      <c r="BE128">
        <v>2015</v>
      </c>
      <c r="BF128" t="s">
        <v>475</v>
      </c>
      <c r="BG128" t="s">
        <v>515</v>
      </c>
      <c r="BH128" t="s">
        <v>1862</v>
      </c>
      <c r="BI128">
        <v>2015</v>
      </c>
      <c r="BL128" t="s">
        <v>339</v>
      </c>
      <c r="BM128">
        <v>32</v>
      </c>
      <c r="BN128">
        <v>41</v>
      </c>
      <c r="CD128" t="e">
        <v>#N/A</v>
      </c>
    </row>
    <row r="129" spans="1:82" x14ac:dyDescent="0.3">
      <c r="A129">
        <v>122</v>
      </c>
      <c r="B129" t="e">
        <v>#NUM!</v>
      </c>
      <c r="C129" t="s">
        <v>1863</v>
      </c>
      <c r="D129">
        <v>641808173</v>
      </c>
      <c r="E129">
        <v>1120014004605</v>
      </c>
      <c r="G129" t="s">
        <v>25</v>
      </c>
      <c r="H129" t="s">
        <v>25</v>
      </c>
      <c r="I129" s="305">
        <v>43325</v>
      </c>
      <c r="J129">
        <v>6</v>
      </c>
      <c r="K129">
        <v>5</v>
      </c>
      <c r="L129" t="s">
        <v>14</v>
      </c>
      <c r="M129" t="s">
        <v>187</v>
      </c>
      <c r="O129" s="305">
        <v>45515</v>
      </c>
      <c r="Q129" t="s">
        <v>206</v>
      </c>
      <c r="R129" t="s">
        <v>6863</v>
      </c>
      <c r="S129" t="s">
        <v>312</v>
      </c>
      <c r="T129" t="s">
        <v>25</v>
      </c>
      <c r="U129" t="s">
        <v>443</v>
      </c>
      <c r="V129" t="s">
        <v>748</v>
      </c>
      <c r="W129" t="s">
        <v>122</v>
      </c>
      <c r="X129" t="s">
        <v>313</v>
      </c>
      <c r="Z129" t="s">
        <v>337</v>
      </c>
      <c r="AA129" t="s">
        <v>132</v>
      </c>
      <c r="AB129" t="s">
        <v>1864</v>
      </c>
      <c r="AC129" s="305">
        <v>35747</v>
      </c>
      <c r="AD129">
        <v>27</v>
      </c>
      <c r="AE129" t="s">
        <v>1865</v>
      </c>
      <c r="AF129" t="s">
        <v>1866</v>
      </c>
      <c r="AG129" t="s">
        <v>1867</v>
      </c>
      <c r="AJ129" t="s">
        <v>1868</v>
      </c>
      <c r="AK129" t="s">
        <v>1869</v>
      </c>
      <c r="AL129">
        <v>18070554037</v>
      </c>
      <c r="AM129" t="s">
        <v>4733</v>
      </c>
      <c r="AN129" t="s">
        <v>1870</v>
      </c>
      <c r="AS129" t="s">
        <v>1871</v>
      </c>
      <c r="AT129" t="s">
        <v>1872</v>
      </c>
      <c r="AU129" t="s">
        <v>1873</v>
      </c>
      <c r="AV129" t="s">
        <v>1874</v>
      </c>
      <c r="AW129">
        <v>0</v>
      </c>
      <c r="AX129" t="s">
        <v>5627</v>
      </c>
      <c r="AY129" t="s">
        <v>1875</v>
      </c>
      <c r="AZ129" t="s">
        <v>1875</v>
      </c>
      <c r="BA129" t="s">
        <v>161</v>
      </c>
      <c r="BB129" t="s">
        <v>349</v>
      </c>
      <c r="BC129" t="s">
        <v>515</v>
      </c>
      <c r="BD129" t="s">
        <v>1862</v>
      </c>
      <c r="BE129">
        <v>2015</v>
      </c>
      <c r="BF129" t="s">
        <v>475</v>
      </c>
      <c r="BG129" t="s">
        <v>515</v>
      </c>
      <c r="BH129" t="s">
        <v>1862</v>
      </c>
      <c r="BI129">
        <v>2015</v>
      </c>
      <c r="BL129" t="s">
        <v>369</v>
      </c>
      <c r="BM129">
        <v>41</v>
      </c>
      <c r="BN129">
        <v>43</v>
      </c>
      <c r="CD129" t="e">
        <v>#N/A</v>
      </c>
    </row>
    <row r="130" spans="1:82" x14ac:dyDescent="0.3">
      <c r="A130">
        <v>132</v>
      </c>
      <c r="B130" t="e">
        <v>#NUM!</v>
      </c>
      <c r="C130" t="s">
        <v>1959</v>
      </c>
      <c r="D130">
        <v>641809178</v>
      </c>
      <c r="E130">
        <v>1710004668383</v>
      </c>
      <c r="G130" t="s">
        <v>24</v>
      </c>
      <c r="H130" t="s">
        <v>24</v>
      </c>
      <c r="I130" s="305">
        <v>43353</v>
      </c>
      <c r="J130">
        <v>6</v>
      </c>
      <c r="K130">
        <v>4</v>
      </c>
      <c r="L130" t="s">
        <v>14</v>
      </c>
      <c r="M130" t="s">
        <v>187</v>
      </c>
      <c r="O130" s="305">
        <v>45657</v>
      </c>
      <c r="Q130" t="s">
        <v>206</v>
      </c>
      <c r="R130" t="s">
        <v>6863</v>
      </c>
      <c r="S130" t="s">
        <v>312</v>
      </c>
      <c r="T130" t="s">
        <v>24</v>
      </c>
      <c r="U130" t="s">
        <v>204</v>
      </c>
      <c r="V130" t="s">
        <v>123</v>
      </c>
      <c r="W130" t="s">
        <v>121</v>
      </c>
      <c r="X130" t="s">
        <v>313</v>
      </c>
      <c r="Y130" t="s">
        <v>462</v>
      </c>
      <c r="Z130" t="s">
        <v>337</v>
      </c>
      <c r="AA130" t="s">
        <v>132</v>
      </c>
      <c r="AB130" t="s">
        <v>24</v>
      </c>
      <c r="AC130" s="305">
        <v>36692</v>
      </c>
      <c r="AD130">
        <v>24</v>
      </c>
      <c r="AE130" t="s">
        <v>1960</v>
      </c>
      <c r="AF130" t="s">
        <v>1961</v>
      </c>
      <c r="AG130" t="s">
        <v>1962</v>
      </c>
      <c r="AJ130" t="s">
        <v>1963</v>
      </c>
      <c r="AK130" t="s">
        <v>1964</v>
      </c>
      <c r="AL130">
        <v>18070554060</v>
      </c>
      <c r="AM130" t="s">
        <v>4733</v>
      </c>
      <c r="AN130" t="s">
        <v>1965</v>
      </c>
      <c r="AO130" t="s">
        <v>1966</v>
      </c>
      <c r="AS130" t="s">
        <v>306</v>
      </c>
      <c r="AT130" t="s">
        <v>306</v>
      </c>
      <c r="AU130" t="s">
        <v>306</v>
      </c>
      <c r="AV130" t="s">
        <v>306</v>
      </c>
      <c r="AW130">
        <v>1</v>
      </c>
      <c r="AX130" t="s">
        <v>5637</v>
      </c>
      <c r="BA130" t="s">
        <v>161</v>
      </c>
      <c r="BB130" t="s">
        <v>349</v>
      </c>
      <c r="BC130" t="s">
        <v>515</v>
      </c>
      <c r="BD130" t="s">
        <v>1967</v>
      </c>
      <c r="BE130">
        <v>2018</v>
      </c>
      <c r="BF130" t="s">
        <v>475</v>
      </c>
      <c r="BG130" t="s">
        <v>515</v>
      </c>
      <c r="BH130" t="s">
        <v>1967</v>
      </c>
      <c r="BI130">
        <v>2018</v>
      </c>
      <c r="BL130" t="s">
        <v>339</v>
      </c>
      <c r="BM130">
        <v>31</v>
      </c>
      <c r="BN130">
        <v>41</v>
      </c>
      <c r="CD130" t="e">
        <v>#N/A</v>
      </c>
    </row>
    <row r="131" spans="1:82" x14ac:dyDescent="0.3">
      <c r="A131">
        <v>133</v>
      </c>
      <c r="B131" t="e">
        <v>#NUM!</v>
      </c>
      <c r="C131" t="s">
        <v>1968</v>
      </c>
      <c r="D131">
        <v>641810181</v>
      </c>
      <c r="E131">
        <v>1710004811058</v>
      </c>
      <c r="G131" t="s">
        <v>25</v>
      </c>
      <c r="H131" t="s">
        <v>25</v>
      </c>
      <c r="I131" s="305">
        <v>43374</v>
      </c>
      <c r="J131">
        <v>6</v>
      </c>
      <c r="K131">
        <v>3</v>
      </c>
      <c r="L131" t="s">
        <v>14</v>
      </c>
      <c r="M131" t="s">
        <v>187</v>
      </c>
      <c r="O131" s="305">
        <v>45565</v>
      </c>
      <c r="Q131" t="s">
        <v>206</v>
      </c>
      <c r="R131" t="s">
        <v>6863</v>
      </c>
      <c r="S131" t="s">
        <v>312</v>
      </c>
      <c r="T131" t="s">
        <v>25</v>
      </c>
      <c r="U131" t="s">
        <v>443</v>
      </c>
      <c r="V131" t="s">
        <v>748</v>
      </c>
      <c r="W131" t="s">
        <v>122</v>
      </c>
      <c r="X131" t="s">
        <v>313</v>
      </c>
      <c r="Z131" t="s">
        <v>337</v>
      </c>
      <c r="AA131" t="s">
        <v>132</v>
      </c>
      <c r="AB131" t="s">
        <v>25</v>
      </c>
      <c r="AC131" s="305">
        <v>35490</v>
      </c>
      <c r="AD131">
        <v>27</v>
      </c>
      <c r="AE131" t="s">
        <v>1969</v>
      </c>
      <c r="AF131" t="s">
        <v>1970</v>
      </c>
      <c r="AG131" t="s">
        <v>1971</v>
      </c>
      <c r="AJ131" t="s">
        <v>1972</v>
      </c>
      <c r="AK131" t="s">
        <v>1973</v>
      </c>
      <c r="AL131">
        <v>18025352297</v>
      </c>
      <c r="AM131" t="s">
        <v>4733</v>
      </c>
      <c r="AN131" t="s">
        <v>1974</v>
      </c>
      <c r="AS131" t="s">
        <v>1975</v>
      </c>
      <c r="AT131" t="s">
        <v>1976</v>
      </c>
      <c r="AU131" t="s">
        <v>1977</v>
      </c>
      <c r="AV131" t="s">
        <v>1978</v>
      </c>
      <c r="AW131">
        <v>0</v>
      </c>
      <c r="AX131" t="s">
        <v>5627</v>
      </c>
      <c r="AY131" t="s">
        <v>1979</v>
      </c>
      <c r="AZ131">
        <v>960626513301000</v>
      </c>
      <c r="BA131" t="s">
        <v>161</v>
      </c>
      <c r="BB131" t="s">
        <v>349</v>
      </c>
      <c r="BC131" t="s">
        <v>515</v>
      </c>
      <c r="BD131" t="s">
        <v>1980</v>
      </c>
      <c r="BE131">
        <v>2014</v>
      </c>
      <c r="BF131" t="s">
        <v>475</v>
      </c>
      <c r="BG131" t="s">
        <v>515</v>
      </c>
      <c r="BH131" t="s">
        <v>1980</v>
      </c>
      <c r="BI131">
        <v>2014</v>
      </c>
      <c r="BL131" t="s">
        <v>360</v>
      </c>
      <c r="BM131">
        <v>27</v>
      </c>
      <c r="BN131">
        <v>38</v>
      </c>
      <c r="CD131" t="e">
        <v>#N/A</v>
      </c>
    </row>
    <row r="132" spans="1:82" x14ac:dyDescent="0.3">
      <c r="A132">
        <v>134</v>
      </c>
      <c r="B132" t="e">
        <v>#NUM!</v>
      </c>
      <c r="C132" t="s">
        <v>1981</v>
      </c>
      <c r="D132">
        <v>641810196</v>
      </c>
      <c r="E132">
        <v>1710004811009</v>
      </c>
      <c r="G132" t="s">
        <v>25</v>
      </c>
      <c r="H132" t="s">
        <v>25</v>
      </c>
      <c r="I132" s="305">
        <v>43395</v>
      </c>
      <c r="J132">
        <v>6</v>
      </c>
      <c r="K132">
        <v>2</v>
      </c>
      <c r="L132" t="s">
        <v>14</v>
      </c>
      <c r="M132" t="s">
        <v>187</v>
      </c>
      <c r="O132" s="305">
        <v>45586</v>
      </c>
      <c r="Q132" t="s">
        <v>206</v>
      </c>
      <c r="R132" t="s">
        <v>6863</v>
      </c>
      <c r="S132" t="s">
        <v>312</v>
      </c>
      <c r="T132" t="s">
        <v>25</v>
      </c>
      <c r="U132" t="s">
        <v>443</v>
      </c>
      <c r="V132" t="s">
        <v>748</v>
      </c>
      <c r="W132" t="s">
        <v>122</v>
      </c>
      <c r="X132" t="s">
        <v>313</v>
      </c>
      <c r="Z132" t="s">
        <v>337</v>
      </c>
      <c r="AA132" t="s">
        <v>132</v>
      </c>
      <c r="AB132" t="s">
        <v>25</v>
      </c>
      <c r="AC132" s="305">
        <v>34967</v>
      </c>
      <c r="AD132">
        <v>29</v>
      </c>
      <c r="AE132" t="s">
        <v>1982</v>
      </c>
      <c r="AF132" t="s">
        <v>1983</v>
      </c>
      <c r="AG132" t="s">
        <v>1984</v>
      </c>
      <c r="AJ132" t="s">
        <v>1985</v>
      </c>
      <c r="AK132" t="s">
        <v>1986</v>
      </c>
      <c r="AL132">
        <v>18099947626</v>
      </c>
      <c r="AM132" t="s">
        <v>4733</v>
      </c>
      <c r="AN132" t="s">
        <v>1987</v>
      </c>
      <c r="AO132" t="s">
        <v>1988</v>
      </c>
      <c r="AS132" t="s">
        <v>1989</v>
      </c>
      <c r="AT132" t="s">
        <v>1990</v>
      </c>
      <c r="AU132" t="s">
        <v>1991</v>
      </c>
      <c r="AV132" t="s">
        <v>1992</v>
      </c>
      <c r="AW132">
        <v>1</v>
      </c>
      <c r="AX132" t="s">
        <v>5637</v>
      </c>
      <c r="AY132" t="s">
        <v>1993</v>
      </c>
      <c r="AZ132" t="s">
        <v>1993</v>
      </c>
      <c r="BA132" t="s">
        <v>161</v>
      </c>
      <c r="BB132" t="s">
        <v>75</v>
      </c>
      <c r="BC132" t="s">
        <v>87</v>
      </c>
      <c r="BD132" t="s">
        <v>1994</v>
      </c>
      <c r="BE132">
        <v>2017</v>
      </c>
      <c r="BF132" t="s">
        <v>75</v>
      </c>
      <c r="BG132" t="s">
        <v>87</v>
      </c>
      <c r="BH132" t="s">
        <v>1994</v>
      </c>
      <c r="BI132">
        <v>2017</v>
      </c>
      <c r="BL132" t="s">
        <v>360</v>
      </c>
      <c r="BM132">
        <v>31</v>
      </c>
      <c r="BN132">
        <v>39</v>
      </c>
      <c r="CD132" t="e">
        <v>#N/A</v>
      </c>
    </row>
    <row r="133" spans="1:82" x14ac:dyDescent="0.3">
      <c r="A133">
        <v>135</v>
      </c>
      <c r="B133" t="e">
        <v>#NUM!</v>
      </c>
      <c r="C133" t="s">
        <v>1995</v>
      </c>
      <c r="D133">
        <v>641810206</v>
      </c>
      <c r="E133">
        <v>1710004811132</v>
      </c>
      <c r="G133" t="s">
        <v>26</v>
      </c>
      <c r="H133" t="s">
        <v>26</v>
      </c>
      <c r="I133" s="305">
        <v>43395</v>
      </c>
      <c r="J133">
        <v>6</v>
      </c>
      <c r="K133">
        <v>2</v>
      </c>
      <c r="L133" t="s">
        <v>14</v>
      </c>
      <c r="M133" t="s">
        <v>187</v>
      </c>
      <c r="N133" t="s">
        <v>306</v>
      </c>
      <c r="O133" s="305">
        <v>45657</v>
      </c>
      <c r="Q133" t="s">
        <v>206</v>
      </c>
      <c r="R133" t="s">
        <v>6863</v>
      </c>
      <c r="S133" t="s">
        <v>312</v>
      </c>
      <c r="T133" t="s">
        <v>26</v>
      </c>
      <c r="U133" t="s">
        <v>547</v>
      </c>
      <c r="V133" t="s">
        <v>97</v>
      </c>
      <c r="W133" t="s">
        <v>122</v>
      </c>
      <c r="X133" t="s">
        <v>313</v>
      </c>
      <c r="Y133" t="s">
        <v>445</v>
      </c>
      <c r="Z133" t="s">
        <v>337</v>
      </c>
      <c r="AA133" t="s">
        <v>132</v>
      </c>
      <c r="AB133" t="s">
        <v>26</v>
      </c>
      <c r="AC133" s="305">
        <v>33367</v>
      </c>
      <c r="AD133">
        <v>33</v>
      </c>
      <c r="AE133" t="s">
        <v>1996</v>
      </c>
      <c r="AF133" t="s">
        <v>1997</v>
      </c>
      <c r="AG133" t="s">
        <v>1998</v>
      </c>
      <c r="AJ133" t="s">
        <v>1999</v>
      </c>
      <c r="AK133" t="s">
        <v>2000</v>
      </c>
      <c r="AL133">
        <v>18099947543</v>
      </c>
      <c r="AM133" t="s">
        <v>4733</v>
      </c>
      <c r="AN133" t="s">
        <v>2001</v>
      </c>
      <c r="AO133" t="s">
        <v>2002</v>
      </c>
      <c r="AP133" t="s">
        <v>2003</v>
      </c>
      <c r="AS133" t="s">
        <v>2004</v>
      </c>
      <c r="AT133" t="s">
        <v>2005</v>
      </c>
      <c r="AU133" t="s">
        <v>2006</v>
      </c>
      <c r="AV133" t="s">
        <v>2007</v>
      </c>
      <c r="AW133">
        <v>2</v>
      </c>
      <c r="AX133" t="s">
        <v>5002</v>
      </c>
      <c r="AY133" t="s">
        <v>2008</v>
      </c>
      <c r="AZ133" t="s">
        <v>2008</v>
      </c>
      <c r="BA133" t="s">
        <v>161</v>
      </c>
      <c r="BB133" t="s">
        <v>70</v>
      </c>
      <c r="BC133" t="s">
        <v>87</v>
      </c>
      <c r="BD133" t="s">
        <v>2009</v>
      </c>
      <c r="BE133">
        <v>2012</v>
      </c>
      <c r="BF133" t="s">
        <v>70</v>
      </c>
      <c r="BG133" t="s">
        <v>87</v>
      </c>
      <c r="BH133" t="s">
        <v>2009</v>
      </c>
      <c r="BI133">
        <v>2012</v>
      </c>
      <c r="BL133" t="s">
        <v>360</v>
      </c>
      <c r="BM133">
        <v>28</v>
      </c>
      <c r="BN133">
        <v>41</v>
      </c>
      <c r="BO133" s="305">
        <v>44365</v>
      </c>
      <c r="BP133" s="305">
        <v>44400</v>
      </c>
      <c r="CD133" t="s">
        <v>7131</v>
      </c>
    </row>
    <row r="134" spans="1:82" x14ac:dyDescent="0.3">
      <c r="A134">
        <v>393</v>
      </c>
      <c r="B134" t="e">
        <v>#NUM!</v>
      </c>
      <c r="C134" t="s">
        <v>4419</v>
      </c>
      <c r="D134">
        <v>642409208</v>
      </c>
      <c r="E134" t="s">
        <v>4420</v>
      </c>
      <c r="G134" t="s">
        <v>217</v>
      </c>
      <c r="H134" t="s">
        <v>311</v>
      </c>
      <c r="I134" s="305">
        <v>45567</v>
      </c>
      <c r="J134">
        <v>0</v>
      </c>
      <c r="K134">
        <v>0</v>
      </c>
      <c r="L134" t="s">
        <v>14</v>
      </c>
      <c r="M134" t="s">
        <v>187</v>
      </c>
      <c r="O134" s="305">
        <v>45657</v>
      </c>
      <c r="Q134" t="s">
        <v>206</v>
      </c>
      <c r="R134" t="s">
        <v>6863</v>
      </c>
      <c r="S134" t="s">
        <v>312</v>
      </c>
      <c r="W134" t="s">
        <v>121</v>
      </c>
      <c r="X134" t="s">
        <v>313</v>
      </c>
      <c r="AA134" t="s">
        <v>132</v>
      </c>
      <c r="AB134" t="s">
        <v>311</v>
      </c>
      <c r="AC134" s="305">
        <v>35988</v>
      </c>
      <c r="AD134">
        <v>26</v>
      </c>
      <c r="AE134" t="s">
        <v>4421</v>
      </c>
      <c r="AF134" t="s">
        <v>4422</v>
      </c>
      <c r="AG134" t="s">
        <v>4423</v>
      </c>
      <c r="AH134" t="s">
        <v>4424</v>
      </c>
      <c r="AI134" t="s">
        <v>4424</v>
      </c>
      <c r="AJ134" t="s">
        <v>4425</v>
      </c>
      <c r="AK134" t="s">
        <v>4426</v>
      </c>
      <c r="AL134" t="s">
        <v>4427</v>
      </c>
      <c r="AM134" t="s">
        <v>4716</v>
      </c>
      <c r="AS134" t="s">
        <v>6752</v>
      </c>
      <c r="AT134" t="s">
        <v>899</v>
      </c>
      <c r="AW134">
        <v>0</v>
      </c>
      <c r="AX134" t="s">
        <v>5078</v>
      </c>
      <c r="AZ134" t="s">
        <v>4428</v>
      </c>
      <c r="BA134" t="s">
        <v>161</v>
      </c>
      <c r="BB134" t="s">
        <v>349</v>
      </c>
      <c r="BC134" t="s">
        <v>91</v>
      </c>
      <c r="BD134" t="s">
        <v>1762</v>
      </c>
      <c r="BE134">
        <v>2016</v>
      </c>
      <c r="BF134" t="s">
        <v>349</v>
      </c>
      <c r="BG134" t="s">
        <v>91</v>
      </c>
      <c r="BH134" t="s">
        <v>1762</v>
      </c>
      <c r="BI134">
        <v>2016</v>
      </c>
      <c r="BL134" t="s">
        <v>360</v>
      </c>
      <c r="BM134" t="s">
        <v>360</v>
      </c>
      <c r="BN134">
        <v>40</v>
      </c>
    </row>
    <row r="135" spans="1:82" x14ac:dyDescent="0.3">
      <c r="A135">
        <v>137</v>
      </c>
      <c r="B135" t="e">
        <v>#NUM!</v>
      </c>
      <c r="C135" t="s">
        <v>2025</v>
      </c>
      <c r="D135">
        <v>641810204</v>
      </c>
      <c r="E135">
        <v>1710004810795</v>
      </c>
      <c r="G135" t="s">
        <v>25</v>
      </c>
      <c r="H135" t="s">
        <v>25</v>
      </c>
      <c r="I135" s="305">
        <v>43395</v>
      </c>
      <c r="J135">
        <v>6</v>
      </c>
      <c r="K135">
        <v>2</v>
      </c>
      <c r="L135" t="s">
        <v>14</v>
      </c>
      <c r="M135" t="s">
        <v>187</v>
      </c>
      <c r="O135" s="305">
        <v>45586</v>
      </c>
      <c r="Q135" t="s">
        <v>206</v>
      </c>
      <c r="R135" t="s">
        <v>6863</v>
      </c>
      <c r="S135" t="s">
        <v>312</v>
      </c>
      <c r="T135" t="s">
        <v>25</v>
      </c>
      <c r="U135" t="s">
        <v>443</v>
      </c>
      <c r="V135" t="s">
        <v>748</v>
      </c>
      <c r="W135" t="s">
        <v>122</v>
      </c>
      <c r="X135" t="s">
        <v>313</v>
      </c>
      <c r="Z135" t="s">
        <v>337</v>
      </c>
      <c r="AA135" t="s">
        <v>132</v>
      </c>
      <c r="AB135" t="s">
        <v>25</v>
      </c>
      <c r="AC135" s="305">
        <v>31511</v>
      </c>
      <c r="AD135">
        <v>38</v>
      </c>
      <c r="AE135" t="s">
        <v>2026</v>
      </c>
      <c r="AF135" t="s">
        <v>2027</v>
      </c>
      <c r="AG135" t="s">
        <v>2028</v>
      </c>
      <c r="AH135" t="s">
        <v>2029</v>
      </c>
      <c r="AJ135" t="s">
        <v>2030</v>
      </c>
      <c r="AK135" t="s">
        <v>2031</v>
      </c>
      <c r="AL135">
        <v>18099947576</v>
      </c>
      <c r="AM135" t="s">
        <v>4733</v>
      </c>
      <c r="AN135" t="s">
        <v>2032</v>
      </c>
      <c r="AO135" t="s">
        <v>2033</v>
      </c>
      <c r="AP135" t="s">
        <v>2034</v>
      </c>
      <c r="AS135" t="s">
        <v>2035</v>
      </c>
      <c r="AT135" t="s">
        <v>2036</v>
      </c>
      <c r="AU135" t="s">
        <v>2037</v>
      </c>
      <c r="AV135" t="s">
        <v>2038</v>
      </c>
      <c r="AW135">
        <v>2</v>
      </c>
      <c r="AX135" t="s">
        <v>5002</v>
      </c>
      <c r="AY135" t="s">
        <v>2039</v>
      </c>
      <c r="AZ135" t="s">
        <v>2039</v>
      </c>
      <c r="BA135" t="s">
        <v>161</v>
      </c>
      <c r="BB135" t="s">
        <v>349</v>
      </c>
      <c r="BC135" t="s">
        <v>4502</v>
      </c>
      <c r="BD135" t="s">
        <v>2040</v>
      </c>
      <c r="BE135">
        <v>2005</v>
      </c>
      <c r="BF135" t="s">
        <v>475</v>
      </c>
      <c r="BG135" t="s">
        <v>4502</v>
      </c>
      <c r="BH135" t="s">
        <v>2040</v>
      </c>
      <c r="BI135">
        <v>2005</v>
      </c>
      <c r="BL135" t="s">
        <v>351</v>
      </c>
      <c r="BM135">
        <v>32</v>
      </c>
      <c r="BN135">
        <v>40</v>
      </c>
      <c r="CD135" t="e">
        <v>#N/A</v>
      </c>
    </row>
    <row r="136" spans="1:82" x14ac:dyDescent="0.3">
      <c r="A136">
        <v>138</v>
      </c>
      <c r="B136" t="e">
        <v>#NUM!</v>
      </c>
      <c r="C136" t="s">
        <v>2041</v>
      </c>
      <c r="D136">
        <v>641810198</v>
      </c>
      <c r="E136">
        <v>1710004810951</v>
      </c>
      <c r="G136" t="s">
        <v>25</v>
      </c>
      <c r="H136" t="s">
        <v>25</v>
      </c>
      <c r="I136" s="305">
        <v>43395</v>
      </c>
      <c r="J136">
        <v>6</v>
      </c>
      <c r="K136">
        <v>2</v>
      </c>
      <c r="L136" t="s">
        <v>14</v>
      </c>
      <c r="M136" t="s">
        <v>187</v>
      </c>
      <c r="O136" s="305">
        <v>45586</v>
      </c>
      <c r="Q136" t="s">
        <v>206</v>
      </c>
      <c r="R136" t="s">
        <v>6863</v>
      </c>
      <c r="S136" t="s">
        <v>312</v>
      </c>
      <c r="T136" t="s">
        <v>25</v>
      </c>
      <c r="U136" t="s">
        <v>443</v>
      </c>
      <c r="V136" t="s">
        <v>748</v>
      </c>
      <c r="W136" t="s">
        <v>122</v>
      </c>
      <c r="X136" t="s">
        <v>313</v>
      </c>
      <c r="Z136" t="s">
        <v>337</v>
      </c>
      <c r="AA136" t="s">
        <v>132</v>
      </c>
      <c r="AB136" t="s">
        <v>25</v>
      </c>
      <c r="AC136" s="305">
        <v>35982</v>
      </c>
      <c r="AD136">
        <v>26</v>
      </c>
      <c r="AE136" t="s">
        <v>2042</v>
      </c>
      <c r="AF136" t="s">
        <v>2043</v>
      </c>
      <c r="AG136" t="s">
        <v>2044</v>
      </c>
      <c r="AJ136" t="s">
        <v>2045</v>
      </c>
      <c r="AK136" t="s">
        <v>2046</v>
      </c>
      <c r="AL136">
        <v>18099947634</v>
      </c>
      <c r="AM136" t="s">
        <v>4716</v>
      </c>
      <c r="AS136" t="s">
        <v>2047</v>
      </c>
      <c r="AT136" t="s">
        <v>2048</v>
      </c>
      <c r="AU136" t="s">
        <v>306</v>
      </c>
      <c r="AV136" t="s">
        <v>306</v>
      </c>
      <c r="AW136">
        <v>0</v>
      </c>
      <c r="AX136" t="s">
        <v>5078</v>
      </c>
      <c r="AY136" t="s">
        <v>2049</v>
      </c>
      <c r="AZ136" t="s">
        <v>2049</v>
      </c>
      <c r="BA136" t="s">
        <v>161</v>
      </c>
      <c r="BB136" t="s">
        <v>349</v>
      </c>
      <c r="BC136" t="s">
        <v>4502</v>
      </c>
      <c r="BD136" t="s">
        <v>2050</v>
      </c>
      <c r="BE136">
        <v>2016</v>
      </c>
      <c r="BF136" t="s">
        <v>475</v>
      </c>
      <c r="BG136" t="s">
        <v>4502</v>
      </c>
      <c r="BH136" t="s">
        <v>2050</v>
      </c>
      <c r="BI136">
        <v>2016</v>
      </c>
      <c r="BL136" t="s">
        <v>351</v>
      </c>
      <c r="BM136">
        <v>32</v>
      </c>
      <c r="BN136">
        <v>42</v>
      </c>
      <c r="CD136" t="e">
        <v>#N/A</v>
      </c>
    </row>
    <row r="137" spans="1:82" x14ac:dyDescent="0.3">
      <c r="A137">
        <v>139</v>
      </c>
      <c r="B137" t="e">
        <v>#NUM!</v>
      </c>
      <c r="C137" t="s">
        <v>2051</v>
      </c>
      <c r="D137">
        <v>641810195</v>
      </c>
      <c r="E137">
        <v>1710004811033</v>
      </c>
      <c r="G137" t="s">
        <v>25</v>
      </c>
      <c r="H137" t="s">
        <v>25</v>
      </c>
      <c r="I137" s="305">
        <v>43395</v>
      </c>
      <c r="J137">
        <v>6</v>
      </c>
      <c r="K137">
        <v>2</v>
      </c>
      <c r="L137" t="s">
        <v>14</v>
      </c>
      <c r="M137" t="s">
        <v>187</v>
      </c>
      <c r="O137" s="305">
        <v>45586</v>
      </c>
      <c r="Q137" t="s">
        <v>206</v>
      </c>
      <c r="R137" t="s">
        <v>6863</v>
      </c>
      <c r="S137" t="s">
        <v>312</v>
      </c>
      <c r="T137" t="s">
        <v>25</v>
      </c>
      <c r="U137" t="s">
        <v>443</v>
      </c>
      <c r="V137" t="s">
        <v>748</v>
      </c>
      <c r="W137" t="s">
        <v>122</v>
      </c>
      <c r="X137" t="s">
        <v>313</v>
      </c>
      <c r="Z137" t="s">
        <v>337</v>
      </c>
      <c r="AA137" t="s">
        <v>132</v>
      </c>
      <c r="AB137" t="s">
        <v>25</v>
      </c>
      <c r="AC137" s="305">
        <v>36586</v>
      </c>
      <c r="AD137">
        <v>24</v>
      </c>
      <c r="AE137" t="s">
        <v>2052</v>
      </c>
      <c r="AF137" t="s">
        <v>2053</v>
      </c>
      <c r="AG137" t="s">
        <v>2054</v>
      </c>
      <c r="AJ137" t="s">
        <v>2055</v>
      </c>
      <c r="AK137" t="s">
        <v>2056</v>
      </c>
      <c r="AL137">
        <v>18099947600</v>
      </c>
      <c r="AM137" t="s">
        <v>4716</v>
      </c>
      <c r="AS137" t="s">
        <v>2057</v>
      </c>
      <c r="AT137" t="s">
        <v>2058</v>
      </c>
      <c r="AU137" t="s">
        <v>306</v>
      </c>
      <c r="AV137" t="s">
        <v>306</v>
      </c>
      <c r="AW137">
        <v>0</v>
      </c>
      <c r="AX137" t="s">
        <v>5078</v>
      </c>
      <c r="AY137" t="s">
        <v>2059</v>
      </c>
      <c r="AZ137" t="s">
        <v>2059</v>
      </c>
      <c r="BA137" t="s">
        <v>161</v>
      </c>
      <c r="BB137" t="s">
        <v>349</v>
      </c>
      <c r="BC137" t="s">
        <v>4502</v>
      </c>
      <c r="BD137" t="s">
        <v>1855</v>
      </c>
      <c r="BE137">
        <v>2018</v>
      </c>
      <c r="BF137" t="s">
        <v>475</v>
      </c>
      <c r="BG137" t="s">
        <v>4502</v>
      </c>
      <c r="BH137" t="s">
        <v>1855</v>
      </c>
      <c r="BI137">
        <v>2018</v>
      </c>
      <c r="BL137" t="s">
        <v>351</v>
      </c>
      <c r="BM137">
        <v>31</v>
      </c>
      <c r="BN137">
        <v>41</v>
      </c>
      <c r="CD137" t="e">
        <v>#N/A</v>
      </c>
    </row>
    <row r="138" spans="1:82" x14ac:dyDescent="0.3">
      <c r="A138">
        <v>140</v>
      </c>
      <c r="B138" t="e">
        <v>#NUM!</v>
      </c>
      <c r="C138" t="s">
        <v>2060</v>
      </c>
      <c r="D138">
        <v>641810185</v>
      </c>
      <c r="E138">
        <v>1710004811710</v>
      </c>
      <c r="G138" t="s">
        <v>24</v>
      </c>
      <c r="H138" t="s">
        <v>24</v>
      </c>
      <c r="I138" s="305">
        <v>43395</v>
      </c>
      <c r="J138">
        <v>6</v>
      </c>
      <c r="K138">
        <v>2</v>
      </c>
      <c r="L138" t="s">
        <v>14</v>
      </c>
      <c r="M138" t="s">
        <v>187</v>
      </c>
      <c r="O138" s="305">
        <v>45657</v>
      </c>
      <c r="Q138" t="s">
        <v>206</v>
      </c>
      <c r="R138" t="s">
        <v>6863</v>
      </c>
      <c r="S138" t="s">
        <v>312</v>
      </c>
      <c r="T138" t="s">
        <v>24</v>
      </c>
      <c r="U138" t="s">
        <v>443</v>
      </c>
      <c r="V138" t="s">
        <v>1512</v>
      </c>
      <c r="W138" t="s">
        <v>121</v>
      </c>
      <c r="X138" t="s">
        <v>313</v>
      </c>
      <c r="Y138" t="s">
        <v>462</v>
      </c>
      <c r="Z138" t="s">
        <v>337</v>
      </c>
      <c r="AA138" t="s">
        <v>132</v>
      </c>
      <c r="AB138" t="s">
        <v>24</v>
      </c>
      <c r="AC138" s="305">
        <v>33638</v>
      </c>
      <c r="AD138">
        <v>32</v>
      </c>
      <c r="AE138" t="s">
        <v>2061</v>
      </c>
      <c r="AF138" t="s">
        <v>2062</v>
      </c>
      <c r="AG138" t="s">
        <v>2063</v>
      </c>
      <c r="AJ138" t="s">
        <v>2064</v>
      </c>
      <c r="AK138" t="s">
        <v>2065</v>
      </c>
      <c r="AL138">
        <v>18099947535</v>
      </c>
      <c r="AM138" t="s">
        <v>4733</v>
      </c>
      <c r="AN138" t="s">
        <v>2066</v>
      </c>
      <c r="AO138" t="s">
        <v>2067</v>
      </c>
      <c r="AP138" t="s">
        <v>2068</v>
      </c>
      <c r="AS138" t="s">
        <v>2069</v>
      </c>
      <c r="AT138" t="s">
        <v>2070</v>
      </c>
      <c r="AU138" t="s">
        <v>2071</v>
      </c>
      <c r="AV138" t="s">
        <v>2072</v>
      </c>
      <c r="AW138">
        <v>2</v>
      </c>
      <c r="AX138" t="s">
        <v>5002</v>
      </c>
      <c r="AY138" t="s">
        <v>2073</v>
      </c>
      <c r="AZ138" t="s">
        <v>2073</v>
      </c>
      <c r="BA138" t="s">
        <v>161</v>
      </c>
      <c r="BB138" t="s">
        <v>349</v>
      </c>
      <c r="BC138" t="s">
        <v>4502</v>
      </c>
      <c r="BD138" t="s">
        <v>2074</v>
      </c>
      <c r="BE138">
        <v>2011</v>
      </c>
      <c r="BF138" t="s">
        <v>475</v>
      </c>
      <c r="BG138" t="s">
        <v>4502</v>
      </c>
      <c r="BH138" t="s">
        <v>2074</v>
      </c>
      <c r="BI138">
        <v>2011</v>
      </c>
      <c r="BL138" t="s">
        <v>351</v>
      </c>
      <c r="BM138">
        <v>31</v>
      </c>
      <c r="BN138">
        <v>42</v>
      </c>
      <c r="CD138" t="e">
        <v>#N/A</v>
      </c>
    </row>
    <row r="139" spans="1:82" x14ac:dyDescent="0.3">
      <c r="A139">
        <v>141</v>
      </c>
      <c r="B139" t="e">
        <v>#NUM!</v>
      </c>
      <c r="C139" t="s">
        <v>2075</v>
      </c>
      <c r="D139">
        <v>641810202</v>
      </c>
      <c r="E139">
        <v>1710004810803</v>
      </c>
      <c r="G139" t="s">
        <v>25</v>
      </c>
      <c r="H139" t="s">
        <v>25</v>
      </c>
      <c r="I139" s="305">
        <v>43395</v>
      </c>
      <c r="J139">
        <v>6</v>
      </c>
      <c r="K139">
        <v>2</v>
      </c>
      <c r="L139" t="s">
        <v>14</v>
      </c>
      <c r="M139" t="s">
        <v>187</v>
      </c>
      <c r="O139" s="305">
        <v>45586</v>
      </c>
      <c r="Q139" t="s">
        <v>206</v>
      </c>
      <c r="R139" t="s">
        <v>6863</v>
      </c>
      <c r="S139" t="s">
        <v>312</v>
      </c>
      <c r="T139" t="s">
        <v>25</v>
      </c>
      <c r="U139" t="s">
        <v>443</v>
      </c>
      <c r="V139" t="s">
        <v>748</v>
      </c>
      <c r="W139" t="s">
        <v>122</v>
      </c>
      <c r="X139" t="s">
        <v>313</v>
      </c>
      <c r="Z139" t="s">
        <v>337</v>
      </c>
      <c r="AA139" t="s">
        <v>132</v>
      </c>
      <c r="AB139" t="s">
        <v>25</v>
      </c>
      <c r="AC139" s="305">
        <v>35190</v>
      </c>
      <c r="AD139">
        <v>28</v>
      </c>
      <c r="AE139" t="s">
        <v>2076</v>
      </c>
      <c r="AF139" t="s">
        <v>2077</v>
      </c>
      <c r="AG139" t="s">
        <v>2078</v>
      </c>
      <c r="AJ139" t="s">
        <v>2079</v>
      </c>
      <c r="AK139" t="s">
        <v>2080</v>
      </c>
      <c r="AL139">
        <v>18099947584</v>
      </c>
      <c r="AM139" t="s">
        <v>4733</v>
      </c>
      <c r="AN139" t="s">
        <v>2081</v>
      </c>
      <c r="AO139" t="s">
        <v>2082</v>
      </c>
      <c r="AS139" t="s">
        <v>2083</v>
      </c>
      <c r="AT139" t="s">
        <v>2084</v>
      </c>
      <c r="AU139" t="s">
        <v>2085</v>
      </c>
      <c r="AV139" t="s">
        <v>2086</v>
      </c>
      <c r="AW139">
        <v>1</v>
      </c>
      <c r="AX139" t="s">
        <v>5637</v>
      </c>
      <c r="AY139" t="s">
        <v>2087</v>
      </c>
      <c r="AZ139">
        <v>758019160306000</v>
      </c>
      <c r="BA139" t="s">
        <v>161</v>
      </c>
      <c r="BB139" t="s">
        <v>349</v>
      </c>
      <c r="BC139" t="s">
        <v>4502</v>
      </c>
      <c r="BD139" t="s">
        <v>2088</v>
      </c>
      <c r="BE139">
        <v>2014</v>
      </c>
      <c r="BF139" t="s">
        <v>475</v>
      </c>
      <c r="BG139" t="s">
        <v>4502</v>
      </c>
      <c r="BH139" t="s">
        <v>2088</v>
      </c>
      <c r="BI139">
        <v>2014</v>
      </c>
      <c r="BL139" t="s">
        <v>360</v>
      </c>
      <c r="BM139">
        <v>30</v>
      </c>
      <c r="BN139">
        <v>40</v>
      </c>
      <c r="CD139" t="e">
        <v>#N/A</v>
      </c>
    </row>
    <row r="140" spans="1:82" x14ac:dyDescent="0.3">
      <c r="A140">
        <v>142</v>
      </c>
      <c r="B140" t="e">
        <v>#NUM!</v>
      </c>
      <c r="C140" t="s">
        <v>2089</v>
      </c>
      <c r="D140">
        <v>641810197</v>
      </c>
      <c r="E140">
        <v>1710004810977</v>
      </c>
      <c r="G140" t="s">
        <v>25</v>
      </c>
      <c r="H140" t="s">
        <v>25</v>
      </c>
      <c r="I140" s="305">
        <v>43395</v>
      </c>
      <c r="J140">
        <v>6</v>
      </c>
      <c r="K140">
        <v>2</v>
      </c>
      <c r="L140" t="s">
        <v>14</v>
      </c>
      <c r="M140" t="s">
        <v>187</v>
      </c>
      <c r="O140" s="305">
        <v>45586</v>
      </c>
      <c r="Q140" t="s">
        <v>206</v>
      </c>
      <c r="R140" t="s">
        <v>6863</v>
      </c>
      <c r="S140" t="s">
        <v>312</v>
      </c>
      <c r="T140" t="s">
        <v>25</v>
      </c>
      <c r="U140" t="s">
        <v>443</v>
      </c>
      <c r="V140" t="s">
        <v>748</v>
      </c>
      <c r="W140" t="s">
        <v>122</v>
      </c>
      <c r="X140" t="s">
        <v>313</v>
      </c>
      <c r="Z140" t="s">
        <v>337</v>
      </c>
      <c r="AA140" t="s">
        <v>132</v>
      </c>
      <c r="AB140" t="s">
        <v>1533</v>
      </c>
      <c r="AC140" s="305">
        <v>36792</v>
      </c>
      <c r="AD140">
        <v>24</v>
      </c>
      <c r="AE140" t="s">
        <v>2090</v>
      </c>
      <c r="AF140" t="s">
        <v>2091</v>
      </c>
      <c r="AG140" t="s">
        <v>2092</v>
      </c>
      <c r="AJ140" t="s">
        <v>2093</v>
      </c>
      <c r="AK140" t="s">
        <v>2094</v>
      </c>
      <c r="AL140">
        <v>18099947568</v>
      </c>
      <c r="AM140" t="s">
        <v>4716</v>
      </c>
      <c r="AS140" t="s">
        <v>306</v>
      </c>
      <c r="AT140" t="s">
        <v>306</v>
      </c>
      <c r="AU140" t="s">
        <v>306</v>
      </c>
      <c r="AV140" t="s">
        <v>306</v>
      </c>
      <c r="AW140">
        <v>0</v>
      </c>
      <c r="AX140" t="s">
        <v>5078</v>
      </c>
      <c r="BA140" t="s">
        <v>161</v>
      </c>
      <c r="BB140" t="s">
        <v>349</v>
      </c>
      <c r="BC140" t="s">
        <v>4502</v>
      </c>
      <c r="BD140" t="s">
        <v>1862</v>
      </c>
      <c r="BE140">
        <v>2018</v>
      </c>
      <c r="BF140" t="s">
        <v>475</v>
      </c>
      <c r="BG140" t="s">
        <v>4502</v>
      </c>
      <c r="BH140" t="s">
        <v>1862</v>
      </c>
      <c r="BI140">
        <v>2018</v>
      </c>
      <c r="BL140" t="s">
        <v>360</v>
      </c>
      <c r="BM140">
        <v>29</v>
      </c>
      <c r="BN140">
        <v>42</v>
      </c>
      <c r="BO140" s="305">
        <v>44391</v>
      </c>
      <c r="BQ140" s="305">
        <v>44765</v>
      </c>
      <c r="CD140" t="e">
        <v>#N/A</v>
      </c>
    </row>
    <row r="141" spans="1:82" x14ac:dyDescent="0.3">
      <c r="A141">
        <v>143</v>
      </c>
      <c r="B141" t="e">
        <v>#NUM!</v>
      </c>
      <c r="C141" t="s">
        <v>2095</v>
      </c>
      <c r="D141">
        <v>641810201</v>
      </c>
      <c r="E141">
        <v>1710004810886</v>
      </c>
      <c r="G141" t="s">
        <v>25</v>
      </c>
      <c r="H141" t="s">
        <v>25</v>
      </c>
      <c r="I141" s="305">
        <v>43395</v>
      </c>
      <c r="J141">
        <v>6</v>
      </c>
      <c r="K141">
        <v>2</v>
      </c>
      <c r="L141" t="s">
        <v>14</v>
      </c>
      <c r="M141" t="s">
        <v>187</v>
      </c>
      <c r="O141" s="305">
        <v>45586</v>
      </c>
      <c r="Q141" t="s">
        <v>206</v>
      </c>
      <c r="R141" t="s">
        <v>6863</v>
      </c>
      <c r="S141" t="s">
        <v>312</v>
      </c>
      <c r="T141" t="s">
        <v>25</v>
      </c>
      <c r="U141" t="s">
        <v>443</v>
      </c>
      <c r="V141" t="s">
        <v>748</v>
      </c>
      <c r="W141" t="s">
        <v>122</v>
      </c>
      <c r="X141" t="s">
        <v>313</v>
      </c>
      <c r="Z141" t="s">
        <v>337</v>
      </c>
      <c r="AA141" t="s">
        <v>132</v>
      </c>
      <c r="AB141" t="s">
        <v>25</v>
      </c>
      <c r="AC141" s="305">
        <v>32948</v>
      </c>
      <c r="AD141">
        <v>34</v>
      </c>
      <c r="AE141" t="s">
        <v>2096</v>
      </c>
      <c r="AF141" t="s">
        <v>2097</v>
      </c>
      <c r="AG141" t="s">
        <v>2098</v>
      </c>
      <c r="AJ141" t="s">
        <v>2099</v>
      </c>
      <c r="AK141" t="s">
        <v>2100</v>
      </c>
      <c r="AL141">
        <v>11015247767</v>
      </c>
      <c r="AM141" t="s">
        <v>4733</v>
      </c>
      <c r="AS141" t="s">
        <v>2101</v>
      </c>
      <c r="AT141" t="s">
        <v>2102</v>
      </c>
      <c r="AU141" t="s">
        <v>2103</v>
      </c>
      <c r="AV141" t="s">
        <v>2104</v>
      </c>
      <c r="AW141">
        <v>0</v>
      </c>
      <c r="AX141" t="s">
        <v>5627</v>
      </c>
      <c r="AY141" t="s">
        <v>2105</v>
      </c>
      <c r="AZ141" t="s">
        <v>2105</v>
      </c>
      <c r="BA141" t="s">
        <v>161</v>
      </c>
      <c r="BB141" t="s">
        <v>349</v>
      </c>
      <c r="BC141" t="s">
        <v>91</v>
      </c>
      <c r="BD141" t="s">
        <v>2106</v>
      </c>
      <c r="BE141">
        <v>2009</v>
      </c>
      <c r="BF141" t="s">
        <v>475</v>
      </c>
      <c r="BG141" t="s">
        <v>91</v>
      </c>
      <c r="BH141" t="s">
        <v>2106</v>
      </c>
      <c r="BI141">
        <v>2009</v>
      </c>
      <c r="BL141" t="s">
        <v>339</v>
      </c>
      <c r="BM141">
        <v>33</v>
      </c>
      <c r="BN141">
        <v>42</v>
      </c>
      <c r="CD141" t="e">
        <v>#N/A</v>
      </c>
    </row>
    <row r="142" spans="1:82" x14ac:dyDescent="0.3">
      <c r="A142">
        <v>144</v>
      </c>
      <c r="B142" t="e">
        <v>#NUM!</v>
      </c>
      <c r="C142" t="s">
        <v>2107</v>
      </c>
      <c r="D142">
        <v>641810189</v>
      </c>
      <c r="E142">
        <v>1710004810159</v>
      </c>
      <c r="G142" t="s">
        <v>24</v>
      </c>
      <c r="H142" t="s">
        <v>24</v>
      </c>
      <c r="I142" s="305">
        <v>43395</v>
      </c>
      <c r="J142">
        <v>6</v>
      </c>
      <c r="K142">
        <v>2</v>
      </c>
      <c r="L142" t="s">
        <v>14</v>
      </c>
      <c r="M142" t="s">
        <v>187</v>
      </c>
      <c r="O142" s="305">
        <v>45657</v>
      </c>
      <c r="Q142" t="s">
        <v>206</v>
      </c>
      <c r="R142" t="s">
        <v>6863</v>
      </c>
      <c r="S142" t="s">
        <v>312</v>
      </c>
      <c r="T142" t="s">
        <v>24</v>
      </c>
      <c r="U142" t="s">
        <v>443</v>
      </c>
      <c r="V142" t="s">
        <v>444</v>
      </c>
      <c r="W142" t="s">
        <v>121</v>
      </c>
      <c r="X142" t="s">
        <v>313</v>
      </c>
      <c r="Y142" t="s">
        <v>462</v>
      </c>
      <c r="Z142" t="s">
        <v>337</v>
      </c>
      <c r="AA142" t="s">
        <v>132</v>
      </c>
      <c r="AB142" t="s">
        <v>1533</v>
      </c>
      <c r="AC142" s="305">
        <v>34006</v>
      </c>
      <c r="AD142">
        <v>31</v>
      </c>
      <c r="AE142" t="s">
        <v>2108</v>
      </c>
      <c r="AF142" t="s">
        <v>2109</v>
      </c>
      <c r="AG142" t="s">
        <v>2110</v>
      </c>
      <c r="AJ142" t="s">
        <v>2111</v>
      </c>
      <c r="AK142" t="s">
        <v>2112</v>
      </c>
      <c r="AL142">
        <v>18099947485</v>
      </c>
      <c r="AM142" t="s">
        <v>4733</v>
      </c>
      <c r="AN142" t="s">
        <v>2113</v>
      </c>
      <c r="AO142" t="s">
        <v>2114</v>
      </c>
      <c r="AS142" t="s">
        <v>2115</v>
      </c>
      <c r="AT142" t="s">
        <v>306</v>
      </c>
      <c r="AU142" t="s">
        <v>306</v>
      </c>
      <c r="AV142" t="s">
        <v>306</v>
      </c>
      <c r="AW142">
        <v>1</v>
      </c>
      <c r="AX142" t="s">
        <v>5637</v>
      </c>
      <c r="BA142" t="s">
        <v>161</v>
      </c>
      <c r="BB142" t="s">
        <v>75</v>
      </c>
      <c r="BC142" t="s">
        <v>91</v>
      </c>
      <c r="BD142" t="s">
        <v>1553</v>
      </c>
      <c r="BE142">
        <v>2016</v>
      </c>
      <c r="BF142" t="s">
        <v>75</v>
      </c>
      <c r="BG142" t="s">
        <v>91</v>
      </c>
      <c r="BH142" t="s">
        <v>1553</v>
      </c>
      <c r="BI142">
        <v>2016</v>
      </c>
      <c r="BL142" t="s">
        <v>360</v>
      </c>
      <c r="BM142">
        <v>28</v>
      </c>
      <c r="BN142">
        <v>40</v>
      </c>
      <c r="CD142" t="e">
        <v>#N/A</v>
      </c>
    </row>
    <row r="143" spans="1:82" x14ac:dyDescent="0.3">
      <c r="A143">
        <v>145</v>
      </c>
      <c r="B143" t="e">
        <v>#NUM!</v>
      </c>
      <c r="C143" t="s">
        <v>2116</v>
      </c>
      <c r="D143">
        <v>641810205</v>
      </c>
      <c r="E143">
        <v>1710004811074</v>
      </c>
      <c r="G143" t="s">
        <v>26</v>
      </c>
      <c r="H143" t="s">
        <v>26</v>
      </c>
      <c r="I143" s="305">
        <v>43395</v>
      </c>
      <c r="J143">
        <v>6</v>
      </c>
      <c r="K143">
        <v>2</v>
      </c>
      <c r="L143" t="s">
        <v>14</v>
      </c>
      <c r="M143" t="s">
        <v>187</v>
      </c>
      <c r="O143" s="305">
        <v>45586</v>
      </c>
      <c r="Q143" t="s">
        <v>206</v>
      </c>
      <c r="R143" t="s">
        <v>6863</v>
      </c>
      <c r="S143" t="s">
        <v>312</v>
      </c>
      <c r="T143" t="s">
        <v>20</v>
      </c>
      <c r="U143" t="s">
        <v>204</v>
      </c>
      <c r="V143" t="s">
        <v>1278</v>
      </c>
      <c r="W143" t="s">
        <v>122</v>
      </c>
      <c r="X143" t="s">
        <v>313</v>
      </c>
      <c r="Z143" t="s">
        <v>337</v>
      </c>
      <c r="AA143" t="s">
        <v>132</v>
      </c>
      <c r="AB143" t="s">
        <v>2117</v>
      </c>
      <c r="AC143" s="305">
        <v>35891</v>
      </c>
      <c r="AD143">
        <v>26</v>
      </c>
      <c r="AE143" t="s">
        <v>2118</v>
      </c>
      <c r="AF143" t="s">
        <v>2119</v>
      </c>
      <c r="AG143" t="s">
        <v>2120</v>
      </c>
      <c r="AJ143" t="s">
        <v>2121</v>
      </c>
      <c r="AK143" t="s">
        <v>2122</v>
      </c>
      <c r="AL143">
        <v>18099947501</v>
      </c>
      <c r="AM143" t="s">
        <v>4716</v>
      </c>
      <c r="AS143" t="s">
        <v>306</v>
      </c>
      <c r="AT143" t="s">
        <v>306</v>
      </c>
      <c r="AU143" t="s">
        <v>306</v>
      </c>
      <c r="AV143" t="s">
        <v>306</v>
      </c>
      <c r="AW143">
        <v>0</v>
      </c>
      <c r="AX143" t="s">
        <v>5078</v>
      </c>
      <c r="BA143" t="s">
        <v>161</v>
      </c>
      <c r="BB143" t="s">
        <v>349</v>
      </c>
      <c r="BC143" t="s">
        <v>91</v>
      </c>
      <c r="BD143" t="s">
        <v>2123</v>
      </c>
      <c r="BE143">
        <v>2016</v>
      </c>
      <c r="BF143" t="s">
        <v>475</v>
      </c>
      <c r="BG143" t="s">
        <v>91</v>
      </c>
      <c r="BH143" t="s">
        <v>2123</v>
      </c>
      <c r="BI143">
        <v>2016</v>
      </c>
      <c r="BL143" t="s">
        <v>360</v>
      </c>
      <c r="BM143">
        <v>29</v>
      </c>
      <c r="BN143">
        <v>40</v>
      </c>
      <c r="BO143" s="305">
        <v>44365</v>
      </c>
      <c r="BP143" s="305">
        <v>44797</v>
      </c>
      <c r="CD143" t="e">
        <v>#N/A</v>
      </c>
    </row>
    <row r="144" spans="1:82" x14ac:dyDescent="0.3">
      <c r="A144">
        <v>146</v>
      </c>
      <c r="B144" t="e">
        <v>#NUM!</v>
      </c>
      <c r="C144" t="s">
        <v>2124</v>
      </c>
      <c r="D144">
        <v>641810188</v>
      </c>
      <c r="E144">
        <v>1710004810654</v>
      </c>
      <c r="G144" t="s">
        <v>24</v>
      </c>
      <c r="H144" t="s">
        <v>24</v>
      </c>
      <c r="I144" s="305">
        <v>43395</v>
      </c>
      <c r="J144">
        <v>6</v>
      </c>
      <c r="K144">
        <v>2</v>
      </c>
      <c r="L144" t="s">
        <v>14</v>
      </c>
      <c r="M144" t="s">
        <v>187</v>
      </c>
      <c r="O144" s="305">
        <v>45657</v>
      </c>
      <c r="Q144" t="s">
        <v>206</v>
      </c>
      <c r="R144" t="s">
        <v>6863</v>
      </c>
      <c r="S144" t="s">
        <v>312</v>
      </c>
      <c r="T144" t="s">
        <v>24</v>
      </c>
      <c r="U144" t="s">
        <v>204</v>
      </c>
      <c r="V144" t="s">
        <v>629</v>
      </c>
      <c r="W144" t="s">
        <v>121</v>
      </c>
      <c r="X144" t="s">
        <v>313</v>
      </c>
      <c r="Z144" t="s">
        <v>337</v>
      </c>
      <c r="AA144" t="s">
        <v>132</v>
      </c>
      <c r="AB144" t="s">
        <v>2125</v>
      </c>
      <c r="AC144" s="305">
        <v>32956</v>
      </c>
      <c r="AD144">
        <v>34</v>
      </c>
      <c r="AE144" t="s">
        <v>2126</v>
      </c>
      <c r="AF144" t="s">
        <v>2127</v>
      </c>
      <c r="AG144" t="s">
        <v>2128</v>
      </c>
      <c r="AJ144" t="s">
        <v>2129</v>
      </c>
      <c r="AK144" t="s">
        <v>2130</v>
      </c>
      <c r="AL144">
        <v>10014453145</v>
      </c>
      <c r="AM144" t="s">
        <v>4733</v>
      </c>
      <c r="AN144" t="s">
        <v>2131</v>
      </c>
      <c r="AS144" t="s">
        <v>2132</v>
      </c>
      <c r="AT144" t="s">
        <v>2133</v>
      </c>
      <c r="AU144" t="s">
        <v>2134</v>
      </c>
      <c r="AV144" t="s">
        <v>2135</v>
      </c>
      <c r="AW144">
        <v>0</v>
      </c>
      <c r="AX144" t="s">
        <v>5627</v>
      </c>
      <c r="AY144" t="s">
        <v>2136</v>
      </c>
      <c r="AZ144" t="s">
        <v>2136</v>
      </c>
      <c r="BA144" t="s">
        <v>161</v>
      </c>
      <c r="BB144" t="s">
        <v>75</v>
      </c>
      <c r="BC144" t="s">
        <v>91</v>
      </c>
      <c r="BD144" t="s">
        <v>1553</v>
      </c>
      <c r="BE144">
        <v>2016</v>
      </c>
      <c r="BF144" t="s">
        <v>75</v>
      </c>
      <c r="BG144" t="s">
        <v>91</v>
      </c>
      <c r="BH144" t="s">
        <v>1553</v>
      </c>
      <c r="BI144">
        <v>2016</v>
      </c>
      <c r="BL144" t="s">
        <v>351</v>
      </c>
      <c r="BM144">
        <v>30</v>
      </c>
      <c r="BN144">
        <v>40</v>
      </c>
      <c r="CD144" t="e">
        <v>#N/A</v>
      </c>
    </row>
    <row r="145" spans="1:82" x14ac:dyDescent="0.3">
      <c r="A145">
        <v>147</v>
      </c>
      <c r="B145" t="e">
        <v>#NUM!</v>
      </c>
      <c r="C145" t="s">
        <v>2137</v>
      </c>
      <c r="D145">
        <v>641810190</v>
      </c>
      <c r="E145">
        <v>1710004810696</v>
      </c>
      <c r="G145" t="s">
        <v>24</v>
      </c>
      <c r="H145" t="s">
        <v>24</v>
      </c>
      <c r="I145" s="305">
        <v>43395</v>
      </c>
      <c r="J145">
        <v>6</v>
      </c>
      <c r="K145">
        <v>2</v>
      </c>
      <c r="L145" t="s">
        <v>14</v>
      </c>
      <c r="M145" t="s">
        <v>187</v>
      </c>
      <c r="O145" s="305">
        <v>45657</v>
      </c>
      <c r="Q145" t="s">
        <v>206</v>
      </c>
      <c r="R145" t="s">
        <v>6863</v>
      </c>
      <c r="S145" t="s">
        <v>312</v>
      </c>
      <c r="T145" t="s">
        <v>24</v>
      </c>
      <c r="U145" t="s">
        <v>204</v>
      </c>
      <c r="V145" t="s">
        <v>706</v>
      </c>
      <c r="W145" t="s">
        <v>121</v>
      </c>
      <c r="X145" t="s">
        <v>313</v>
      </c>
      <c r="Y145" t="s">
        <v>445</v>
      </c>
      <c r="Z145" t="s">
        <v>337</v>
      </c>
      <c r="AA145" t="s">
        <v>132</v>
      </c>
      <c r="AB145" t="s">
        <v>24</v>
      </c>
      <c r="AC145" s="305">
        <v>33188</v>
      </c>
      <c r="AD145">
        <v>34</v>
      </c>
      <c r="AE145" t="s">
        <v>2138</v>
      </c>
      <c r="AF145" t="s">
        <v>2139</v>
      </c>
      <c r="AG145" t="s">
        <v>2140</v>
      </c>
      <c r="AJ145" t="s">
        <v>2141</v>
      </c>
      <c r="AK145" t="s">
        <v>2142</v>
      </c>
      <c r="AL145">
        <v>18065352199</v>
      </c>
      <c r="AM145" t="s">
        <v>4733</v>
      </c>
      <c r="AN145" t="s">
        <v>2143</v>
      </c>
      <c r="AO145" t="s">
        <v>2144</v>
      </c>
      <c r="AS145" t="s">
        <v>2145</v>
      </c>
      <c r="AT145" t="s">
        <v>2146</v>
      </c>
      <c r="AU145" t="s">
        <v>2147</v>
      </c>
      <c r="AV145" t="s">
        <v>2148</v>
      </c>
      <c r="AW145">
        <v>1</v>
      </c>
      <c r="AX145" t="s">
        <v>5637</v>
      </c>
      <c r="AY145" t="s">
        <v>2149</v>
      </c>
      <c r="AZ145" t="s">
        <v>2149</v>
      </c>
      <c r="BA145" t="s">
        <v>161</v>
      </c>
      <c r="BB145" t="s">
        <v>75</v>
      </c>
      <c r="BC145" t="s">
        <v>91</v>
      </c>
      <c r="BD145" t="s">
        <v>1553</v>
      </c>
      <c r="BE145">
        <v>2016</v>
      </c>
      <c r="BF145" t="s">
        <v>75</v>
      </c>
      <c r="BG145" t="s">
        <v>91</v>
      </c>
      <c r="BH145" t="s">
        <v>1553</v>
      </c>
      <c r="BI145">
        <v>2016</v>
      </c>
      <c r="BL145" t="s">
        <v>369</v>
      </c>
      <c r="BM145">
        <v>42</v>
      </c>
      <c r="BN145">
        <v>43</v>
      </c>
      <c r="CD145" t="s">
        <v>7131</v>
      </c>
    </row>
    <row r="146" spans="1:82" x14ac:dyDescent="0.3">
      <c r="A146">
        <v>148</v>
      </c>
      <c r="B146" t="e">
        <v>#NUM!</v>
      </c>
      <c r="C146" t="s">
        <v>2150</v>
      </c>
      <c r="D146">
        <v>641810203</v>
      </c>
      <c r="E146">
        <v>1710004810845</v>
      </c>
      <c r="G146" t="s">
        <v>25</v>
      </c>
      <c r="H146" t="s">
        <v>25</v>
      </c>
      <c r="I146" s="305">
        <v>43395</v>
      </c>
      <c r="J146">
        <v>6</v>
      </c>
      <c r="K146">
        <v>2</v>
      </c>
      <c r="L146" t="s">
        <v>14</v>
      </c>
      <c r="M146" t="s">
        <v>187</v>
      </c>
      <c r="O146" s="305">
        <v>45586</v>
      </c>
      <c r="Q146" t="s">
        <v>206</v>
      </c>
      <c r="R146" t="s">
        <v>6863</v>
      </c>
      <c r="S146" t="s">
        <v>312</v>
      </c>
      <c r="T146" t="s">
        <v>25</v>
      </c>
      <c r="U146" t="s">
        <v>443</v>
      </c>
      <c r="V146" t="s">
        <v>748</v>
      </c>
      <c r="W146" t="s">
        <v>122</v>
      </c>
      <c r="X146" t="s">
        <v>313</v>
      </c>
      <c r="Z146" t="s">
        <v>337</v>
      </c>
      <c r="AA146" t="s">
        <v>132</v>
      </c>
      <c r="AB146" t="s">
        <v>2151</v>
      </c>
      <c r="AC146" s="305">
        <v>35839</v>
      </c>
      <c r="AD146">
        <v>26</v>
      </c>
      <c r="AE146" t="s">
        <v>2152</v>
      </c>
      <c r="AF146" t="s">
        <v>2153</v>
      </c>
      <c r="AG146" t="s">
        <v>2154</v>
      </c>
      <c r="AH146" t="s">
        <v>765</v>
      </c>
      <c r="AJ146" t="s">
        <v>2155</v>
      </c>
      <c r="AK146" t="s">
        <v>2156</v>
      </c>
      <c r="AL146">
        <v>18002317727</v>
      </c>
      <c r="AM146" t="s">
        <v>4716</v>
      </c>
      <c r="AS146" t="s">
        <v>2157</v>
      </c>
      <c r="AT146" t="s">
        <v>2158</v>
      </c>
      <c r="AU146" t="s">
        <v>306</v>
      </c>
      <c r="AV146" t="s">
        <v>306</v>
      </c>
      <c r="AW146">
        <v>0</v>
      </c>
      <c r="AX146" t="s">
        <v>5078</v>
      </c>
      <c r="AY146" t="s">
        <v>2159</v>
      </c>
      <c r="AZ146" t="s">
        <v>2159</v>
      </c>
      <c r="BA146" t="s">
        <v>161</v>
      </c>
      <c r="BB146" t="s">
        <v>349</v>
      </c>
      <c r="BC146" t="s">
        <v>515</v>
      </c>
      <c r="BD146" t="s">
        <v>1980</v>
      </c>
      <c r="BE146">
        <v>2015</v>
      </c>
      <c r="BF146" t="s">
        <v>475</v>
      </c>
      <c r="BG146" t="s">
        <v>515</v>
      </c>
      <c r="BH146" t="s">
        <v>1980</v>
      </c>
      <c r="BI146">
        <v>2015</v>
      </c>
      <c r="BL146" t="s">
        <v>360</v>
      </c>
      <c r="BM146">
        <v>31</v>
      </c>
      <c r="BN146">
        <v>41</v>
      </c>
      <c r="BO146" s="305">
        <v>44390</v>
      </c>
      <c r="CD146" t="e">
        <v>#N/A</v>
      </c>
    </row>
    <row r="147" spans="1:82" x14ac:dyDescent="0.3">
      <c r="A147">
        <v>149</v>
      </c>
      <c r="B147" t="e">
        <v>#NUM!</v>
      </c>
      <c r="C147" t="s">
        <v>2160</v>
      </c>
      <c r="D147">
        <v>641810186</v>
      </c>
      <c r="E147">
        <v>1710004810688</v>
      </c>
      <c r="G147" t="s">
        <v>24</v>
      </c>
      <c r="H147" t="s">
        <v>24</v>
      </c>
      <c r="I147" s="305">
        <v>43395</v>
      </c>
      <c r="J147">
        <v>6</v>
      </c>
      <c r="K147">
        <v>2</v>
      </c>
      <c r="L147" t="s">
        <v>14</v>
      </c>
      <c r="M147" t="s">
        <v>187</v>
      </c>
      <c r="O147" s="305">
        <v>45657</v>
      </c>
      <c r="Q147" t="s">
        <v>206</v>
      </c>
      <c r="R147" t="s">
        <v>6863</v>
      </c>
      <c r="S147" t="s">
        <v>312</v>
      </c>
      <c r="T147" t="s">
        <v>24</v>
      </c>
      <c r="U147" t="s">
        <v>443</v>
      </c>
      <c r="V147" t="s">
        <v>1512</v>
      </c>
      <c r="W147" t="s">
        <v>121</v>
      </c>
      <c r="X147" t="s">
        <v>313</v>
      </c>
      <c r="Y147" t="s">
        <v>462</v>
      </c>
      <c r="Z147" t="s">
        <v>337</v>
      </c>
      <c r="AA147" t="s">
        <v>132</v>
      </c>
      <c r="AB147" t="s">
        <v>24</v>
      </c>
      <c r="AC147" s="305">
        <v>36748</v>
      </c>
      <c r="AD147">
        <v>24</v>
      </c>
      <c r="AE147" t="s">
        <v>2161</v>
      </c>
      <c r="AF147" t="s">
        <v>2162</v>
      </c>
      <c r="AG147" t="s">
        <v>2163</v>
      </c>
      <c r="AH147" t="s">
        <v>2164</v>
      </c>
      <c r="AJ147" t="s">
        <v>2165</v>
      </c>
      <c r="AK147" t="s">
        <v>2166</v>
      </c>
      <c r="AL147">
        <v>18099947436</v>
      </c>
      <c r="AM147" t="s">
        <v>4733</v>
      </c>
      <c r="AN147" t="s">
        <v>2167</v>
      </c>
      <c r="AO147" t="s">
        <v>2168</v>
      </c>
      <c r="AS147" t="s">
        <v>2169</v>
      </c>
      <c r="AT147" t="s">
        <v>2170</v>
      </c>
      <c r="AU147" t="s">
        <v>2171</v>
      </c>
      <c r="AV147" t="s">
        <v>2172</v>
      </c>
      <c r="AW147">
        <v>1</v>
      </c>
      <c r="AX147" t="s">
        <v>5637</v>
      </c>
      <c r="AY147" t="s">
        <v>2173</v>
      </c>
      <c r="AZ147" t="s">
        <v>2173</v>
      </c>
      <c r="BA147" t="s">
        <v>161</v>
      </c>
      <c r="BB147" t="s">
        <v>349</v>
      </c>
      <c r="BC147" t="s">
        <v>515</v>
      </c>
      <c r="BD147" t="s">
        <v>2174</v>
      </c>
      <c r="BE147">
        <v>2016</v>
      </c>
      <c r="BF147" t="s">
        <v>475</v>
      </c>
      <c r="BG147" t="s">
        <v>515</v>
      </c>
      <c r="BH147" t="s">
        <v>2174</v>
      </c>
      <c r="BI147">
        <v>2016</v>
      </c>
      <c r="BL147" t="s">
        <v>351</v>
      </c>
      <c r="BM147">
        <v>30</v>
      </c>
      <c r="BN147">
        <v>41</v>
      </c>
      <c r="CD147" t="e">
        <v>#N/A</v>
      </c>
    </row>
    <row r="148" spans="1:82" x14ac:dyDescent="0.3">
      <c r="A148">
        <v>150</v>
      </c>
      <c r="B148" t="e">
        <v>#NUM!</v>
      </c>
      <c r="C148" t="s">
        <v>2175</v>
      </c>
      <c r="D148">
        <v>641810193</v>
      </c>
      <c r="E148">
        <v>1710004810597</v>
      </c>
      <c r="G148" t="s">
        <v>24</v>
      </c>
      <c r="H148" t="s">
        <v>24</v>
      </c>
      <c r="I148" s="305">
        <v>43395</v>
      </c>
      <c r="J148">
        <v>6</v>
      </c>
      <c r="K148">
        <v>2</v>
      </c>
      <c r="L148" t="s">
        <v>14</v>
      </c>
      <c r="M148" t="s">
        <v>187</v>
      </c>
      <c r="O148" s="305">
        <v>45657</v>
      </c>
      <c r="Q148" t="s">
        <v>206</v>
      </c>
      <c r="R148" t="s">
        <v>6863</v>
      </c>
      <c r="S148" t="s">
        <v>312</v>
      </c>
      <c r="T148" t="s">
        <v>24</v>
      </c>
      <c r="U148" t="s">
        <v>204</v>
      </c>
      <c r="V148" t="s">
        <v>629</v>
      </c>
      <c r="W148" t="s">
        <v>121</v>
      </c>
      <c r="X148" t="s">
        <v>313</v>
      </c>
      <c r="Y148" t="s">
        <v>462</v>
      </c>
      <c r="Z148" t="s">
        <v>337</v>
      </c>
      <c r="AA148" t="s">
        <v>132</v>
      </c>
      <c r="AB148" t="s">
        <v>24</v>
      </c>
      <c r="AC148" s="305">
        <v>34977</v>
      </c>
      <c r="AD148">
        <v>29</v>
      </c>
      <c r="AE148" t="s">
        <v>2176</v>
      </c>
      <c r="AF148" t="s">
        <v>2177</v>
      </c>
      <c r="AG148" t="s">
        <v>2178</v>
      </c>
      <c r="AJ148" t="s">
        <v>2179</v>
      </c>
      <c r="AK148" t="s">
        <v>2180</v>
      </c>
      <c r="AL148">
        <v>18099947451</v>
      </c>
      <c r="AM148" t="s">
        <v>4733</v>
      </c>
      <c r="AN148" t="s">
        <v>2181</v>
      </c>
      <c r="AS148" t="s">
        <v>2182</v>
      </c>
      <c r="AT148" t="s">
        <v>2183</v>
      </c>
      <c r="AU148" t="s">
        <v>2184</v>
      </c>
      <c r="AV148" t="s">
        <v>2185</v>
      </c>
      <c r="AW148">
        <v>0</v>
      </c>
      <c r="AX148" t="s">
        <v>5627</v>
      </c>
      <c r="AY148" t="s">
        <v>2186</v>
      </c>
      <c r="AZ148">
        <v>706174182044000</v>
      </c>
      <c r="BA148" t="s">
        <v>161</v>
      </c>
      <c r="BB148" t="s">
        <v>349</v>
      </c>
      <c r="BC148" t="s">
        <v>515</v>
      </c>
      <c r="BD148" t="s">
        <v>2187</v>
      </c>
      <c r="BE148">
        <v>2014</v>
      </c>
      <c r="BF148" t="s">
        <v>475</v>
      </c>
      <c r="BG148" t="s">
        <v>515</v>
      </c>
      <c r="BH148" t="s">
        <v>2187</v>
      </c>
      <c r="BI148">
        <v>2014</v>
      </c>
      <c r="BL148" t="s">
        <v>351</v>
      </c>
      <c r="BM148">
        <v>30</v>
      </c>
      <c r="BN148">
        <v>40</v>
      </c>
      <c r="BQ148" s="305">
        <v>44665</v>
      </c>
      <c r="CD148" t="e">
        <v>#N/A</v>
      </c>
    </row>
    <row r="149" spans="1:82" x14ac:dyDescent="0.3">
      <c r="A149">
        <v>151</v>
      </c>
      <c r="B149" t="e">
        <v>#NUM!</v>
      </c>
      <c r="C149" t="s">
        <v>2188</v>
      </c>
      <c r="D149">
        <v>641810192</v>
      </c>
      <c r="E149">
        <v>1710004810670</v>
      </c>
      <c r="G149" t="s">
        <v>24</v>
      </c>
      <c r="H149" t="s">
        <v>2189</v>
      </c>
      <c r="I149" s="305">
        <v>43395</v>
      </c>
      <c r="J149">
        <v>6</v>
      </c>
      <c r="K149">
        <v>2</v>
      </c>
      <c r="L149" t="s">
        <v>14</v>
      </c>
      <c r="M149" t="s">
        <v>187</v>
      </c>
      <c r="O149" s="305">
        <v>45657</v>
      </c>
      <c r="Q149" t="s">
        <v>206</v>
      </c>
      <c r="R149" t="s">
        <v>6863</v>
      </c>
      <c r="S149" t="s">
        <v>312</v>
      </c>
      <c r="T149" t="s">
        <v>24</v>
      </c>
      <c r="U149" t="s">
        <v>204</v>
      </c>
      <c r="V149" t="s">
        <v>629</v>
      </c>
      <c r="W149" t="s">
        <v>121</v>
      </c>
      <c r="X149" t="s">
        <v>313</v>
      </c>
      <c r="Z149" t="s">
        <v>337</v>
      </c>
      <c r="AA149" t="s">
        <v>132</v>
      </c>
      <c r="AB149" t="s">
        <v>2189</v>
      </c>
      <c r="AC149" s="305">
        <v>34983</v>
      </c>
      <c r="AD149">
        <v>29</v>
      </c>
      <c r="AE149" t="s">
        <v>2190</v>
      </c>
      <c r="AF149" t="s">
        <v>2191</v>
      </c>
      <c r="AG149" t="s">
        <v>2192</v>
      </c>
      <c r="AJ149" t="s">
        <v>2193</v>
      </c>
      <c r="AK149" t="s">
        <v>2194</v>
      </c>
      <c r="AL149">
        <v>16061586232</v>
      </c>
      <c r="AM149" t="s">
        <v>4716</v>
      </c>
      <c r="AS149" t="s">
        <v>306</v>
      </c>
      <c r="AT149" t="s">
        <v>306</v>
      </c>
      <c r="AU149" t="s">
        <v>306</v>
      </c>
      <c r="AV149" t="s">
        <v>306</v>
      </c>
      <c r="AW149">
        <v>0</v>
      </c>
      <c r="AX149" t="s">
        <v>5078</v>
      </c>
      <c r="BA149" t="s">
        <v>161</v>
      </c>
      <c r="BB149" t="s">
        <v>349</v>
      </c>
      <c r="BC149" t="s">
        <v>515</v>
      </c>
      <c r="BD149" t="s">
        <v>2195</v>
      </c>
      <c r="BE149">
        <v>2014</v>
      </c>
      <c r="BF149" t="s">
        <v>475</v>
      </c>
      <c r="BG149" t="s">
        <v>515</v>
      </c>
      <c r="BH149" t="s">
        <v>2195</v>
      </c>
      <c r="BI149">
        <v>2014</v>
      </c>
      <c r="BL149" t="s">
        <v>351</v>
      </c>
      <c r="BM149">
        <v>31</v>
      </c>
      <c r="BN149">
        <v>42</v>
      </c>
      <c r="BO149" s="305">
        <v>44294</v>
      </c>
      <c r="BP149" s="305">
        <v>44322</v>
      </c>
      <c r="CD149" t="e">
        <v>#N/A</v>
      </c>
    </row>
    <row r="150" spans="1:82" x14ac:dyDescent="0.3">
      <c r="A150">
        <v>152</v>
      </c>
      <c r="B150" t="e">
        <v>#NUM!</v>
      </c>
      <c r="C150" t="s">
        <v>2196</v>
      </c>
      <c r="D150">
        <v>641811208</v>
      </c>
      <c r="E150">
        <v>1710004908193</v>
      </c>
      <c r="G150" t="s">
        <v>25</v>
      </c>
      <c r="H150" t="s">
        <v>25</v>
      </c>
      <c r="I150" s="305">
        <v>43405</v>
      </c>
      <c r="J150">
        <v>6</v>
      </c>
      <c r="K150">
        <v>2</v>
      </c>
      <c r="L150" t="s">
        <v>14</v>
      </c>
      <c r="M150" t="s">
        <v>187</v>
      </c>
      <c r="O150" s="305">
        <v>45607</v>
      </c>
      <c r="Q150" t="s">
        <v>206</v>
      </c>
      <c r="R150" t="s">
        <v>6863</v>
      </c>
      <c r="S150" t="s">
        <v>312</v>
      </c>
      <c r="T150" t="s">
        <v>25</v>
      </c>
      <c r="U150" t="s">
        <v>443</v>
      </c>
      <c r="V150" t="s">
        <v>748</v>
      </c>
      <c r="W150" t="s">
        <v>122</v>
      </c>
      <c r="X150" t="s">
        <v>313</v>
      </c>
      <c r="Z150" t="s">
        <v>337</v>
      </c>
      <c r="AA150" t="s">
        <v>132</v>
      </c>
      <c r="AB150" t="s">
        <v>2197</v>
      </c>
      <c r="AC150" s="305">
        <v>32320</v>
      </c>
      <c r="AD150">
        <v>36</v>
      </c>
      <c r="AE150" t="s">
        <v>2198</v>
      </c>
      <c r="AF150" t="s">
        <v>2199</v>
      </c>
      <c r="AG150" t="s">
        <v>2200</v>
      </c>
      <c r="AJ150" t="s">
        <v>2201</v>
      </c>
      <c r="AK150" t="s">
        <v>2202</v>
      </c>
      <c r="AL150">
        <v>18099947592</v>
      </c>
      <c r="AM150" t="s">
        <v>4733</v>
      </c>
      <c r="AN150" t="s">
        <v>2203</v>
      </c>
      <c r="AO150" t="s">
        <v>2204</v>
      </c>
      <c r="AP150" t="s">
        <v>2205</v>
      </c>
      <c r="AS150" t="s">
        <v>2206</v>
      </c>
      <c r="AT150" t="s">
        <v>2207</v>
      </c>
      <c r="AU150" t="s">
        <v>2208</v>
      </c>
      <c r="AV150" t="s">
        <v>2209</v>
      </c>
      <c r="AW150">
        <v>2</v>
      </c>
      <c r="AX150" t="s">
        <v>5002</v>
      </c>
      <c r="AY150" t="s">
        <v>2210</v>
      </c>
      <c r="AZ150" t="s">
        <v>2210</v>
      </c>
      <c r="BA150" t="s">
        <v>161</v>
      </c>
      <c r="BB150" t="s">
        <v>349</v>
      </c>
      <c r="BC150" t="s">
        <v>515</v>
      </c>
      <c r="BD150" t="s">
        <v>2211</v>
      </c>
      <c r="BE150">
        <v>2007</v>
      </c>
      <c r="BF150" t="s">
        <v>475</v>
      </c>
      <c r="BG150" t="s">
        <v>515</v>
      </c>
      <c r="BH150" t="s">
        <v>2211</v>
      </c>
      <c r="BI150">
        <v>2007</v>
      </c>
      <c r="BN150">
        <v>39</v>
      </c>
      <c r="CD150" t="e">
        <v>#N/A</v>
      </c>
    </row>
    <row r="151" spans="1:82" x14ac:dyDescent="0.3">
      <c r="A151">
        <v>155</v>
      </c>
      <c r="B151" t="e">
        <v>#NUM!</v>
      </c>
      <c r="C151" t="s">
        <v>2226</v>
      </c>
      <c r="D151">
        <v>641907240</v>
      </c>
      <c r="E151">
        <v>1710005658441</v>
      </c>
      <c r="G151" t="s">
        <v>25</v>
      </c>
      <c r="H151" t="s">
        <v>25</v>
      </c>
      <c r="I151" s="305">
        <v>43647</v>
      </c>
      <c r="J151">
        <v>5</v>
      </c>
      <c r="K151">
        <v>6</v>
      </c>
      <c r="L151" t="s">
        <v>14</v>
      </c>
      <c r="M151" t="s">
        <v>187</v>
      </c>
      <c r="O151" s="305">
        <v>45657</v>
      </c>
      <c r="Q151" t="s">
        <v>206</v>
      </c>
      <c r="R151" t="s">
        <v>6863</v>
      </c>
      <c r="S151" t="s">
        <v>312</v>
      </c>
      <c r="T151" t="s">
        <v>25</v>
      </c>
      <c r="U151" t="s">
        <v>443</v>
      </c>
      <c r="V151" t="s">
        <v>748</v>
      </c>
      <c r="W151" t="s">
        <v>122</v>
      </c>
      <c r="X151" t="s">
        <v>313</v>
      </c>
      <c r="Z151" t="s">
        <v>337</v>
      </c>
      <c r="AA151" t="s">
        <v>132</v>
      </c>
      <c r="AB151" t="s">
        <v>25</v>
      </c>
      <c r="AC151" s="305">
        <v>36045</v>
      </c>
      <c r="AD151">
        <v>26</v>
      </c>
      <c r="AE151" t="s">
        <v>2227</v>
      </c>
      <c r="AF151" t="s">
        <v>2228</v>
      </c>
      <c r="AG151" t="s">
        <v>2229</v>
      </c>
      <c r="AH151" t="s">
        <v>2230</v>
      </c>
      <c r="AJ151" t="s">
        <v>2231</v>
      </c>
      <c r="AK151" t="s">
        <v>2232</v>
      </c>
      <c r="AL151">
        <v>19047643986</v>
      </c>
      <c r="AM151" t="s">
        <v>4716</v>
      </c>
      <c r="AS151" t="s">
        <v>2233</v>
      </c>
      <c r="AT151" t="s">
        <v>2234</v>
      </c>
      <c r="AU151" t="s">
        <v>306</v>
      </c>
      <c r="AV151" t="s">
        <v>306</v>
      </c>
      <c r="AW151">
        <v>0</v>
      </c>
      <c r="AX151" t="s">
        <v>5078</v>
      </c>
      <c r="AY151" t="s">
        <v>2235</v>
      </c>
      <c r="AZ151" t="s">
        <v>2235</v>
      </c>
      <c r="BA151" t="s">
        <v>161</v>
      </c>
      <c r="BB151" t="s">
        <v>349</v>
      </c>
      <c r="BC151" t="s">
        <v>2236</v>
      </c>
      <c r="BD151" t="s">
        <v>1862</v>
      </c>
      <c r="BE151">
        <v>2016</v>
      </c>
      <c r="BF151" t="s">
        <v>70</v>
      </c>
      <c r="BG151" t="s">
        <v>87</v>
      </c>
      <c r="BH151" t="s">
        <v>2237</v>
      </c>
      <c r="BI151">
        <v>2019</v>
      </c>
      <c r="BL151" t="s">
        <v>360</v>
      </c>
      <c r="BM151">
        <v>30</v>
      </c>
      <c r="BN151">
        <v>41</v>
      </c>
      <c r="CD151" t="e">
        <v>#N/A</v>
      </c>
    </row>
    <row r="152" spans="1:82" x14ac:dyDescent="0.3">
      <c r="A152">
        <v>156</v>
      </c>
      <c r="B152" t="e">
        <v>#NUM!</v>
      </c>
      <c r="C152" t="s">
        <v>2238</v>
      </c>
      <c r="D152">
        <v>641907275</v>
      </c>
      <c r="E152">
        <v>1710005658359</v>
      </c>
      <c r="G152" t="s">
        <v>24</v>
      </c>
      <c r="H152" t="s">
        <v>24</v>
      </c>
      <c r="I152" s="305">
        <v>43647</v>
      </c>
      <c r="J152">
        <v>5</v>
      </c>
      <c r="K152">
        <v>6</v>
      </c>
      <c r="L152" t="s">
        <v>14</v>
      </c>
      <c r="M152" t="s">
        <v>187</v>
      </c>
      <c r="O152" s="305">
        <v>45657</v>
      </c>
      <c r="Q152" t="s">
        <v>206</v>
      </c>
      <c r="R152" t="s">
        <v>6863</v>
      </c>
      <c r="S152" t="s">
        <v>312</v>
      </c>
      <c r="T152" t="s">
        <v>24</v>
      </c>
      <c r="U152" t="s">
        <v>204</v>
      </c>
      <c r="V152" t="s">
        <v>629</v>
      </c>
      <c r="W152" t="s">
        <v>121</v>
      </c>
      <c r="X152" t="s">
        <v>313</v>
      </c>
      <c r="Y152" t="s">
        <v>462</v>
      </c>
      <c r="Z152" t="s">
        <v>337</v>
      </c>
      <c r="AA152" t="s">
        <v>132</v>
      </c>
      <c r="AB152" t="s">
        <v>2239</v>
      </c>
      <c r="AC152" s="305">
        <v>31528</v>
      </c>
      <c r="AD152">
        <v>38</v>
      </c>
      <c r="AE152" t="s">
        <v>2240</v>
      </c>
      <c r="AF152" t="s">
        <v>2241</v>
      </c>
      <c r="AG152" t="s">
        <v>2242</v>
      </c>
      <c r="AH152" t="s">
        <v>2243</v>
      </c>
      <c r="AJ152" t="s">
        <v>2244</v>
      </c>
      <c r="AK152" t="s">
        <v>2245</v>
      </c>
      <c r="AL152">
        <v>11035459152</v>
      </c>
      <c r="AM152" t="s">
        <v>4733</v>
      </c>
      <c r="AN152" t="s">
        <v>2181</v>
      </c>
      <c r="AO152" t="s">
        <v>2246</v>
      </c>
      <c r="AP152" t="s">
        <v>2247</v>
      </c>
      <c r="AQ152" t="s">
        <v>2248</v>
      </c>
      <c r="AS152" t="s">
        <v>6750</v>
      </c>
      <c r="AT152" t="s">
        <v>2249</v>
      </c>
      <c r="AU152" t="s">
        <v>2250</v>
      </c>
      <c r="AV152" t="s">
        <v>2251</v>
      </c>
      <c r="AW152">
        <v>3</v>
      </c>
      <c r="AX152" t="s">
        <v>5145</v>
      </c>
      <c r="AY152" t="s">
        <v>2252</v>
      </c>
      <c r="AZ152" t="s">
        <v>2252</v>
      </c>
      <c r="BA152" t="s">
        <v>161</v>
      </c>
      <c r="BB152" t="s">
        <v>349</v>
      </c>
      <c r="BC152" t="s">
        <v>87</v>
      </c>
      <c r="BD152" t="s">
        <v>2253</v>
      </c>
      <c r="BE152">
        <v>2007</v>
      </c>
      <c r="BF152" t="s">
        <v>349</v>
      </c>
      <c r="BG152" t="s">
        <v>87</v>
      </c>
      <c r="BH152" t="s">
        <v>2253</v>
      </c>
      <c r="BI152">
        <v>2007</v>
      </c>
      <c r="BL152" t="s">
        <v>351</v>
      </c>
      <c r="BM152">
        <v>33</v>
      </c>
      <c r="BN152">
        <v>41</v>
      </c>
      <c r="BQ152" s="305">
        <v>44805</v>
      </c>
      <c r="CD152" t="e">
        <v>#N/A</v>
      </c>
    </row>
    <row r="153" spans="1:82" x14ac:dyDescent="0.3">
      <c r="A153">
        <v>157</v>
      </c>
      <c r="B153" t="e">
        <v>#NUM!</v>
      </c>
      <c r="C153" t="s">
        <v>2254</v>
      </c>
      <c r="D153">
        <v>641907249</v>
      </c>
      <c r="E153">
        <v>1710005658037</v>
      </c>
      <c r="G153" t="s">
        <v>30</v>
      </c>
      <c r="H153" t="s">
        <v>30</v>
      </c>
      <c r="I153" s="305">
        <v>43647</v>
      </c>
      <c r="J153">
        <v>5</v>
      </c>
      <c r="K153">
        <v>6</v>
      </c>
      <c r="L153" t="s">
        <v>14</v>
      </c>
      <c r="M153" t="s">
        <v>187</v>
      </c>
      <c r="O153" s="305">
        <v>45657</v>
      </c>
      <c r="Q153" t="s">
        <v>206</v>
      </c>
      <c r="R153" t="s">
        <v>6863</v>
      </c>
      <c r="S153" t="s">
        <v>312</v>
      </c>
      <c r="T153" t="s">
        <v>21</v>
      </c>
      <c r="U153" t="s">
        <v>547</v>
      </c>
      <c r="V153" t="s">
        <v>696</v>
      </c>
      <c r="W153" t="s">
        <v>122</v>
      </c>
      <c r="X153" t="s">
        <v>313</v>
      </c>
      <c r="Z153" t="s">
        <v>337</v>
      </c>
      <c r="AA153" t="s">
        <v>132</v>
      </c>
      <c r="AB153" t="s">
        <v>2255</v>
      </c>
      <c r="AC153" s="305">
        <v>34184</v>
      </c>
      <c r="AD153">
        <v>31</v>
      </c>
      <c r="AE153" t="s">
        <v>2256</v>
      </c>
      <c r="AF153" t="s">
        <v>2257</v>
      </c>
      <c r="AG153" t="s">
        <v>2258</v>
      </c>
      <c r="AJ153" t="s">
        <v>2259</v>
      </c>
      <c r="AK153" t="s">
        <v>2260</v>
      </c>
      <c r="AL153">
        <v>19047644000</v>
      </c>
      <c r="AM153" t="s">
        <v>4716</v>
      </c>
      <c r="AR153" t="s">
        <v>2261</v>
      </c>
      <c r="AS153" t="s">
        <v>2262</v>
      </c>
      <c r="AT153" t="s">
        <v>2263</v>
      </c>
      <c r="AU153" t="s">
        <v>306</v>
      </c>
      <c r="AV153" t="s">
        <v>306</v>
      </c>
      <c r="AW153">
        <v>1</v>
      </c>
      <c r="AX153" t="s">
        <v>7130</v>
      </c>
      <c r="BA153" t="s">
        <v>161</v>
      </c>
      <c r="BB153" t="s">
        <v>349</v>
      </c>
      <c r="BC153" t="s">
        <v>87</v>
      </c>
      <c r="BD153" t="s">
        <v>2264</v>
      </c>
      <c r="BE153">
        <v>2012</v>
      </c>
      <c r="BF153" t="s">
        <v>75</v>
      </c>
      <c r="BG153" t="s">
        <v>87</v>
      </c>
      <c r="BH153" t="s">
        <v>2265</v>
      </c>
      <c r="BI153">
        <v>2012</v>
      </c>
      <c r="BL153" t="s">
        <v>360</v>
      </c>
      <c r="BM153">
        <v>32</v>
      </c>
      <c r="BN153">
        <v>41</v>
      </c>
      <c r="BP153" s="305">
        <v>44715</v>
      </c>
      <c r="CD153" t="e">
        <v>#N/A</v>
      </c>
    </row>
    <row r="154" spans="1:82" x14ac:dyDescent="0.3">
      <c r="A154">
        <v>158</v>
      </c>
      <c r="B154" t="e">
        <v>#NUM!</v>
      </c>
      <c r="C154" t="s">
        <v>2266</v>
      </c>
      <c r="D154">
        <v>641907236</v>
      </c>
      <c r="E154">
        <v>1710005657690</v>
      </c>
      <c r="G154" t="s">
        <v>25</v>
      </c>
      <c r="H154" t="s">
        <v>25</v>
      </c>
      <c r="I154" s="305">
        <v>43647</v>
      </c>
      <c r="J154">
        <v>5</v>
      </c>
      <c r="K154">
        <v>6</v>
      </c>
      <c r="L154" t="s">
        <v>14</v>
      </c>
      <c r="M154" t="s">
        <v>187</v>
      </c>
      <c r="O154" s="305">
        <v>45657</v>
      </c>
      <c r="Q154" t="s">
        <v>206</v>
      </c>
      <c r="R154" t="s">
        <v>6863</v>
      </c>
      <c r="S154" t="s">
        <v>312</v>
      </c>
      <c r="T154" t="s">
        <v>25</v>
      </c>
      <c r="U154" t="s">
        <v>443</v>
      </c>
      <c r="V154" t="s">
        <v>748</v>
      </c>
      <c r="W154" t="s">
        <v>122</v>
      </c>
      <c r="X154" t="s">
        <v>313</v>
      </c>
      <c r="Z154" t="s">
        <v>337</v>
      </c>
      <c r="AA154" t="s">
        <v>132</v>
      </c>
      <c r="AB154" t="s">
        <v>25</v>
      </c>
      <c r="AC154" s="305">
        <v>36500</v>
      </c>
      <c r="AD154">
        <v>25</v>
      </c>
      <c r="AE154" t="s">
        <v>2267</v>
      </c>
      <c r="AF154" t="s">
        <v>2268</v>
      </c>
      <c r="AG154" t="s">
        <v>2269</v>
      </c>
      <c r="AJ154" t="s">
        <v>2270</v>
      </c>
      <c r="AK154" t="s">
        <v>2271</v>
      </c>
      <c r="AL154">
        <v>19047644018</v>
      </c>
      <c r="AM154" t="s">
        <v>4716</v>
      </c>
      <c r="AS154" t="s">
        <v>2272</v>
      </c>
      <c r="AT154" t="s">
        <v>2273</v>
      </c>
      <c r="AU154" t="s">
        <v>306</v>
      </c>
      <c r="AV154" t="s">
        <v>306</v>
      </c>
      <c r="AW154">
        <v>0</v>
      </c>
      <c r="AX154" t="s">
        <v>5078</v>
      </c>
      <c r="AY154" t="s">
        <v>2274</v>
      </c>
      <c r="AZ154" t="s">
        <v>2274</v>
      </c>
      <c r="BA154" t="s">
        <v>161</v>
      </c>
      <c r="BB154" t="s">
        <v>349</v>
      </c>
      <c r="BC154" t="s">
        <v>1742</v>
      </c>
      <c r="BD154" t="s">
        <v>1862</v>
      </c>
      <c r="BE154">
        <v>2018</v>
      </c>
      <c r="BF154" t="s">
        <v>475</v>
      </c>
      <c r="BG154" t="s">
        <v>1742</v>
      </c>
      <c r="BH154" t="s">
        <v>1862</v>
      </c>
      <c r="BI154">
        <v>2018</v>
      </c>
      <c r="BL154" t="s">
        <v>369</v>
      </c>
      <c r="BM154">
        <v>34</v>
      </c>
      <c r="BN154">
        <v>43</v>
      </c>
      <c r="CD154" t="e">
        <v>#N/A</v>
      </c>
    </row>
    <row r="155" spans="1:82" x14ac:dyDescent="0.3">
      <c r="A155">
        <v>159</v>
      </c>
      <c r="B155" t="e">
        <v>#NUM!</v>
      </c>
      <c r="C155" t="s">
        <v>2275</v>
      </c>
      <c r="D155">
        <v>641907235</v>
      </c>
      <c r="E155">
        <v>1710005657179</v>
      </c>
      <c r="G155" t="s">
        <v>25</v>
      </c>
      <c r="H155" t="s">
        <v>25</v>
      </c>
      <c r="I155" s="305">
        <v>43647</v>
      </c>
      <c r="J155">
        <v>5</v>
      </c>
      <c r="K155">
        <v>6</v>
      </c>
      <c r="L155" t="s">
        <v>14</v>
      </c>
      <c r="M155" t="s">
        <v>187</v>
      </c>
      <c r="O155" s="305">
        <v>45657</v>
      </c>
      <c r="Q155" t="s">
        <v>206</v>
      </c>
      <c r="R155" t="s">
        <v>6863</v>
      </c>
      <c r="S155" t="s">
        <v>312</v>
      </c>
      <c r="T155" t="s">
        <v>25</v>
      </c>
      <c r="U155" t="s">
        <v>443</v>
      </c>
      <c r="V155" t="s">
        <v>748</v>
      </c>
      <c r="W155" t="s">
        <v>122</v>
      </c>
      <c r="X155" t="s">
        <v>313</v>
      </c>
      <c r="Z155" t="s">
        <v>337</v>
      </c>
      <c r="AA155" t="s">
        <v>132</v>
      </c>
      <c r="AB155" t="s">
        <v>2276</v>
      </c>
      <c r="AC155" s="305">
        <v>36708</v>
      </c>
      <c r="AD155">
        <v>24</v>
      </c>
      <c r="AE155" t="s">
        <v>2277</v>
      </c>
      <c r="AF155" t="s">
        <v>2278</v>
      </c>
      <c r="AG155" t="s">
        <v>2279</v>
      </c>
      <c r="AJ155" t="s">
        <v>2280</v>
      </c>
      <c r="AK155" t="s">
        <v>2281</v>
      </c>
      <c r="AL155">
        <v>19047643978</v>
      </c>
      <c r="AM155" t="s">
        <v>4716</v>
      </c>
      <c r="AS155" t="s">
        <v>1182</v>
      </c>
      <c r="AT155" t="s">
        <v>2282</v>
      </c>
      <c r="AU155" t="s">
        <v>306</v>
      </c>
      <c r="AV155" t="s">
        <v>306</v>
      </c>
      <c r="AW155">
        <v>0</v>
      </c>
      <c r="AX155" t="s">
        <v>5078</v>
      </c>
      <c r="AY155" t="s">
        <v>2283</v>
      </c>
      <c r="AZ155" t="s">
        <v>2283</v>
      </c>
      <c r="BA155" t="s">
        <v>161</v>
      </c>
      <c r="BB155" t="s">
        <v>349</v>
      </c>
      <c r="BC155" t="s">
        <v>4582</v>
      </c>
      <c r="BD155" t="s">
        <v>2284</v>
      </c>
      <c r="BE155">
        <v>2018</v>
      </c>
      <c r="BF155" t="s">
        <v>475</v>
      </c>
      <c r="BG155" t="s">
        <v>4582</v>
      </c>
      <c r="BH155" t="s">
        <v>2284</v>
      </c>
      <c r="BI155">
        <v>2018</v>
      </c>
      <c r="BL155" t="s">
        <v>360</v>
      </c>
      <c r="BM155">
        <v>29</v>
      </c>
      <c r="BN155">
        <v>39</v>
      </c>
      <c r="BQ155" s="305">
        <v>44792</v>
      </c>
      <c r="CD155" t="e">
        <v>#N/A</v>
      </c>
    </row>
    <row r="156" spans="1:82" x14ac:dyDescent="0.3">
      <c r="A156">
        <v>160</v>
      </c>
      <c r="B156" t="e">
        <v>#NUM!</v>
      </c>
      <c r="C156" t="s">
        <v>2285</v>
      </c>
      <c r="D156">
        <v>641907269</v>
      </c>
      <c r="E156">
        <v>1710005657427</v>
      </c>
      <c r="G156" t="s">
        <v>20</v>
      </c>
      <c r="H156" t="s">
        <v>311</v>
      </c>
      <c r="I156" s="305">
        <v>43647</v>
      </c>
      <c r="J156">
        <v>5</v>
      </c>
      <c r="K156">
        <v>6</v>
      </c>
      <c r="L156" t="s">
        <v>14</v>
      </c>
      <c r="M156" t="s">
        <v>187</v>
      </c>
      <c r="O156" s="305">
        <v>45657</v>
      </c>
      <c r="Q156" t="s">
        <v>206</v>
      </c>
      <c r="R156" t="s">
        <v>6863</v>
      </c>
      <c r="S156" t="s">
        <v>312</v>
      </c>
      <c r="T156" t="s">
        <v>204</v>
      </c>
      <c r="U156" t="s">
        <v>420</v>
      </c>
      <c r="V156" t="s">
        <v>121</v>
      </c>
      <c r="W156" t="s">
        <v>121</v>
      </c>
      <c r="X156" t="s">
        <v>313</v>
      </c>
      <c r="Y156" t="s">
        <v>173</v>
      </c>
      <c r="Z156" t="s">
        <v>337</v>
      </c>
      <c r="AA156" t="s">
        <v>132</v>
      </c>
      <c r="AB156" t="s">
        <v>311</v>
      </c>
      <c r="AC156" s="305">
        <v>36301</v>
      </c>
      <c r="AD156">
        <v>25</v>
      </c>
      <c r="AE156" t="s">
        <v>2286</v>
      </c>
      <c r="AF156" t="s">
        <v>2287</v>
      </c>
      <c r="AG156" t="s">
        <v>2288</v>
      </c>
      <c r="AJ156" t="s">
        <v>2289</v>
      </c>
      <c r="AK156" t="s">
        <v>2290</v>
      </c>
      <c r="AL156">
        <v>19047644273</v>
      </c>
      <c r="AM156" t="s">
        <v>4733</v>
      </c>
      <c r="AN156" t="s">
        <v>2291</v>
      </c>
      <c r="AS156" t="s">
        <v>2292</v>
      </c>
      <c r="AT156" t="s">
        <v>2293</v>
      </c>
      <c r="AU156" t="s">
        <v>2294</v>
      </c>
      <c r="AV156" t="s">
        <v>2295</v>
      </c>
      <c r="AW156">
        <v>0</v>
      </c>
      <c r="AX156" t="s">
        <v>5627</v>
      </c>
      <c r="AY156" t="s">
        <v>2296</v>
      </c>
      <c r="AZ156" t="s">
        <v>2296</v>
      </c>
      <c r="BA156" t="s">
        <v>161</v>
      </c>
      <c r="BB156" t="s">
        <v>349</v>
      </c>
      <c r="BC156" t="s">
        <v>6779</v>
      </c>
      <c r="BD156" t="s">
        <v>327</v>
      </c>
      <c r="BE156">
        <v>2017</v>
      </c>
      <c r="BF156" t="s">
        <v>349</v>
      </c>
      <c r="BG156" t="s">
        <v>6779</v>
      </c>
      <c r="BH156" t="s">
        <v>327</v>
      </c>
      <c r="BI156">
        <v>2017</v>
      </c>
      <c r="BL156" t="s">
        <v>351</v>
      </c>
      <c r="BM156">
        <v>34</v>
      </c>
      <c r="BN156">
        <v>43</v>
      </c>
      <c r="CD156" t="e">
        <v>#N/A</v>
      </c>
    </row>
    <row r="157" spans="1:82" x14ac:dyDescent="0.3">
      <c r="A157">
        <v>161</v>
      </c>
      <c r="B157" t="e">
        <v>#NUM!</v>
      </c>
      <c r="C157" t="s">
        <v>2297</v>
      </c>
      <c r="D157">
        <v>641907245</v>
      </c>
      <c r="E157">
        <v>1710005658417</v>
      </c>
      <c r="G157" t="s">
        <v>2298</v>
      </c>
      <c r="H157" t="s">
        <v>28</v>
      </c>
      <c r="I157" s="305">
        <v>43647</v>
      </c>
      <c r="J157">
        <v>5</v>
      </c>
      <c r="K157">
        <v>6</v>
      </c>
      <c r="L157" t="s">
        <v>14</v>
      </c>
      <c r="M157" t="s">
        <v>187</v>
      </c>
      <c r="O157" s="305">
        <v>45657</v>
      </c>
      <c r="Q157" t="s">
        <v>206</v>
      </c>
      <c r="R157" t="s">
        <v>6863</v>
      </c>
      <c r="S157" t="s">
        <v>312</v>
      </c>
      <c r="T157" t="s">
        <v>23</v>
      </c>
      <c r="U157" t="s">
        <v>204</v>
      </c>
      <c r="V157" t="s">
        <v>51</v>
      </c>
      <c r="W157" t="s">
        <v>121</v>
      </c>
      <c r="X157" t="s">
        <v>313</v>
      </c>
      <c r="Z157" t="s">
        <v>337</v>
      </c>
      <c r="AA157" t="s">
        <v>132</v>
      </c>
      <c r="AB157" t="s">
        <v>2299</v>
      </c>
      <c r="AC157" s="305">
        <v>35816</v>
      </c>
      <c r="AD157">
        <v>26</v>
      </c>
      <c r="AE157" t="s">
        <v>2300</v>
      </c>
      <c r="AF157" t="s">
        <v>2301</v>
      </c>
      <c r="AG157" t="s">
        <v>766</v>
      </c>
      <c r="AJ157" t="s">
        <v>2302</v>
      </c>
      <c r="AK157" t="s">
        <v>2303</v>
      </c>
      <c r="AL157">
        <v>19047644034</v>
      </c>
      <c r="AM157" t="s">
        <v>4716</v>
      </c>
      <c r="AS157" t="s">
        <v>306</v>
      </c>
      <c r="AT157" t="s">
        <v>306</v>
      </c>
      <c r="AU157" t="s">
        <v>306</v>
      </c>
      <c r="AV157" t="s">
        <v>306</v>
      </c>
      <c r="AW157">
        <v>0</v>
      </c>
      <c r="AX157" t="s">
        <v>5078</v>
      </c>
      <c r="BA157" t="s">
        <v>161</v>
      </c>
      <c r="BB157" t="s">
        <v>349</v>
      </c>
      <c r="BC157" t="s">
        <v>91</v>
      </c>
      <c r="BD157" t="s">
        <v>2304</v>
      </c>
      <c r="BE157">
        <v>2016</v>
      </c>
      <c r="BF157" t="s">
        <v>475</v>
      </c>
      <c r="BG157" t="s">
        <v>91</v>
      </c>
      <c r="BH157" t="s">
        <v>2304</v>
      </c>
      <c r="BI157">
        <v>2016</v>
      </c>
      <c r="BL157" t="s">
        <v>351</v>
      </c>
      <c r="BM157">
        <v>32</v>
      </c>
      <c r="BN157">
        <v>41</v>
      </c>
      <c r="BO157" s="305">
        <v>44399</v>
      </c>
      <c r="BP157" s="305">
        <v>44427</v>
      </c>
      <c r="CD157" t="e">
        <v>#N/A</v>
      </c>
    </row>
    <row r="158" spans="1:82" x14ac:dyDescent="0.3">
      <c r="A158">
        <v>162</v>
      </c>
      <c r="B158" t="e">
        <v>#NUM!</v>
      </c>
      <c r="C158" t="s">
        <v>2305</v>
      </c>
      <c r="D158">
        <v>641907255</v>
      </c>
      <c r="E158">
        <v>1710005658375</v>
      </c>
      <c r="G158" t="s">
        <v>24</v>
      </c>
      <c r="H158" t="s">
        <v>23</v>
      </c>
      <c r="I158" s="305">
        <v>43647</v>
      </c>
      <c r="J158">
        <v>5</v>
      </c>
      <c r="K158">
        <v>6</v>
      </c>
      <c r="L158" t="s">
        <v>14</v>
      </c>
      <c r="M158" t="s">
        <v>187</v>
      </c>
      <c r="O158" s="305">
        <v>45657</v>
      </c>
      <c r="Q158" t="s">
        <v>206</v>
      </c>
      <c r="R158" t="s">
        <v>6863</v>
      </c>
      <c r="S158" t="s">
        <v>312</v>
      </c>
      <c r="T158" t="s">
        <v>24</v>
      </c>
      <c r="U158" t="s">
        <v>443</v>
      </c>
      <c r="V158" t="s">
        <v>1512</v>
      </c>
      <c r="W158" t="s">
        <v>121</v>
      </c>
      <c r="X158" t="s">
        <v>313</v>
      </c>
      <c r="Z158" t="s">
        <v>337</v>
      </c>
      <c r="AA158" t="s">
        <v>132</v>
      </c>
      <c r="AB158" t="s">
        <v>1886</v>
      </c>
      <c r="AC158" s="305">
        <v>36326</v>
      </c>
      <c r="AD158">
        <v>25</v>
      </c>
      <c r="AE158" t="s">
        <v>2306</v>
      </c>
      <c r="AF158" t="s">
        <v>2307</v>
      </c>
      <c r="AG158" t="s">
        <v>2308</v>
      </c>
      <c r="AJ158" t="s">
        <v>2309</v>
      </c>
      <c r="AK158" t="s">
        <v>2310</v>
      </c>
      <c r="AL158">
        <v>19047644281</v>
      </c>
      <c r="AM158" t="s">
        <v>4716</v>
      </c>
      <c r="AS158" t="s">
        <v>1049</v>
      </c>
      <c r="AT158" t="s">
        <v>2311</v>
      </c>
      <c r="AU158" t="s">
        <v>306</v>
      </c>
      <c r="AV158" t="s">
        <v>306</v>
      </c>
      <c r="AW158">
        <v>0</v>
      </c>
      <c r="AX158" t="s">
        <v>5078</v>
      </c>
      <c r="AY158" t="s">
        <v>2312</v>
      </c>
      <c r="AZ158">
        <v>822278909525000</v>
      </c>
      <c r="BA158" t="s">
        <v>161</v>
      </c>
      <c r="BB158" t="s">
        <v>349</v>
      </c>
      <c r="BC158" t="s">
        <v>91</v>
      </c>
      <c r="BD158" t="s">
        <v>2313</v>
      </c>
      <c r="BE158">
        <v>2017</v>
      </c>
      <c r="BF158" t="s">
        <v>475</v>
      </c>
      <c r="BG158" t="s">
        <v>91</v>
      </c>
      <c r="BH158" t="s">
        <v>2313</v>
      </c>
      <c r="BI158">
        <v>2017</v>
      </c>
      <c r="BL158" t="s">
        <v>351</v>
      </c>
      <c r="BM158">
        <v>30</v>
      </c>
      <c r="BN158">
        <v>43</v>
      </c>
      <c r="BQ158" s="305">
        <v>44655</v>
      </c>
      <c r="CD158" t="e">
        <v>#N/A</v>
      </c>
    </row>
    <row r="159" spans="1:82" x14ac:dyDescent="0.3">
      <c r="A159">
        <v>163</v>
      </c>
      <c r="B159" t="e">
        <v>#NUM!</v>
      </c>
      <c r="C159" t="s">
        <v>2314</v>
      </c>
      <c r="D159">
        <v>641907261</v>
      </c>
      <c r="E159">
        <v>1710005658243</v>
      </c>
      <c r="G159" t="s">
        <v>24</v>
      </c>
      <c r="H159" t="s">
        <v>24</v>
      </c>
      <c r="I159" s="305">
        <v>43647</v>
      </c>
      <c r="J159">
        <v>5</v>
      </c>
      <c r="K159">
        <v>6</v>
      </c>
      <c r="L159" t="s">
        <v>14</v>
      </c>
      <c r="M159" t="s">
        <v>187</v>
      </c>
      <c r="O159" s="305">
        <v>45657</v>
      </c>
      <c r="Q159" t="s">
        <v>206</v>
      </c>
      <c r="R159" t="s">
        <v>6863</v>
      </c>
      <c r="S159" t="s">
        <v>312</v>
      </c>
      <c r="T159" t="s">
        <v>24</v>
      </c>
      <c r="U159" t="s">
        <v>204</v>
      </c>
      <c r="V159" t="s">
        <v>629</v>
      </c>
      <c r="W159" t="s">
        <v>121</v>
      </c>
      <c r="X159" t="s">
        <v>313</v>
      </c>
      <c r="Y159" t="s">
        <v>462</v>
      </c>
      <c r="Z159" t="s">
        <v>337</v>
      </c>
      <c r="AA159" t="s">
        <v>132</v>
      </c>
      <c r="AB159" t="s">
        <v>23</v>
      </c>
      <c r="AC159" s="305">
        <v>32341</v>
      </c>
      <c r="AD159">
        <v>36</v>
      </c>
      <c r="AE159" t="s">
        <v>2315</v>
      </c>
      <c r="AF159" t="s">
        <v>2316</v>
      </c>
      <c r="AG159" t="s">
        <v>2317</v>
      </c>
      <c r="AJ159" t="s">
        <v>2318</v>
      </c>
      <c r="AK159" t="s">
        <v>2319</v>
      </c>
      <c r="AL159">
        <v>19047644117</v>
      </c>
      <c r="AM159" t="s">
        <v>4733</v>
      </c>
      <c r="AN159" t="s">
        <v>2320</v>
      </c>
      <c r="AO159" t="s">
        <v>2321</v>
      </c>
      <c r="AS159" t="s">
        <v>2322</v>
      </c>
      <c r="AT159" t="s">
        <v>2323</v>
      </c>
      <c r="AU159" t="s">
        <v>2324</v>
      </c>
      <c r="AV159" t="s">
        <v>2325</v>
      </c>
      <c r="AW159">
        <v>1</v>
      </c>
      <c r="AX159" t="s">
        <v>5637</v>
      </c>
      <c r="AY159" t="s">
        <v>2326</v>
      </c>
      <c r="AZ159" t="s">
        <v>2326</v>
      </c>
      <c r="BA159" t="s">
        <v>161</v>
      </c>
      <c r="BB159" t="s">
        <v>349</v>
      </c>
      <c r="BC159" t="s">
        <v>91</v>
      </c>
      <c r="BD159" t="s">
        <v>2327</v>
      </c>
      <c r="BE159">
        <v>2007</v>
      </c>
      <c r="BF159" t="s">
        <v>349</v>
      </c>
      <c r="BG159" t="s">
        <v>91</v>
      </c>
      <c r="BH159" t="s">
        <v>2327</v>
      </c>
      <c r="BI159">
        <v>2007</v>
      </c>
      <c r="BL159" t="s">
        <v>339</v>
      </c>
      <c r="BM159">
        <v>34</v>
      </c>
      <c r="BN159">
        <v>41</v>
      </c>
      <c r="BQ159" s="305">
        <v>44651</v>
      </c>
      <c r="CD159" t="e">
        <v>#N/A</v>
      </c>
    </row>
    <row r="160" spans="1:82" x14ac:dyDescent="0.3">
      <c r="A160">
        <v>164</v>
      </c>
      <c r="B160" t="e">
        <v>#NUM!</v>
      </c>
      <c r="C160" t="s">
        <v>2328</v>
      </c>
      <c r="D160">
        <v>641907237</v>
      </c>
      <c r="E160">
        <v>1710005657708</v>
      </c>
      <c r="G160" t="s">
        <v>25</v>
      </c>
      <c r="H160" t="s">
        <v>25</v>
      </c>
      <c r="I160" s="305">
        <v>43647</v>
      </c>
      <c r="J160">
        <v>5</v>
      </c>
      <c r="K160">
        <v>6</v>
      </c>
      <c r="L160" t="s">
        <v>14</v>
      </c>
      <c r="M160" t="s">
        <v>187</v>
      </c>
      <c r="O160" s="305">
        <v>45657</v>
      </c>
      <c r="Q160" t="s">
        <v>206</v>
      </c>
      <c r="R160" t="s">
        <v>6863</v>
      </c>
      <c r="S160" t="s">
        <v>312</v>
      </c>
      <c r="T160" t="s">
        <v>25</v>
      </c>
      <c r="U160" t="s">
        <v>443</v>
      </c>
      <c r="V160" t="s">
        <v>748</v>
      </c>
      <c r="W160" t="s">
        <v>122</v>
      </c>
      <c r="X160" t="s">
        <v>313</v>
      </c>
      <c r="Z160" t="s">
        <v>337</v>
      </c>
      <c r="AA160" t="s">
        <v>132</v>
      </c>
      <c r="AB160" t="s">
        <v>2329</v>
      </c>
      <c r="AC160" s="305">
        <v>33801</v>
      </c>
      <c r="AD160">
        <v>32</v>
      </c>
      <c r="AE160" t="s">
        <v>2330</v>
      </c>
      <c r="AF160" t="s">
        <v>2331</v>
      </c>
      <c r="AG160" t="s">
        <v>2332</v>
      </c>
      <c r="AJ160" t="s">
        <v>2333</v>
      </c>
      <c r="AK160" t="s">
        <v>2334</v>
      </c>
      <c r="AL160">
        <v>18109752560</v>
      </c>
      <c r="AM160" t="s">
        <v>4733</v>
      </c>
      <c r="AN160" t="s">
        <v>2335</v>
      </c>
      <c r="AO160" t="s">
        <v>2336</v>
      </c>
      <c r="AS160" t="s">
        <v>2337</v>
      </c>
      <c r="AT160" t="s">
        <v>2338</v>
      </c>
      <c r="AU160" t="s">
        <v>2339</v>
      </c>
      <c r="AV160" t="s">
        <v>1406</v>
      </c>
      <c r="AW160">
        <v>1</v>
      </c>
      <c r="AX160" t="s">
        <v>5637</v>
      </c>
      <c r="AY160" t="s">
        <v>2340</v>
      </c>
      <c r="AZ160" t="s">
        <v>2340</v>
      </c>
      <c r="BA160" t="s">
        <v>161</v>
      </c>
      <c r="BB160" t="s">
        <v>349</v>
      </c>
      <c r="BC160" t="s">
        <v>91</v>
      </c>
      <c r="BD160" t="s">
        <v>2341</v>
      </c>
      <c r="BE160">
        <v>2012</v>
      </c>
      <c r="BF160" t="s">
        <v>475</v>
      </c>
      <c r="BG160" t="s">
        <v>91</v>
      </c>
      <c r="BH160" t="s">
        <v>2341</v>
      </c>
      <c r="BI160">
        <v>2012</v>
      </c>
      <c r="BL160" t="s">
        <v>360</v>
      </c>
      <c r="BM160">
        <v>30</v>
      </c>
      <c r="BN160">
        <v>41</v>
      </c>
      <c r="CD160" t="e">
        <v>#N/A</v>
      </c>
    </row>
    <row r="161" spans="1:82" x14ac:dyDescent="0.3">
      <c r="A161">
        <v>165</v>
      </c>
      <c r="B161" t="e">
        <v>#NUM!</v>
      </c>
      <c r="C161" t="s">
        <v>2342</v>
      </c>
      <c r="D161">
        <v>641907263</v>
      </c>
      <c r="E161">
        <v>1710005657971</v>
      </c>
      <c r="G161" t="s">
        <v>217</v>
      </c>
      <c r="H161" t="s">
        <v>311</v>
      </c>
      <c r="I161" s="305">
        <v>43647</v>
      </c>
      <c r="J161">
        <v>5</v>
      </c>
      <c r="K161">
        <v>6</v>
      </c>
      <c r="L161" t="s">
        <v>14</v>
      </c>
      <c r="M161" t="s">
        <v>187</v>
      </c>
      <c r="O161" s="305">
        <v>45657</v>
      </c>
      <c r="Q161" t="s">
        <v>206</v>
      </c>
      <c r="R161" t="s">
        <v>6863</v>
      </c>
      <c r="S161" t="s">
        <v>312</v>
      </c>
      <c r="T161" t="s">
        <v>24</v>
      </c>
      <c r="U161" t="s">
        <v>204</v>
      </c>
      <c r="V161" t="s">
        <v>706</v>
      </c>
      <c r="W161" t="s">
        <v>121</v>
      </c>
      <c r="X161" t="s">
        <v>313</v>
      </c>
      <c r="Z161" t="s">
        <v>337</v>
      </c>
      <c r="AA161" t="s">
        <v>132</v>
      </c>
      <c r="AB161" t="s">
        <v>311</v>
      </c>
      <c r="AC161" s="305">
        <v>34126</v>
      </c>
      <c r="AD161">
        <v>31</v>
      </c>
      <c r="AE161" t="s">
        <v>2343</v>
      </c>
      <c r="AF161" t="s">
        <v>2344</v>
      </c>
      <c r="AG161" t="s">
        <v>2345</v>
      </c>
      <c r="AJ161" t="s">
        <v>2346</v>
      </c>
      <c r="AK161" t="s">
        <v>2347</v>
      </c>
      <c r="AL161">
        <v>19047644232</v>
      </c>
      <c r="AM161" t="s">
        <v>4716</v>
      </c>
      <c r="AS161" t="s">
        <v>306</v>
      </c>
      <c r="AT161" t="s">
        <v>306</v>
      </c>
      <c r="AU161" t="s">
        <v>306</v>
      </c>
      <c r="AV161" t="s">
        <v>306</v>
      </c>
      <c r="AW161">
        <v>0</v>
      </c>
      <c r="AX161" t="s">
        <v>5078</v>
      </c>
      <c r="BA161" t="s">
        <v>161</v>
      </c>
      <c r="BB161" t="s">
        <v>349</v>
      </c>
      <c r="BC161" t="s">
        <v>91</v>
      </c>
      <c r="BD161" t="s">
        <v>516</v>
      </c>
      <c r="BE161">
        <v>2012</v>
      </c>
      <c r="BF161" t="s">
        <v>349</v>
      </c>
      <c r="BG161" t="s">
        <v>91</v>
      </c>
      <c r="BH161" t="s">
        <v>516</v>
      </c>
      <c r="BI161">
        <v>2012</v>
      </c>
      <c r="BL161" t="s">
        <v>360</v>
      </c>
      <c r="BM161">
        <v>28</v>
      </c>
      <c r="BN161">
        <v>40</v>
      </c>
      <c r="BO161" s="305">
        <v>44365</v>
      </c>
      <c r="BP161" s="305">
        <v>44400</v>
      </c>
      <c r="CD161" t="e">
        <v>#N/A</v>
      </c>
    </row>
    <row r="162" spans="1:82" x14ac:dyDescent="0.3">
      <c r="A162">
        <v>166</v>
      </c>
      <c r="B162" t="e">
        <v>#NUM!</v>
      </c>
      <c r="C162" t="s">
        <v>2348</v>
      </c>
      <c r="D162">
        <v>641907247</v>
      </c>
      <c r="E162">
        <v>1710005657377</v>
      </c>
      <c r="G162" t="s">
        <v>30</v>
      </c>
      <c r="H162" t="s">
        <v>30</v>
      </c>
      <c r="I162" s="305">
        <v>43647</v>
      </c>
      <c r="J162">
        <v>5</v>
      </c>
      <c r="K162">
        <v>6</v>
      </c>
      <c r="L162" t="s">
        <v>14</v>
      </c>
      <c r="M162" t="s">
        <v>187</v>
      </c>
      <c r="O162" s="305">
        <v>45657</v>
      </c>
      <c r="Q162" t="s">
        <v>206</v>
      </c>
      <c r="R162" t="s">
        <v>6863</v>
      </c>
      <c r="S162" t="s">
        <v>312</v>
      </c>
      <c r="T162" t="s">
        <v>21</v>
      </c>
      <c r="U162" t="s">
        <v>547</v>
      </c>
      <c r="V162" t="s">
        <v>696</v>
      </c>
      <c r="W162" t="s">
        <v>122</v>
      </c>
      <c r="X162" t="s">
        <v>313</v>
      </c>
      <c r="Z162" t="s">
        <v>337</v>
      </c>
      <c r="AA162" t="s">
        <v>132</v>
      </c>
      <c r="AB162" t="s">
        <v>2349</v>
      </c>
      <c r="AC162" s="305">
        <v>32630</v>
      </c>
      <c r="AD162">
        <v>35</v>
      </c>
      <c r="AE162" t="s">
        <v>2350</v>
      </c>
      <c r="AF162" t="s">
        <v>2351</v>
      </c>
      <c r="AG162" t="s">
        <v>2352</v>
      </c>
      <c r="AJ162" t="s">
        <v>2353</v>
      </c>
      <c r="AK162" t="s">
        <v>2354</v>
      </c>
      <c r="AL162">
        <v>18005014073</v>
      </c>
      <c r="AM162" t="s">
        <v>4733</v>
      </c>
      <c r="AN162" t="s">
        <v>2355</v>
      </c>
      <c r="AO162" t="s">
        <v>2356</v>
      </c>
      <c r="AS162" t="s">
        <v>2357</v>
      </c>
      <c r="AT162" t="s">
        <v>2358</v>
      </c>
      <c r="AU162" t="s">
        <v>2359</v>
      </c>
      <c r="AV162" t="s">
        <v>2360</v>
      </c>
      <c r="AW162">
        <v>1</v>
      </c>
      <c r="AX162" t="s">
        <v>5637</v>
      </c>
      <c r="AY162" t="s">
        <v>2361</v>
      </c>
      <c r="AZ162">
        <v>765154380113000</v>
      </c>
      <c r="BA162" t="s">
        <v>161</v>
      </c>
      <c r="BB162" t="s">
        <v>349</v>
      </c>
      <c r="BC162" t="s">
        <v>91</v>
      </c>
      <c r="BD162" t="s">
        <v>2362</v>
      </c>
      <c r="BE162">
        <v>2009</v>
      </c>
      <c r="BF162" t="s">
        <v>349</v>
      </c>
      <c r="BG162" t="s">
        <v>91</v>
      </c>
      <c r="BH162" t="s">
        <v>2362</v>
      </c>
      <c r="BI162">
        <v>2009</v>
      </c>
      <c r="BL162" t="s">
        <v>360</v>
      </c>
      <c r="BM162">
        <v>29</v>
      </c>
      <c r="BN162">
        <v>43</v>
      </c>
      <c r="CD162" t="e">
        <v>#N/A</v>
      </c>
    </row>
    <row r="163" spans="1:82" x14ac:dyDescent="0.3">
      <c r="A163">
        <v>167</v>
      </c>
      <c r="B163" t="e">
        <v>#NUM!</v>
      </c>
      <c r="C163" t="s">
        <v>2363</v>
      </c>
      <c r="D163">
        <v>641907278</v>
      </c>
      <c r="E163">
        <v>1710005926293</v>
      </c>
      <c r="G163" t="s">
        <v>26</v>
      </c>
      <c r="H163" t="s">
        <v>26</v>
      </c>
      <c r="I163" s="305">
        <v>43647</v>
      </c>
      <c r="J163">
        <v>5</v>
      </c>
      <c r="K163">
        <v>6</v>
      </c>
      <c r="L163" t="s">
        <v>14</v>
      </c>
      <c r="M163" t="s">
        <v>187</v>
      </c>
      <c r="O163" s="305">
        <v>45657</v>
      </c>
      <c r="Q163" t="s">
        <v>206</v>
      </c>
      <c r="R163" t="s">
        <v>6863</v>
      </c>
      <c r="S163" t="s">
        <v>312</v>
      </c>
      <c r="T163" t="s">
        <v>20</v>
      </c>
      <c r="U163" t="s">
        <v>204</v>
      </c>
      <c r="V163" t="s">
        <v>1278</v>
      </c>
      <c r="W163" t="s">
        <v>122</v>
      </c>
      <c r="X163" t="s">
        <v>313</v>
      </c>
      <c r="AA163" t="s">
        <v>132</v>
      </c>
      <c r="AB163" t="s">
        <v>26</v>
      </c>
      <c r="AC163" s="305">
        <v>35450</v>
      </c>
      <c r="AD163">
        <v>27</v>
      </c>
      <c r="AE163" t="s">
        <v>2364</v>
      </c>
      <c r="AF163" t="s">
        <v>2365</v>
      </c>
      <c r="AG163" t="s">
        <v>2366</v>
      </c>
      <c r="AJ163" t="s">
        <v>2367</v>
      </c>
      <c r="AK163" t="s">
        <v>2368</v>
      </c>
      <c r="AL163">
        <v>19073135030</v>
      </c>
      <c r="AM163" t="s">
        <v>4733</v>
      </c>
      <c r="AN163" t="s">
        <v>2369</v>
      </c>
      <c r="AO163" t="s">
        <v>2370</v>
      </c>
      <c r="AS163" t="s">
        <v>2371</v>
      </c>
      <c r="AT163" t="s">
        <v>2372</v>
      </c>
      <c r="AU163" t="s">
        <v>2373</v>
      </c>
      <c r="AV163" t="s">
        <v>2374</v>
      </c>
      <c r="AW163">
        <v>1</v>
      </c>
      <c r="AX163" t="s">
        <v>5637</v>
      </c>
      <c r="AY163" t="s">
        <v>2375</v>
      </c>
      <c r="AZ163" t="s">
        <v>2375</v>
      </c>
      <c r="BA163" t="s">
        <v>161</v>
      </c>
      <c r="BB163" t="s">
        <v>349</v>
      </c>
      <c r="BC163" t="s">
        <v>91</v>
      </c>
      <c r="BD163" t="s">
        <v>2123</v>
      </c>
      <c r="BF163" t="s">
        <v>349</v>
      </c>
      <c r="BG163" t="s">
        <v>91</v>
      </c>
      <c r="BH163" t="s">
        <v>2123</v>
      </c>
      <c r="BN163">
        <v>40</v>
      </c>
      <c r="BO163" s="305">
        <v>44365</v>
      </c>
      <c r="BP163" s="305">
        <v>44404</v>
      </c>
      <c r="BQ163" s="305">
        <v>44797</v>
      </c>
      <c r="CD163" t="e">
        <v>#N/A</v>
      </c>
    </row>
    <row r="164" spans="1:82" x14ac:dyDescent="0.3">
      <c r="A164">
        <v>168</v>
      </c>
      <c r="B164" t="e">
        <v>#NUM!</v>
      </c>
      <c r="C164" t="s">
        <v>2376</v>
      </c>
      <c r="D164">
        <v>641907272</v>
      </c>
      <c r="E164">
        <v>1710005658458</v>
      </c>
      <c r="G164" t="s">
        <v>24</v>
      </c>
      <c r="H164" t="s">
        <v>24</v>
      </c>
      <c r="I164" s="305">
        <v>43647</v>
      </c>
      <c r="J164">
        <v>5</v>
      </c>
      <c r="K164">
        <v>6</v>
      </c>
      <c r="L164" t="s">
        <v>14</v>
      </c>
      <c r="M164" t="s">
        <v>187</v>
      </c>
      <c r="O164" s="305">
        <v>45657</v>
      </c>
      <c r="Q164" t="s">
        <v>206</v>
      </c>
      <c r="R164" t="s">
        <v>6863</v>
      </c>
      <c r="S164" t="s">
        <v>312</v>
      </c>
      <c r="T164" t="s">
        <v>24</v>
      </c>
      <c r="U164" t="s">
        <v>204</v>
      </c>
      <c r="V164" t="s">
        <v>629</v>
      </c>
      <c r="W164" t="s">
        <v>121</v>
      </c>
      <c r="X164" t="s">
        <v>313</v>
      </c>
      <c r="Z164" t="s">
        <v>337</v>
      </c>
      <c r="AA164" t="s">
        <v>132</v>
      </c>
      <c r="AB164" t="s">
        <v>2377</v>
      </c>
      <c r="AC164" s="305">
        <v>32937</v>
      </c>
      <c r="AD164">
        <v>34</v>
      </c>
      <c r="AE164" t="s">
        <v>2378</v>
      </c>
      <c r="AF164" t="s">
        <v>2379</v>
      </c>
      <c r="AG164" t="s">
        <v>2380</v>
      </c>
      <c r="AJ164" t="s">
        <v>2381</v>
      </c>
      <c r="AK164" t="s">
        <v>2382</v>
      </c>
      <c r="AL164">
        <v>19047644190</v>
      </c>
      <c r="AM164" t="s">
        <v>4733</v>
      </c>
      <c r="AN164" t="s">
        <v>2383</v>
      </c>
      <c r="AO164" t="s">
        <v>2384</v>
      </c>
      <c r="AP164" t="s">
        <v>2385</v>
      </c>
      <c r="AS164" t="s">
        <v>2386</v>
      </c>
      <c r="AT164" t="s">
        <v>2387</v>
      </c>
      <c r="AU164" t="s">
        <v>2388</v>
      </c>
      <c r="AV164" t="s">
        <v>2058</v>
      </c>
      <c r="AW164">
        <v>2</v>
      </c>
      <c r="AX164" t="s">
        <v>5002</v>
      </c>
      <c r="AY164" t="s">
        <v>2389</v>
      </c>
      <c r="AZ164" t="s">
        <v>2389</v>
      </c>
      <c r="BA164" t="s">
        <v>161</v>
      </c>
      <c r="BB164" t="s">
        <v>349</v>
      </c>
      <c r="BC164" t="s">
        <v>91</v>
      </c>
      <c r="BD164" t="s">
        <v>2390</v>
      </c>
      <c r="BE164">
        <v>2008</v>
      </c>
      <c r="BF164" t="s">
        <v>349</v>
      </c>
      <c r="BG164" t="s">
        <v>91</v>
      </c>
      <c r="BH164" t="s">
        <v>2390</v>
      </c>
      <c r="BI164">
        <v>2008</v>
      </c>
      <c r="BL164" t="s">
        <v>360</v>
      </c>
      <c r="BM164">
        <v>31</v>
      </c>
      <c r="BN164">
        <v>42</v>
      </c>
      <c r="CD164" t="e">
        <v>#N/A</v>
      </c>
    </row>
    <row r="165" spans="1:82" x14ac:dyDescent="0.3">
      <c r="A165">
        <v>169</v>
      </c>
      <c r="B165" t="e">
        <v>#NUM!</v>
      </c>
      <c r="C165" t="s">
        <v>2391</v>
      </c>
      <c r="D165">
        <v>641907252</v>
      </c>
      <c r="E165">
        <v>1710005658466</v>
      </c>
      <c r="G165" t="s">
        <v>22</v>
      </c>
      <c r="H165" t="s">
        <v>22</v>
      </c>
      <c r="I165" s="305">
        <v>43647</v>
      </c>
      <c r="J165">
        <v>5</v>
      </c>
      <c r="K165">
        <v>6</v>
      </c>
      <c r="L165" t="s">
        <v>14</v>
      </c>
      <c r="M165" t="s">
        <v>187</v>
      </c>
      <c r="O165" s="305">
        <v>45657</v>
      </c>
      <c r="Q165" t="s">
        <v>206</v>
      </c>
      <c r="R165" t="s">
        <v>6863</v>
      </c>
      <c r="S165" t="s">
        <v>312</v>
      </c>
      <c r="T165" t="s">
        <v>22</v>
      </c>
      <c r="U165" t="s">
        <v>547</v>
      </c>
      <c r="V165" t="s">
        <v>78</v>
      </c>
      <c r="W165" t="s">
        <v>122</v>
      </c>
      <c r="X165" t="s">
        <v>313</v>
      </c>
      <c r="Z165" t="s">
        <v>337</v>
      </c>
      <c r="AA165" t="s">
        <v>132</v>
      </c>
      <c r="AB165" t="s">
        <v>2392</v>
      </c>
      <c r="AC165" s="305">
        <v>36696</v>
      </c>
      <c r="AD165">
        <v>24</v>
      </c>
      <c r="AE165" t="s">
        <v>2393</v>
      </c>
      <c r="AF165" t="s">
        <v>2394</v>
      </c>
      <c r="AG165" t="s">
        <v>2395</v>
      </c>
      <c r="AJ165" t="s">
        <v>2396</v>
      </c>
      <c r="AK165" t="s">
        <v>2397</v>
      </c>
      <c r="AL165">
        <v>19047644067</v>
      </c>
      <c r="AM165" t="s">
        <v>4716</v>
      </c>
      <c r="AS165" t="s">
        <v>306</v>
      </c>
      <c r="AT165" t="s">
        <v>306</v>
      </c>
      <c r="AU165" t="s">
        <v>306</v>
      </c>
      <c r="AV165" t="s">
        <v>306</v>
      </c>
      <c r="AW165">
        <v>0</v>
      </c>
      <c r="AX165" t="s">
        <v>5078</v>
      </c>
      <c r="BA165" t="s">
        <v>161</v>
      </c>
      <c r="BB165" t="s">
        <v>349</v>
      </c>
      <c r="BC165" t="s">
        <v>515</v>
      </c>
      <c r="BD165" t="s">
        <v>2398</v>
      </c>
      <c r="BE165">
        <v>2018</v>
      </c>
      <c r="BF165" t="s">
        <v>475</v>
      </c>
      <c r="BG165" t="s">
        <v>515</v>
      </c>
      <c r="BH165" t="s">
        <v>2398</v>
      </c>
      <c r="BI165">
        <v>2018</v>
      </c>
      <c r="BL165" t="s">
        <v>360</v>
      </c>
      <c r="BM165">
        <v>28</v>
      </c>
      <c r="BN165">
        <v>40</v>
      </c>
      <c r="CD165" t="e">
        <v>#N/A</v>
      </c>
    </row>
    <row r="166" spans="1:82" x14ac:dyDescent="0.3">
      <c r="A166">
        <v>170</v>
      </c>
      <c r="B166" t="e">
        <v>#NUM!</v>
      </c>
      <c r="C166" t="s">
        <v>2399</v>
      </c>
      <c r="D166">
        <v>641907257</v>
      </c>
      <c r="E166">
        <v>1710005658334</v>
      </c>
      <c r="G166" t="s">
        <v>217</v>
      </c>
      <c r="H166" t="s">
        <v>315</v>
      </c>
      <c r="I166" s="305">
        <v>43647</v>
      </c>
      <c r="J166">
        <v>5</v>
      </c>
      <c r="K166">
        <v>6</v>
      </c>
      <c r="L166" t="s">
        <v>14</v>
      </c>
      <c r="M166" t="s">
        <v>187</v>
      </c>
      <c r="O166" s="305">
        <v>45657</v>
      </c>
      <c r="Q166" t="s">
        <v>206</v>
      </c>
      <c r="R166" t="s">
        <v>6863</v>
      </c>
      <c r="S166" t="s">
        <v>312</v>
      </c>
      <c r="T166" t="s">
        <v>23</v>
      </c>
      <c r="U166" t="s">
        <v>204</v>
      </c>
      <c r="V166" t="s">
        <v>51</v>
      </c>
      <c r="W166" t="s">
        <v>121</v>
      </c>
      <c r="X166" t="s">
        <v>313</v>
      </c>
      <c r="Z166" t="s">
        <v>337</v>
      </c>
      <c r="AA166" t="s">
        <v>132</v>
      </c>
      <c r="AB166" t="s">
        <v>315</v>
      </c>
      <c r="AC166" s="305">
        <v>36540</v>
      </c>
      <c r="AD166">
        <v>25</v>
      </c>
      <c r="AE166" t="s">
        <v>2400</v>
      </c>
      <c r="AF166" t="s">
        <v>2401</v>
      </c>
      <c r="AG166" t="s">
        <v>2402</v>
      </c>
      <c r="AH166" t="s">
        <v>2402</v>
      </c>
      <c r="AJ166" t="s">
        <v>2403</v>
      </c>
      <c r="AK166" t="s">
        <v>2404</v>
      </c>
      <c r="AL166">
        <v>19063315980</v>
      </c>
      <c r="AM166" t="s">
        <v>4716</v>
      </c>
      <c r="AS166" t="s">
        <v>2405</v>
      </c>
      <c r="AT166" t="s">
        <v>2406</v>
      </c>
      <c r="AU166" t="s">
        <v>306</v>
      </c>
      <c r="AV166" t="s">
        <v>306</v>
      </c>
      <c r="AW166">
        <v>0</v>
      </c>
      <c r="AX166" t="s">
        <v>5078</v>
      </c>
      <c r="AY166" t="s">
        <v>2407</v>
      </c>
      <c r="AZ166" t="s">
        <v>2408</v>
      </c>
      <c r="BA166" t="s">
        <v>161</v>
      </c>
      <c r="BB166" t="s">
        <v>349</v>
      </c>
      <c r="BC166" t="s">
        <v>515</v>
      </c>
      <c r="BD166" t="s">
        <v>1454</v>
      </c>
      <c r="BE166">
        <v>2018</v>
      </c>
      <c r="BF166" t="s">
        <v>475</v>
      </c>
      <c r="BG166" t="s">
        <v>515</v>
      </c>
      <c r="BH166" t="s">
        <v>1454</v>
      </c>
      <c r="BI166">
        <v>2018</v>
      </c>
      <c r="BL166" t="s">
        <v>360</v>
      </c>
      <c r="BM166">
        <v>30</v>
      </c>
      <c r="BN166">
        <v>40</v>
      </c>
      <c r="CD166" t="e">
        <v>#N/A</v>
      </c>
    </row>
    <row r="167" spans="1:82" x14ac:dyDescent="0.3">
      <c r="A167">
        <v>171</v>
      </c>
      <c r="B167" t="e">
        <v>#NUM!</v>
      </c>
      <c r="C167" t="s">
        <v>2409</v>
      </c>
      <c r="D167">
        <v>641907253</v>
      </c>
      <c r="E167">
        <v>1710005658326</v>
      </c>
      <c r="G167" t="s">
        <v>20</v>
      </c>
      <c r="H167" t="s">
        <v>20</v>
      </c>
      <c r="I167" s="305">
        <v>43647</v>
      </c>
      <c r="J167">
        <v>5</v>
      </c>
      <c r="K167">
        <v>6</v>
      </c>
      <c r="L167" t="s">
        <v>14</v>
      </c>
      <c r="M167" t="s">
        <v>187</v>
      </c>
      <c r="O167" s="305">
        <v>45657</v>
      </c>
      <c r="Q167" t="s">
        <v>206</v>
      </c>
      <c r="R167" t="s">
        <v>6863</v>
      </c>
      <c r="S167" t="s">
        <v>312</v>
      </c>
      <c r="T167" t="s">
        <v>29</v>
      </c>
      <c r="U167" t="s">
        <v>461</v>
      </c>
      <c r="V167" t="s">
        <v>127</v>
      </c>
      <c r="W167" t="s">
        <v>121</v>
      </c>
      <c r="X167" t="s">
        <v>313</v>
      </c>
      <c r="Y167" t="s">
        <v>462</v>
      </c>
      <c r="Z167" t="s">
        <v>337</v>
      </c>
      <c r="AA167" t="s">
        <v>132</v>
      </c>
      <c r="AB167" t="s">
        <v>1720</v>
      </c>
      <c r="AC167" s="305">
        <v>34779</v>
      </c>
      <c r="AD167">
        <v>29</v>
      </c>
      <c r="AE167" t="s">
        <v>2410</v>
      </c>
      <c r="AF167" t="s">
        <v>2411</v>
      </c>
      <c r="AG167" t="s">
        <v>2412</v>
      </c>
      <c r="AH167" t="s">
        <v>2413</v>
      </c>
      <c r="AJ167" t="s">
        <v>2414</v>
      </c>
      <c r="AK167" t="s">
        <v>2415</v>
      </c>
      <c r="AL167">
        <v>18016714695</v>
      </c>
      <c r="AM167" t="s">
        <v>4733</v>
      </c>
      <c r="AN167" t="s">
        <v>2416</v>
      </c>
      <c r="AO167" t="s">
        <v>2417</v>
      </c>
      <c r="AS167" t="s">
        <v>2418</v>
      </c>
      <c r="AT167" t="s">
        <v>2419</v>
      </c>
      <c r="AU167" t="s">
        <v>2420</v>
      </c>
      <c r="AV167" t="s">
        <v>2421</v>
      </c>
      <c r="AW167">
        <v>1</v>
      </c>
      <c r="AX167" t="s">
        <v>5637</v>
      </c>
      <c r="AY167" t="s">
        <v>2422</v>
      </c>
      <c r="AZ167" t="s">
        <v>2422</v>
      </c>
      <c r="BA167" t="s">
        <v>161</v>
      </c>
      <c r="BB167" t="s">
        <v>349</v>
      </c>
      <c r="BC167" t="s">
        <v>515</v>
      </c>
      <c r="BD167" t="s">
        <v>2423</v>
      </c>
      <c r="BE167">
        <v>2013</v>
      </c>
      <c r="BF167" t="s">
        <v>475</v>
      </c>
      <c r="BG167" t="s">
        <v>515</v>
      </c>
      <c r="BH167" t="s">
        <v>2423</v>
      </c>
      <c r="BI167">
        <v>2013</v>
      </c>
      <c r="BL167" t="s">
        <v>351</v>
      </c>
      <c r="BM167">
        <v>34</v>
      </c>
      <c r="BN167">
        <v>43</v>
      </c>
      <c r="CD167" t="e">
        <v>#N/A</v>
      </c>
    </row>
    <row r="168" spans="1:82" x14ac:dyDescent="0.3">
      <c r="A168">
        <v>172</v>
      </c>
      <c r="B168" t="e">
        <v>#NUM!</v>
      </c>
      <c r="C168" t="s">
        <v>2424</v>
      </c>
      <c r="D168">
        <v>641907259</v>
      </c>
      <c r="E168">
        <v>1710005658292</v>
      </c>
      <c r="G168" t="s">
        <v>217</v>
      </c>
      <c r="H168" t="s">
        <v>432</v>
      </c>
      <c r="I168" s="305">
        <v>43647</v>
      </c>
      <c r="J168">
        <v>5</v>
      </c>
      <c r="K168">
        <v>6</v>
      </c>
      <c r="L168" t="s">
        <v>14</v>
      </c>
      <c r="M168" t="s">
        <v>187</v>
      </c>
      <c r="O168" s="305">
        <v>45657</v>
      </c>
      <c r="Q168" t="s">
        <v>206</v>
      </c>
      <c r="R168" t="s">
        <v>6863</v>
      </c>
      <c r="S168" t="s">
        <v>312</v>
      </c>
      <c r="T168" t="s">
        <v>27</v>
      </c>
      <c r="U168" t="s">
        <v>547</v>
      </c>
      <c r="V168" t="s">
        <v>93</v>
      </c>
      <c r="W168" t="s">
        <v>122</v>
      </c>
      <c r="X168" t="s">
        <v>313</v>
      </c>
      <c r="Z168" t="s">
        <v>337</v>
      </c>
      <c r="AA168" t="s">
        <v>132</v>
      </c>
      <c r="AB168" t="s">
        <v>311</v>
      </c>
      <c r="AC168" s="305">
        <v>34683</v>
      </c>
      <c r="AD168">
        <v>30</v>
      </c>
      <c r="AE168" t="s">
        <v>2425</v>
      </c>
      <c r="AF168" t="s">
        <v>2426</v>
      </c>
      <c r="AG168" t="s">
        <v>2427</v>
      </c>
      <c r="AJ168" t="s">
        <v>2428</v>
      </c>
      <c r="AK168" t="s">
        <v>2429</v>
      </c>
      <c r="AL168">
        <v>18038345890</v>
      </c>
      <c r="AM168" t="s">
        <v>4733</v>
      </c>
      <c r="AN168" t="s">
        <v>2430</v>
      </c>
      <c r="AO168" t="s">
        <v>2431</v>
      </c>
      <c r="AS168" t="s">
        <v>306</v>
      </c>
      <c r="AT168" t="s">
        <v>306</v>
      </c>
      <c r="AU168" t="s">
        <v>306</v>
      </c>
      <c r="AV168" t="s">
        <v>306</v>
      </c>
      <c r="AW168">
        <v>1</v>
      </c>
      <c r="AX168" t="s">
        <v>5637</v>
      </c>
      <c r="BA168" t="s">
        <v>161</v>
      </c>
      <c r="BB168" t="s">
        <v>349</v>
      </c>
      <c r="BC168" t="s">
        <v>515</v>
      </c>
      <c r="BD168" t="s">
        <v>2432</v>
      </c>
      <c r="BE168">
        <v>2013</v>
      </c>
      <c r="BF168" t="s">
        <v>349</v>
      </c>
      <c r="BG168" t="s">
        <v>515</v>
      </c>
      <c r="BH168" t="s">
        <v>2432</v>
      </c>
      <c r="BI168">
        <v>2013</v>
      </c>
      <c r="BL168" t="s">
        <v>339</v>
      </c>
      <c r="BM168">
        <v>33</v>
      </c>
      <c r="BN168">
        <v>41</v>
      </c>
      <c r="CD168" t="e">
        <v>#N/A</v>
      </c>
    </row>
    <row r="169" spans="1:82" x14ac:dyDescent="0.3">
      <c r="A169">
        <v>173</v>
      </c>
      <c r="B169" t="e">
        <v>#NUM!</v>
      </c>
      <c r="C169" t="s">
        <v>2433</v>
      </c>
      <c r="D169">
        <v>641907258</v>
      </c>
      <c r="E169">
        <v>1710005658268</v>
      </c>
      <c r="G169" t="s">
        <v>24</v>
      </c>
      <c r="H169" t="s">
        <v>24</v>
      </c>
      <c r="I169" s="305">
        <v>43647</v>
      </c>
      <c r="J169">
        <v>5</v>
      </c>
      <c r="K169">
        <v>6</v>
      </c>
      <c r="L169" t="s">
        <v>14</v>
      </c>
      <c r="M169" t="s">
        <v>187</v>
      </c>
      <c r="O169" s="305">
        <v>45657</v>
      </c>
      <c r="Q169" t="s">
        <v>206</v>
      </c>
      <c r="R169" t="s">
        <v>6863</v>
      </c>
      <c r="S169" t="s">
        <v>312</v>
      </c>
      <c r="T169" t="s">
        <v>24</v>
      </c>
      <c r="U169" t="s">
        <v>204</v>
      </c>
      <c r="V169" t="s">
        <v>629</v>
      </c>
      <c r="W169" t="s">
        <v>121</v>
      </c>
      <c r="X169" t="s">
        <v>313</v>
      </c>
      <c r="Y169" t="s">
        <v>462</v>
      </c>
      <c r="Z169" t="s">
        <v>337</v>
      </c>
      <c r="AA169" t="s">
        <v>132</v>
      </c>
      <c r="AB169" t="s">
        <v>2434</v>
      </c>
      <c r="AC169" s="305">
        <v>34500</v>
      </c>
      <c r="AD169">
        <v>30</v>
      </c>
      <c r="AE169" t="s">
        <v>2435</v>
      </c>
      <c r="AF169" t="s">
        <v>2436</v>
      </c>
      <c r="AG169" t="s">
        <v>2437</v>
      </c>
      <c r="AJ169" t="s">
        <v>2438</v>
      </c>
      <c r="AK169" t="s">
        <v>2439</v>
      </c>
      <c r="AL169">
        <v>19047644059</v>
      </c>
      <c r="AM169" t="s">
        <v>4733</v>
      </c>
      <c r="AN169" t="s">
        <v>2440</v>
      </c>
      <c r="AO169" t="s">
        <v>2441</v>
      </c>
      <c r="AS169" t="s">
        <v>2442</v>
      </c>
      <c r="AT169" t="s">
        <v>2443</v>
      </c>
      <c r="AU169" t="s">
        <v>2444</v>
      </c>
      <c r="AV169" t="s">
        <v>2445</v>
      </c>
      <c r="AW169">
        <v>1</v>
      </c>
      <c r="AX169" t="s">
        <v>5637</v>
      </c>
      <c r="AY169" t="s">
        <v>2446</v>
      </c>
      <c r="AZ169" t="s">
        <v>2446</v>
      </c>
      <c r="BA169" t="s">
        <v>161</v>
      </c>
      <c r="BB169" t="s">
        <v>349</v>
      </c>
      <c r="BC169" t="s">
        <v>515</v>
      </c>
      <c r="BD169" t="s">
        <v>2447</v>
      </c>
      <c r="BE169">
        <v>2013</v>
      </c>
      <c r="BF169" t="s">
        <v>349</v>
      </c>
      <c r="BG169" t="s">
        <v>515</v>
      </c>
      <c r="BH169" t="s">
        <v>2447</v>
      </c>
      <c r="BI169">
        <v>2013</v>
      </c>
      <c r="BL169" t="s">
        <v>351</v>
      </c>
      <c r="BM169">
        <v>30</v>
      </c>
      <c r="BN169">
        <v>42</v>
      </c>
      <c r="CD169" t="e">
        <v>#N/A</v>
      </c>
    </row>
    <row r="170" spans="1:82" x14ac:dyDescent="0.3">
      <c r="A170">
        <v>174</v>
      </c>
      <c r="B170" t="e">
        <v>#NUM!</v>
      </c>
      <c r="C170" t="s">
        <v>2448</v>
      </c>
      <c r="D170">
        <v>641907251</v>
      </c>
      <c r="E170">
        <v>1710005658391</v>
      </c>
      <c r="G170" t="s">
        <v>22</v>
      </c>
      <c r="H170" t="s">
        <v>22</v>
      </c>
      <c r="I170" s="305">
        <v>43647</v>
      </c>
      <c r="J170">
        <v>5</v>
      </c>
      <c r="K170">
        <v>6</v>
      </c>
      <c r="L170" t="s">
        <v>14</v>
      </c>
      <c r="M170" t="s">
        <v>187</v>
      </c>
      <c r="O170" s="305">
        <v>45657</v>
      </c>
      <c r="Q170" t="s">
        <v>206</v>
      </c>
      <c r="R170" t="s">
        <v>6863</v>
      </c>
      <c r="S170" t="s">
        <v>312</v>
      </c>
      <c r="T170" t="s">
        <v>22</v>
      </c>
      <c r="U170" t="s">
        <v>547</v>
      </c>
      <c r="V170" t="s">
        <v>78</v>
      </c>
      <c r="W170" t="s">
        <v>122</v>
      </c>
      <c r="X170" t="s">
        <v>313</v>
      </c>
      <c r="Z170" t="s">
        <v>337</v>
      </c>
      <c r="AA170" t="s">
        <v>132</v>
      </c>
      <c r="AB170" t="s">
        <v>2449</v>
      </c>
      <c r="AC170" s="305">
        <v>36844</v>
      </c>
      <c r="AD170">
        <v>24</v>
      </c>
      <c r="AE170" t="s">
        <v>2450</v>
      </c>
      <c r="AF170" t="s">
        <v>2451</v>
      </c>
      <c r="AG170" t="s">
        <v>2452</v>
      </c>
      <c r="AH170" t="s">
        <v>2453</v>
      </c>
      <c r="AJ170" t="s">
        <v>2454</v>
      </c>
      <c r="AK170" t="s">
        <v>2455</v>
      </c>
      <c r="AL170">
        <v>19047644075</v>
      </c>
      <c r="AM170" t="s">
        <v>4716</v>
      </c>
      <c r="AS170" t="s">
        <v>306</v>
      </c>
      <c r="AT170" t="s">
        <v>306</v>
      </c>
      <c r="AU170" t="s">
        <v>306</v>
      </c>
      <c r="AV170" t="s">
        <v>306</v>
      </c>
      <c r="AW170">
        <v>0</v>
      </c>
      <c r="AX170" t="s">
        <v>5078</v>
      </c>
      <c r="BA170" t="s">
        <v>161</v>
      </c>
      <c r="BB170" t="s">
        <v>349</v>
      </c>
      <c r="BC170" t="s">
        <v>515</v>
      </c>
      <c r="BD170" t="s">
        <v>2398</v>
      </c>
      <c r="BE170">
        <v>2018</v>
      </c>
      <c r="BF170" t="s">
        <v>475</v>
      </c>
      <c r="BG170" t="s">
        <v>515</v>
      </c>
      <c r="BH170" t="s">
        <v>2398</v>
      </c>
      <c r="BI170">
        <v>2018</v>
      </c>
      <c r="BL170" t="s">
        <v>360</v>
      </c>
      <c r="BM170">
        <v>27</v>
      </c>
      <c r="BN170">
        <v>39</v>
      </c>
      <c r="CD170" t="e">
        <v>#N/A</v>
      </c>
    </row>
    <row r="171" spans="1:82" x14ac:dyDescent="0.3">
      <c r="A171">
        <v>175</v>
      </c>
      <c r="B171" t="e">
        <v>#NUM!</v>
      </c>
      <c r="C171" t="s">
        <v>2456</v>
      </c>
      <c r="D171">
        <v>641907276</v>
      </c>
      <c r="E171">
        <v>1710005658045</v>
      </c>
      <c r="G171" t="s">
        <v>24</v>
      </c>
      <c r="H171" t="s">
        <v>24</v>
      </c>
      <c r="I171" s="305">
        <v>43647</v>
      </c>
      <c r="J171">
        <v>5</v>
      </c>
      <c r="K171">
        <v>6</v>
      </c>
      <c r="L171" t="s">
        <v>14</v>
      </c>
      <c r="M171" t="s">
        <v>187</v>
      </c>
      <c r="O171" s="305">
        <v>45657</v>
      </c>
      <c r="Q171" t="s">
        <v>206</v>
      </c>
      <c r="R171" t="s">
        <v>6863</v>
      </c>
      <c r="S171" t="s">
        <v>312</v>
      </c>
      <c r="T171" t="s">
        <v>24</v>
      </c>
      <c r="U171" t="s">
        <v>204</v>
      </c>
      <c r="V171" t="s">
        <v>629</v>
      </c>
      <c r="W171" t="s">
        <v>121</v>
      </c>
      <c r="X171" t="s">
        <v>313</v>
      </c>
      <c r="Y171" t="s">
        <v>462</v>
      </c>
      <c r="Z171" t="s">
        <v>337</v>
      </c>
      <c r="AA171" t="s">
        <v>132</v>
      </c>
      <c r="AB171" t="s">
        <v>2457</v>
      </c>
      <c r="AC171" s="305">
        <v>34511</v>
      </c>
      <c r="AD171">
        <v>30</v>
      </c>
      <c r="AE171" t="s">
        <v>2458</v>
      </c>
      <c r="AF171" t="s">
        <v>2459</v>
      </c>
      <c r="AG171" t="s">
        <v>2460</v>
      </c>
      <c r="AJ171" t="s">
        <v>2461</v>
      </c>
      <c r="AK171" t="s">
        <v>2462</v>
      </c>
      <c r="AL171">
        <v>12025840237</v>
      </c>
      <c r="AM171" t="s">
        <v>4733</v>
      </c>
      <c r="AN171" t="s">
        <v>2463</v>
      </c>
      <c r="AO171" t="s">
        <v>2464</v>
      </c>
      <c r="AS171" t="s">
        <v>2465</v>
      </c>
      <c r="AT171" t="s">
        <v>2466</v>
      </c>
      <c r="AU171" t="s">
        <v>2467</v>
      </c>
      <c r="AV171" t="s">
        <v>2468</v>
      </c>
      <c r="AW171">
        <v>1</v>
      </c>
      <c r="AX171" t="s">
        <v>5637</v>
      </c>
      <c r="AY171" t="s">
        <v>2469</v>
      </c>
      <c r="AZ171" t="s">
        <v>2469</v>
      </c>
      <c r="BA171" t="s">
        <v>161</v>
      </c>
      <c r="BB171" t="s">
        <v>349</v>
      </c>
      <c r="BC171" t="s">
        <v>515</v>
      </c>
      <c r="BD171" t="s">
        <v>2470</v>
      </c>
      <c r="BE171">
        <v>2012</v>
      </c>
      <c r="BF171" t="s">
        <v>70</v>
      </c>
      <c r="BG171" t="s">
        <v>91</v>
      </c>
      <c r="BH171" t="s">
        <v>2471</v>
      </c>
      <c r="BI171">
        <v>2012</v>
      </c>
      <c r="BL171" t="s">
        <v>360</v>
      </c>
      <c r="BM171">
        <v>31</v>
      </c>
      <c r="BN171">
        <v>41</v>
      </c>
      <c r="BP171" s="305">
        <v>44314</v>
      </c>
      <c r="CD171" t="e">
        <v>#N/A</v>
      </c>
    </row>
    <row r="172" spans="1:82" x14ac:dyDescent="0.3">
      <c r="A172">
        <v>176</v>
      </c>
      <c r="B172" t="e">
        <v>#NUM!</v>
      </c>
      <c r="C172" t="s">
        <v>2472</v>
      </c>
      <c r="D172">
        <v>641907248</v>
      </c>
      <c r="E172">
        <v>1710005657682</v>
      </c>
      <c r="G172" t="s">
        <v>30</v>
      </c>
      <c r="H172" t="s">
        <v>30</v>
      </c>
      <c r="I172" s="305">
        <v>43647</v>
      </c>
      <c r="J172">
        <v>5</v>
      </c>
      <c r="K172">
        <v>6</v>
      </c>
      <c r="L172" t="s">
        <v>14</v>
      </c>
      <c r="M172" t="s">
        <v>187</v>
      </c>
      <c r="O172" s="305">
        <v>45657</v>
      </c>
      <c r="Q172" t="s">
        <v>206</v>
      </c>
      <c r="R172" t="s">
        <v>6863</v>
      </c>
      <c r="S172" t="s">
        <v>312</v>
      </c>
      <c r="T172" t="s">
        <v>30</v>
      </c>
      <c r="U172" t="s">
        <v>461</v>
      </c>
      <c r="V172" t="s">
        <v>128</v>
      </c>
      <c r="W172" t="s">
        <v>122</v>
      </c>
      <c r="X172" t="s">
        <v>313</v>
      </c>
      <c r="Z172" t="s">
        <v>337</v>
      </c>
      <c r="AA172" t="s">
        <v>132</v>
      </c>
      <c r="AB172" t="s">
        <v>30</v>
      </c>
      <c r="AC172" s="305">
        <v>35270</v>
      </c>
      <c r="AD172">
        <v>28</v>
      </c>
      <c r="AE172" t="s">
        <v>2473</v>
      </c>
      <c r="AF172" t="s">
        <v>2474</v>
      </c>
      <c r="AG172" t="s">
        <v>2475</v>
      </c>
      <c r="AJ172" t="s">
        <v>2476</v>
      </c>
      <c r="AK172" t="s">
        <v>2477</v>
      </c>
      <c r="AL172">
        <v>19047644042</v>
      </c>
      <c r="AM172" t="s">
        <v>4716</v>
      </c>
      <c r="AR172" t="s">
        <v>2478</v>
      </c>
      <c r="AS172" t="s">
        <v>306</v>
      </c>
      <c r="AT172" t="s">
        <v>306</v>
      </c>
      <c r="AU172" t="s">
        <v>306</v>
      </c>
      <c r="AV172" t="s">
        <v>306</v>
      </c>
      <c r="AW172">
        <v>1</v>
      </c>
      <c r="AX172" t="s">
        <v>7130</v>
      </c>
      <c r="BA172" t="s">
        <v>161</v>
      </c>
      <c r="BB172" t="s">
        <v>349</v>
      </c>
      <c r="BC172" t="s">
        <v>515</v>
      </c>
      <c r="BD172" t="s">
        <v>2479</v>
      </c>
      <c r="BE172">
        <v>2016</v>
      </c>
      <c r="BF172" t="s">
        <v>475</v>
      </c>
      <c r="BG172" t="s">
        <v>515</v>
      </c>
      <c r="BH172" t="s">
        <v>2479</v>
      </c>
      <c r="BI172">
        <v>2016</v>
      </c>
      <c r="BL172" t="s">
        <v>360</v>
      </c>
      <c r="BM172">
        <v>31</v>
      </c>
      <c r="BN172">
        <v>41</v>
      </c>
      <c r="CD172" t="e">
        <v>#N/A</v>
      </c>
    </row>
    <row r="173" spans="1:82" x14ac:dyDescent="0.3">
      <c r="A173">
        <v>177</v>
      </c>
      <c r="B173" t="e">
        <v>#NUM!</v>
      </c>
      <c r="C173" t="s">
        <v>2465</v>
      </c>
      <c r="D173">
        <v>641907267</v>
      </c>
      <c r="E173">
        <v>1710005657674</v>
      </c>
      <c r="G173" t="s">
        <v>24</v>
      </c>
      <c r="H173" t="s">
        <v>24</v>
      </c>
      <c r="I173" s="305">
        <v>43647</v>
      </c>
      <c r="J173">
        <v>5</v>
      </c>
      <c r="K173">
        <v>6</v>
      </c>
      <c r="L173" t="s">
        <v>14</v>
      </c>
      <c r="M173" t="s">
        <v>187</v>
      </c>
      <c r="O173" s="305">
        <v>45657</v>
      </c>
      <c r="Q173" t="s">
        <v>206</v>
      </c>
      <c r="R173" t="s">
        <v>6863</v>
      </c>
      <c r="S173" t="s">
        <v>312</v>
      </c>
      <c r="T173" t="s">
        <v>24</v>
      </c>
      <c r="U173" t="s">
        <v>204</v>
      </c>
      <c r="V173" t="s">
        <v>706</v>
      </c>
      <c r="W173" t="s">
        <v>121</v>
      </c>
      <c r="X173" t="s">
        <v>313</v>
      </c>
      <c r="Z173" t="s">
        <v>337</v>
      </c>
      <c r="AA173" t="s">
        <v>132</v>
      </c>
      <c r="AB173" t="s">
        <v>1524</v>
      </c>
      <c r="AC173" s="305">
        <v>34265</v>
      </c>
      <c r="AD173">
        <v>31</v>
      </c>
      <c r="AE173" t="s">
        <v>2480</v>
      </c>
      <c r="AF173" t="s">
        <v>2481</v>
      </c>
      <c r="AG173" t="s">
        <v>2482</v>
      </c>
      <c r="AH173" t="s">
        <v>2483</v>
      </c>
      <c r="AJ173" t="s">
        <v>2484</v>
      </c>
      <c r="AK173" t="s">
        <v>2485</v>
      </c>
      <c r="AL173">
        <v>18114496930</v>
      </c>
      <c r="AM173" t="s">
        <v>4733</v>
      </c>
      <c r="AN173" t="s">
        <v>2486</v>
      </c>
      <c r="AO173" t="s">
        <v>2487</v>
      </c>
      <c r="AS173" t="s">
        <v>2488</v>
      </c>
      <c r="AT173" t="s">
        <v>2489</v>
      </c>
      <c r="AU173" t="s">
        <v>306</v>
      </c>
      <c r="AV173" t="s">
        <v>306</v>
      </c>
      <c r="AW173">
        <v>1</v>
      </c>
      <c r="AX173" t="s">
        <v>5637</v>
      </c>
      <c r="AY173" t="s">
        <v>2490</v>
      </c>
      <c r="AZ173" t="s">
        <v>2490</v>
      </c>
      <c r="BA173" t="s">
        <v>161</v>
      </c>
      <c r="BB173" t="s">
        <v>349</v>
      </c>
      <c r="BC173" t="s">
        <v>515</v>
      </c>
      <c r="BD173" t="s">
        <v>1531</v>
      </c>
      <c r="BE173">
        <v>2012</v>
      </c>
      <c r="BF173" t="s">
        <v>349</v>
      </c>
      <c r="BG173" t="s">
        <v>515</v>
      </c>
      <c r="BH173" t="s">
        <v>1531</v>
      </c>
      <c r="BI173">
        <v>2012</v>
      </c>
      <c r="BL173" t="s">
        <v>351</v>
      </c>
      <c r="BM173">
        <v>30</v>
      </c>
      <c r="BN173">
        <v>41</v>
      </c>
      <c r="BQ173" s="305">
        <v>44887</v>
      </c>
      <c r="CD173" t="e">
        <v>#N/A</v>
      </c>
    </row>
    <row r="174" spans="1:82" x14ac:dyDescent="0.3">
      <c r="A174">
        <v>178</v>
      </c>
      <c r="B174" t="e">
        <v>#NUM!</v>
      </c>
      <c r="C174" t="s">
        <v>2491</v>
      </c>
      <c r="D174">
        <v>641907268</v>
      </c>
      <c r="E174">
        <v>1710005657534</v>
      </c>
      <c r="G174" t="s">
        <v>24</v>
      </c>
      <c r="H174" t="s">
        <v>2492</v>
      </c>
      <c r="I174" s="305">
        <v>43647</v>
      </c>
      <c r="J174">
        <v>5</v>
      </c>
      <c r="K174">
        <v>6</v>
      </c>
      <c r="L174" t="s">
        <v>14</v>
      </c>
      <c r="M174" t="s">
        <v>187</v>
      </c>
      <c r="O174" s="305">
        <v>45657</v>
      </c>
      <c r="Q174" t="s">
        <v>206</v>
      </c>
      <c r="R174" t="s">
        <v>6863</v>
      </c>
      <c r="S174" t="s">
        <v>312</v>
      </c>
      <c r="T174" t="s">
        <v>24</v>
      </c>
      <c r="U174" t="s">
        <v>204</v>
      </c>
      <c r="V174" t="s">
        <v>629</v>
      </c>
      <c r="W174" t="s">
        <v>121</v>
      </c>
      <c r="X174" t="s">
        <v>313</v>
      </c>
      <c r="Z174" t="s">
        <v>337</v>
      </c>
      <c r="AA174" t="s">
        <v>132</v>
      </c>
      <c r="AB174" t="s">
        <v>2492</v>
      </c>
      <c r="AC174" s="305">
        <v>35389</v>
      </c>
      <c r="AD174">
        <v>28</v>
      </c>
      <c r="AE174" t="s">
        <v>2493</v>
      </c>
      <c r="AF174" t="s">
        <v>2494</v>
      </c>
      <c r="AG174" t="s">
        <v>2495</v>
      </c>
      <c r="AJ174" t="s">
        <v>2496</v>
      </c>
      <c r="AK174" t="s">
        <v>2497</v>
      </c>
      <c r="AL174">
        <v>18035432733</v>
      </c>
      <c r="AM174" t="s">
        <v>4716</v>
      </c>
      <c r="AS174" t="s">
        <v>2498</v>
      </c>
      <c r="AT174" t="s">
        <v>2499</v>
      </c>
      <c r="AU174" t="s">
        <v>306</v>
      </c>
      <c r="AV174" t="s">
        <v>306</v>
      </c>
      <c r="AW174">
        <v>0</v>
      </c>
      <c r="AX174" t="s">
        <v>5078</v>
      </c>
      <c r="AY174" t="s">
        <v>2500</v>
      </c>
      <c r="AZ174" t="s">
        <v>2500</v>
      </c>
      <c r="BA174" t="s">
        <v>161</v>
      </c>
      <c r="BB174" t="s">
        <v>349</v>
      </c>
      <c r="BC174" t="s">
        <v>515</v>
      </c>
      <c r="BD174" t="s">
        <v>2501</v>
      </c>
      <c r="BE174">
        <v>2015</v>
      </c>
      <c r="BF174" t="s">
        <v>349</v>
      </c>
      <c r="BG174" t="s">
        <v>515</v>
      </c>
      <c r="BH174" t="s">
        <v>2501</v>
      </c>
      <c r="BI174">
        <v>2015</v>
      </c>
      <c r="BL174" t="s">
        <v>351</v>
      </c>
      <c r="BM174">
        <v>32</v>
      </c>
      <c r="BN174">
        <v>41</v>
      </c>
      <c r="CD174" t="e">
        <v>#N/A</v>
      </c>
    </row>
    <row r="175" spans="1:82" x14ac:dyDescent="0.3">
      <c r="A175">
        <v>179</v>
      </c>
      <c r="B175" t="e">
        <v>#NUM!</v>
      </c>
      <c r="C175" t="s">
        <v>2502</v>
      </c>
      <c r="D175">
        <v>641907254</v>
      </c>
      <c r="E175">
        <v>1710005657880</v>
      </c>
      <c r="G175" t="s">
        <v>2503</v>
      </c>
      <c r="H175" t="s">
        <v>2503</v>
      </c>
      <c r="I175" s="305">
        <v>43647</v>
      </c>
      <c r="J175">
        <v>5</v>
      </c>
      <c r="K175">
        <v>6</v>
      </c>
      <c r="L175" t="s">
        <v>14</v>
      </c>
      <c r="M175" t="s">
        <v>187</v>
      </c>
      <c r="O175" s="305">
        <v>45657</v>
      </c>
      <c r="Q175" t="s">
        <v>206</v>
      </c>
      <c r="R175" t="s">
        <v>6863</v>
      </c>
      <c r="S175" t="s">
        <v>312</v>
      </c>
      <c r="T175" t="s">
        <v>23</v>
      </c>
      <c r="U175" t="s">
        <v>204</v>
      </c>
      <c r="V175" t="s">
        <v>51</v>
      </c>
      <c r="W175" t="s">
        <v>121</v>
      </c>
      <c r="X175" t="s">
        <v>313</v>
      </c>
      <c r="Z175" t="s">
        <v>337</v>
      </c>
      <c r="AA175" t="s">
        <v>132</v>
      </c>
      <c r="AB175" t="s">
        <v>867</v>
      </c>
      <c r="AC175" s="305">
        <v>34829</v>
      </c>
      <c r="AD175">
        <v>29</v>
      </c>
      <c r="AE175" t="s">
        <v>2504</v>
      </c>
      <c r="AF175" t="s">
        <v>2505</v>
      </c>
      <c r="AG175" t="s">
        <v>2506</v>
      </c>
      <c r="AJ175" t="s">
        <v>2507</v>
      </c>
      <c r="AK175" t="s">
        <v>2508</v>
      </c>
      <c r="AL175">
        <v>14003375376</v>
      </c>
      <c r="AM175" t="s">
        <v>4733</v>
      </c>
      <c r="AN175" t="s">
        <v>2509</v>
      </c>
      <c r="AO175" t="s">
        <v>2510</v>
      </c>
      <c r="AS175" t="s">
        <v>306</v>
      </c>
      <c r="AT175" t="s">
        <v>306</v>
      </c>
      <c r="AU175" t="s">
        <v>306</v>
      </c>
      <c r="AV175" t="s">
        <v>306</v>
      </c>
      <c r="AW175">
        <v>1</v>
      </c>
      <c r="AX175" t="s">
        <v>5637</v>
      </c>
      <c r="BA175" t="s">
        <v>161</v>
      </c>
      <c r="BB175" t="s">
        <v>349</v>
      </c>
      <c r="BC175" t="s">
        <v>515</v>
      </c>
      <c r="BD175" t="s">
        <v>2511</v>
      </c>
      <c r="BE175">
        <v>2013</v>
      </c>
      <c r="BF175" t="s">
        <v>475</v>
      </c>
      <c r="BG175" t="s">
        <v>515</v>
      </c>
      <c r="BH175" t="s">
        <v>2511</v>
      </c>
      <c r="BI175">
        <v>2013</v>
      </c>
      <c r="BL175" t="s">
        <v>351</v>
      </c>
      <c r="BM175">
        <v>29</v>
      </c>
      <c r="BN175">
        <v>40</v>
      </c>
      <c r="BO175" s="305">
        <v>44400</v>
      </c>
      <c r="BQ175" s="305">
        <v>44868</v>
      </c>
      <c r="CD175" t="e">
        <v>#N/A</v>
      </c>
    </row>
    <row r="176" spans="1:82" x14ac:dyDescent="0.3">
      <c r="A176">
        <v>180</v>
      </c>
      <c r="B176" t="e">
        <v>#NUM!</v>
      </c>
      <c r="C176" t="s">
        <v>2512</v>
      </c>
      <c r="D176">
        <v>641907250</v>
      </c>
      <c r="E176">
        <v>1710005657716</v>
      </c>
      <c r="G176" t="s">
        <v>21</v>
      </c>
      <c r="H176" t="s">
        <v>21</v>
      </c>
      <c r="I176" s="305">
        <v>43647</v>
      </c>
      <c r="J176">
        <v>5</v>
      </c>
      <c r="K176">
        <v>6</v>
      </c>
      <c r="L176" t="s">
        <v>14</v>
      </c>
      <c r="M176" t="s">
        <v>187</v>
      </c>
      <c r="O176" s="305">
        <v>45657</v>
      </c>
      <c r="Q176" t="s">
        <v>206</v>
      </c>
      <c r="R176" t="s">
        <v>6863</v>
      </c>
      <c r="S176" t="s">
        <v>312</v>
      </c>
      <c r="T176" t="s">
        <v>25</v>
      </c>
      <c r="U176" t="s">
        <v>443</v>
      </c>
      <c r="V176" t="s">
        <v>748</v>
      </c>
      <c r="W176" t="s">
        <v>122</v>
      </c>
      <c r="X176" t="s">
        <v>313</v>
      </c>
      <c r="Z176" t="s">
        <v>337</v>
      </c>
      <c r="AA176" t="s">
        <v>132</v>
      </c>
      <c r="AB176" t="s">
        <v>2513</v>
      </c>
      <c r="AC176" s="305">
        <v>35837</v>
      </c>
      <c r="AD176">
        <v>26</v>
      </c>
      <c r="AE176" t="s">
        <v>2514</v>
      </c>
      <c r="AF176" t="s">
        <v>2515</v>
      </c>
      <c r="AG176" t="s">
        <v>2516</v>
      </c>
      <c r="AJ176" t="s">
        <v>2517</v>
      </c>
      <c r="AK176" t="s">
        <v>2518</v>
      </c>
      <c r="AL176">
        <v>19047643945</v>
      </c>
      <c r="AM176" t="s">
        <v>4733</v>
      </c>
      <c r="AN176" t="s">
        <v>2519</v>
      </c>
      <c r="AO176" t="s">
        <v>2520</v>
      </c>
      <c r="AS176" t="s">
        <v>306</v>
      </c>
      <c r="AT176" t="s">
        <v>306</v>
      </c>
      <c r="AU176" t="s">
        <v>306</v>
      </c>
      <c r="AV176" t="s">
        <v>306</v>
      </c>
      <c r="AW176">
        <v>1</v>
      </c>
      <c r="AX176" t="s">
        <v>5637</v>
      </c>
      <c r="BA176" t="s">
        <v>161</v>
      </c>
      <c r="BB176" t="s">
        <v>349</v>
      </c>
      <c r="BC176" t="s">
        <v>515</v>
      </c>
      <c r="BD176" t="s">
        <v>2521</v>
      </c>
      <c r="BE176">
        <v>2016</v>
      </c>
      <c r="BF176" t="s">
        <v>475</v>
      </c>
      <c r="BG176" t="s">
        <v>515</v>
      </c>
      <c r="BH176" t="s">
        <v>2521</v>
      </c>
      <c r="BI176">
        <v>2016</v>
      </c>
      <c r="BL176" t="s">
        <v>351</v>
      </c>
      <c r="BM176">
        <v>29</v>
      </c>
      <c r="BN176">
        <v>40</v>
      </c>
      <c r="BP176" s="305">
        <v>44590</v>
      </c>
      <c r="CD176" t="e">
        <v>#N/A</v>
      </c>
    </row>
    <row r="177" spans="1:82" x14ac:dyDescent="0.3">
      <c r="A177">
        <v>183</v>
      </c>
      <c r="B177" t="e">
        <v>#NUM!</v>
      </c>
      <c r="C177" t="s">
        <v>2540</v>
      </c>
      <c r="D177">
        <v>642002073</v>
      </c>
      <c r="E177">
        <v>1710006986346</v>
      </c>
      <c r="G177" t="s">
        <v>29</v>
      </c>
      <c r="H177" t="s">
        <v>29</v>
      </c>
      <c r="I177" s="305">
        <v>43878</v>
      </c>
      <c r="J177">
        <v>4</v>
      </c>
      <c r="K177">
        <v>11</v>
      </c>
      <c r="L177" t="s">
        <v>14</v>
      </c>
      <c r="M177" t="s">
        <v>187</v>
      </c>
      <c r="O177" s="305">
        <v>45657</v>
      </c>
      <c r="Q177" t="s">
        <v>206</v>
      </c>
      <c r="R177" t="s">
        <v>6863</v>
      </c>
      <c r="S177" t="s">
        <v>312</v>
      </c>
      <c r="T177" t="s">
        <v>29</v>
      </c>
      <c r="U177" t="s">
        <v>204</v>
      </c>
      <c r="V177" t="s">
        <v>41</v>
      </c>
      <c r="W177" t="s">
        <v>122</v>
      </c>
      <c r="X177" t="s">
        <v>313</v>
      </c>
      <c r="AA177" t="s">
        <v>132</v>
      </c>
      <c r="AB177" t="s">
        <v>2541</v>
      </c>
      <c r="AC177" s="305">
        <v>33600</v>
      </c>
      <c r="AD177">
        <v>33</v>
      </c>
      <c r="AE177" t="s">
        <v>2542</v>
      </c>
      <c r="AF177" t="s">
        <v>2543</v>
      </c>
      <c r="AG177" t="s">
        <v>2544</v>
      </c>
      <c r="AJ177" t="s">
        <v>2545</v>
      </c>
      <c r="AK177" t="s">
        <v>2546</v>
      </c>
      <c r="AL177">
        <v>20024319749</v>
      </c>
      <c r="AM177" t="s">
        <v>4733</v>
      </c>
      <c r="AN177" t="s">
        <v>2547</v>
      </c>
      <c r="AO177" t="s">
        <v>2548</v>
      </c>
      <c r="AS177" t="s">
        <v>306</v>
      </c>
      <c r="AT177" t="s">
        <v>306</v>
      </c>
      <c r="AU177" t="s">
        <v>306</v>
      </c>
      <c r="AV177" t="s">
        <v>306</v>
      </c>
      <c r="AW177">
        <v>1</v>
      </c>
      <c r="AX177" t="s">
        <v>5637</v>
      </c>
      <c r="BA177" t="s">
        <v>161</v>
      </c>
      <c r="BB177" t="s">
        <v>349</v>
      </c>
      <c r="BC177" t="s">
        <v>91</v>
      </c>
      <c r="BD177" t="s">
        <v>2549</v>
      </c>
      <c r="BE177">
        <v>2009</v>
      </c>
      <c r="BF177" t="s">
        <v>349</v>
      </c>
      <c r="BG177" t="s">
        <v>91</v>
      </c>
      <c r="BH177" t="s">
        <v>2549</v>
      </c>
      <c r="BI177">
        <v>2009</v>
      </c>
      <c r="BL177" t="s">
        <v>360</v>
      </c>
      <c r="BM177" t="s">
        <v>360</v>
      </c>
      <c r="BN177">
        <v>29</v>
      </c>
      <c r="CD177" t="e">
        <v>#N/A</v>
      </c>
    </row>
    <row r="178" spans="1:82" x14ac:dyDescent="0.3">
      <c r="A178">
        <v>184</v>
      </c>
      <c r="B178" t="e">
        <v>#NUM!</v>
      </c>
      <c r="C178" t="s">
        <v>2550</v>
      </c>
      <c r="D178">
        <v>642002074</v>
      </c>
      <c r="E178">
        <v>1710006361227</v>
      </c>
      <c r="G178" t="s">
        <v>25</v>
      </c>
      <c r="H178" t="s">
        <v>25</v>
      </c>
      <c r="I178" s="305">
        <v>43880</v>
      </c>
      <c r="J178">
        <v>4</v>
      </c>
      <c r="K178">
        <v>10</v>
      </c>
      <c r="L178" t="s">
        <v>14</v>
      </c>
      <c r="M178" t="s">
        <v>187</v>
      </c>
      <c r="O178" s="305">
        <v>45657</v>
      </c>
      <c r="Q178" t="s">
        <v>206</v>
      </c>
      <c r="R178" t="s">
        <v>6863</v>
      </c>
      <c r="S178" t="s">
        <v>296</v>
      </c>
      <c r="T178" t="s">
        <v>25</v>
      </c>
      <c r="U178" t="s">
        <v>443</v>
      </c>
      <c r="V178" t="s">
        <v>748</v>
      </c>
      <c r="W178" t="s">
        <v>122</v>
      </c>
      <c r="X178" t="s">
        <v>313</v>
      </c>
      <c r="AA178" t="s">
        <v>133</v>
      </c>
      <c r="AB178" t="s">
        <v>2276</v>
      </c>
      <c r="AC178" s="305">
        <v>34615</v>
      </c>
      <c r="AD178">
        <v>30</v>
      </c>
      <c r="AE178" t="s">
        <v>2551</v>
      </c>
      <c r="AF178" t="s">
        <v>2552</v>
      </c>
      <c r="AG178" t="s">
        <v>2553</v>
      </c>
      <c r="AJ178" t="s">
        <v>2554</v>
      </c>
      <c r="AK178" t="s">
        <v>2555</v>
      </c>
      <c r="AL178">
        <v>20024319731</v>
      </c>
      <c r="AM178" t="s">
        <v>4716</v>
      </c>
      <c r="AS178" t="s">
        <v>306</v>
      </c>
      <c r="AT178" t="s">
        <v>2556</v>
      </c>
      <c r="AU178" t="s">
        <v>306</v>
      </c>
      <c r="AV178" t="s">
        <v>306</v>
      </c>
      <c r="AW178">
        <v>0</v>
      </c>
      <c r="AX178" t="s">
        <v>5078</v>
      </c>
      <c r="AY178" t="s">
        <v>2557</v>
      </c>
      <c r="AZ178" t="s">
        <v>2551</v>
      </c>
      <c r="BA178" t="s">
        <v>161</v>
      </c>
      <c r="BB178" t="s">
        <v>75</v>
      </c>
      <c r="BC178" t="s">
        <v>1925</v>
      </c>
      <c r="BD178" t="s">
        <v>2558</v>
      </c>
      <c r="BE178">
        <v>2016</v>
      </c>
      <c r="BF178" t="s">
        <v>75</v>
      </c>
      <c r="BG178" t="s">
        <v>1925</v>
      </c>
      <c r="BH178" t="s">
        <v>2558</v>
      </c>
      <c r="BI178">
        <v>2016</v>
      </c>
      <c r="BL178" t="s">
        <v>351</v>
      </c>
      <c r="BM178" t="s">
        <v>351</v>
      </c>
      <c r="BN178">
        <v>29</v>
      </c>
      <c r="BP178" s="305">
        <v>44449</v>
      </c>
      <c r="CD178" t="e">
        <v>#N/A</v>
      </c>
    </row>
    <row r="179" spans="1:82" x14ac:dyDescent="0.3">
      <c r="A179">
        <v>185</v>
      </c>
      <c r="B179" t="e">
        <v>#NUM!</v>
      </c>
      <c r="C179" t="s">
        <v>2559</v>
      </c>
      <c r="D179">
        <v>642002080</v>
      </c>
      <c r="E179">
        <v>1710006361268</v>
      </c>
      <c r="G179" t="s">
        <v>1896</v>
      </c>
      <c r="H179" t="s">
        <v>2560</v>
      </c>
      <c r="I179" s="305">
        <v>43885</v>
      </c>
      <c r="J179">
        <v>4</v>
      </c>
      <c r="K179">
        <v>10</v>
      </c>
      <c r="L179" t="s">
        <v>14</v>
      </c>
      <c r="M179" t="s">
        <v>187</v>
      </c>
      <c r="O179" s="305">
        <v>45657</v>
      </c>
      <c r="Q179" t="s">
        <v>206</v>
      </c>
      <c r="R179" t="s">
        <v>6863</v>
      </c>
      <c r="S179" t="s">
        <v>312</v>
      </c>
      <c r="T179" t="s">
        <v>24</v>
      </c>
      <c r="U179" t="s">
        <v>204</v>
      </c>
      <c r="V179" t="s">
        <v>629</v>
      </c>
      <c r="W179" t="s">
        <v>121</v>
      </c>
      <c r="X179" t="s">
        <v>313</v>
      </c>
      <c r="AA179" t="s">
        <v>132</v>
      </c>
      <c r="AB179" t="s">
        <v>1886</v>
      </c>
      <c r="AC179" s="305">
        <v>36331</v>
      </c>
      <c r="AD179">
        <v>25</v>
      </c>
      <c r="AE179" t="s">
        <v>2561</v>
      </c>
      <c r="AF179" t="s">
        <v>2562</v>
      </c>
      <c r="AG179" t="s">
        <v>2563</v>
      </c>
      <c r="AJ179" t="s">
        <v>2564</v>
      </c>
      <c r="AK179" t="s">
        <v>2565</v>
      </c>
      <c r="AL179">
        <v>20024319806</v>
      </c>
      <c r="AM179" t="s">
        <v>4716</v>
      </c>
      <c r="AS179" t="s">
        <v>2566</v>
      </c>
      <c r="AT179" t="s">
        <v>2567</v>
      </c>
      <c r="AU179" t="s">
        <v>306</v>
      </c>
      <c r="AV179" t="s">
        <v>306</v>
      </c>
      <c r="AW179">
        <v>0</v>
      </c>
      <c r="AX179" t="s">
        <v>5078</v>
      </c>
      <c r="AY179" t="s">
        <v>2568</v>
      </c>
      <c r="AZ179" t="s">
        <v>2568</v>
      </c>
      <c r="BA179" t="s">
        <v>162</v>
      </c>
      <c r="BB179" t="s">
        <v>349</v>
      </c>
      <c r="BC179" t="s">
        <v>515</v>
      </c>
      <c r="BD179" t="s">
        <v>2569</v>
      </c>
      <c r="BE179">
        <v>2018</v>
      </c>
      <c r="BF179" t="s">
        <v>349</v>
      </c>
      <c r="BG179" t="s">
        <v>515</v>
      </c>
      <c r="BH179" t="s">
        <v>2569</v>
      </c>
      <c r="BI179">
        <v>2018</v>
      </c>
      <c r="BN179">
        <v>41</v>
      </c>
      <c r="CD179" t="e">
        <v>#N/A</v>
      </c>
    </row>
    <row r="180" spans="1:82" x14ac:dyDescent="0.3">
      <c r="A180">
        <v>186</v>
      </c>
      <c r="B180" t="e">
        <v>#NUM!</v>
      </c>
      <c r="C180" t="s">
        <v>2570</v>
      </c>
      <c r="D180">
        <v>642002079</v>
      </c>
      <c r="E180">
        <v>1710006361318</v>
      </c>
      <c r="G180" t="s">
        <v>2298</v>
      </c>
      <c r="H180" t="s">
        <v>2298</v>
      </c>
      <c r="I180" s="305">
        <v>43885</v>
      </c>
      <c r="J180">
        <v>4</v>
      </c>
      <c r="K180">
        <v>10</v>
      </c>
      <c r="L180" t="s">
        <v>14</v>
      </c>
      <c r="M180" t="s">
        <v>187</v>
      </c>
      <c r="O180" s="305">
        <v>45657</v>
      </c>
      <c r="Q180" t="s">
        <v>206</v>
      </c>
      <c r="R180" t="s">
        <v>6863</v>
      </c>
      <c r="S180" t="s">
        <v>312</v>
      </c>
      <c r="T180" t="s">
        <v>24</v>
      </c>
      <c r="U180" t="s">
        <v>204</v>
      </c>
      <c r="V180" t="s">
        <v>629</v>
      </c>
      <c r="W180" t="s">
        <v>121</v>
      </c>
      <c r="X180" t="s">
        <v>313</v>
      </c>
      <c r="AA180" t="s">
        <v>132</v>
      </c>
      <c r="AB180" t="s">
        <v>2571</v>
      </c>
      <c r="AC180" s="305">
        <v>33525</v>
      </c>
      <c r="AD180">
        <v>33</v>
      </c>
      <c r="AE180" t="s">
        <v>2572</v>
      </c>
      <c r="AF180" t="s">
        <v>2573</v>
      </c>
      <c r="AG180" t="s">
        <v>2574</v>
      </c>
      <c r="AJ180" t="s">
        <v>2575</v>
      </c>
      <c r="AK180" t="s">
        <v>2576</v>
      </c>
      <c r="AL180">
        <v>20024319772</v>
      </c>
      <c r="AM180" t="s">
        <v>4733</v>
      </c>
      <c r="AN180" t="s">
        <v>2577</v>
      </c>
      <c r="AS180" t="s">
        <v>2578</v>
      </c>
      <c r="AT180" t="s">
        <v>2579</v>
      </c>
      <c r="AU180" t="s">
        <v>2580</v>
      </c>
      <c r="AV180" t="s">
        <v>2581</v>
      </c>
      <c r="AW180">
        <v>0</v>
      </c>
      <c r="AX180" t="s">
        <v>5627</v>
      </c>
      <c r="BA180" t="s">
        <v>161</v>
      </c>
      <c r="BB180" t="s">
        <v>349</v>
      </c>
      <c r="BC180" t="s">
        <v>515</v>
      </c>
      <c r="BD180" t="s">
        <v>2582</v>
      </c>
      <c r="BE180">
        <v>2010</v>
      </c>
      <c r="BF180" t="s">
        <v>349</v>
      </c>
      <c r="BG180" t="s">
        <v>515</v>
      </c>
      <c r="BH180" t="s">
        <v>2582</v>
      </c>
      <c r="BI180">
        <v>2010</v>
      </c>
      <c r="BN180">
        <v>41</v>
      </c>
      <c r="CD180" t="e">
        <v>#N/A</v>
      </c>
    </row>
    <row r="181" spans="1:82" x14ac:dyDescent="0.3">
      <c r="A181">
        <v>187</v>
      </c>
      <c r="B181" t="e">
        <v>#NUM!</v>
      </c>
      <c r="C181" t="s">
        <v>2583</v>
      </c>
      <c r="D181">
        <v>642002075</v>
      </c>
      <c r="E181">
        <v>1710006361243</v>
      </c>
      <c r="G181" t="s">
        <v>26</v>
      </c>
      <c r="H181" t="s">
        <v>26</v>
      </c>
      <c r="I181" s="305">
        <v>43886</v>
      </c>
      <c r="J181">
        <v>4</v>
      </c>
      <c r="K181">
        <v>10</v>
      </c>
      <c r="L181" t="s">
        <v>14</v>
      </c>
      <c r="M181" t="s">
        <v>187</v>
      </c>
      <c r="O181" s="305">
        <v>45657</v>
      </c>
      <c r="Q181" t="s">
        <v>206</v>
      </c>
      <c r="R181" t="s">
        <v>6863</v>
      </c>
      <c r="S181" t="s">
        <v>312</v>
      </c>
      <c r="T181" t="s">
        <v>26</v>
      </c>
      <c r="U181" t="s">
        <v>547</v>
      </c>
      <c r="V181" t="s">
        <v>97</v>
      </c>
      <c r="W181" t="s">
        <v>122</v>
      </c>
      <c r="X181" t="s">
        <v>313</v>
      </c>
      <c r="AA181" t="s">
        <v>132</v>
      </c>
      <c r="AB181" t="s">
        <v>2584</v>
      </c>
      <c r="AC181" s="305">
        <v>36531</v>
      </c>
      <c r="AD181">
        <v>25</v>
      </c>
      <c r="AE181" t="s">
        <v>2585</v>
      </c>
      <c r="AF181" t="s">
        <v>2586</v>
      </c>
      <c r="AG181" t="s">
        <v>2587</v>
      </c>
      <c r="AH181" t="s">
        <v>2588</v>
      </c>
      <c r="AJ181" t="s">
        <v>2589</v>
      </c>
      <c r="AK181" t="s">
        <v>2590</v>
      </c>
      <c r="AL181">
        <v>20024319798</v>
      </c>
      <c r="AM181" t="s">
        <v>4716</v>
      </c>
      <c r="AS181" t="s">
        <v>2591</v>
      </c>
      <c r="AT181" t="s">
        <v>2592</v>
      </c>
      <c r="AU181" t="s">
        <v>306</v>
      </c>
      <c r="AV181" t="s">
        <v>306</v>
      </c>
      <c r="AW181">
        <v>0</v>
      </c>
      <c r="AX181" t="s">
        <v>5078</v>
      </c>
      <c r="AY181" t="s">
        <v>2593</v>
      </c>
      <c r="AZ181" t="s">
        <v>2593</v>
      </c>
      <c r="BA181" t="s">
        <v>161</v>
      </c>
      <c r="BB181" t="s">
        <v>349</v>
      </c>
      <c r="BC181" t="s">
        <v>1213</v>
      </c>
      <c r="BD181" t="s">
        <v>2123</v>
      </c>
      <c r="BE181">
        <v>2018</v>
      </c>
      <c r="BF181" t="s">
        <v>349</v>
      </c>
      <c r="BG181" t="s">
        <v>1213</v>
      </c>
      <c r="BH181" t="s">
        <v>2123</v>
      </c>
      <c r="BI181">
        <v>2018</v>
      </c>
      <c r="BL181" t="s">
        <v>360</v>
      </c>
      <c r="BM181" t="s">
        <v>360</v>
      </c>
      <c r="BN181">
        <v>42</v>
      </c>
      <c r="BO181" s="305">
        <v>44365</v>
      </c>
      <c r="CD181" t="e">
        <v>#N/A</v>
      </c>
    </row>
    <row r="182" spans="1:82" x14ac:dyDescent="0.3">
      <c r="A182">
        <v>188</v>
      </c>
      <c r="B182" t="e">
        <v>#NUM!</v>
      </c>
      <c r="C182" t="s">
        <v>2594</v>
      </c>
      <c r="D182">
        <v>642002083</v>
      </c>
      <c r="E182">
        <v>1710006361144</v>
      </c>
      <c r="G182" t="s">
        <v>30</v>
      </c>
      <c r="H182" t="s">
        <v>30</v>
      </c>
      <c r="I182" s="305">
        <v>43891</v>
      </c>
      <c r="J182">
        <v>4</v>
      </c>
      <c r="K182">
        <v>10</v>
      </c>
      <c r="L182" t="s">
        <v>14</v>
      </c>
      <c r="M182" t="s">
        <v>187</v>
      </c>
      <c r="O182" s="305">
        <v>45657</v>
      </c>
      <c r="Q182" t="s">
        <v>206</v>
      </c>
      <c r="R182" t="s">
        <v>6863</v>
      </c>
      <c r="S182" t="s">
        <v>312</v>
      </c>
      <c r="T182" t="s">
        <v>25</v>
      </c>
      <c r="U182" t="s">
        <v>443</v>
      </c>
      <c r="V182" t="s">
        <v>748</v>
      </c>
      <c r="W182" t="s">
        <v>122</v>
      </c>
      <c r="X182" t="s">
        <v>313</v>
      </c>
      <c r="AA182" t="s">
        <v>132</v>
      </c>
      <c r="AB182" t="s">
        <v>2595</v>
      </c>
      <c r="AC182" s="305">
        <v>37116</v>
      </c>
      <c r="AD182">
        <v>23</v>
      </c>
      <c r="AE182" t="s">
        <v>2596</v>
      </c>
      <c r="AF182" t="s">
        <v>2597</v>
      </c>
      <c r="AG182" t="s">
        <v>2598</v>
      </c>
      <c r="AJ182" t="s">
        <v>2599</v>
      </c>
      <c r="AK182" t="s">
        <v>2600</v>
      </c>
      <c r="AL182">
        <v>20024319855</v>
      </c>
      <c r="AM182" t="s">
        <v>4716</v>
      </c>
      <c r="AS182" t="s">
        <v>306</v>
      </c>
      <c r="AT182" t="s">
        <v>306</v>
      </c>
      <c r="AU182" t="s">
        <v>306</v>
      </c>
      <c r="AV182" t="s">
        <v>306</v>
      </c>
      <c r="AW182">
        <v>0</v>
      </c>
      <c r="AX182" t="s">
        <v>5078</v>
      </c>
      <c r="BA182" t="s">
        <v>161</v>
      </c>
      <c r="BB182" t="s">
        <v>349</v>
      </c>
      <c r="BC182" t="s">
        <v>515</v>
      </c>
      <c r="BD182" t="s">
        <v>2601</v>
      </c>
      <c r="BE182">
        <v>2019</v>
      </c>
      <c r="BF182" t="s">
        <v>349</v>
      </c>
      <c r="BG182" t="s">
        <v>515</v>
      </c>
      <c r="BH182" t="s">
        <v>2601</v>
      </c>
      <c r="BI182">
        <v>2019</v>
      </c>
      <c r="BL182" t="s">
        <v>339</v>
      </c>
      <c r="BM182" t="s">
        <v>339</v>
      </c>
      <c r="BN182">
        <v>43</v>
      </c>
      <c r="CD182" t="e">
        <v>#N/A</v>
      </c>
    </row>
    <row r="183" spans="1:82" x14ac:dyDescent="0.3">
      <c r="A183">
        <v>189</v>
      </c>
      <c r="B183" t="e">
        <v>#NUM!</v>
      </c>
      <c r="C183" t="s">
        <v>2602</v>
      </c>
      <c r="D183">
        <v>642002085</v>
      </c>
      <c r="E183">
        <v>1710003987743</v>
      </c>
      <c r="G183" t="s">
        <v>217</v>
      </c>
      <c r="H183" t="s">
        <v>217</v>
      </c>
      <c r="I183" s="305">
        <v>43892</v>
      </c>
      <c r="J183">
        <v>4</v>
      </c>
      <c r="K183">
        <v>10</v>
      </c>
      <c r="L183" t="s">
        <v>14</v>
      </c>
      <c r="M183" t="s">
        <v>187</v>
      </c>
      <c r="O183" s="305">
        <v>45657</v>
      </c>
      <c r="Q183" t="s">
        <v>206</v>
      </c>
      <c r="R183" t="s">
        <v>6863</v>
      </c>
      <c r="S183" t="s">
        <v>312</v>
      </c>
      <c r="T183" t="s">
        <v>204</v>
      </c>
      <c r="U183" t="s">
        <v>420</v>
      </c>
      <c r="V183" t="s">
        <v>208</v>
      </c>
      <c r="W183" t="s">
        <v>208</v>
      </c>
      <c r="X183" t="s">
        <v>313</v>
      </c>
      <c r="Y183" t="s">
        <v>462</v>
      </c>
      <c r="AA183" t="s">
        <v>132</v>
      </c>
      <c r="AB183" t="s">
        <v>217</v>
      </c>
      <c r="AC183" s="305">
        <v>34519</v>
      </c>
      <c r="AD183">
        <v>30</v>
      </c>
      <c r="AE183" t="s">
        <v>2603</v>
      </c>
      <c r="AF183" t="s">
        <v>2604</v>
      </c>
      <c r="AG183" t="s">
        <v>2605</v>
      </c>
      <c r="AJ183" t="s">
        <v>2606</v>
      </c>
      <c r="AK183" t="s">
        <v>2607</v>
      </c>
      <c r="AL183">
        <v>17028637795</v>
      </c>
      <c r="AM183" t="s">
        <v>4733</v>
      </c>
      <c r="AN183" t="s">
        <v>2608</v>
      </c>
      <c r="AO183" t="s">
        <v>2609</v>
      </c>
      <c r="AS183" t="s">
        <v>2610</v>
      </c>
      <c r="AT183" t="s">
        <v>2611</v>
      </c>
      <c r="AU183" t="s">
        <v>2612</v>
      </c>
      <c r="AV183" t="s">
        <v>2613</v>
      </c>
      <c r="AW183">
        <v>1</v>
      </c>
      <c r="AX183" t="s">
        <v>5637</v>
      </c>
      <c r="AY183" t="s">
        <v>2614</v>
      </c>
      <c r="AZ183" t="s">
        <v>2614</v>
      </c>
      <c r="BA183" t="s">
        <v>161</v>
      </c>
      <c r="BB183" t="s">
        <v>70</v>
      </c>
      <c r="BC183" t="s">
        <v>515</v>
      </c>
      <c r="BD183" t="s">
        <v>72</v>
      </c>
      <c r="BE183">
        <v>2016</v>
      </c>
      <c r="BF183" t="s">
        <v>70</v>
      </c>
      <c r="BG183" t="s">
        <v>515</v>
      </c>
      <c r="BH183" t="s">
        <v>72</v>
      </c>
      <c r="BI183">
        <v>2016</v>
      </c>
      <c r="BL183" t="s">
        <v>351</v>
      </c>
      <c r="BM183" t="s">
        <v>351</v>
      </c>
      <c r="BN183">
        <v>42</v>
      </c>
      <c r="BO183" s="305">
        <v>44293</v>
      </c>
      <c r="BP183" s="305">
        <v>44322</v>
      </c>
      <c r="BQ183" s="305">
        <v>44600</v>
      </c>
      <c r="CD183" t="e">
        <v>#N/A</v>
      </c>
    </row>
    <row r="184" spans="1:82" x14ac:dyDescent="0.3">
      <c r="A184">
        <v>190</v>
      </c>
      <c r="B184" t="e">
        <v>#NUM!</v>
      </c>
      <c r="C184" t="s">
        <v>2615</v>
      </c>
      <c r="D184">
        <v>642002086</v>
      </c>
      <c r="E184">
        <v>1660002404481</v>
      </c>
      <c r="G184" t="s">
        <v>24</v>
      </c>
      <c r="H184" t="s">
        <v>24</v>
      </c>
      <c r="I184" s="305">
        <v>43893</v>
      </c>
      <c r="J184">
        <v>4</v>
      </c>
      <c r="K184">
        <v>10</v>
      </c>
      <c r="L184" t="s">
        <v>14</v>
      </c>
      <c r="M184" t="s">
        <v>187</v>
      </c>
      <c r="O184" s="305">
        <v>45657</v>
      </c>
      <c r="Q184" t="s">
        <v>206</v>
      </c>
      <c r="R184" t="s">
        <v>6863</v>
      </c>
      <c r="S184" t="s">
        <v>312</v>
      </c>
      <c r="T184" t="s">
        <v>24</v>
      </c>
      <c r="U184" t="s">
        <v>204</v>
      </c>
      <c r="V184" t="s">
        <v>629</v>
      </c>
      <c r="W184" t="s">
        <v>121</v>
      </c>
      <c r="X184" t="s">
        <v>313</v>
      </c>
      <c r="AA184" t="s">
        <v>132</v>
      </c>
      <c r="AB184" t="s">
        <v>2616</v>
      </c>
      <c r="AC184" s="305">
        <v>36536</v>
      </c>
      <c r="AD184">
        <v>25</v>
      </c>
      <c r="AE184" t="s">
        <v>2617</v>
      </c>
      <c r="AF184" t="s">
        <v>2618</v>
      </c>
      <c r="AG184" t="s">
        <v>2619</v>
      </c>
      <c r="AJ184" t="s">
        <v>2620</v>
      </c>
      <c r="AK184" t="s">
        <v>2621</v>
      </c>
      <c r="AL184">
        <v>20024319848</v>
      </c>
      <c r="AM184" t="s">
        <v>4716</v>
      </c>
      <c r="AS184" t="s">
        <v>2622</v>
      </c>
      <c r="AT184" t="s">
        <v>2623</v>
      </c>
      <c r="AU184" t="s">
        <v>306</v>
      </c>
      <c r="AV184" t="s">
        <v>306</v>
      </c>
      <c r="AW184">
        <v>0</v>
      </c>
      <c r="AX184" t="s">
        <v>5078</v>
      </c>
      <c r="AY184" t="s">
        <v>2624</v>
      </c>
      <c r="AZ184" t="s">
        <v>2624</v>
      </c>
      <c r="BA184" t="s">
        <v>161</v>
      </c>
      <c r="BB184" t="s">
        <v>349</v>
      </c>
      <c r="BC184" t="s">
        <v>1742</v>
      </c>
      <c r="BD184" t="s">
        <v>2625</v>
      </c>
      <c r="BE184">
        <v>2017</v>
      </c>
      <c r="BF184" t="s">
        <v>349</v>
      </c>
      <c r="BG184" t="s">
        <v>1742</v>
      </c>
      <c r="BH184" t="s">
        <v>2625</v>
      </c>
      <c r="BI184">
        <v>2017</v>
      </c>
      <c r="BL184" t="s">
        <v>360</v>
      </c>
      <c r="BM184" t="s">
        <v>360</v>
      </c>
      <c r="BN184">
        <v>39</v>
      </c>
      <c r="CD184" t="e">
        <v>#N/A</v>
      </c>
    </row>
    <row r="185" spans="1:82" x14ac:dyDescent="0.3">
      <c r="A185">
        <v>392</v>
      </c>
      <c r="B185" t="e">
        <v>#NUM!</v>
      </c>
      <c r="C185" t="s">
        <v>4406</v>
      </c>
      <c r="D185">
        <v>642409207</v>
      </c>
      <c r="E185" t="s">
        <v>4407</v>
      </c>
      <c r="G185" t="s">
        <v>217</v>
      </c>
      <c r="H185" t="s">
        <v>217</v>
      </c>
      <c r="I185" s="305">
        <v>45567</v>
      </c>
      <c r="J185">
        <v>0</v>
      </c>
      <c r="K185">
        <v>0</v>
      </c>
      <c r="L185" t="s">
        <v>14</v>
      </c>
      <c r="M185" t="s">
        <v>187</v>
      </c>
      <c r="O185" s="305">
        <v>45657</v>
      </c>
      <c r="Q185" t="s">
        <v>206</v>
      </c>
      <c r="R185" t="s">
        <v>6863</v>
      </c>
      <c r="S185" t="s">
        <v>312</v>
      </c>
      <c r="W185" t="s">
        <v>121</v>
      </c>
      <c r="X185" t="s">
        <v>313</v>
      </c>
      <c r="AA185" t="s">
        <v>132</v>
      </c>
      <c r="AB185" t="s">
        <v>217</v>
      </c>
      <c r="AC185" s="305">
        <v>34912</v>
      </c>
      <c r="AD185">
        <v>29</v>
      </c>
      <c r="AE185" t="s">
        <v>4408</v>
      </c>
      <c r="AF185" t="s">
        <v>4409</v>
      </c>
      <c r="AG185" t="s">
        <v>4410</v>
      </c>
      <c r="AH185" t="s">
        <v>4411</v>
      </c>
      <c r="AI185" t="s">
        <v>4411</v>
      </c>
      <c r="AJ185" t="s">
        <v>4412</v>
      </c>
      <c r="AK185" t="s">
        <v>4413</v>
      </c>
      <c r="AL185" t="s">
        <v>4414</v>
      </c>
      <c r="AM185" t="s">
        <v>4716</v>
      </c>
      <c r="AS185" t="s">
        <v>4415</v>
      </c>
      <c r="AT185" t="s">
        <v>4416</v>
      </c>
      <c r="AW185">
        <v>0</v>
      </c>
      <c r="AX185" t="s">
        <v>5078</v>
      </c>
      <c r="BA185" t="s">
        <v>161</v>
      </c>
      <c r="BB185" t="s">
        <v>349</v>
      </c>
      <c r="BC185" t="s">
        <v>91</v>
      </c>
      <c r="BD185" t="s">
        <v>4417</v>
      </c>
      <c r="BE185">
        <v>2013</v>
      </c>
      <c r="BF185" t="s">
        <v>349</v>
      </c>
      <c r="BG185" t="s">
        <v>91</v>
      </c>
      <c r="BH185" t="s">
        <v>4417</v>
      </c>
      <c r="BI185">
        <v>2013</v>
      </c>
      <c r="BL185" t="s">
        <v>617</v>
      </c>
      <c r="BM185" t="s">
        <v>369</v>
      </c>
      <c r="BN185">
        <v>40</v>
      </c>
    </row>
    <row r="186" spans="1:82" x14ac:dyDescent="0.3">
      <c r="A186">
        <v>202</v>
      </c>
      <c r="B186">
        <v>165</v>
      </c>
      <c r="C186" t="s">
        <v>2753</v>
      </c>
      <c r="D186">
        <v>642007090</v>
      </c>
      <c r="E186">
        <v>1710000416969</v>
      </c>
      <c r="G186" t="s">
        <v>217</v>
      </c>
      <c r="H186" t="s">
        <v>217</v>
      </c>
      <c r="I186" s="305">
        <v>44013</v>
      </c>
      <c r="J186">
        <v>4</v>
      </c>
      <c r="K186">
        <v>6</v>
      </c>
      <c r="L186" t="s">
        <v>14</v>
      </c>
      <c r="M186" t="s">
        <v>187</v>
      </c>
      <c r="O186" s="305">
        <v>45839</v>
      </c>
      <c r="Q186" t="s">
        <v>206</v>
      </c>
      <c r="R186" t="s">
        <v>6863</v>
      </c>
      <c r="S186" t="s">
        <v>312</v>
      </c>
      <c r="T186" t="s">
        <v>204</v>
      </c>
      <c r="U186" t="s">
        <v>204</v>
      </c>
      <c r="V186" t="s">
        <v>208</v>
      </c>
      <c r="W186" t="s">
        <v>208</v>
      </c>
      <c r="X186" t="s">
        <v>313</v>
      </c>
      <c r="Y186" t="s">
        <v>854</v>
      </c>
      <c r="AA186" t="s">
        <v>132</v>
      </c>
      <c r="AB186" t="s">
        <v>217</v>
      </c>
      <c r="AC186" s="305">
        <v>33206</v>
      </c>
      <c r="AD186">
        <v>34</v>
      </c>
      <c r="AE186" t="s">
        <v>2754</v>
      </c>
      <c r="AF186" t="s">
        <v>2755</v>
      </c>
      <c r="AG186" t="s">
        <v>2756</v>
      </c>
      <c r="AJ186" t="s">
        <v>2757</v>
      </c>
      <c r="AK186" t="s">
        <v>2758</v>
      </c>
      <c r="AL186">
        <v>14022429428</v>
      </c>
      <c r="AM186" t="s">
        <v>4733</v>
      </c>
      <c r="AN186" t="s">
        <v>2759</v>
      </c>
      <c r="AO186" t="s">
        <v>2760</v>
      </c>
      <c r="AS186" t="s">
        <v>306</v>
      </c>
      <c r="AT186" t="s">
        <v>306</v>
      </c>
      <c r="AU186" t="s">
        <v>306</v>
      </c>
      <c r="AV186" t="s">
        <v>306</v>
      </c>
      <c r="AW186">
        <v>1</v>
      </c>
      <c r="AX186" t="s">
        <v>5637</v>
      </c>
      <c r="AZ186" t="s">
        <v>2761</v>
      </c>
      <c r="BA186" t="s">
        <v>161</v>
      </c>
      <c r="BB186" t="s">
        <v>349</v>
      </c>
      <c r="BC186" t="s">
        <v>6779</v>
      </c>
      <c r="BD186" t="s">
        <v>1292</v>
      </c>
      <c r="BE186">
        <v>2010</v>
      </c>
      <c r="BF186" t="s">
        <v>349</v>
      </c>
      <c r="BG186" t="s">
        <v>6779</v>
      </c>
      <c r="BH186" t="s">
        <v>1292</v>
      </c>
      <c r="BI186">
        <v>2010</v>
      </c>
      <c r="BN186">
        <v>40</v>
      </c>
      <c r="BO186" s="305">
        <v>44293</v>
      </c>
      <c r="BP186" s="305">
        <v>44322</v>
      </c>
      <c r="BQ186" s="305">
        <v>44565</v>
      </c>
      <c r="BV186" t="s">
        <v>2762</v>
      </c>
      <c r="CD186" t="e">
        <v>#N/A</v>
      </c>
    </row>
    <row r="187" spans="1:82" x14ac:dyDescent="0.3">
      <c r="A187">
        <v>203</v>
      </c>
      <c r="B187">
        <v>165</v>
      </c>
      <c r="C187" t="s">
        <v>2763</v>
      </c>
      <c r="D187">
        <v>642007089</v>
      </c>
      <c r="E187">
        <v>1710000713522</v>
      </c>
      <c r="G187" t="s">
        <v>217</v>
      </c>
      <c r="H187" t="s">
        <v>217</v>
      </c>
      <c r="I187" s="305">
        <v>44013</v>
      </c>
      <c r="J187">
        <v>4</v>
      </c>
      <c r="K187">
        <v>6</v>
      </c>
      <c r="L187" t="s">
        <v>14</v>
      </c>
      <c r="M187" t="s">
        <v>187</v>
      </c>
      <c r="O187" s="305">
        <v>45839</v>
      </c>
      <c r="Q187" t="s">
        <v>206</v>
      </c>
      <c r="R187" t="s">
        <v>6863</v>
      </c>
      <c r="S187" t="s">
        <v>312</v>
      </c>
      <c r="T187" t="s">
        <v>204</v>
      </c>
      <c r="U187" t="s">
        <v>420</v>
      </c>
      <c r="V187" t="s">
        <v>208</v>
      </c>
      <c r="W187" t="s">
        <v>208</v>
      </c>
      <c r="X187" t="s">
        <v>313</v>
      </c>
      <c r="AA187" t="s">
        <v>132</v>
      </c>
      <c r="AB187" t="s">
        <v>217</v>
      </c>
      <c r="AC187" s="305">
        <v>33146</v>
      </c>
      <c r="AD187">
        <v>34</v>
      </c>
      <c r="AE187" t="s">
        <v>2764</v>
      </c>
      <c r="AF187" t="s">
        <v>2765</v>
      </c>
      <c r="AG187" t="s">
        <v>2766</v>
      </c>
      <c r="AJ187" t="s">
        <v>2767</v>
      </c>
      <c r="AK187" t="s">
        <v>2768</v>
      </c>
      <c r="AL187">
        <v>15010091765</v>
      </c>
      <c r="AM187" t="s">
        <v>4733</v>
      </c>
      <c r="AS187" t="s">
        <v>2769</v>
      </c>
      <c r="AT187" t="s">
        <v>2770</v>
      </c>
      <c r="AU187" t="s">
        <v>306</v>
      </c>
      <c r="AV187" t="s">
        <v>306</v>
      </c>
      <c r="AW187">
        <v>0</v>
      </c>
      <c r="AX187" t="s">
        <v>5627</v>
      </c>
      <c r="AZ187" t="s">
        <v>2771</v>
      </c>
      <c r="BA187" t="s">
        <v>161</v>
      </c>
      <c r="BB187" t="s">
        <v>349</v>
      </c>
      <c r="BC187" t="s">
        <v>4502</v>
      </c>
      <c r="BD187" t="s">
        <v>663</v>
      </c>
      <c r="BE187">
        <v>2009</v>
      </c>
      <c r="BF187" t="s">
        <v>349</v>
      </c>
      <c r="BG187" t="s">
        <v>4502</v>
      </c>
      <c r="BH187" t="s">
        <v>663</v>
      </c>
      <c r="BI187">
        <v>2009</v>
      </c>
      <c r="BN187">
        <v>41</v>
      </c>
      <c r="BO187" s="305">
        <v>44294</v>
      </c>
      <c r="BP187" s="305">
        <v>44322</v>
      </c>
      <c r="BQ187" s="305">
        <v>44600</v>
      </c>
      <c r="BV187" t="s">
        <v>2772</v>
      </c>
      <c r="CD187" t="e">
        <v>#N/A</v>
      </c>
    </row>
    <row r="188" spans="1:82" x14ac:dyDescent="0.3">
      <c r="A188">
        <v>205</v>
      </c>
      <c r="B188" t="e">
        <v>#NUM!</v>
      </c>
      <c r="C188" t="s">
        <v>2780</v>
      </c>
      <c r="D188">
        <v>642101100</v>
      </c>
      <c r="E188">
        <v>1710002926403</v>
      </c>
      <c r="G188" t="s">
        <v>217</v>
      </c>
      <c r="H188" t="s">
        <v>217</v>
      </c>
      <c r="I188" s="305">
        <v>44200</v>
      </c>
      <c r="J188">
        <v>4</v>
      </c>
      <c r="K188">
        <v>0</v>
      </c>
      <c r="L188" t="s">
        <v>14</v>
      </c>
      <c r="M188" t="s">
        <v>187</v>
      </c>
      <c r="O188" s="305">
        <v>45657</v>
      </c>
      <c r="Q188" t="s">
        <v>206</v>
      </c>
      <c r="R188" t="s">
        <v>6863</v>
      </c>
      <c r="S188" t="s">
        <v>312</v>
      </c>
      <c r="T188" t="s">
        <v>187</v>
      </c>
      <c r="U188" t="s">
        <v>73</v>
      </c>
      <c r="V188" t="s">
        <v>122</v>
      </c>
      <c r="W188" t="s">
        <v>122</v>
      </c>
      <c r="X188" t="s">
        <v>313</v>
      </c>
      <c r="AA188" t="s">
        <v>132</v>
      </c>
      <c r="AB188" t="s">
        <v>1779</v>
      </c>
      <c r="AC188" s="305">
        <v>35641</v>
      </c>
      <c r="AD188">
        <v>27</v>
      </c>
      <c r="AE188" t="s">
        <v>2781</v>
      </c>
      <c r="AF188" t="s">
        <v>2782</v>
      </c>
      <c r="AG188" t="s">
        <v>2783</v>
      </c>
      <c r="AJ188" t="s">
        <v>2784</v>
      </c>
      <c r="AK188" t="s">
        <v>2785</v>
      </c>
      <c r="AL188">
        <v>21013284779</v>
      </c>
      <c r="AM188" t="s">
        <v>4716</v>
      </c>
      <c r="AS188" t="s">
        <v>306</v>
      </c>
      <c r="AT188" t="s">
        <v>306</v>
      </c>
      <c r="AU188" t="s">
        <v>306</v>
      </c>
      <c r="AV188" t="s">
        <v>306</v>
      </c>
      <c r="AW188">
        <v>0</v>
      </c>
      <c r="AX188" t="s">
        <v>5078</v>
      </c>
      <c r="BA188" t="s">
        <v>161</v>
      </c>
      <c r="BB188" t="s">
        <v>349</v>
      </c>
      <c r="BC188" t="s">
        <v>87</v>
      </c>
      <c r="BD188" t="s">
        <v>516</v>
      </c>
      <c r="BE188">
        <v>2016</v>
      </c>
      <c r="BF188" t="s">
        <v>349</v>
      </c>
      <c r="BG188" t="s">
        <v>87</v>
      </c>
      <c r="BH188" t="s">
        <v>516</v>
      </c>
      <c r="BI188">
        <v>2016</v>
      </c>
      <c r="BN188">
        <v>42</v>
      </c>
      <c r="BO188" s="305">
        <v>44259</v>
      </c>
      <c r="BP188" s="305">
        <v>44304</v>
      </c>
      <c r="BQ188" s="305">
        <v>44729</v>
      </c>
      <c r="BV188" t="s">
        <v>2786</v>
      </c>
      <c r="CD188" t="e">
        <v>#N/A</v>
      </c>
    </row>
    <row r="189" spans="1:82" x14ac:dyDescent="0.3">
      <c r="A189">
        <v>206</v>
      </c>
      <c r="B189" t="e">
        <v>#NUM!</v>
      </c>
      <c r="C189" t="s">
        <v>2787</v>
      </c>
      <c r="D189">
        <v>642101094</v>
      </c>
      <c r="E189">
        <v>1710000644610</v>
      </c>
      <c r="G189" t="s">
        <v>217</v>
      </c>
      <c r="H189" t="s">
        <v>311</v>
      </c>
      <c r="I189" s="305">
        <v>44200</v>
      </c>
      <c r="J189">
        <v>4</v>
      </c>
      <c r="K189">
        <v>0</v>
      </c>
      <c r="L189" t="s">
        <v>14</v>
      </c>
      <c r="M189" t="s">
        <v>187</v>
      </c>
      <c r="O189" s="305">
        <v>45657</v>
      </c>
      <c r="Q189" t="s">
        <v>206</v>
      </c>
      <c r="R189" t="s">
        <v>6863</v>
      </c>
      <c r="S189" t="s">
        <v>312</v>
      </c>
      <c r="T189" t="s">
        <v>204</v>
      </c>
      <c r="U189" t="s">
        <v>420</v>
      </c>
      <c r="V189" t="s">
        <v>208</v>
      </c>
      <c r="W189" t="s">
        <v>208</v>
      </c>
      <c r="X189" t="s">
        <v>313</v>
      </c>
      <c r="AA189" t="s">
        <v>132</v>
      </c>
      <c r="AB189" t="s">
        <v>311</v>
      </c>
      <c r="AC189" s="305">
        <v>33022</v>
      </c>
      <c r="AD189">
        <v>34</v>
      </c>
      <c r="AE189" t="s">
        <v>2788</v>
      </c>
      <c r="AF189" t="s">
        <v>2789</v>
      </c>
      <c r="AG189" t="s">
        <v>2790</v>
      </c>
      <c r="AJ189" t="s">
        <v>2791</v>
      </c>
      <c r="AK189" t="s">
        <v>2792</v>
      </c>
      <c r="AL189">
        <v>14041228579</v>
      </c>
      <c r="AM189" t="s">
        <v>4716</v>
      </c>
      <c r="AN189" t="s">
        <v>2793</v>
      </c>
      <c r="AO189" t="s">
        <v>2794</v>
      </c>
      <c r="AS189" t="s">
        <v>306</v>
      </c>
      <c r="AT189" t="s">
        <v>306</v>
      </c>
      <c r="AU189" t="s">
        <v>306</v>
      </c>
      <c r="AV189" t="s">
        <v>306</v>
      </c>
      <c r="AW189">
        <v>1</v>
      </c>
      <c r="AX189" t="s">
        <v>7130</v>
      </c>
      <c r="BA189" t="s">
        <v>161</v>
      </c>
      <c r="BB189" t="s">
        <v>349</v>
      </c>
      <c r="BC189" t="s">
        <v>91</v>
      </c>
      <c r="BD189" t="s">
        <v>516</v>
      </c>
      <c r="BF189" t="s">
        <v>349</v>
      </c>
      <c r="BG189" t="s">
        <v>91</v>
      </c>
      <c r="BH189" t="s">
        <v>516</v>
      </c>
      <c r="BN189">
        <v>41</v>
      </c>
      <c r="BO189" s="305">
        <v>44294</v>
      </c>
      <c r="BP189" s="305">
        <v>44322</v>
      </c>
      <c r="BQ189" s="305">
        <v>44600</v>
      </c>
      <c r="BV189" t="s">
        <v>2795</v>
      </c>
      <c r="CD189" t="e">
        <v>#N/A</v>
      </c>
    </row>
    <row r="190" spans="1:82" x14ac:dyDescent="0.3">
      <c r="A190">
        <v>207</v>
      </c>
      <c r="B190" t="e">
        <v>#NUM!</v>
      </c>
      <c r="C190" t="s">
        <v>2796</v>
      </c>
      <c r="D190">
        <v>642101096</v>
      </c>
      <c r="E190">
        <v>1710007726758</v>
      </c>
      <c r="G190" t="s">
        <v>217</v>
      </c>
      <c r="H190" t="s">
        <v>217</v>
      </c>
      <c r="I190" s="305">
        <v>44200</v>
      </c>
      <c r="J190">
        <v>4</v>
      </c>
      <c r="K190">
        <v>0</v>
      </c>
      <c r="L190" t="s">
        <v>14</v>
      </c>
      <c r="M190" t="s">
        <v>187</v>
      </c>
      <c r="O190" s="305">
        <v>45657</v>
      </c>
      <c r="Q190" t="s">
        <v>206</v>
      </c>
      <c r="R190" t="s">
        <v>6863</v>
      </c>
      <c r="S190" t="s">
        <v>312</v>
      </c>
      <c r="T190" t="s">
        <v>204</v>
      </c>
      <c r="U190" t="s">
        <v>204</v>
      </c>
      <c r="V190" t="s">
        <v>404</v>
      </c>
      <c r="W190" t="s">
        <v>208</v>
      </c>
      <c r="X190" t="s">
        <v>313</v>
      </c>
      <c r="AA190" t="s">
        <v>132</v>
      </c>
      <c r="AB190" t="s">
        <v>311</v>
      </c>
      <c r="AC190" s="305">
        <v>35957</v>
      </c>
      <c r="AD190">
        <v>26</v>
      </c>
      <c r="AE190" t="s">
        <v>2797</v>
      </c>
      <c r="AF190" t="s">
        <v>2798</v>
      </c>
      <c r="AG190" t="s">
        <v>2799</v>
      </c>
      <c r="AJ190" t="s">
        <v>2800</v>
      </c>
      <c r="AK190" t="s">
        <v>2801</v>
      </c>
      <c r="AL190">
        <v>19045215407</v>
      </c>
      <c r="AM190" t="s">
        <v>4716</v>
      </c>
      <c r="AS190" t="s">
        <v>2802</v>
      </c>
      <c r="AT190" t="s">
        <v>306</v>
      </c>
      <c r="AU190" t="s">
        <v>306</v>
      </c>
      <c r="AV190" t="s">
        <v>306</v>
      </c>
      <c r="AW190">
        <v>0</v>
      </c>
      <c r="AX190" t="s">
        <v>5078</v>
      </c>
      <c r="BA190" t="s">
        <v>161</v>
      </c>
      <c r="BB190" t="s">
        <v>349</v>
      </c>
      <c r="BC190" t="s">
        <v>91</v>
      </c>
      <c r="BD190" t="s">
        <v>327</v>
      </c>
      <c r="BF190" t="s">
        <v>349</v>
      </c>
      <c r="BG190" t="s">
        <v>91</v>
      </c>
      <c r="BH190" t="s">
        <v>327</v>
      </c>
      <c r="BN190">
        <v>42</v>
      </c>
      <c r="BO190" s="305">
        <v>44294</v>
      </c>
      <c r="BP190" s="305">
        <v>44322</v>
      </c>
      <c r="BQ190" s="305">
        <v>44600</v>
      </c>
      <c r="BV190" t="s">
        <v>2803</v>
      </c>
      <c r="CD190" t="e">
        <v>#N/A</v>
      </c>
    </row>
    <row r="191" spans="1:82" x14ac:dyDescent="0.3">
      <c r="A191">
        <v>208</v>
      </c>
      <c r="B191" t="e">
        <v>#NUM!</v>
      </c>
      <c r="C191" t="s">
        <v>2804</v>
      </c>
      <c r="D191">
        <v>642101101</v>
      </c>
      <c r="E191">
        <v>1710002933326</v>
      </c>
      <c r="G191" t="s">
        <v>217</v>
      </c>
      <c r="H191" t="s">
        <v>24</v>
      </c>
      <c r="I191" s="305">
        <v>44200</v>
      </c>
      <c r="J191">
        <v>4</v>
      </c>
      <c r="K191">
        <v>0</v>
      </c>
      <c r="L191" t="s">
        <v>14</v>
      </c>
      <c r="M191" t="s">
        <v>187</v>
      </c>
      <c r="O191" s="305">
        <v>45657</v>
      </c>
      <c r="Q191" t="s">
        <v>206</v>
      </c>
      <c r="R191" t="s">
        <v>6863</v>
      </c>
      <c r="S191" t="s">
        <v>312</v>
      </c>
      <c r="T191" t="s">
        <v>20</v>
      </c>
      <c r="U191" t="s">
        <v>204</v>
      </c>
      <c r="V191" t="s">
        <v>2805</v>
      </c>
      <c r="W191" t="s">
        <v>122</v>
      </c>
      <c r="X191" t="s">
        <v>313</v>
      </c>
      <c r="AA191" t="s">
        <v>132</v>
      </c>
      <c r="AB191" t="s">
        <v>24</v>
      </c>
      <c r="AC191" s="305">
        <v>35647</v>
      </c>
      <c r="AD191">
        <v>27</v>
      </c>
      <c r="AE191" t="s">
        <v>2806</v>
      </c>
      <c r="AF191" t="s">
        <v>2807</v>
      </c>
      <c r="AG191" t="s">
        <v>2808</v>
      </c>
      <c r="AJ191" t="s">
        <v>2809</v>
      </c>
      <c r="AK191" t="s">
        <v>2810</v>
      </c>
      <c r="AL191">
        <v>21013284787</v>
      </c>
      <c r="AM191" t="s">
        <v>4733</v>
      </c>
      <c r="AN191" t="s">
        <v>2811</v>
      </c>
      <c r="AS191" t="s">
        <v>759</v>
      </c>
      <c r="AT191" t="s">
        <v>2812</v>
      </c>
      <c r="AU191" t="s">
        <v>2813</v>
      </c>
      <c r="AV191" t="s">
        <v>2814</v>
      </c>
      <c r="AW191">
        <v>0</v>
      </c>
      <c r="AX191" t="s">
        <v>5627</v>
      </c>
      <c r="AY191" t="s">
        <v>2815</v>
      </c>
      <c r="AZ191" t="s">
        <v>2815</v>
      </c>
      <c r="BA191" t="s">
        <v>161</v>
      </c>
      <c r="BB191" t="s">
        <v>349</v>
      </c>
      <c r="BC191" t="s">
        <v>91</v>
      </c>
      <c r="BD191" t="s">
        <v>6781</v>
      </c>
      <c r="BE191">
        <v>2016</v>
      </c>
      <c r="BF191" t="s">
        <v>349</v>
      </c>
      <c r="BG191" t="s">
        <v>91</v>
      </c>
      <c r="BH191" t="s">
        <v>6781</v>
      </c>
      <c r="BI191">
        <v>2016</v>
      </c>
      <c r="BN191">
        <v>42</v>
      </c>
      <c r="BO191" s="305">
        <v>44259</v>
      </c>
      <c r="BP191" s="305">
        <v>44304</v>
      </c>
      <c r="BV191" t="s">
        <v>2816</v>
      </c>
      <c r="CD191" t="e">
        <v>#N/A</v>
      </c>
    </row>
    <row r="192" spans="1:82" x14ac:dyDescent="0.3">
      <c r="A192">
        <v>211</v>
      </c>
      <c r="B192" t="e">
        <v>#NUM!</v>
      </c>
      <c r="C192" t="s">
        <v>2835</v>
      </c>
      <c r="D192">
        <v>642101102</v>
      </c>
      <c r="E192">
        <v>1710003987511</v>
      </c>
      <c r="G192" t="s">
        <v>217</v>
      </c>
      <c r="H192" t="s">
        <v>217</v>
      </c>
      <c r="I192" s="305">
        <v>44230</v>
      </c>
      <c r="J192">
        <v>3</v>
      </c>
      <c r="K192">
        <v>11</v>
      </c>
      <c r="L192" t="s">
        <v>14</v>
      </c>
      <c r="M192" t="s">
        <v>187</v>
      </c>
      <c r="O192" s="305">
        <v>45657</v>
      </c>
      <c r="Q192" t="s">
        <v>206</v>
      </c>
      <c r="R192" t="s">
        <v>6863</v>
      </c>
      <c r="S192" t="s">
        <v>312</v>
      </c>
      <c r="T192" t="s">
        <v>23</v>
      </c>
      <c r="U192" t="s">
        <v>204</v>
      </c>
      <c r="V192" t="s">
        <v>51</v>
      </c>
      <c r="W192" t="s">
        <v>121</v>
      </c>
      <c r="X192" t="s">
        <v>313</v>
      </c>
      <c r="AA192" t="s">
        <v>132</v>
      </c>
      <c r="AB192" t="s">
        <v>217</v>
      </c>
      <c r="AC192" s="305">
        <v>35744</v>
      </c>
      <c r="AD192">
        <v>27</v>
      </c>
      <c r="AE192" t="s">
        <v>2836</v>
      </c>
      <c r="AF192" t="s">
        <v>2837</v>
      </c>
      <c r="AG192" t="s">
        <v>2838</v>
      </c>
      <c r="AJ192" t="s">
        <v>2839</v>
      </c>
      <c r="AK192" t="s">
        <v>2840</v>
      </c>
      <c r="AL192">
        <v>21013284795</v>
      </c>
      <c r="AM192" t="s">
        <v>4716</v>
      </c>
      <c r="AS192" t="s">
        <v>2841</v>
      </c>
      <c r="AT192" t="s">
        <v>2842</v>
      </c>
      <c r="AU192" t="s">
        <v>306</v>
      </c>
      <c r="AV192" t="s">
        <v>306</v>
      </c>
      <c r="AW192">
        <v>0</v>
      </c>
      <c r="AX192" t="s">
        <v>5078</v>
      </c>
      <c r="AY192" t="s">
        <v>2843</v>
      </c>
      <c r="AZ192" t="s">
        <v>2844</v>
      </c>
      <c r="BA192" t="s">
        <v>161</v>
      </c>
      <c r="BB192" t="s">
        <v>349</v>
      </c>
      <c r="BC192" t="s">
        <v>91</v>
      </c>
      <c r="BD192" t="s">
        <v>350</v>
      </c>
      <c r="BE192">
        <v>2016</v>
      </c>
      <c r="BF192" t="s">
        <v>349</v>
      </c>
      <c r="BG192" t="s">
        <v>91</v>
      </c>
      <c r="BH192" t="s">
        <v>350</v>
      </c>
      <c r="BI192">
        <v>2016</v>
      </c>
      <c r="BN192">
        <v>42</v>
      </c>
      <c r="BV192" t="s">
        <v>2845</v>
      </c>
      <c r="CD192" t="e">
        <v>#N/A</v>
      </c>
    </row>
    <row r="193" spans="1:82" x14ac:dyDescent="0.3">
      <c r="A193">
        <v>212</v>
      </c>
      <c r="B193">
        <v>28</v>
      </c>
      <c r="C193" t="s">
        <v>2846</v>
      </c>
      <c r="D193">
        <v>642102107</v>
      </c>
      <c r="E193">
        <v>1710002922428</v>
      </c>
      <c r="G193" t="s">
        <v>217</v>
      </c>
      <c r="H193" t="s">
        <v>217</v>
      </c>
      <c r="I193" s="305">
        <v>44242</v>
      </c>
      <c r="J193">
        <v>3</v>
      </c>
      <c r="K193">
        <v>11</v>
      </c>
      <c r="L193" t="s">
        <v>14</v>
      </c>
      <c r="M193" t="s">
        <v>187</v>
      </c>
      <c r="O193" s="305">
        <v>45702</v>
      </c>
      <c r="Q193" t="s">
        <v>206</v>
      </c>
      <c r="R193" t="s">
        <v>6863</v>
      </c>
      <c r="S193" t="s">
        <v>312</v>
      </c>
      <c r="T193" t="s">
        <v>23</v>
      </c>
      <c r="U193" t="s">
        <v>204</v>
      </c>
      <c r="V193" t="s">
        <v>51</v>
      </c>
      <c r="W193" t="s">
        <v>121</v>
      </c>
      <c r="X193" t="s">
        <v>313</v>
      </c>
      <c r="AA193" t="s">
        <v>132</v>
      </c>
      <c r="AB193" t="s">
        <v>217</v>
      </c>
      <c r="AC193" s="305">
        <v>34979</v>
      </c>
      <c r="AD193">
        <v>29</v>
      </c>
      <c r="AE193" t="s">
        <v>2847</v>
      </c>
      <c r="AF193" t="s">
        <v>2848</v>
      </c>
      <c r="AG193" t="s">
        <v>2849</v>
      </c>
      <c r="AJ193" t="s">
        <v>2850</v>
      </c>
      <c r="AK193" t="s">
        <v>2851</v>
      </c>
      <c r="AL193">
        <v>21013284738</v>
      </c>
      <c r="AM193" t="s">
        <v>4716</v>
      </c>
      <c r="AS193" t="s">
        <v>2852</v>
      </c>
      <c r="AT193" t="s">
        <v>2853</v>
      </c>
      <c r="AU193" t="s">
        <v>306</v>
      </c>
      <c r="AV193" t="s">
        <v>306</v>
      </c>
      <c r="AW193">
        <v>0</v>
      </c>
      <c r="AX193" t="s">
        <v>5078</v>
      </c>
      <c r="AY193" t="s">
        <v>2854</v>
      </c>
      <c r="AZ193" t="s">
        <v>2855</v>
      </c>
      <c r="BA193" t="s">
        <v>161</v>
      </c>
      <c r="BB193" t="s">
        <v>349</v>
      </c>
      <c r="BC193" t="s">
        <v>91</v>
      </c>
      <c r="BD193" t="s">
        <v>350</v>
      </c>
      <c r="BE193">
        <v>2014</v>
      </c>
      <c r="BF193" t="s">
        <v>349</v>
      </c>
      <c r="BG193" t="s">
        <v>91</v>
      </c>
      <c r="BH193" t="s">
        <v>350</v>
      </c>
      <c r="BI193">
        <v>2014</v>
      </c>
      <c r="BL193" t="s">
        <v>351</v>
      </c>
      <c r="BM193">
        <v>35</v>
      </c>
      <c r="BN193">
        <v>41</v>
      </c>
      <c r="BV193" t="s">
        <v>2856</v>
      </c>
      <c r="CD193" t="e">
        <v>#N/A</v>
      </c>
    </row>
    <row r="194" spans="1:82" x14ac:dyDescent="0.3">
      <c r="A194">
        <v>213</v>
      </c>
      <c r="B194">
        <v>28</v>
      </c>
      <c r="C194" t="s">
        <v>2857</v>
      </c>
      <c r="D194">
        <v>642102105</v>
      </c>
      <c r="E194">
        <v>1710000376304</v>
      </c>
      <c r="G194" t="s">
        <v>217</v>
      </c>
      <c r="H194" t="s">
        <v>217</v>
      </c>
      <c r="I194" s="305">
        <v>44242</v>
      </c>
      <c r="J194">
        <v>3</v>
      </c>
      <c r="K194">
        <v>11</v>
      </c>
      <c r="L194" t="s">
        <v>14</v>
      </c>
      <c r="M194" t="s">
        <v>187</v>
      </c>
      <c r="O194" s="305">
        <v>45702</v>
      </c>
      <c r="Q194" t="s">
        <v>206</v>
      </c>
      <c r="R194" t="s">
        <v>6863</v>
      </c>
      <c r="S194" t="s">
        <v>312</v>
      </c>
      <c r="T194" t="s">
        <v>204</v>
      </c>
      <c r="U194" t="s">
        <v>420</v>
      </c>
      <c r="V194" t="s">
        <v>208</v>
      </c>
      <c r="W194" t="s">
        <v>208</v>
      </c>
      <c r="X194" t="s">
        <v>313</v>
      </c>
      <c r="Y194" t="s">
        <v>854</v>
      </c>
      <c r="AA194" t="s">
        <v>132</v>
      </c>
      <c r="AB194" t="s">
        <v>217</v>
      </c>
      <c r="AC194" s="305">
        <v>33290</v>
      </c>
      <c r="AD194">
        <v>33</v>
      </c>
      <c r="AE194" t="s">
        <v>2858</v>
      </c>
      <c r="AF194" t="s">
        <v>2859</v>
      </c>
      <c r="AG194" t="s">
        <v>2860</v>
      </c>
      <c r="AJ194" t="s">
        <v>2861</v>
      </c>
      <c r="AK194" t="s">
        <v>2862</v>
      </c>
      <c r="AL194">
        <v>21013284746</v>
      </c>
      <c r="AM194" t="s">
        <v>4733</v>
      </c>
      <c r="AN194" t="s">
        <v>2863</v>
      </c>
      <c r="AO194" t="s">
        <v>2864</v>
      </c>
      <c r="AP194" t="s">
        <v>2865</v>
      </c>
      <c r="AS194" t="s">
        <v>306</v>
      </c>
      <c r="AT194" t="s">
        <v>306</v>
      </c>
      <c r="AU194" t="s">
        <v>306</v>
      </c>
      <c r="AV194" t="s">
        <v>306</v>
      </c>
      <c r="AW194">
        <v>2</v>
      </c>
      <c r="AX194" t="s">
        <v>5002</v>
      </c>
      <c r="BA194" t="s">
        <v>161</v>
      </c>
      <c r="BB194" t="s">
        <v>349</v>
      </c>
      <c r="BC194" t="s">
        <v>91</v>
      </c>
      <c r="BD194" t="s">
        <v>516</v>
      </c>
      <c r="BE194">
        <v>2009</v>
      </c>
      <c r="BF194" t="s">
        <v>349</v>
      </c>
      <c r="BG194" t="s">
        <v>91</v>
      </c>
      <c r="BH194" t="s">
        <v>516</v>
      </c>
      <c r="BI194">
        <v>2009</v>
      </c>
      <c r="BL194" t="s">
        <v>351</v>
      </c>
      <c r="BM194">
        <v>32</v>
      </c>
      <c r="BN194">
        <v>40</v>
      </c>
      <c r="BQ194" s="305">
        <v>44601</v>
      </c>
      <c r="BV194" t="s">
        <v>2866</v>
      </c>
      <c r="CD194" t="e">
        <v>#N/A</v>
      </c>
    </row>
    <row r="195" spans="1:82" x14ac:dyDescent="0.3">
      <c r="A195">
        <v>214</v>
      </c>
      <c r="B195">
        <v>28</v>
      </c>
      <c r="C195" t="s">
        <v>2867</v>
      </c>
      <c r="D195">
        <v>642102106</v>
      </c>
      <c r="E195">
        <v>1710000376288</v>
      </c>
      <c r="G195" t="s">
        <v>217</v>
      </c>
      <c r="H195" t="s">
        <v>217</v>
      </c>
      <c r="I195" s="305">
        <v>44242</v>
      </c>
      <c r="J195">
        <v>3</v>
      </c>
      <c r="K195">
        <v>11</v>
      </c>
      <c r="L195" t="s">
        <v>14</v>
      </c>
      <c r="M195" t="s">
        <v>187</v>
      </c>
      <c r="O195" s="305">
        <v>45702</v>
      </c>
      <c r="Q195" t="s">
        <v>206</v>
      </c>
      <c r="R195" t="s">
        <v>6863</v>
      </c>
      <c r="S195" t="s">
        <v>312</v>
      </c>
      <c r="T195" t="s">
        <v>204</v>
      </c>
      <c r="U195" t="s">
        <v>420</v>
      </c>
      <c r="V195" t="s">
        <v>208</v>
      </c>
      <c r="W195" t="s">
        <v>208</v>
      </c>
      <c r="X195" t="s">
        <v>313</v>
      </c>
      <c r="AA195" t="s">
        <v>132</v>
      </c>
      <c r="AB195" t="s">
        <v>217</v>
      </c>
      <c r="AC195" s="305">
        <v>30967</v>
      </c>
      <c r="AD195">
        <v>40</v>
      </c>
      <c r="AE195" t="s">
        <v>2868</v>
      </c>
      <c r="AF195" t="s">
        <v>2869</v>
      </c>
      <c r="AG195" t="s">
        <v>2870</v>
      </c>
      <c r="AJ195" t="s">
        <v>2871</v>
      </c>
      <c r="AK195" t="s">
        <v>2872</v>
      </c>
      <c r="AL195">
        <v>21013284803</v>
      </c>
      <c r="AM195" t="s">
        <v>6821</v>
      </c>
      <c r="AO195" t="s">
        <v>2873</v>
      </c>
      <c r="AP195" t="s">
        <v>2874</v>
      </c>
      <c r="AS195" t="s">
        <v>2875</v>
      </c>
      <c r="AT195" t="s">
        <v>2876</v>
      </c>
      <c r="AU195" t="s">
        <v>306</v>
      </c>
      <c r="AV195" t="s">
        <v>306</v>
      </c>
      <c r="AW195">
        <v>2</v>
      </c>
      <c r="AX195" t="s">
        <v>7132</v>
      </c>
      <c r="AY195" t="s">
        <v>2877</v>
      </c>
      <c r="AZ195" t="s">
        <v>2877</v>
      </c>
      <c r="BA195" t="s">
        <v>161</v>
      </c>
      <c r="BB195" t="s">
        <v>349</v>
      </c>
      <c r="BC195" t="s">
        <v>91</v>
      </c>
      <c r="BD195" t="s">
        <v>663</v>
      </c>
      <c r="BE195">
        <v>2002</v>
      </c>
      <c r="BF195" t="s">
        <v>349</v>
      </c>
      <c r="BG195" t="s">
        <v>91</v>
      </c>
      <c r="BH195" t="s">
        <v>663</v>
      </c>
      <c r="BI195">
        <v>2002</v>
      </c>
      <c r="BL195" t="s">
        <v>339</v>
      </c>
      <c r="BM195">
        <v>32</v>
      </c>
      <c r="BN195">
        <v>40</v>
      </c>
      <c r="BQ195" s="305">
        <v>44806</v>
      </c>
      <c r="BV195" t="s">
        <v>2878</v>
      </c>
      <c r="CD195" t="e">
        <v>#N/A</v>
      </c>
    </row>
    <row r="196" spans="1:82" x14ac:dyDescent="0.3">
      <c r="A196">
        <v>215</v>
      </c>
      <c r="B196" t="e">
        <v>#NUM!</v>
      </c>
      <c r="C196" t="s">
        <v>2879</v>
      </c>
      <c r="D196">
        <v>642102103</v>
      </c>
      <c r="E196">
        <v>1710000376239</v>
      </c>
      <c r="G196" t="s">
        <v>217</v>
      </c>
      <c r="H196" t="s">
        <v>311</v>
      </c>
      <c r="I196" s="305">
        <v>44242</v>
      </c>
      <c r="J196">
        <v>3</v>
      </c>
      <c r="K196">
        <v>11</v>
      </c>
      <c r="L196" t="s">
        <v>14</v>
      </c>
      <c r="M196" t="s">
        <v>187</v>
      </c>
      <c r="O196" s="305">
        <v>45336</v>
      </c>
      <c r="Q196" t="s">
        <v>206</v>
      </c>
      <c r="R196" t="s">
        <v>6863</v>
      </c>
      <c r="S196" t="s">
        <v>312</v>
      </c>
      <c r="T196" t="s">
        <v>204</v>
      </c>
      <c r="U196" t="s">
        <v>420</v>
      </c>
      <c r="V196" t="s">
        <v>208</v>
      </c>
      <c r="W196" t="s">
        <v>208</v>
      </c>
      <c r="X196" t="s">
        <v>313</v>
      </c>
      <c r="Y196" t="s">
        <v>854</v>
      </c>
      <c r="AA196" t="s">
        <v>132</v>
      </c>
      <c r="AB196" t="s">
        <v>311</v>
      </c>
      <c r="AC196" s="305">
        <v>31812</v>
      </c>
      <c r="AD196">
        <v>37</v>
      </c>
      <c r="AE196" t="s">
        <v>2880</v>
      </c>
      <c r="AF196" t="s">
        <v>2881</v>
      </c>
      <c r="AG196" t="s">
        <v>2882</v>
      </c>
      <c r="AJ196" t="s">
        <v>2883</v>
      </c>
      <c r="AK196" t="s">
        <v>2884</v>
      </c>
      <c r="AL196">
        <v>21013284761</v>
      </c>
      <c r="AM196" t="s">
        <v>4733</v>
      </c>
      <c r="AN196" t="s">
        <v>2885</v>
      </c>
      <c r="AO196" t="s">
        <v>2886</v>
      </c>
      <c r="AP196" t="s">
        <v>2887</v>
      </c>
      <c r="AS196" t="s">
        <v>306</v>
      </c>
      <c r="AT196" t="s">
        <v>306</v>
      </c>
      <c r="AU196" t="s">
        <v>306</v>
      </c>
      <c r="AV196" t="s">
        <v>306</v>
      </c>
      <c r="AW196">
        <v>2</v>
      </c>
      <c r="AX196" t="s">
        <v>5002</v>
      </c>
      <c r="BA196" t="s">
        <v>161</v>
      </c>
      <c r="BB196" t="s">
        <v>349</v>
      </c>
      <c r="BC196" t="s">
        <v>91</v>
      </c>
      <c r="BD196" t="s">
        <v>516</v>
      </c>
      <c r="BE196">
        <v>2006</v>
      </c>
      <c r="BF196" t="s">
        <v>349</v>
      </c>
      <c r="BG196" t="s">
        <v>91</v>
      </c>
      <c r="BH196" t="s">
        <v>516</v>
      </c>
      <c r="BI196">
        <v>2006</v>
      </c>
      <c r="BL196" t="s">
        <v>351</v>
      </c>
      <c r="BM196">
        <v>40</v>
      </c>
      <c r="BN196">
        <v>41</v>
      </c>
      <c r="BQ196" s="305">
        <v>44601</v>
      </c>
      <c r="BV196" t="s">
        <v>2888</v>
      </c>
      <c r="CD196" t="e">
        <v>#N/A</v>
      </c>
    </row>
    <row r="197" spans="1:82" x14ac:dyDescent="0.3">
      <c r="A197">
        <v>216</v>
      </c>
      <c r="B197">
        <v>28</v>
      </c>
      <c r="C197" t="s">
        <v>2889</v>
      </c>
      <c r="D197">
        <v>642102104</v>
      </c>
      <c r="E197">
        <v>1710000376494</v>
      </c>
      <c r="G197" t="s">
        <v>217</v>
      </c>
      <c r="H197" t="s">
        <v>217</v>
      </c>
      <c r="I197" s="305">
        <v>44242</v>
      </c>
      <c r="J197">
        <v>3</v>
      </c>
      <c r="K197">
        <v>11</v>
      </c>
      <c r="L197" t="s">
        <v>14</v>
      </c>
      <c r="M197" t="s">
        <v>187</v>
      </c>
      <c r="O197" s="305">
        <v>45702</v>
      </c>
      <c r="Q197" t="s">
        <v>206</v>
      </c>
      <c r="R197" t="s">
        <v>6863</v>
      </c>
      <c r="S197" t="s">
        <v>312</v>
      </c>
      <c r="T197" t="s">
        <v>204</v>
      </c>
      <c r="U197" t="s">
        <v>420</v>
      </c>
      <c r="V197" t="s">
        <v>208</v>
      </c>
      <c r="W197" t="s">
        <v>208</v>
      </c>
      <c r="X197" t="s">
        <v>313</v>
      </c>
      <c r="Y197" t="s">
        <v>854</v>
      </c>
      <c r="AA197" t="s">
        <v>132</v>
      </c>
      <c r="AB197" t="s">
        <v>217</v>
      </c>
      <c r="AC197" s="305">
        <v>32762</v>
      </c>
      <c r="AD197">
        <v>35</v>
      </c>
      <c r="AE197" t="s">
        <v>2890</v>
      </c>
      <c r="AF197" t="s">
        <v>2891</v>
      </c>
      <c r="AG197" t="s">
        <v>2892</v>
      </c>
      <c r="AJ197" t="s">
        <v>2893</v>
      </c>
      <c r="AK197" t="s">
        <v>2894</v>
      </c>
      <c r="AL197">
        <v>12016187119</v>
      </c>
      <c r="AM197" t="s">
        <v>4716</v>
      </c>
      <c r="AR197" t="s">
        <v>2895</v>
      </c>
      <c r="AS197" t="s">
        <v>2896</v>
      </c>
      <c r="AT197" t="s">
        <v>2897</v>
      </c>
      <c r="AU197" t="s">
        <v>306</v>
      </c>
      <c r="AV197" t="s">
        <v>306</v>
      </c>
      <c r="AW197">
        <v>1</v>
      </c>
      <c r="AX197" t="s">
        <v>7130</v>
      </c>
      <c r="BA197" t="s">
        <v>161</v>
      </c>
      <c r="BB197" t="s">
        <v>349</v>
      </c>
      <c r="BC197" t="s">
        <v>91</v>
      </c>
      <c r="BD197" t="s">
        <v>516</v>
      </c>
      <c r="BE197">
        <v>2008</v>
      </c>
      <c r="BF197" t="s">
        <v>349</v>
      </c>
      <c r="BG197" t="s">
        <v>91</v>
      </c>
      <c r="BH197" t="s">
        <v>516</v>
      </c>
      <c r="BI197">
        <v>2008</v>
      </c>
      <c r="BL197" t="s">
        <v>369</v>
      </c>
      <c r="BM197" t="s">
        <v>2898</v>
      </c>
      <c r="BN197">
        <v>40</v>
      </c>
      <c r="BP197" t="s">
        <v>306</v>
      </c>
      <c r="BQ197" s="305">
        <v>44601</v>
      </c>
      <c r="BV197" t="s">
        <v>2899</v>
      </c>
      <c r="CD197" t="e">
        <v>#N/A</v>
      </c>
    </row>
    <row r="198" spans="1:82" x14ac:dyDescent="0.3">
      <c r="A198">
        <v>217</v>
      </c>
      <c r="B198" t="e">
        <v>#NUM!</v>
      </c>
      <c r="C198" t="s">
        <v>2900</v>
      </c>
      <c r="D198">
        <v>642105110</v>
      </c>
      <c r="E198" t="s">
        <v>2901</v>
      </c>
      <c r="G198" t="s">
        <v>217</v>
      </c>
      <c r="H198" t="s">
        <v>867</v>
      </c>
      <c r="I198" s="305">
        <v>44319</v>
      </c>
      <c r="J198">
        <v>3</v>
      </c>
      <c r="K198">
        <v>8</v>
      </c>
      <c r="L198" t="s">
        <v>14</v>
      </c>
      <c r="M198" t="s">
        <v>187</v>
      </c>
      <c r="O198" s="305">
        <v>45414</v>
      </c>
      <c r="Q198" t="s">
        <v>206</v>
      </c>
      <c r="R198" t="s">
        <v>6863</v>
      </c>
      <c r="S198" t="s">
        <v>312</v>
      </c>
      <c r="T198" t="s">
        <v>204</v>
      </c>
      <c r="U198" t="s">
        <v>420</v>
      </c>
      <c r="V198" t="s">
        <v>208</v>
      </c>
      <c r="W198" t="s">
        <v>208</v>
      </c>
      <c r="X198" t="s">
        <v>313</v>
      </c>
      <c r="Y198" t="s">
        <v>173</v>
      </c>
      <c r="AA198" t="s">
        <v>132</v>
      </c>
      <c r="AB198" t="s">
        <v>867</v>
      </c>
      <c r="AC198" s="305">
        <v>32433</v>
      </c>
      <c r="AD198">
        <v>36</v>
      </c>
      <c r="AE198" t="s">
        <v>2902</v>
      </c>
      <c r="AF198" t="s">
        <v>2903</v>
      </c>
      <c r="AG198">
        <v>89665487696</v>
      </c>
      <c r="AJ198" t="s">
        <v>2904</v>
      </c>
      <c r="AK198" t="s">
        <v>2905</v>
      </c>
      <c r="AL198">
        <v>7002905128</v>
      </c>
      <c r="AM198" t="s">
        <v>4733</v>
      </c>
      <c r="AN198" t="s">
        <v>2906</v>
      </c>
      <c r="AO198" t="s">
        <v>2907</v>
      </c>
      <c r="AP198" t="s">
        <v>2908</v>
      </c>
      <c r="AS198" t="s">
        <v>306</v>
      </c>
      <c r="AT198" t="s">
        <v>306</v>
      </c>
      <c r="AU198" t="s">
        <v>306</v>
      </c>
      <c r="AV198" t="s">
        <v>306</v>
      </c>
      <c r="AW198">
        <v>2</v>
      </c>
      <c r="AX198" t="s">
        <v>5002</v>
      </c>
      <c r="BA198" t="s">
        <v>161</v>
      </c>
      <c r="BB198" t="s">
        <v>349</v>
      </c>
      <c r="BC198" t="s">
        <v>91</v>
      </c>
      <c r="BD198" t="s">
        <v>876</v>
      </c>
      <c r="BF198" t="s">
        <v>349</v>
      </c>
      <c r="BG198" t="s">
        <v>91</v>
      </c>
      <c r="BH198" t="s">
        <v>876</v>
      </c>
      <c r="BL198" t="s">
        <v>360</v>
      </c>
      <c r="BN198">
        <v>40</v>
      </c>
      <c r="BQ198" s="305">
        <v>44601</v>
      </c>
      <c r="BV198" t="s">
        <v>2909</v>
      </c>
      <c r="CD198" t="e">
        <v>#N/A</v>
      </c>
    </row>
    <row r="199" spans="1:82" x14ac:dyDescent="0.3">
      <c r="A199">
        <v>218</v>
      </c>
      <c r="B199" t="e">
        <v>#NUM!</v>
      </c>
      <c r="C199" t="s">
        <v>2910</v>
      </c>
      <c r="D199">
        <v>642109111</v>
      </c>
      <c r="E199">
        <v>1710001911331</v>
      </c>
      <c r="G199" t="s">
        <v>217</v>
      </c>
      <c r="H199" t="s">
        <v>25</v>
      </c>
      <c r="I199" s="305">
        <v>44440</v>
      </c>
      <c r="J199">
        <v>3</v>
      </c>
      <c r="K199">
        <v>4</v>
      </c>
      <c r="L199" t="s">
        <v>14</v>
      </c>
      <c r="M199" t="s">
        <v>187</v>
      </c>
      <c r="O199" s="305">
        <v>45535</v>
      </c>
      <c r="Q199" t="s">
        <v>206</v>
      </c>
      <c r="R199" t="s">
        <v>6863</v>
      </c>
      <c r="S199" t="s">
        <v>312</v>
      </c>
      <c r="T199" t="s">
        <v>25</v>
      </c>
      <c r="U199" t="s">
        <v>443</v>
      </c>
      <c r="V199" t="s">
        <v>748</v>
      </c>
      <c r="W199" t="s">
        <v>122</v>
      </c>
      <c r="X199" t="s">
        <v>313</v>
      </c>
      <c r="AA199" t="s">
        <v>132</v>
      </c>
      <c r="AB199" t="s">
        <v>25</v>
      </c>
      <c r="AC199" s="305">
        <v>32961</v>
      </c>
      <c r="AD199">
        <v>34</v>
      </c>
      <c r="AE199" t="s">
        <v>2911</v>
      </c>
      <c r="AF199" t="s">
        <v>2912</v>
      </c>
      <c r="AG199" t="s">
        <v>2913</v>
      </c>
      <c r="AH199" t="s">
        <v>2914</v>
      </c>
      <c r="AJ199" t="s">
        <v>2915</v>
      </c>
      <c r="AK199" t="s">
        <v>2916</v>
      </c>
      <c r="AL199">
        <v>21067065405</v>
      </c>
      <c r="AM199" t="s">
        <v>4733</v>
      </c>
      <c r="AN199" t="s">
        <v>2917</v>
      </c>
      <c r="AS199" t="s">
        <v>2918</v>
      </c>
      <c r="AT199" t="s">
        <v>2919</v>
      </c>
      <c r="AU199" t="s">
        <v>2920</v>
      </c>
      <c r="AV199" t="s">
        <v>2921</v>
      </c>
      <c r="AW199">
        <v>0</v>
      </c>
      <c r="AX199" t="s">
        <v>5627</v>
      </c>
      <c r="AY199" t="s">
        <v>2922</v>
      </c>
      <c r="AZ199" t="s">
        <v>2922</v>
      </c>
      <c r="BA199" t="s">
        <v>161</v>
      </c>
      <c r="BB199" t="s">
        <v>349</v>
      </c>
      <c r="BC199" t="s">
        <v>91</v>
      </c>
      <c r="BD199" t="s">
        <v>2923</v>
      </c>
      <c r="BE199">
        <v>2008</v>
      </c>
      <c r="BF199" t="s">
        <v>349</v>
      </c>
      <c r="BG199" t="s">
        <v>91</v>
      </c>
      <c r="BH199" t="s">
        <v>2923</v>
      </c>
      <c r="BI199">
        <v>2008</v>
      </c>
      <c r="BN199">
        <v>44</v>
      </c>
      <c r="BV199" t="s">
        <v>2924</v>
      </c>
      <c r="CD199" t="e">
        <v>#N/A</v>
      </c>
    </row>
    <row r="200" spans="1:82" x14ac:dyDescent="0.3">
      <c r="A200">
        <v>219</v>
      </c>
      <c r="B200" t="e">
        <v>#NUM!</v>
      </c>
      <c r="C200" t="s">
        <v>2925</v>
      </c>
      <c r="D200">
        <v>642109112</v>
      </c>
      <c r="E200">
        <v>1710002243494</v>
      </c>
      <c r="G200" t="s">
        <v>217</v>
      </c>
      <c r="H200" t="s">
        <v>315</v>
      </c>
      <c r="I200" s="305">
        <v>44466</v>
      </c>
      <c r="J200">
        <v>3</v>
      </c>
      <c r="K200">
        <v>3</v>
      </c>
      <c r="L200" t="s">
        <v>14</v>
      </c>
      <c r="M200" t="s">
        <v>187</v>
      </c>
      <c r="O200" s="305">
        <v>45561</v>
      </c>
      <c r="Q200" t="s">
        <v>206</v>
      </c>
      <c r="R200" t="s">
        <v>6863</v>
      </c>
      <c r="S200" t="s">
        <v>312</v>
      </c>
      <c r="T200" t="s">
        <v>25</v>
      </c>
      <c r="U200" t="s">
        <v>443</v>
      </c>
      <c r="V200" t="s">
        <v>748</v>
      </c>
      <c r="W200" t="s">
        <v>122</v>
      </c>
      <c r="X200" t="s">
        <v>313</v>
      </c>
      <c r="AA200" t="s">
        <v>132</v>
      </c>
      <c r="AB200" t="s">
        <v>315</v>
      </c>
      <c r="AC200" s="305">
        <v>35440</v>
      </c>
      <c r="AD200">
        <v>28</v>
      </c>
      <c r="AE200" t="s">
        <v>2926</v>
      </c>
      <c r="AF200" t="s">
        <v>2927</v>
      </c>
      <c r="AG200" t="s">
        <v>2928</v>
      </c>
      <c r="AJ200" t="s">
        <v>2929</v>
      </c>
      <c r="AK200" t="s">
        <v>2930</v>
      </c>
      <c r="AL200">
        <v>16058376050</v>
      </c>
      <c r="AM200" t="s">
        <v>4716</v>
      </c>
      <c r="AS200" t="s">
        <v>306</v>
      </c>
      <c r="AT200" t="s">
        <v>306</v>
      </c>
      <c r="AU200" t="s">
        <v>306</v>
      </c>
      <c r="AV200" t="s">
        <v>306</v>
      </c>
      <c r="AW200">
        <v>0</v>
      </c>
      <c r="AX200" t="s">
        <v>5078</v>
      </c>
      <c r="BA200" t="s">
        <v>161</v>
      </c>
      <c r="BB200" t="s">
        <v>349</v>
      </c>
      <c r="BC200" t="s">
        <v>1742</v>
      </c>
      <c r="BD200" t="s">
        <v>2931</v>
      </c>
      <c r="BF200" t="s">
        <v>349</v>
      </c>
      <c r="BG200" t="s">
        <v>1742</v>
      </c>
      <c r="BH200" t="s">
        <v>2931</v>
      </c>
      <c r="BN200">
        <v>40</v>
      </c>
      <c r="BV200" t="s">
        <v>2932</v>
      </c>
      <c r="CD200" t="e">
        <v>#N/A</v>
      </c>
    </row>
    <row r="201" spans="1:82" x14ac:dyDescent="0.3">
      <c r="A201">
        <v>220</v>
      </c>
      <c r="B201" t="e">
        <v>#NUM!</v>
      </c>
      <c r="C201" t="s">
        <v>2933</v>
      </c>
      <c r="D201">
        <v>642109113</v>
      </c>
      <c r="E201">
        <v>1710001953895</v>
      </c>
      <c r="G201" t="s">
        <v>217</v>
      </c>
      <c r="H201" t="s">
        <v>315</v>
      </c>
      <c r="I201" s="305">
        <v>44466</v>
      </c>
      <c r="J201">
        <v>3</v>
      </c>
      <c r="K201">
        <v>3</v>
      </c>
      <c r="L201" t="s">
        <v>14</v>
      </c>
      <c r="M201" t="s">
        <v>187</v>
      </c>
      <c r="O201" s="305">
        <v>45561</v>
      </c>
      <c r="Q201" t="s">
        <v>206</v>
      </c>
      <c r="R201" t="s">
        <v>6863</v>
      </c>
      <c r="S201" t="s">
        <v>312</v>
      </c>
      <c r="T201" t="s">
        <v>25</v>
      </c>
      <c r="U201" t="s">
        <v>443</v>
      </c>
      <c r="V201" t="s">
        <v>748</v>
      </c>
      <c r="W201" t="s">
        <v>122</v>
      </c>
      <c r="X201" t="s">
        <v>313</v>
      </c>
      <c r="AA201" t="s">
        <v>132</v>
      </c>
      <c r="AB201" t="s">
        <v>315</v>
      </c>
      <c r="AC201" s="305">
        <v>35904</v>
      </c>
      <c r="AD201">
        <v>26</v>
      </c>
      <c r="AE201" t="s">
        <v>2934</v>
      </c>
      <c r="AF201" t="s">
        <v>2935</v>
      </c>
      <c r="AG201" t="s">
        <v>2936</v>
      </c>
      <c r="AJ201" t="s">
        <v>2937</v>
      </c>
      <c r="AK201" t="s">
        <v>2938</v>
      </c>
      <c r="AL201">
        <v>21076296108</v>
      </c>
      <c r="AM201" t="s">
        <v>4716</v>
      </c>
      <c r="AS201" t="s">
        <v>2939</v>
      </c>
      <c r="AT201" t="s">
        <v>2940</v>
      </c>
      <c r="AU201" t="s">
        <v>306</v>
      </c>
      <c r="AV201" t="s">
        <v>306</v>
      </c>
      <c r="AW201">
        <v>0</v>
      </c>
      <c r="AX201" t="s">
        <v>5078</v>
      </c>
      <c r="AY201" t="s">
        <v>2941</v>
      </c>
      <c r="AZ201" t="s">
        <v>2942</v>
      </c>
      <c r="BA201" t="s">
        <v>161</v>
      </c>
      <c r="BB201" t="s">
        <v>349</v>
      </c>
      <c r="BC201" t="s">
        <v>91</v>
      </c>
      <c r="BD201" t="s">
        <v>2931</v>
      </c>
      <c r="BE201">
        <v>2016</v>
      </c>
      <c r="BF201" t="s">
        <v>349</v>
      </c>
      <c r="BG201" t="s">
        <v>91</v>
      </c>
      <c r="BH201" t="s">
        <v>2931</v>
      </c>
      <c r="BI201">
        <v>2016</v>
      </c>
      <c r="BN201">
        <v>39</v>
      </c>
      <c r="BV201" t="s">
        <v>2943</v>
      </c>
      <c r="CD201" t="e">
        <v>#N/A</v>
      </c>
    </row>
    <row r="202" spans="1:82" x14ac:dyDescent="0.3">
      <c r="A202">
        <v>221</v>
      </c>
      <c r="B202" t="e">
        <v>#NUM!</v>
      </c>
      <c r="C202" t="s">
        <v>2944</v>
      </c>
      <c r="D202">
        <v>642109114</v>
      </c>
      <c r="E202">
        <v>1710001957854</v>
      </c>
      <c r="G202" t="s">
        <v>217</v>
      </c>
      <c r="H202" t="s">
        <v>311</v>
      </c>
      <c r="I202" s="305">
        <v>44466</v>
      </c>
      <c r="J202">
        <v>3</v>
      </c>
      <c r="K202">
        <v>3</v>
      </c>
      <c r="L202" t="s">
        <v>14</v>
      </c>
      <c r="M202" t="s">
        <v>187</v>
      </c>
      <c r="O202" s="305">
        <v>45561</v>
      </c>
      <c r="Q202" t="s">
        <v>206</v>
      </c>
      <c r="R202" t="s">
        <v>6863</v>
      </c>
      <c r="S202" t="s">
        <v>312</v>
      </c>
      <c r="T202" t="s">
        <v>25</v>
      </c>
      <c r="U202" t="s">
        <v>443</v>
      </c>
      <c r="V202" t="s">
        <v>748</v>
      </c>
      <c r="W202" t="s">
        <v>122</v>
      </c>
      <c r="X202" t="s">
        <v>313</v>
      </c>
      <c r="AA202" t="s">
        <v>132</v>
      </c>
      <c r="AB202" t="s">
        <v>311</v>
      </c>
      <c r="AC202" s="305">
        <v>35730</v>
      </c>
      <c r="AD202">
        <v>27</v>
      </c>
      <c r="AE202" t="s">
        <v>2945</v>
      </c>
      <c r="AF202" t="s">
        <v>2946</v>
      </c>
      <c r="AG202" t="s">
        <v>2947</v>
      </c>
      <c r="AJ202" t="s">
        <v>2948</v>
      </c>
      <c r="AK202" t="s">
        <v>2949</v>
      </c>
      <c r="AL202">
        <v>21076296116</v>
      </c>
      <c r="AM202" t="s">
        <v>4716</v>
      </c>
      <c r="AS202" t="s">
        <v>306</v>
      </c>
      <c r="AT202" t="s">
        <v>306</v>
      </c>
      <c r="AU202" t="s">
        <v>306</v>
      </c>
      <c r="AV202" t="s">
        <v>306</v>
      </c>
      <c r="AW202">
        <v>0</v>
      </c>
      <c r="AX202" t="s">
        <v>5078</v>
      </c>
      <c r="BA202" t="s">
        <v>161</v>
      </c>
      <c r="BB202" t="s">
        <v>349</v>
      </c>
      <c r="BC202" t="s">
        <v>515</v>
      </c>
      <c r="BD202" t="s">
        <v>775</v>
      </c>
      <c r="BE202">
        <v>2016</v>
      </c>
      <c r="BF202" t="s">
        <v>349</v>
      </c>
      <c r="BG202" t="s">
        <v>515</v>
      </c>
      <c r="BH202" t="s">
        <v>775</v>
      </c>
      <c r="BI202">
        <v>2016</v>
      </c>
      <c r="BN202">
        <v>42</v>
      </c>
      <c r="BQ202" s="305">
        <v>44765</v>
      </c>
      <c r="BV202" t="s">
        <v>2950</v>
      </c>
      <c r="CD202" t="e">
        <v>#N/A</v>
      </c>
    </row>
    <row r="203" spans="1:82" x14ac:dyDescent="0.3">
      <c r="A203">
        <v>222</v>
      </c>
      <c r="B203" t="e">
        <v>#NUM!</v>
      </c>
      <c r="C203" t="s">
        <v>2951</v>
      </c>
      <c r="D203">
        <v>642109117</v>
      </c>
      <c r="E203">
        <v>1380019932644</v>
      </c>
      <c r="G203" t="s">
        <v>23</v>
      </c>
      <c r="H203" t="s">
        <v>23</v>
      </c>
      <c r="I203" s="305">
        <v>44487</v>
      </c>
      <c r="J203">
        <v>3</v>
      </c>
      <c r="K203">
        <v>2</v>
      </c>
      <c r="L203" t="s">
        <v>14</v>
      </c>
      <c r="M203" t="s">
        <v>187</v>
      </c>
      <c r="O203" s="305">
        <v>45582</v>
      </c>
      <c r="Q203" t="s">
        <v>206</v>
      </c>
      <c r="R203" t="s">
        <v>6863</v>
      </c>
      <c r="S203" t="s">
        <v>312</v>
      </c>
      <c r="T203" t="s">
        <v>23</v>
      </c>
      <c r="U203" t="s">
        <v>204</v>
      </c>
      <c r="V203" t="s">
        <v>51</v>
      </c>
      <c r="W203" t="s">
        <v>121</v>
      </c>
      <c r="X203" t="s">
        <v>313</v>
      </c>
      <c r="AA203" t="s">
        <v>132</v>
      </c>
      <c r="AB203" t="s">
        <v>23</v>
      </c>
      <c r="AC203" s="305">
        <v>35858</v>
      </c>
      <c r="AD203">
        <v>26</v>
      </c>
      <c r="AE203" t="s">
        <v>2952</v>
      </c>
      <c r="AF203" t="s">
        <v>2953</v>
      </c>
      <c r="AG203" t="s">
        <v>2954</v>
      </c>
      <c r="AJ203" t="s">
        <v>2955</v>
      </c>
      <c r="AK203" t="s">
        <v>2956</v>
      </c>
      <c r="AL203">
        <v>20026352011</v>
      </c>
      <c r="AM203" t="s">
        <v>4716</v>
      </c>
      <c r="AS203" t="s">
        <v>2957</v>
      </c>
      <c r="AT203" t="s">
        <v>2958</v>
      </c>
      <c r="AU203" t="s">
        <v>306</v>
      </c>
      <c r="AV203" t="s">
        <v>306</v>
      </c>
      <c r="AW203">
        <v>0</v>
      </c>
      <c r="AX203" t="s">
        <v>5078</v>
      </c>
      <c r="AY203" t="s">
        <v>2959</v>
      </c>
      <c r="AZ203" t="s">
        <v>2959</v>
      </c>
      <c r="BA203" t="s">
        <v>161</v>
      </c>
      <c r="BB203" t="s">
        <v>349</v>
      </c>
      <c r="BC203" t="s">
        <v>4502</v>
      </c>
      <c r="BD203" t="s">
        <v>2960</v>
      </c>
      <c r="BE203">
        <v>2017</v>
      </c>
      <c r="BF203" t="s">
        <v>349</v>
      </c>
      <c r="BG203" t="s">
        <v>4502</v>
      </c>
      <c r="BH203" t="s">
        <v>2960</v>
      </c>
      <c r="BI203">
        <v>2017</v>
      </c>
      <c r="BN203">
        <v>42</v>
      </c>
      <c r="BQ203" s="305">
        <v>44781</v>
      </c>
      <c r="BV203" t="s">
        <v>2961</v>
      </c>
      <c r="CD203" t="e">
        <v>#N/A</v>
      </c>
    </row>
    <row r="204" spans="1:82" x14ac:dyDescent="0.3">
      <c r="A204">
        <v>223</v>
      </c>
      <c r="B204" t="e">
        <v>#NUM!</v>
      </c>
      <c r="C204" t="s">
        <v>2962</v>
      </c>
      <c r="D204">
        <v>642109115</v>
      </c>
      <c r="E204">
        <v>1380019792501</v>
      </c>
      <c r="G204" t="s">
        <v>23</v>
      </c>
      <c r="H204" t="s">
        <v>23</v>
      </c>
      <c r="I204" s="305">
        <v>44487</v>
      </c>
      <c r="J204">
        <v>3</v>
      </c>
      <c r="K204">
        <v>2</v>
      </c>
      <c r="L204" t="s">
        <v>14</v>
      </c>
      <c r="M204" t="s">
        <v>187</v>
      </c>
      <c r="O204" s="305">
        <v>45582</v>
      </c>
      <c r="Q204" t="s">
        <v>206</v>
      </c>
      <c r="R204" t="s">
        <v>6863</v>
      </c>
      <c r="S204" t="s">
        <v>312</v>
      </c>
      <c r="T204" t="s">
        <v>23</v>
      </c>
      <c r="U204" t="s">
        <v>204</v>
      </c>
      <c r="V204" t="s">
        <v>51</v>
      </c>
      <c r="W204" t="s">
        <v>121</v>
      </c>
      <c r="X204" t="s">
        <v>313</v>
      </c>
      <c r="AA204" t="s">
        <v>132</v>
      </c>
      <c r="AB204" t="s">
        <v>23</v>
      </c>
      <c r="AC204" s="305">
        <v>35594</v>
      </c>
      <c r="AD204">
        <v>27</v>
      </c>
      <c r="AE204" t="s">
        <v>2963</v>
      </c>
      <c r="AF204" t="s">
        <v>2964</v>
      </c>
      <c r="AG204" t="s">
        <v>2965</v>
      </c>
      <c r="AJ204" t="s">
        <v>2966</v>
      </c>
      <c r="AK204" t="s">
        <v>2967</v>
      </c>
      <c r="AL204">
        <v>21076296124</v>
      </c>
      <c r="AM204" t="s">
        <v>4733</v>
      </c>
      <c r="AN204" t="s">
        <v>2968</v>
      </c>
      <c r="AO204" t="s">
        <v>2969</v>
      </c>
      <c r="AS204" t="s">
        <v>2970</v>
      </c>
      <c r="AT204" t="s">
        <v>2971</v>
      </c>
      <c r="AU204" t="s">
        <v>2972</v>
      </c>
      <c r="AV204" t="s">
        <v>2973</v>
      </c>
      <c r="AW204">
        <v>1</v>
      </c>
      <c r="AX204" t="s">
        <v>5637</v>
      </c>
      <c r="AY204" t="s">
        <v>2974</v>
      </c>
      <c r="AZ204" t="s">
        <v>2974</v>
      </c>
      <c r="BA204" t="s">
        <v>161</v>
      </c>
      <c r="BB204" t="s">
        <v>349</v>
      </c>
      <c r="BC204" t="s">
        <v>515</v>
      </c>
      <c r="BD204" t="s">
        <v>2975</v>
      </c>
      <c r="BE204">
        <v>2015</v>
      </c>
      <c r="BF204" t="s">
        <v>349</v>
      </c>
      <c r="BG204" t="s">
        <v>515</v>
      </c>
      <c r="BH204" t="s">
        <v>2975</v>
      </c>
      <c r="BI204">
        <v>2015</v>
      </c>
      <c r="BN204">
        <v>42</v>
      </c>
      <c r="BV204" t="s">
        <v>2976</v>
      </c>
      <c r="CD204" t="e">
        <v>#N/A</v>
      </c>
    </row>
    <row r="205" spans="1:82" x14ac:dyDescent="0.3">
      <c r="A205">
        <v>224</v>
      </c>
      <c r="B205" t="e">
        <v>#NUM!</v>
      </c>
      <c r="C205" t="s">
        <v>2977</v>
      </c>
      <c r="D205">
        <v>642109118</v>
      </c>
      <c r="E205">
        <v>1130012336792</v>
      </c>
      <c r="G205" t="s">
        <v>25</v>
      </c>
      <c r="H205" t="s">
        <v>25</v>
      </c>
      <c r="I205" s="305">
        <v>44490</v>
      </c>
      <c r="J205">
        <v>3</v>
      </c>
      <c r="K205">
        <v>2</v>
      </c>
      <c r="L205" t="s">
        <v>14</v>
      </c>
      <c r="M205" t="s">
        <v>187</v>
      </c>
      <c r="O205" s="305">
        <v>45585</v>
      </c>
      <c r="Q205" t="s">
        <v>206</v>
      </c>
      <c r="R205" t="s">
        <v>6863</v>
      </c>
      <c r="S205" t="s">
        <v>312</v>
      </c>
      <c r="T205" t="s">
        <v>25</v>
      </c>
      <c r="U205" t="s">
        <v>443</v>
      </c>
      <c r="V205" t="s">
        <v>748</v>
      </c>
      <c r="W205" t="s">
        <v>122</v>
      </c>
      <c r="X205" t="s">
        <v>313</v>
      </c>
      <c r="AA205" t="s">
        <v>132</v>
      </c>
      <c r="AB205" t="s">
        <v>25</v>
      </c>
      <c r="AC205" s="305">
        <v>36562</v>
      </c>
      <c r="AD205">
        <v>24</v>
      </c>
      <c r="AE205" t="s">
        <v>2978</v>
      </c>
      <c r="AF205" t="s">
        <v>2979</v>
      </c>
      <c r="AG205" t="s">
        <v>2980</v>
      </c>
      <c r="AJ205" t="s">
        <v>2981</v>
      </c>
      <c r="AK205" t="s">
        <v>2982</v>
      </c>
      <c r="AL205">
        <v>21087895757</v>
      </c>
      <c r="AM205" t="s">
        <v>4716</v>
      </c>
      <c r="AS205" t="s">
        <v>306</v>
      </c>
      <c r="AT205" t="s">
        <v>306</v>
      </c>
      <c r="AU205" t="s">
        <v>306</v>
      </c>
      <c r="AV205" t="s">
        <v>306</v>
      </c>
      <c r="AW205">
        <v>0</v>
      </c>
      <c r="AX205" t="s">
        <v>5078</v>
      </c>
      <c r="BA205" t="s">
        <v>161</v>
      </c>
      <c r="BB205" t="s">
        <v>349</v>
      </c>
      <c r="BC205" t="s">
        <v>4502</v>
      </c>
      <c r="BD205" t="s">
        <v>1862</v>
      </c>
      <c r="BE205">
        <v>2017</v>
      </c>
      <c r="BF205" t="s">
        <v>349</v>
      </c>
      <c r="BG205" t="s">
        <v>4502</v>
      </c>
      <c r="BH205" t="s">
        <v>1862</v>
      </c>
      <c r="BI205">
        <v>2017</v>
      </c>
      <c r="BN205">
        <v>42</v>
      </c>
      <c r="BV205" t="s">
        <v>2983</v>
      </c>
      <c r="CD205" t="e">
        <v>#N/A</v>
      </c>
    </row>
    <row r="206" spans="1:82" x14ac:dyDescent="0.3">
      <c r="A206">
        <v>225</v>
      </c>
      <c r="B206" t="e">
        <v>#NUM!</v>
      </c>
      <c r="C206" t="s">
        <v>2984</v>
      </c>
      <c r="D206">
        <v>642111121</v>
      </c>
      <c r="F206">
        <v>7182599365</v>
      </c>
      <c r="G206" t="s">
        <v>24</v>
      </c>
      <c r="H206" t="s">
        <v>24</v>
      </c>
      <c r="I206" s="305">
        <v>44517</v>
      </c>
      <c r="J206">
        <v>3</v>
      </c>
      <c r="K206">
        <v>2</v>
      </c>
      <c r="L206" t="s">
        <v>14</v>
      </c>
      <c r="M206" t="s">
        <v>187</v>
      </c>
      <c r="O206" s="305">
        <v>45535</v>
      </c>
      <c r="Q206" t="s">
        <v>206</v>
      </c>
      <c r="R206" t="s">
        <v>6863</v>
      </c>
      <c r="S206" t="s">
        <v>312</v>
      </c>
      <c r="T206" t="s">
        <v>24</v>
      </c>
      <c r="U206" t="s">
        <v>443</v>
      </c>
      <c r="V206" t="s">
        <v>1512</v>
      </c>
      <c r="W206" t="s">
        <v>121</v>
      </c>
      <c r="X206" t="s">
        <v>313</v>
      </c>
      <c r="Y206" t="s">
        <v>1218</v>
      </c>
      <c r="AA206" t="s">
        <v>132</v>
      </c>
      <c r="AB206" t="s">
        <v>2492</v>
      </c>
      <c r="AC206" s="305">
        <v>33673</v>
      </c>
      <c r="AD206">
        <v>32</v>
      </c>
      <c r="AE206" t="s">
        <v>2985</v>
      </c>
      <c r="AF206" t="s">
        <v>2986</v>
      </c>
      <c r="AG206" t="s">
        <v>2987</v>
      </c>
      <c r="AJ206" t="s">
        <v>2988</v>
      </c>
      <c r="AK206" t="s">
        <v>2989</v>
      </c>
      <c r="AL206">
        <v>18000340887</v>
      </c>
      <c r="AM206" t="s">
        <v>4716</v>
      </c>
      <c r="AS206" t="s">
        <v>2990</v>
      </c>
      <c r="AT206" t="s">
        <v>2991</v>
      </c>
      <c r="AU206" t="s">
        <v>306</v>
      </c>
      <c r="AV206" t="s">
        <v>306</v>
      </c>
      <c r="AW206">
        <v>0</v>
      </c>
      <c r="AX206" t="s">
        <v>5078</v>
      </c>
      <c r="AY206" t="s">
        <v>2992</v>
      </c>
      <c r="AZ206" t="s">
        <v>2993</v>
      </c>
      <c r="BA206" t="s">
        <v>161</v>
      </c>
      <c r="BB206" t="s">
        <v>349</v>
      </c>
      <c r="BC206" t="s">
        <v>87</v>
      </c>
      <c r="BD206" t="s">
        <v>2994</v>
      </c>
      <c r="BE206">
        <v>2009</v>
      </c>
      <c r="BF206" t="s">
        <v>2995</v>
      </c>
      <c r="BG206" t="s">
        <v>1925</v>
      </c>
      <c r="BH206" t="s">
        <v>2996</v>
      </c>
      <c r="BI206">
        <v>2009</v>
      </c>
      <c r="BN206">
        <v>41</v>
      </c>
      <c r="BQ206" s="305">
        <v>44667</v>
      </c>
      <c r="BV206" t="s">
        <v>2997</v>
      </c>
      <c r="CD206" t="e">
        <v>#N/A</v>
      </c>
    </row>
    <row r="207" spans="1:82" x14ac:dyDescent="0.3">
      <c r="A207">
        <v>231</v>
      </c>
      <c r="B207" t="e">
        <v>#NUM!</v>
      </c>
      <c r="C207" t="s">
        <v>3038</v>
      </c>
      <c r="D207">
        <v>642201149</v>
      </c>
      <c r="E207">
        <v>1710001954604</v>
      </c>
      <c r="G207" t="s">
        <v>217</v>
      </c>
      <c r="H207" t="s">
        <v>217</v>
      </c>
      <c r="I207" s="305">
        <v>44575</v>
      </c>
      <c r="J207">
        <v>3</v>
      </c>
      <c r="K207">
        <v>0</v>
      </c>
      <c r="L207" t="s">
        <v>14</v>
      </c>
      <c r="M207" t="s">
        <v>187</v>
      </c>
      <c r="O207" s="305">
        <v>45657</v>
      </c>
      <c r="Q207" t="s">
        <v>206</v>
      </c>
      <c r="R207" t="s">
        <v>6863</v>
      </c>
      <c r="S207" t="s">
        <v>312</v>
      </c>
      <c r="T207" t="s">
        <v>27</v>
      </c>
      <c r="U207" t="s">
        <v>547</v>
      </c>
      <c r="V207" t="s">
        <v>93</v>
      </c>
      <c r="W207" t="s">
        <v>122</v>
      </c>
      <c r="X207" t="s">
        <v>313</v>
      </c>
      <c r="AA207" t="s">
        <v>132</v>
      </c>
      <c r="AB207" t="s">
        <v>217</v>
      </c>
      <c r="AC207" s="305">
        <v>36074</v>
      </c>
      <c r="AD207">
        <v>26</v>
      </c>
      <c r="AE207" t="s">
        <v>3039</v>
      </c>
      <c r="AF207" t="s">
        <v>3040</v>
      </c>
      <c r="AG207" t="s">
        <v>3041</v>
      </c>
      <c r="AJ207" t="s">
        <v>3042</v>
      </c>
      <c r="AK207" t="s">
        <v>3043</v>
      </c>
      <c r="AL207">
        <v>22017333810</v>
      </c>
      <c r="AM207" t="s">
        <v>4716</v>
      </c>
      <c r="AS207" t="s">
        <v>306</v>
      </c>
      <c r="AT207" t="s">
        <v>306</v>
      </c>
      <c r="AU207" t="s">
        <v>306</v>
      </c>
      <c r="AV207" t="s">
        <v>306</v>
      </c>
      <c r="AW207">
        <v>0</v>
      </c>
      <c r="AX207" t="s">
        <v>5078</v>
      </c>
      <c r="BA207" t="s">
        <v>161</v>
      </c>
      <c r="BB207" t="s">
        <v>349</v>
      </c>
      <c r="BC207" t="s">
        <v>515</v>
      </c>
      <c r="BD207" t="s">
        <v>775</v>
      </c>
      <c r="BE207">
        <v>2016</v>
      </c>
      <c r="BF207" t="s">
        <v>349</v>
      </c>
      <c r="BG207" t="s">
        <v>515</v>
      </c>
      <c r="BH207" t="s">
        <v>775</v>
      </c>
      <c r="BI207">
        <v>2016</v>
      </c>
      <c r="BN207">
        <v>43</v>
      </c>
      <c r="BV207" t="s">
        <v>3044</v>
      </c>
      <c r="CD207" t="e">
        <v>#N/A</v>
      </c>
    </row>
    <row r="208" spans="1:82" x14ac:dyDescent="0.3">
      <c r="A208">
        <v>233</v>
      </c>
      <c r="B208" t="e">
        <v>#NUM!</v>
      </c>
      <c r="C208" t="s">
        <v>3045</v>
      </c>
      <c r="D208">
        <v>642201146</v>
      </c>
      <c r="F208">
        <v>7188582707</v>
      </c>
      <c r="G208" t="s">
        <v>21</v>
      </c>
      <c r="H208" t="s">
        <v>21</v>
      </c>
      <c r="I208" s="305">
        <v>44578</v>
      </c>
      <c r="J208">
        <v>3</v>
      </c>
      <c r="K208">
        <v>0</v>
      </c>
      <c r="L208" t="s">
        <v>14</v>
      </c>
      <c r="M208" t="s">
        <v>187</v>
      </c>
      <c r="O208" s="305">
        <v>45657</v>
      </c>
      <c r="Q208" t="s">
        <v>206</v>
      </c>
      <c r="R208" t="s">
        <v>6863</v>
      </c>
      <c r="S208" t="s">
        <v>312</v>
      </c>
      <c r="T208" t="s">
        <v>21</v>
      </c>
      <c r="U208" t="s">
        <v>547</v>
      </c>
      <c r="V208" t="s">
        <v>696</v>
      </c>
      <c r="W208" t="s">
        <v>122</v>
      </c>
      <c r="X208" t="s">
        <v>313</v>
      </c>
      <c r="AA208" t="s">
        <v>132</v>
      </c>
      <c r="AB208" t="s">
        <v>3046</v>
      </c>
      <c r="AC208" s="305">
        <v>35274</v>
      </c>
      <c r="AD208">
        <v>28</v>
      </c>
      <c r="AE208" t="s">
        <v>3047</v>
      </c>
      <c r="AF208" t="s">
        <v>3048</v>
      </c>
      <c r="AG208" t="s">
        <v>3049</v>
      </c>
      <c r="AJ208" t="s">
        <v>3050</v>
      </c>
      <c r="AK208" t="s">
        <v>3051</v>
      </c>
      <c r="AL208">
        <v>22017333497</v>
      </c>
      <c r="AM208" t="s">
        <v>4716</v>
      </c>
      <c r="AS208" t="s">
        <v>306</v>
      </c>
      <c r="AT208" t="s">
        <v>306</v>
      </c>
      <c r="AU208" t="s">
        <v>306</v>
      </c>
      <c r="AV208" t="s">
        <v>306</v>
      </c>
      <c r="AW208">
        <v>0</v>
      </c>
      <c r="AX208" t="s">
        <v>5078</v>
      </c>
      <c r="BA208" t="s">
        <v>161</v>
      </c>
      <c r="BB208" t="s">
        <v>307</v>
      </c>
      <c r="BC208" t="s">
        <v>544</v>
      </c>
      <c r="BD208" t="s">
        <v>3052</v>
      </c>
      <c r="BE208">
        <v>2014</v>
      </c>
      <c r="BF208" t="s">
        <v>307</v>
      </c>
      <c r="BG208" t="s">
        <v>544</v>
      </c>
      <c r="BH208" t="s">
        <v>3052</v>
      </c>
      <c r="BI208">
        <v>2014</v>
      </c>
      <c r="BN208">
        <v>40</v>
      </c>
      <c r="BP208" s="305">
        <v>44586</v>
      </c>
      <c r="BV208" t="s">
        <v>3053</v>
      </c>
      <c r="CD208" t="e">
        <v>#N/A</v>
      </c>
    </row>
    <row r="209" spans="1:82" x14ac:dyDescent="0.3">
      <c r="A209">
        <v>234</v>
      </c>
      <c r="B209" t="e">
        <v>#NUM!</v>
      </c>
      <c r="C209" t="s">
        <v>3054</v>
      </c>
      <c r="D209">
        <v>642201134</v>
      </c>
      <c r="E209">
        <v>1570007938195</v>
      </c>
      <c r="G209" t="s">
        <v>24</v>
      </c>
      <c r="H209" t="s">
        <v>24</v>
      </c>
      <c r="I209" s="305">
        <v>44578</v>
      </c>
      <c r="J209">
        <v>3</v>
      </c>
      <c r="K209">
        <v>0</v>
      </c>
      <c r="L209" t="s">
        <v>14</v>
      </c>
      <c r="M209" t="s">
        <v>187</v>
      </c>
      <c r="O209" s="305">
        <v>45657</v>
      </c>
      <c r="Q209" t="s">
        <v>206</v>
      </c>
      <c r="R209" t="s">
        <v>6863</v>
      </c>
      <c r="S209" t="s">
        <v>312</v>
      </c>
      <c r="T209" t="s">
        <v>24</v>
      </c>
      <c r="U209" t="s">
        <v>204</v>
      </c>
      <c r="V209" t="s">
        <v>629</v>
      </c>
      <c r="W209" t="s">
        <v>121</v>
      </c>
      <c r="X209" t="s">
        <v>313</v>
      </c>
      <c r="AA209" t="s">
        <v>132</v>
      </c>
      <c r="AB209" t="s">
        <v>667</v>
      </c>
      <c r="AC209" s="305">
        <v>35058</v>
      </c>
      <c r="AD209">
        <v>29</v>
      </c>
      <c r="AE209" t="s">
        <v>3055</v>
      </c>
      <c r="AF209" t="s">
        <v>3056</v>
      </c>
      <c r="AJ209" t="s">
        <v>3057</v>
      </c>
      <c r="AK209" t="s">
        <v>3058</v>
      </c>
      <c r="AL209">
        <v>22017333711</v>
      </c>
      <c r="AM209" t="s">
        <v>4733</v>
      </c>
      <c r="AN209" t="s">
        <v>3059</v>
      </c>
      <c r="AO209" t="s">
        <v>3060</v>
      </c>
      <c r="AS209" t="s">
        <v>306</v>
      </c>
      <c r="AT209" t="s">
        <v>306</v>
      </c>
      <c r="AU209" t="s">
        <v>306</v>
      </c>
      <c r="AV209" t="s">
        <v>306</v>
      </c>
      <c r="AW209">
        <v>1</v>
      </c>
      <c r="AX209" t="s">
        <v>5637</v>
      </c>
      <c r="BA209" t="s">
        <v>161</v>
      </c>
      <c r="BB209" t="s">
        <v>307</v>
      </c>
      <c r="BC209" t="s">
        <v>308</v>
      </c>
      <c r="BD209" t="s">
        <v>3061</v>
      </c>
      <c r="BE209">
        <v>2014</v>
      </c>
      <c r="BF209" t="s">
        <v>307</v>
      </c>
      <c r="BG209" t="s">
        <v>308</v>
      </c>
      <c r="BH209" t="s">
        <v>3061</v>
      </c>
      <c r="BI209">
        <v>2014</v>
      </c>
      <c r="BN209">
        <v>42</v>
      </c>
      <c r="BV209" t="s">
        <v>3062</v>
      </c>
      <c r="CD209" t="e">
        <v>#N/A</v>
      </c>
    </row>
    <row r="210" spans="1:82" x14ac:dyDescent="0.3">
      <c r="A210">
        <v>235</v>
      </c>
      <c r="B210" t="e">
        <v>#NUM!</v>
      </c>
      <c r="C210" t="s">
        <v>3063</v>
      </c>
      <c r="D210">
        <v>642201138</v>
      </c>
      <c r="E210">
        <v>1240010726108</v>
      </c>
      <c r="G210" t="s">
        <v>24</v>
      </c>
      <c r="H210" t="s">
        <v>24</v>
      </c>
      <c r="I210" s="305">
        <v>44578</v>
      </c>
      <c r="J210">
        <v>3</v>
      </c>
      <c r="K210">
        <v>0</v>
      </c>
      <c r="L210" t="s">
        <v>14</v>
      </c>
      <c r="M210" t="s">
        <v>187</v>
      </c>
      <c r="O210" s="305">
        <v>45657</v>
      </c>
      <c r="Q210" t="s">
        <v>206</v>
      </c>
      <c r="R210" t="s">
        <v>6863</v>
      </c>
      <c r="S210" t="s">
        <v>312</v>
      </c>
      <c r="T210" t="s">
        <v>24</v>
      </c>
      <c r="U210" t="s">
        <v>204</v>
      </c>
      <c r="V210" t="s">
        <v>706</v>
      </c>
      <c r="W210" t="s">
        <v>121</v>
      </c>
      <c r="X210" t="s">
        <v>313</v>
      </c>
      <c r="AA210" t="s">
        <v>132</v>
      </c>
      <c r="AB210" t="s">
        <v>24</v>
      </c>
      <c r="AC210" s="305">
        <v>34484</v>
      </c>
      <c r="AD210">
        <v>30</v>
      </c>
      <c r="AE210" t="s">
        <v>3064</v>
      </c>
      <c r="AF210" t="s">
        <v>3065</v>
      </c>
      <c r="AG210" t="s">
        <v>3066</v>
      </c>
      <c r="AJ210" t="s">
        <v>3067</v>
      </c>
      <c r="AK210" t="s">
        <v>3068</v>
      </c>
      <c r="AL210">
        <v>22017333646</v>
      </c>
      <c r="AM210" t="s">
        <v>4733</v>
      </c>
      <c r="AN210" t="s">
        <v>3069</v>
      </c>
      <c r="AO210" t="s">
        <v>3070</v>
      </c>
      <c r="AP210" t="s">
        <v>3071</v>
      </c>
      <c r="AS210" t="s">
        <v>3072</v>
      </c>
      <c r="AT210" t="s">
        <v>3073</v>
      </c>
      <c r="AU210" t="s">
        <v>3074</v>
      </c>
      <c r="AV210" t="s">
        <v>3075</v>
      </c>
      <c r="AW210">
        <v>2</v>
      </c>
      <c r="AX210" t="s">
        <v>5002</v>
      </c>
      <c r="AY210" t="s">
        <v>3076</v>
      </c>
      <c r="AZ210" t="s">
        <v>3076</v>
      </c>
      <c r="BA210" t="s">
        <v>161</v>
      </c>
      <c r="BB210" t="s">
        <v>349</v>
      </c>
      <c r="BC210" t="s">
        <v>1742</v>
      </c>
      <c r="BD210" t="s">
        <v>3077</v>
      </c>
      <c r="BE210">
        <v>2012</v>
      </c>
      <c r="BF210" t="s">
        <v>349</v>
      </c>
      <c r="BG210" t="s">
        <v>1742</v>
      </c>
      <c r="BH210" t="s">
        <v>3077</v>
      </c>
      <c r="BI210">
        <v>2012</v>
      </c>
      <c r="BN210">
        <v>42</v>
      </c>
      <c r="BP210" s="305">
        <v>44533</v>
      </c>
      <c r="BV210" t="s">
        <v>3078</v>
      </c>
      <c r="CD210" t="e">
        <v>#N/A</v>
      </c>
    </row>
    <row r="211" spans="1:82" x14ac:dyDescent="0.3">
      <c r="A211">
        <v>236</v>
      </c>
      <c r="B211" t="e">
        <v>#NUM!</v>
      </c>
      <c r="C211" t="s">
        <v>3079</v>
      </c>
      <c r="D211">
        <v>642201130</v>
      </c>
      <c r="E211">
        <v>1550011488965</v>
      </c>
      <c r="G211" t="s">
        <v>24</v>
      </c>
      <c r="H211" t="s">
        <v>24</v>
      </c>
      <c r="I211" s="305">
        <v>44578</v>
      </c>
      <c r="J211">
        <v>3</v>
      </c>
      <c r="K211">
        <v>0</v>
      </c>
      <c r="L211" t="s">
        <v>14</v>
      </c>
      <c r="M211" t="s">
        <v>187</v>
      </c>
      <c r="O211" s="305">
        <v>45657</v>
      </c>
      <c r="Q211" t="s">
        <v>206</v>
      </c>
      <c r="R211" t="s">
        <v>6863</v>
      </c>
      <c r="S211" t="s">
        <v>312</v>
      </c>
      <c r="T211" t="s">
        <v>24</v>
      </c>
      <c r="U211" t="s">
        <v>204</v>
      </c>
      <c r="V211" t="s">
        <v>706</v>
      </c>
      <c r="W211" t="s">
        <v>121</v>
      </c>
      <c r="X211" t="s">
        <v>313</v>
      </c>
      <c r="AA211" t="s">
        <v>132</v>
      </c>
      <c r="AB211" t="s">
        <v>1533</v>
      </c>
      <c r="AC211" s="305">
        <v>35887</v>
      </c>
      <c r="AD211">
        <v>26</v>
      </c>
      <c r="AE211" t="s">
        <v>3080</v>
      </c>
      <c r="AF211" t="s">
        <v>3081</v>
      </c>
      <c r="AG211" t="s">
        <v>3082</v>
      </c>
      <c r="AJ211" t="s">
        <v>3083</v>
      </c>
      <c r="AK211" t="s">
        <v>3084</v>
      </c>
      <c r="AL211">
        <v>22017333703</v>
      </c>
      <c r="AM211" t="s">
        <v>4716</v>
      </c>
      <c r="AS211" t="s">
        <v>3085</v>
      </c>
      <c r="AT211" t="s">
        <v>3086</v>
      </c>
      <c r="AU211" t="s">
        <v>306</v>
      </c>
      <c r="AV211" t="s">
        <v>306</v>
      </c>
      <c r="AW211">
        <v>0</v>
      </c>
      <c r="AX211" t="s">
        <v>5078</v>
      </c>
      <c r="AY211" t="s">
        <v>3087</v>
      </c>
      <c r="AZ211" t="s">
        <v>3087</v>
      </c>
      <c r="BA211" t="s">
        <v>161</v>
      </c>
      <c r="BB211" t="s">
        <v>349</v>
      </c>
      <c r="BC211" t="s">
        <v>6779</v>
      </c>
      <c r="BD211" t="s">
        <v>3088</v>
      </c>
      <c r="BE211">
        <v>2016</v>
      </c>
      <c r="BF211" t="s">
        <v>349</v>
      </c>
      <c r="BG211" t="s">
        <v>6779</v>
      </c>
      <c r="BH211" t="s">
        <v>3088</v>
      </c>
      <c r="BI211">
        <v>2016</v>
      </c>
      <c r="BN211">
        <v>42</v>
      </c>
      <c r="BP211" s="305">
        <v>44501</v>
      </c>
      <c r="BV211" t="s">
        <v>3089</v>
      </c>
      <c r="CD211" t="e">
        <v>#N/A</v>
      </c>
    </row>
    <row r="212" spans="1:82" x14ac:dyDescent="0.3">
      <c r="A212">
        <v>237</v>
      </c>
      <c r="B212" t="e">
        <v>#NUM!</v>
      </c>
      <c r="C212" t="s">
        <v>3090</v>
      </c>
      <c r="D212">
        <v>642201137</v>
      </c>
      <c r="E212">
        <v>1200012500281</v>
      </c>
      <c r="G212" t="s">
        <v>24</v>
      </c>
      <c r="H212" t="s">
        <v>24</v>
      </c>
      <c r="I212" s="305">
        <v>44578</v>
      </c>
      <c r="J212">
        <v>3</v>
      </c>
      <c r="K212">
        <v>0</v>
      </c>
      <c r="L212" t="s">
        <v>14</v>
      </c>
      <c r="M212" t="s">
        <v>187</v>
      </c>
      <c r="O212" s="305">
        <v>45657</v>
      </c>
      <c r="Q212" t="s">
        <v>206</v>
      </c>
      <c r="R212" t="s">
        <v>6863</v>
      </c>
      <c r="S212" t="s">
        <v>312</v>
      </c>
      <c r="T212" t="s">
        <v>24</v>
      </c>
      <c r="U212" t="s">
        <v>204</v>
      </c>
      <c r="V212" t="s">
        <v>629</v>
      </c>
      <c r="W212" t="s">
        <v>121</v>
      </c>
      <c r="X212" t="s">
        <v>313</v>
      </c>
      <c r="AA212" t="s">
        <v>132</v>
      </c>
      <c r="AB212" t="s">
        <v>24</v>
      </c>
      <c r="AC212" s="305">
        <v>34645</v>
      </c>
      <c r="AD212">
        <v>30</v>
      </c>
      <c r="AE212" t="s">
        <v>3091</v>
      </c>
      <c r="AF212" t="s">
        <v>3092</v>
      </c>
      <c r="AG212" t="s">
        <v>3093</v>
      </c>
      <c r="AJ212" t="s">
        <v>3094</v>
      </c>
      <c r="AK212" t="s">
        <v>3095</v>
      </c>
      <c r="AL212">
        <v>22017333802</v>
      </c>
      <c r="AM212" t="s">
        <v>4716</v>
      </c>
      <c r="AS212" t="s">
        <v>3096</v>
      </c>
      <c r="AT212" t="s">
        <v>1378</v>
      </c>
      <c r="AU212" t="s">
        <v>306</v>
      </c>
      <c r="AV212" t="s">
        <v>306</v>
      </c>
      <c r="AW212">
        <v>0</v>
      </c>
      <c r="AX212" t="s">
        <v>5078</v>
      </c>
      <c r="AY212" t="s">
        <v>3097</v>
      </c>
      <c r="AZ212">
        <v>719096588044000</v>
      </c>
      <c r="BA212" t="s">
        <v>161</v>
      </c>
      <c r="BB212" t="s">
        <v>349</v>
      </c>
      <c r="BC212" t="s">
        <v>6779</v>
      </c>
      <c r="BD212" t="s">
        <v>3098</v>
      </c>
      <c r="BE212">
        <v>2013</v>
      </c>
      <c r="BF212" t="s">
        <v>349</v>
      </c>
      <c r="BG212" t="s">
        <v>6779</v>
      </c>
      <c r="BH212" t="s">
        <v>3098</v>
      </c>
      <c r="BI212">
        <v>2013</v>
      </c>
      <c r="BN212">
        <v>41</v>
      </c>
      <c r="BQ212" s="305">
        <v>44867</v>
      </c>
      <c r="BV212" t="s">
        <v>3099</v>
      </c>
      <c r="CD212" t="e">
        <v>#N/A</v>
      </c>
    </row>
    <row r="213" spans="1:82" x14ac:dyDescent="0.3">
      <c r="A213">
        <v>238</v>
      </c>
      <c r="B213" t="e">
        <v>#NUM!</v>
      </c>
      <c r="C213" t="s">
        <v>3100</v>
      </c>
      <c r="D213">
        <v>642201131</v>
      </c>
      <c r="E213">
        <v>1180011311841</v>
      </c>
      <c r="G213" t="s">
        <v>24</v>
      </c>
      <c r="H213" t="s">
        <v>24</v>
      </c>
      <c r="I213" s="305">
        <v>44578</v>
      </c>
      <c r="J213">
        <v>3</v>
      </c>
      <c r="K213">
        <v>0</v>
      </c>
      <c r="L213" t="s">
        <v>14</v>
      </c>
      <c r="M213" t="s">
        <v>187</v>
      </c>
      <c r="O213" s="305">
        <v>45657</v>
      </c>
      <c r="Q213" t="s">
        <v>206</v>
      </c>
      <c r="R213" t="s">
        <v>6863</v>
      </c>
      <c r="S213" t="s">
        <v>312</v>
      </c>
      <c r="T213" t="s">
        <v>24</v>
      </c>
      <c r="U213" t="s">
        <v>204</v>
      </c>
      <c r="V213" t="s">
        <v>629</v>
      </c>
      <c r="W213" t="s">
        <v>121</v>
      </c>
      <c r="X213" t="s">
        <v>313</v>
      </c>
      <c r="AA213" t="s">
        <v>132</v>
      </c>
      <c r="AB213" t="s">
        <v>24</v>
      </c>
      <c r="AC213" s="305">
        <v>35117</v>
      </c>
      <c r="AD213">
        <v>28</v>
      </c>
      <c r="AE213" t="s">
        <v>3101</v>
      </c>
      <c r="AF213" t="s">
        <v>3102</v>
      </c>
      <c r="AG213" t="s">
        <v>3103</v>
      </c>
      <c r="AJ213" t="s">
        <v>3104</v>
      </c>
      <c r="AK213" t="s">
        <v>3105</v>
      </c>
      <c r="AL213">
        <v>22017333547</v>
      </c>
      <c r="AM213" t="s">
        <v>4733</v>
      </c>
      <c r="AN213" t="s">
        <v>3106</v>
      </c>
      <c r="AO213" t="s">
        <v>3107</v>
      </c>
      <c r="AS213" t="s">
        <v>306</v>
      </c>
      <c r="AT213" t="s">
        <v>306</v>
      </c>
      <c r="AU213" t="s">
        <v>306</v>
      </c>
      <c r="AV213" t="s">
        <v>306</v>
      </c>
      <c r="AW213">
        <v>1</v>
      </c>
      <c r="AX213" t="s">
        <v>5637</v>
      </c>
      <c r="BA213" t="s">
        <v>161</v>
      </c>
      <c r="BB213" t="s">
        <v>349</v>
      </c>
      <c r="BC213" t="s">
        <v>6779</v>
      </c>
      <c r="BD213" t="s">
        <v>3108</v>
      </c>
      <c r="BE213">
        <v>2014</v>
      </c>
      <c r="BF213" t="s">
        <v>349</v>
      </c>
      <c r="BG213" t="s">
        <v>6779</v>
      </c>
      <c r="BH213" t="s">
        <v>3108</v>
      </c>
      <c r="BI213">
        <v>2014</v>
      </c>
      <c r="BN213">
        <v>42</v>
      </c>
      <c r="BQ213" s="305">
        <v>44673</v>
      </c>
      <c r="BV213" t="s">
        <v>3109</v>
      </c>
      <c r="CD213" t="e">
        <v>#N/A</v>
      </c>
    </row>
    <row r="214" spans="1:82" x14ac:dyDescent="0.3">
      <c r="A214">
        <v>239</v>
      </c>
      <c r="B214" t="e">
        <v>#NUM!</v>
      </c>
      <c r="C214" t="s">
        <v>3110</v>
      </c>
      <c r="D214">
        <v>642201136</v>
      </c>
      <c r="E214">
        <v>1200011799215</v>
      </c>
      <c r="G214" t="s">
        <v>24</v>
      </c>
      <c r="H214" t="s">
        <v>24</v>
      </c>
      <c r="I214" s="305">
        <v>44578</v>
      </c>
      <c r="J214">
        <v>3</v>
      </c>
      <c r="K214">
        <v>0</v>
      </c>
      <c r="L214" t="s">
        <v>14</v>
      </c>
      <c r="M214" t="s">
        <v>187</v>
      </c>
      <c r="O214" s="305">
        <v>45657</v>
      </c>
      <c r="Q214" t="s">
        <v>206</v>
      </c>
      <c r="R214" t="s">
        <v>6863</v>
      </c>
      <c r="S214" t="s">
        <v>312</v>
      </c>
      <c r="T214" t="s">
        <v>24</v>
      </c>
      <c r="U214" t="s">
        <v>204</v>
      </c>
      <c r="V214" t="s">
        <v>706</v>
      </c>
      <c r="W214" t="s">
        <v>121</v>
      </c>
      <c r="X214" t="s">
        <v>313</v>
      </c>
      <c r="AA214" t="s">
        <v>132</v>
      </c>
      <c r="AB214" t="s">
        <v>24</v>
      </c>
      <c r="AC214" s="305">
        <v>34494</v>
      </c>
      <c r="AD214">
        <v>30</v>
      </c>
      <c r="AE214" t="s">
        <v>3111</v>
      </c>
      <c r="AF214" t="s">
        <v>3112</v>
      </c>
      <c r="AG214" t="s">
        <v>3113</v>
      </c>
      <c r="AJ214" t="s">
        <v>3114</v>
      </c>
      <c r="AK214" t="s">
        <v>3115</v>
      </c>
      <c r="AL214">
        <v>22017333745</v>
      </c>
      <c r="AM214" t="s">
        <v>4733</v>
      </c>
      <c r="AN214" t="s">
        <v>3116</v>
      </c>
      <c r="AO214" t="s">
        <v>3117</v>
      </c>
      <c r="AS214" t="s">
        <v>1626</v>
      </c>
      <c r="AT214" t="s">
        <v>3118</v>
      </c>
      <c r="AU214" t="s">
        <v>3119</v>
      </c>
      <c r="AV214" t="s">
        <v>2135</v>
      </c>
      <c r="AW214">
        <v>1</v>
      </c>
      <c r="AX214" t="s">
        <v>5637</v>
      </c>
      <c r="AY214" t="s">
        <v>3120</v>
      </c>
      <c r="AZ214" t="s">
        <v>3120</v>
      </c>
      <c r="BA214" t="s">
        <v>161</v>
      </c>
      <c r="BB214" t="s">
        <v>349</v>
      </c>
      <c r="BC214" t="s">
        <v>3121</v>
      </c>
      <c r="BD214" t="s">
        <v>3122</v>
      </c>
      <c r="BE214">
        <v>2013</v>
      </c>
      <c r="BF214" t="s">
        <v>349</v>
      </c>
      <c r="BG214" t="s">
        <v>3121</v>
      </c>
      <c r="BH214" t="s">
        <v>3122</v>
      </c>
      <c r="BI214">
        <v>2013</v>
      </c>
      <c r="BN214">
        <v>42</v>
      </c>
      <c r="BP214" s="305">
        <v>44405</v>
      </c>
      <c r="BV214" t="s">
        <v>3123</v>
      </c>
      <c r="CD214" t="e">
        <v>#N/A</v>
      </c>
    </row>
    <row r="215" spans="1:82" x14ac:dyDescent="0.3">
      <c r="A215">
        <v>240</v>
      </c>
      <c r="B215" t="e">
        <v>#NUM!</v>
      </c>
      <c r="C215" t="s">
        <v>3124</v>
      </c>
      <c r="D215">
        <v>642201141</v>
      </c>
      <c r="E215">
        <v>1760000962892</v>
      </c>
      <c r="G215" t="s">
        <v>24</v>
      </c>
      <c r="H215" t="s">
        <v>24</v>
      </c>
      <c r="I215" s="305">
        <v>44578</v>
      </c>
      <c r="J215">
        <v>3</v>
      </c>
      <c r="K215">
        <v>0</v>
      </c>
      <c r="L215" t="s">
        <v>14</v>
      </c>
      <c r="M215" t="s">
        <v>187</v>
      </c>
      <c r="O215" s="305">
        <v>45657</v>
      </c>
      <c r="Q215" t="s">
        <v>206</v>
      </c>
      <c r="R215" t="s">
        <v>6863</v>
      </c>
      <c r="S215" t="s">
        <v>312</v>
      </c>
      <c r="T215" t="s">
        <v>24</v>
      </c>
      <c r="U215" t="s">
        <v>204</v>
      </c>
      <c r="V215" t="s">
        <v>629</v>
      </c>
      <c r="W215" t="s">
        <v>121</v>
      </c>
      <c r="X215" t="s">
        <v>313</v>
      </c>
      <c r="AA215" t="s">
        <v>132</v>
      </c>
      <c r="AB215" t="s">
        <v>23</v>
      </c>
      <c r="AC215" s="305">
        <v>36432</v>
      </c>
      <c r="AD215">
        <v>25</v>
      </c>
      <c r="AE215" t="s">
        <v>3125</v>
      </c>
      <c r="AF215" t="s">
        <v>3126</v>
      </c>
      <c r="AG215" t="s">
        <v>3127</v>
      </c>
      <c r="AJ215" t="s">
        <v>3128</v>
      </c>
      <c r="AK215" t="s">
        <v>3129</v>
      </c>
      <c r="AL215">
        <v>22017333828</v>
      </c>
      <c r="AM215" t="s">
        <v>4716</v>
      </c>
      <c r="AS215" t="s">
        <v>3130</v>
      </c>
      <c r="AT215" t="s">
        <v>3131</v>
      </c>
      <c r="AU215" t="s">
        <v>306</v>
      </c>
      <c r="AV215" t="s">
        <v>306</v>
      </c>
      <c r="AW215">
        <v>0</v>
      </c>
      <c r="AX215" t="s">
        <v>5078</v>
      </c>
      <c r="AY215" t="s">
        <v>3132</v>
      </c>
      <c r="AZ215" t="s">
        <v>3133</v>
      </c>
      <c r="BA215" t="s">
        <v>161</v>
      </c>
      <c r="BB215" t="s">
        <v>349</v>
      </c>
      <c r="BC215" t="s">
        <v>91</v>
      </c>
      <c r="BD215" t="s">
        <v>3088</v>
      </c>
      <c r="BE215">
        <v>2017</v>
      </c>
      <c r="BF215" t="s">
        <v>349</v>
      </c>
      <c r="BG215" t="s">
        <v>91</v>
      </c>
      <c r="BH215" t="s">
        <v>3088</v>
      </c>
      <c r="BI215">
        <v>2017</v>
      </c>
      <c r="BN215">
        <v>43</v>
      </c>
      <c r="BV215" t="s">
        <v>3134</v>
      </c>
      <c r="CD215" t="e">
        <v>#N/A</v>
      </c>
    </row>
    <row r="216" spans="1:82" x14ac:dyDescent="0.3">
      <c r="A216">
        <v>241</v>
      </c>
      <c r="B216" t="e">
        <v>#NUM!</v>
      </c>
      <c r="C216" t="s">
        <v>3135</v>
      </c>
      <c r="D216">
        <v>642201148</v>
      </c>
      <c r="E216">
        <v>1080017200842</v>
      </c>
      <c r="G216" t="s">
        <v>26</v>
      </c>
      <c r="H216" t="s">
        <v>26</v>
      </c>
      <c r="I216" s="305">
        <v>44578</v>
      </c>
      <c r="J216">
        <v>3</v>
      </c>
      <c r="K216">
        <v>0</v>
      </c>
      <c r="L216" t="s">
        <v>14</v>
      </c>
      <c r="M216" t="s">
        <v>187</v>
      </c>
      <c r="O216" s="305">
        <v>45657</v>
      </c>
      <c r="Q216" t="s">
        <v>206</v>
      </c>
      <c r="R216" t="s">
        <v>6863</v>
      </c>
      <c r="S216" t="s">
        <v>312</v>
      </c>
      <c r="T216" t="s">
        <v>26</v>
      </c>
      <c r="U216" t="s">
        <v>547</v>
      </c>
      <c r="V216" t="s">
        <v>97</v>
      </c>
      <c r="W216" t="s">
        <v>122</v>
      </c>
      <c r="X216" t="s">
        <v>313</v>
      </c>
      <c r="AA216" t="s">
        <v>132</v>
      </c>
      <c r="AB216" t="s">
        <v>2117</v>
      </c>
      <c r="AC216" s="305">
        <v>35888</v>
      </c>
      <c r="AD216">
        <v>26</v>
      </c>
      <c r="AE216" t="s">
        <v>3136</v>
      </c>
      <c r="AF216" t="s">
        <v>3137</v>
      </c>
      <c r="AG216" t="s">
        <v>3138</v>
      </c>
      <c r="AJ216" t="s">
        <v>3139</v>
      </c>
      <c r="AK216" t="s">
        <v>3140</v>
      </c>
      <c r="AL216">
        <v>22017333604</v>
      </c>
      <c r="AM216" t="s">
        <v>4716</v>
      </c>
      <c r="AS216" t="s">
        <v>3141</v>
      </c>
      <c r="AT216" t="s">
        <v>3142</v>
      </c>
      <c r="AU216" t="s">
        <v>306</v>
      </c>
      <c r="AV216" t="s">
        <v>306</v>
      </c>
      <c r="AW216">
        <v>0</v>
      </c>
      <c r="AX216" t="s">
        <v>5078</v>
      </c>
      <c r="AY216" t="s">
        <v>3143</v>
      </c>
      <c r="AZ216" t="s">
        <v>3144</v>
      </c>
      <c r="BA216" t="s">
        <v>161</v>
      </c>
      <c r="BB216" t="s">
        <v>349</v>
      </c>
      <c r="BC216" t="s">
        <v>91</v>
      </c>
      <c r="BD216" t="s">
        <v>2123</v>
      </c>
      <c r="BE216">
        <v>2016</v>
      </c>
      <c r="BF216" t="s">
        <v>349</v>
      </c>
      <c r="BG216" t="s">
        <v>91</v>
      </c>
      <c r="BH216" t="s">
        <v>2123</v>
      </c>
      <c r="BI216">
        <v>2016</v>
      </c>
      <c r="BN216">
        <v>42</v>
      </c>
      <c r="BP216" s="305">
        <v>44560</v>
      </c>
      <c r="BV216" t="s">
        <v>3145</v>
      </c>
      <c r="CD216" t="e">
        <v>#N/A</v>
      </c>
    </row>
    <row r="217" spans="1:82" x14ac:dyDescent="0.3">
      <c r="A217">
        <v>242</v>
      </c>
      <c r="B217" t="e">
        <v>#NUM!</v>
      </c>
      <c r="C217" t="s">
        <v>3146</v>
      </c>
      <c r="D217">
        <v>642201135</v>
      </c>
      <c r="E217">
        <v>1710011622761</v>
      </c>
      <c r="G217" t="s">
        <v>24</v>
      </c>
      <c r="H217" t="s">
        <v>432</v>
      </c>
      <c r="I217" s="305">
        <v>44578</v>
      </c>
      <c r="J217">
        <v>3</v>
      </c>
      <c r="K217">
        <v>0</v>
      </c>
      <c r="L217" t="s">
        <v>14</v>
      </c>
      <c r="M217" t="s">
        <v>187</v>
      </c>
      <c r="O217" s="305">
        <v>45657</v>
      </c>
      <c r="Q217" t="s">
        <v>206</v>
      </c>
      <c r="R217" t="s">
        <v>6863</v>
      </c>
      <c r="S217" t="s">
        <v>312</v>
      </c>
      <c r="T217" t="s">
        <v>24</v>
      </c>
      <c r="U217" t="s">
        <v>204</v>
      </c>
      <c r="V217" t="s">
        <v>629</v>
      </c>
      <c r="W217" t="s">
        <v>121</v>
      </c>
      <c r="X217" t="s">
        <v>313</v>
      </c>
      <c r="AA217" t="s">
        <v>132</v>
      </c>
      <c r="AB217" t="s">
        <v>217</v>
      </c>
      <c r="AC217" s="305">
        <v>35761</v>
      </c>
      <c r="AD217">
        <v>27</v>
      </c>
      <c r="AE217" t="s">
        <v>3147</v>
      </c>
      <c r="AF217" t="s">
        <v>3148</v>
      </c>
      <c r="AG217" t="s">
        <v>3149</v>
      </c>
      <c r="AJ217" t="s">
        <v>3150</v>
      </c>
      <c r="AK217" t="s">
        <v>3151</v>
      </c>
      <c r="AL217">
        <v>22017333620</v>
      </c>
      <c r="AM217" t="s">
        <v>4716</v>
      </c>
      <c r="AS217" t="s">
        <v>3152</v>
      </c>
      <c r="AT217" t="s">
        <v>3153</v>
      </c>
      <c r="AU217" t="s">
        <v>306</v>
      </c>
      <c r="AV217" t="s">
        <v>306</v>
      </c>
      <c r="AW217">
        <v>0</v>
      </c>
      <c r="AX217" t="s">
        <v>5078</v>
      </c>
      <c r="AY217" t="s">
        <v>3154</v>
      </c>
      <c r="AZ217" t="s">
        <v>3154</v>
      </c>
      <c r="BA217" t="s">
        <v>161</v>
      </c>
      <c r="BB217" t="s">
        <v>349</v>
      </c>
      <c r="BC217" t="s">
        <v>91</v>
      </c>
      <c r="BD217" t="s">
        <v>3155</v>
      </c>
      <c r="BE217">
        <v>2016</v>
      </c>
      <c r="BF217" t="s">
        <v>349</v>
      </c>
      <c r="BG217" t="s">
        <v>91</v>
      </c>
      <c r="BH217" t="s">
        <v>3155</v>
      </c>
      <c r="BI217">
        <v>2016</v>
      </c>
      <c r="BN217">
        <v>42</v>
      </c>
      <c r="BV217" t="s">
        <v>3156</v>
      </c>
      <c r="CD217" t="e">
        <v>#N/A</v>
      </c>
    </row>
    <row r="218" spans="1:82" x14ac:dyDescent="0.3">
      <c r="A218">
        <v>243</v>
      </c>
      <c r="B218" t="e">
        <v>#NUM!</v>
      </c>
      <c r="C218" t="s">
        <v>3157</v>
      </c>
      <c r="D218">
        <v>642201139</v>
      </c>
      <c r="E218">
        <v>1550011491043</v>
      </c>
      <c r="G218" t="s">
        <v>24</v>
      </c>
      <c r="H218" t="s">
        <v>24</v>
      </c>
      <c r="I218" s="305">
        <v>44578</v>
      </c>
      <c r="J218">
        <v>3</v>
      </c>
      <c r="K218">
        <v>0</v>
      </c>
      <c r="L218" t="s">
        <v>14</v>
      </c>
      <c r="M218" t="s">
        <v>187</v>
      </c>
      <c r="O218" s="305">
        <v>45657</v>
      </c>
      <c r="Q218" t="s">
        <v>206</v>
      </c>
      <c r="R218" t="s">
        <v>6863</v>
      </c>
      <c r="S218" t="s">
        <v>312</v>
      </c>
      <c r="T218" t="s">
        <v>24</v>
      </c>
      <c r="U218" t="s">
        <v>204</v>
      </c>
      <c r="V218" t="s">
        <v>629</v>
      </c>
      <c r="W218" t="s">
        <v>121</v>
      </c>
      <c r="X218" t="s">
        <v>313</v>
      </c>
      <c r="AA218" t="s">
        <v>132</v>
      </c>
      <c r="AB218" t="s">
        <v>1533</v>
      </c>
      <c r="AC218" s="305">
        <v>35326</v>
      </c>
      <c r="AD218">
        <v>28</v>
      </c>
      <c r="AE218" t="s">
        <v>3158</v>
      </c>
      <c r="AF218" t="s">
        <v>3159</v>
      </c>
      <c r="AG218" t="s">
        <v>3160</v>
      </c>
      <c r="AJ218" t="s">
        <v>3161</v>
      </c>
      <c r="AK218" t="s">
        <v>3162</v>
      </c>
      <c r="AL218">
        <v>22017333653</v>
      </c>
      <c r="AM218" t="s">
        <v>4716</v>
      </c>
      <c r="AS218" t="s">
        <v>3163</v>
      </c>
      <c r="AT218" t="s">
        <v>3164</v>
      </c>
      <c r="AU218" t="s">
        <v>306</v>
      </c>
      <c r="AV218" t="s">
        <v>306</v>
      </c>
      <c r="AW218">
        <v>0</v>
      </c>
      <c r="AX218" t="s">
        <v>5078</v>
      </c>
      <c r="AY218" t="s">
        <v>3165</v>
      </c>
      <c r="AZ218" t="s">
        <v>3165</v>
      </c>
      <c r="BA218" t="s">
        <v>161</v>
      </c>
      <c r="BB218" t="s">
        <v>349</v>
      </c>
      <c r="BC218" t="s">
        <v>3166</v>
      </c>
      <c r="BD218" t="s">
        <v>3167</v>
      </c>
      <c r="BE218">
        <v>2014</v>
      </c>
      <c r="BF218" t="s">
        <v>349</v>
      </c>
      <c r="BG218" t="s">
        <v>3166</v>
      </c>
      <c r="BH218" t="s">
        <v>3167</v>
      </c>
      <c r="BI218">
        <v>2014</v>
      </c>
      <c r="BN218">
        <v>41</v>
      </c>
      <c r="BP218" s="305">
        <v>44459</v>
      </c>
      <c r="BV218" t="s">
        <v>3168</v>
      </c>
      <c r="CD218" t="e">
        <v>#N/A</v>
      </c>
    </row>
    <row r="219" spans="1:82" x14ac:dyDescent="0.3">
      <c r="A219">
        <v>244</v>
      </c>
      <c r="B219" t="e">
        <v>#NUM!</v>
      </c>
      <c r="C219" t="s">
        <v>3169</v>
      </c>
      <c r="D219">
        <v>642201152</v>
      </c>
      <c r="E219">
        <v>1710002244062</v>
      </c>
      <c r="G219" t="s">
        <v>217</v>
      </c>
      <c r="H219" t="s">
        <v>1087</v>
      </c>
      <c r="I219" s="305">
        <v>44579</v>
      </c>
      <c r="J219">
        <v>2</v>
      </c>
      <c r="K219">
        <v>11</v>
      </c>
      <c r="L219" t="s">
        <v>14</v>
      </c>
      <c r="M219" t="s">
        <v>187</v>
      </c>
      <c r="O219" s="305">
        <v>45657</v>
      </c>
      <c r="Q219" t="s">
        <v>206</v>
      </c>
      <c r="R219" t="s">
        <v>6863</v>
      </c>
      <c r="S219" t="s">
        <v>312</v>
      </c>
      <c r="T219" t="s">
        <v>31</v>
      </c>
      <c r="U219" t="s">
        <v>204</v>
      </c>
      <c r="V219" t="s">
        <v>639</v>
      </c>
      <c r="W219" t="s">
        <v>122</v>
      </c>
      <c r="X219" t="s">
        <v>313</v>
      </c>
      <c r="AA219" t="s">
        <v>132</v>
      </c>
      <c r="AB219" t="s">
        <v>1087</v>
      </c>
      <c r="AC219" s="305">
        <v>35809</v>
      </c>
      <c r="AD219">
        <v>27</v>
      </c>
      <c r="AE219" t="s">
        <v>3170</v>
      </c>
      <c r="AF219" t="s">
        <v>3171</v>
      </c>
      <c r="AG219" t="s">
        <v>3172</v>
      </c>
      <c r="AJ219" t="s">
        <v>3173</v>
      </c>
      <c r="AK219" t="s">
        <v>3174</v>
      </c>
      <c r="AL219">
        <v>22017333612</v>
      </c>
      <c r="AM219" t="s">
        <v>4733</v>
      </c>
      <c r="AN219" t="s">
        <v>3175</v>
      </c>
      <c r="AS219" t="s">
        <v>3176</v>
      </c>
      <c r="AT219" t="s">
        <v>3177</v>
      </c>
      <c r="AU219" t="s">
        <v>3178</v>
      </c>
      <c r="AV219" t="s">
        <v>3179</v>
      </c>
      <c r="AW219">
        <v>0</v>
      </c>
      <c r="AX219" t="s">
        <v>5627</v>
      </c>
      <c r="AY219" t="s">
        <v>3180</v>
      </c>
      <c r="AZ219" t="s">
        <v>3180</v>
      </c>
      <c r="BA219" t="s">
        <v>161</v>
      </c>
      <c r="BB219" t="s">
        <v>349</v>
      </c>
      <c r="BC219" t="s">
        <v>6779</v>
      </c>
      <c r="BD219" t="s">
        <v>3181</v>
      </c>
      <c r="BE219">
        <v>2016</v>
      </c>
      <c r="BF219" t="s">
        <v>349</v>
      </c>
      <c r="BG219" t="s">
        <v>6779</v>
      </c>
      <c r="BH219" t="s">
        <v>3181</v>
      </c>
      <c r="BI219">
        <v>2016</v>
      </c>
      <c r="BN219">
        <v>41</v>
      </c>
      <c r="BQ219" s="305">
        <v>44648</v>
      </c>
      <c r="BV219" t="s">
        <v>3182</v>
      </c>
      <c r="CD219" t="e">
        <v>#N/A</v>
      </c>
    </row>
    <row r="220" spans="1:82" x14ac:dyDescent="0.3">
      <c r="A220">
        <v>245</v>
      </c>
      <c r="B220" t="e">
        <v>#NUM!</v>
      </c>
      <c r="C220" t="s">
        <v>3183</v>
      </c>
      <c r="D220">
        <v>642201154</v>
      </c>
      <c r="E220">
        <v>1710001957565</v>
      </c>
      <c r="G220" t="s">
        <v>217</v>
      </c>
      <c r="H220" t="s">
        <v>311</v>
      </c>
      <c r="I220" s="305">
        <v>44579</v>
      </c>
      <c r="J220">
        <v>2</v>
      </c>
      <c r="K220">
        <v>11</v>
      </c>
      <c r="L220" t="s">
        <v>14</v>
      </c>
      <c r="M220" t="s">
        <v>187</v>
      </c>
      <c r="O220" s="305">
        <v>45657</v>
      </c>
      <c r="Q220" t="s">
        <v>206</v>
      </c>
      <c r="R220" t="s">
        <v>6863</v>
      </c>
      <c r="S220" t="s">
        <v>312</v>
      </c>
      <c r="T220" t="s">
        <v>31</v>
      </c>
      <c r="U220" t="s">
        <v>204</v>
      </c>
      <c r="V220" t="s">
        <v>639</v>
      </c>
      <c r="W220" t="s">
        <v>122</v>
      </c>
      <c r="X220" t="s">
        <v>313</v>
      </c>
      <c r="AA220" t="s">
        <v>132</v>
      </c>
      <c r="AB220" t="s">
        <v>311</v>
      </c>
      <c r="AC220" s="305">
        <v>35988</v>
      </c>
      <c r="AD220">
        <v>26</v>
      </c>
      <c r="AE220" t="s">
        <v>3184</v>
      </c>
      <c r="AF220" t="s">
        <v>3185</v>
      </c>
      <c r="AG220" t="s">
        <v>3186</v>
      </c>
      <c r="AJ220" t="s">
        <v>3187</v>
      </c>
      <c r="AK220" t="s">
        <v>3188</v>
      </c>
      <c r="AL220">
        <v>22017333760</v>
      </c>
      <c r="AM220" t="s">
        <v>4716</v>
      </c>
      <c r="AS220" t="s">
        <v>3189</v>
      </c>
      <c r="AT220" t="s">
        <v>3190</v>
      </c>
      <c r="AU220" t="s">
        <v>306</v>
      </c>
      <c r="AV220" t="s">
        <v>306</v>
      </c>
      <c r="AW220">
        <v>0</v>
      </c>
      <c r="AX220" t="s">
        <v>5078</v>
      </c>
      <c r="AY220" t="s">
        <v>3191</v>
      </c>
      <c r="AZ220" t="s">
        <v>3191</v>
      </c>
      <c r="BA220" t="s">
        <v>161</v>
      </c>
      <c r="BB220" t="s">
        <v>349</v>
      </c>
      <c r="BC220" t="s">
        <v>6779</v>
      </c>
      <c r="BD220" t="s">
        <v>327</v>
      </c>
      <c r="BE220">
        <v>2016</v>
      </c>
      <c r="BF220" t="s">
        <v>349</v>
      </c>
      <c r="BG220" t="s">
        <v>6779</v>
      </c>
      <c r="BH220" t="s">
        <v>327</v>
      </c>
      <c r="BI220">
        <v>2016</v>
      </c>
      <c r="BN220">
        <v>41</v>
      </c>
      <c r="BQ220" s="305">
        <v>44648</v>
      </c>
      <c r="BV220" t="s">
        <v>3192</v>
      </c>
      <c r="CD220" t="e">
        <v>#N/A</v>
      </c>
    </row>
    <row r="221" spans="1:82" x14ac:dyDescent="0.3">
      <c r="A221">
        <v>246</v>
      </c>
      <c r="B221" t="e">
        <v>#NUM!</v>
      </c>
      <c r="C221" t="s">
        <v>3193</v>
      </c>
      <c r="D221">
        <v>642201151</v>
      </c>
      <c r="E221">
        <v>1240011123388</v>
      </c>
      <c r="G221" t="s">
        <v>217</v>
      </c>
      <c r="H221" t="s">
        <v>217</v>
      </c>
      <c r="I221" s="305">
        <v>44579</v>
      </c>
      <c r="J221">
        <v>2</v>
      </c>
      <c r="K221">
        <v>11</v>
      </c>
      <c r="L221" t="s">
        <v>14</v>
      </c>
      <c r="M221" t="s">
        <v>187</v>
      </c>
      <c r="O221" s="305">
        <v>45657</v>
      </c>
      <c r="Q221" t="s">
        <v>206</v>
      </c>
      <c r="R221" t="s">
        <v>6863</v>
      </c>
      <c r="S221" t="s">
        <v>312</v>
      </c>
      <c r="T221" t="s">
        <v>20</v>
      </c>
      <c r="U221" t="s">
        <v>204</v>
      </c>
      <c r="V221" t="s">
        <v>2805</v>
      </c>
      <c r="W221" t="s">
        <v>122</v>
      </c>
      <c r="X221" t="s">
        <v>313</v>
      </c>
      <c r="AA221" t="s">
        <v>132</v>
      </c>
      <c r="AB221" t="s">
        <v>217</v>
      </c>
      <c r="AC221" s="305">
        <v>35905</v>
      </c>
      <c r="AD221">
        <v>26</v>
      </c>
      <c r="AE221" t="s">
        <v>3194</v>
      </c>
      <c r="AF221" t="s">
        <v>3195</v>
      </c>
      <c r="AG221" t="s">
        <v>3196</v>
      </c>
      <c r="AJ221" t="s">
        <v>3197</v>
      </c>
      <c r="AK221" t="s">
        <v>3198</v>
      </c>
      <c r="AL221">
        <v>22017333596</v>
      </c>
      <c r="AM221" t="s">
        <v>4716</v>
      </c>
      <c r="AS221" t="s">
        <v>3199</v>
      </c>
      <c r="AT221" t="s">
        <v>3200</v>
      </c>
      <c r="AU221" t="s">
        <v>306</v>
      </c>
      <c r="AV221" t="s">
        <v>306</v>
      </c>
      <c r="AW221">
        <v>0</v>
      </c>
      <c r="AX221" t="s">
        <v>5078</v>
      </c>
      <c r="AY221" t="s">
        <v>3201</v>
      </c>
      <c r="AZ221" t="s">
        <v>3201</v>
      </c>
      <c r="BA221" t="s">
        <v>161</v>
      </c>
      <c r="BB221" t="s">
        <v>349</v>
      </c>
      <c r="BC221" t="s">
        <v>3202</v>
      </c>
      <c r="BD221" t="s">
        <v>3203</v>
      </c>
      <c r="BE221">
        <v>2016</v>
      </c>
      <c r="BF221" t="s">
        <v>349</v>
      </c>
      <c r="BG221" t="s">
        <v>3202</v>
      </c>
      <c r="BH221" t="s">
        <v>3203</v>
      </c>
      <c r="BI221">
        <v>2016</v>
      </c>
      <c r="BN221">
        <v>41</v>
      </c>
      <c r="BV221" t="s">
        <v>3204</v>
      </c>
      <c r="CD221" t="e">
        <v>#N/A</v>
      </c>
    </row>
    <row r="222" spans="1:82" x14ac:dyDescent="0.3">
      <c r="A222">
        <v>247</v>
      </c>
      <c r="B222" t="e">
        <v>#NUM!</v>
      </c>
      <c r="C222" t="s">
        <v>3205</v>
      </c>
      <c r="D222">
        <v>642201133</v>
      </c>
      <c r="E222">
        <v>1710001954398</v>
      </c>
      <c r="G222" t="s">
        <v>24</v>
      </c>
      <c r="H222" t="s">
        <v>311</v>
      </c>
      <c r="I222" s="305">
        <v>44579</v>
      </c>
      <c r="J222">
        <v>2</v>
      </c>
      <c r="K222">
        <v>11</v>
      </c>
      <c r="L222" t="s">
        <v>14</v>
      </c>
      <c r="M222" t="s">
        <v>187</v>
      </c>
      <c r="O222" s="305">
        <v>45657</v>
      </c>
      <c r="Q222" t="s">
        <v>206</v>
      </c>
      <c r="R222" t="s">
        <v>6863</v>
      </c>
      <c r="S222" t="s">
        <v>312</v>
      </c>
      <c r="T222" t="s">
        <v>23</v>
      </c>
      <c r="U222" t="s">
        <v>443</v>
      </c>
      <c r="V222" t="s">
        <v>51</v>
      </c>
      <c r="W222" t="s">
        <v>121</v>
      </c>
      <c r="X222" t="s">
        <v>313</v>
      </c>
      <c r="AA222" t="s">
        <v>132</v>
      </c>
      <c r="AB222" t="s">
        <v>311</v>
      </c>
      <c r="AC222" s="305">
        <v>35756</v>
      </c>
      <c r="AD222">
        <v>27</v>
      </c>
      <c r="AE222" t="s">
        <v>3206</v>
      </c>
      <c r="AF222" t="s">
        <v>3207</v>
      </c>
      <c r="AG222" t="s">
        <v>3208</v>
      </c>
      <c r="AJ222" t="s">
        <v>3209</v>
      </c>
      <c r="AK222" t="s">
        <v>3210</v>
      </c>
      <c r="AL222">
        <v>22017333786</v>
      </c>
      <c r="AM222" t="s">
        <v>4733</v>
      </c>
      <c r="AN222" t="s">
        <v>3211</v>
      </c>
      <c r="AO222" t="s">
        <v>3212</v>
      </c>
      <c r="AS222" t="s">
        <v>3213</v>
      </c>
      <c r="AT222" t="s">
        <v>1939</v>
      </c>
      <c r="AU222" t="s">
        <v>1346</v>
      </c>
      <c r="AV222" t="s">
        <v>3214</v>
      </c>
      <c r="AW222">
        <v>1</v>
      </c>
      <c r="AX222" t="s">
        <v>5637</v>
      </c>
      <c r="AY222" t="s">
        <v>3215</v>
      </c>
      <c r="AZ222" t="s">
        <v>3215</v>
      </c>
      <c r="BA222" t="s">
        <v>161</v>
      </c>
      <c r="BB222" t="s">
        <v>349</v>
      </c>
      <c r="BC222" t="s">
        <v>515</v>
      </c>
      <c r="BD222" t="s">
        <v>327</v>
      </c>
      <c r="BE222">
        <v>2016</v>
      </c>
      <c r="BF222" t="s">
        <v>349</v>
      </c>
      <c r="BG222" t="s">
        <v>515</v>
      </c>
      <c r="BH222" t="s">
        <v>327</v>
      </c>
      <c r="BI222">
        <v>2016</v>
      </c>
      <c r="BN222">
        <v>42</v>
      </c>
      <c r="BQ222" s="305">
        <v>44648</v>
      </c>
      <c r="CD222" t="e">
        <v>#N/A</v>
      </c>
    </row>
    <row r="223" spans="1:82" x14ac:dyDescent="0.3">
      <c r="A223">
        <v>248</v>
      </c>
      <c r="B223" t="e">
        <v>#NUM!</v>
      </c>
      <c r="C223" t="s">
        <v>3216</v>
      </c>
      <c r="D223">
        <v>642201143</v>
      </c>
      <c r="E223">
        <v>1710001957870</v>
      </c>
      <c r="G223" t="s">
        <v>217</v>
      </c>
      <c r="H223" t="s">
        <v>217</v>
      </c>
      <c r="I223" s="305">
        <v>44579</v>
      </c>
      <c r="J223">
        <v>2</v>
      </c>
      <c r="K223">
        <v>11</v>
      </c>
      <c r="L223" t="s">
        <v>14</v>
      </c>
      <c r="M223" t="s">
        <v>187</v>
      </c>
      <c r="O223" s="305">
        <v>45657</v>
      </c>
      <c r="Q223" t="s">
        <v>206</v>
      </c>
      <c r="R223" t="s">
        <v>6863</v>
      </c>
      <c r="S223" t="s">
        <v>312</v>
      </c>
      <c r="T223" t="s">
        <v>25</v>
      </c>
      <c r="U223" t="s">
        <v>443</v>
      </c>
      <c r="V223" t="s">
        <v>748</v>
      </c>
      <c r="W223" t="s">
        <v>122</v>
      </c>
      <c r="X223" t="s">
        <v>313</v>
      </c>
      <c r="AA223" t="s">
        <v>132</v>
      </c>
      <c r="AB223" t="s">
        <v>217</v>
      </c>
      <c r="AC223" s="305">
        <v>35940</v>
      </c>
      <c r="AD223">
        <v>26</v>
      </c>
      <c r="AE223" t="s">
        <v>3217</v>
      </c>
      <c r="AF223" t="s">
        <v>3218</v>
      </c>
      <c r="AG223" t="s">
        <v>3219</v>
      </c>
      <c r="AJ223" t="s">
        <v>3220</v>
      </c>
      <c r="AK223" t="s">
        <v>3221</v>
      </c>
      <c r="AL223">
        <v>22017333687</v>
      </c>
      <c r="AM223" t="s">
        <v>4716</v>
      </c>
      <c r="AS223" t="s">
        <v>306</v>
      </c>
      <c r="AT223" t="s">
        <v>306</v>
      </c>
      <c r="AU223" t="s">
        <v>306</v>
      </c>
      <c r="AV223" t="s">
        <v>306</v>
      </c>
      <c r="AW223">
        <v>0</v>
      </c>
      <c r="AX223" t="s">
        <v>5078</v>
      </c>
      <c r="BA223" t="s">
        <v>161</v>
      </c>
      <c r="BB223" t="s">
        <v>349</v>
      </c>
      <c r="BC223" t="s">
        <v>515</v>
      </c>
      <c r="BD223" t="s">
        <v>516</v>
      </c>
      <c r="BE223">
        <v>2016</v>
      </c>
      <c r="BF223" t="s">
        <v>349</v>
      </c>
      <c r="BG223" t="s">
        <v>515</v>
      </c>
      <c r="BH223" t="s">
        <v>516</v>
      </c>
      <c r="BI223">
        <v>2016</v>
      </c>
      <c r="BN223">
        <v>40</v>
      </c>
      <c r="CD223" t="e">
        <v>#N/A</v>
      </c>
    </row>
    <row r="224" spans="1:82" x14ac:dyDescent="0.3">
      <c r="A224">
        <v>249</v>
      </c>
      <c r="B224" t="e">
        <v>#NUM!</v>
      </c>
      <c r="C224" t="s">
        <v>3222</v>
      </c>
      <c r="D224">
        <v>642201144</v>
      </c>
      <c r="E224">
        <v>1710001954695</v>
      </c>
      <c r="G224" t="s">
        <v>217</v>
      </c>
      <c r="H224" t="s">
        <v>217</v>
      </c>
      <c r="I224" s="305">
        <v>44579</v>
      </c>
      <c r="J224">
        <v>2</v>
      </c>
      <c r="K224">
        <v>11</v>
      </c>
      <c r="L224" t="s">
        <v>14</v>
      </c>
      <c r="M224" t="s">
        <v>187</v>
      </c>
      <c r="O224" s="305">
        <v>45657</v>
      </c>
      <c r="Q224" t="s">
        <v>206</v>
      </c>
      <c r="R224" t="s">
        <v>6863</v>
      </c>
      <c r="S224" t="s">
        <v>312</v>
      </c>
      <c r="T224" t="s">
        <v>22</v>
      </c>
      <c r="U224" t="s">
        <v>547</v>
      </c>
      <c r="V224" t="s">
        <v>78</v>
      </c>
      <c r="W224" t="s">
        <v>122</v>
      </c>
      <c r="X224" t="s">
        <v>313</v>
      </c>
      <c r="AA224" t="s">
        <v>132</v>
      </c>
      <c r="AB224" t="s">
        <v>217</v>
      </c>
      <c r="AC224" s="305">
        <v>35827</v>
      </c>
      <c r="AD224">
        <v>26</v>
      </c>
      <c r="AE224" t="s">
        <v>3223</v>
      </c>
      <c r="AF224" t="s">
        <v>3224</v>
      </c>
      <c r="AG224" t="s">
        <v>3225</v>
      </c>
      <c r="AJ224" t="s">
        <v>3226</v>
      </c>
      <c r="AK224" t="s">
        <v>3227</v>
      </c>
      <c r="AL224">
        <v>22017333695</v>
      </c>
      <c r="AM224" t="s">
        <v>4716</v>
      </c>
      <c r="AS224" t="s">
        <v>3228</v>
      </c>
      <c r="AT224" t="s">
        <v>3229</v>
      </c>
      <c r="AU224" t="s">
        <v>306</v>
      </c>
      <c r="AV224" t="s">
        <v>306</v>
      </c>
      <c r="AW224">
        <v>0</v>
      </c>
      <c r="AX224" t="s">
        <v>5078</v>
      </c>
      <c r="AY224" t="s">
        <v>3230</v>
      </c>
      <c r="AZ224" t="s">
        <v>3230</v>
      </c>
      <c r="BA224" t="s">
        <v>161</v>
      </c>
      <c r="BB224" t="s">
        <v>349</v>
      </c>
      <c r="BC224" t="s">
        <v>515</v>
      </c>
      <c r="BD224" t="s">
        <v>1292</v>
      </c>
      <c r="BE224">
        <v>2016</v>
      </c>
      <c r="BF224" t="s">
        <v>349</v>
      </c>
      <c r="BG224" t="s">
        <v>515</v>
      </c>
      <c r="BH224" t="s">
        <v>1292</v>
      </c>
      <c r="BI224">
        <v>2016</v>
      </c>
      <c r="BN224">
        <v>42</v>
      </c>
      <c r="CD224" t="e">
        <v>#N/A</v>
      </c>
    </row>
    <row r="225" spans="1:82" x14ac:dyDescent="0.3">
      <c r="A225">
        <v>250</v>
      </c>
      <c r="B225" t="e">
        <v>#NUM!</v>
      </c>
      <c r="C225" t="s">
        <v>3231</v>
      </c>
      <c r="D225">
        <v>642201145</v>
      </c>
      <c r="E225">
        <v>1710001958068</v>
      </c>
      <c r="G225" t="s">
        <v>217</v>
      </c>
      <c r="H225" t="s">
        <v>217</v>
      </c>
      <c r="I225" s="305">
        <v>44579</v>
      </c>
      <c r="J225">
        <v>2</v>
      </c>
      <c r="K225">
        <v>11</v>
      </c>
      <c r="L225" t="s">
        <v>14</v>
      </c>
      <c r="M225" t="s">
        <v>187</v>
      </c>
      <c r="O225" s="305">
        <v>45657</v>
      </c>
      <c r="Q225" t="s">
        <v>206</v>
      </c>
      <c r="R225" t="s">
        <v>6863</v>
      </c>
      <c r="S225" t="s">
        <v>312</v>
      </c>
      <c r="T225" t="s">
        <v>204</v>
      </c>
      <c r="U225" t="s">
        <v>204</v>
      </c>
      <c r="V225" t="s">
        <v>1426</v>
      </c>
      <c r="W225" t="s">
        <v>121</v>
      </c>
      <c r="X225" t="s">
        <v>313</v>
      </c>
      <c r="AA225" t="s">
        <v>132</v>
      </c>
      <c r="AB225" t="s">
        <v>217</v>
      </c>
      <c r="AC225" s="305">
        <v>35768</v>
      </c>
      <c r="AD225">
        <v>27</v>
      </c>
      <c r="AE225" t="s">
        <v>3232</v>
      </c>
      <c r="AF225" t="s">
        <v>3233</v>
      </c>
      <c r="AG225" t="s">
        <v>3234</v>
      </c>
      <c r="AJ225" t="s">
        <v>3235</v>
      </c>
      <c r="AK225" t="s">
        <v>3236</v>
      </c>
      <c r="AL225">
        <v>22017333679</v>
      </c>
      <c r="AM225" t="s">
        <v>4716</v>
      </c>
      <c r="AS225" t="s">
        <v>3237</v>
      </c>
      <c r="AT225" t="s">
        <v>3238</v>
      </c>
      <c r="AU225" t="s">
        <v>306</v>
      </c>
      <c r="AV225" t="s">
        <v>306</v>
      </c>
      <c r="AW225">
        <v>0</v>
      </c>
      <c r="AX225" t="s">
        <v>5078</v>
      </c>
      <c r="AY225" t="s">
        <v>3239</v>
      </c>
      <c r="AZ225" t="s">
        <v>3239</v>
      </c>
      <c r="BA225" t="s">
        <v>161</v>
      </c>
      <c r="BB225" t="s">
        <v>349</v>
      </c>
      <c r="BC225" t="s">
        <v>515</v>
      </c>
      <c r="BD225" t="s">
        <v>516</v>
      </c>
      <c r="BE225">
        <v>2016</v>
      </c>
      <c r="BF225" t="s">
        <v>475</v>
      </c>
      <c r="BG225" t="s">
        <v>515</v>
      </c>
      <c r="BH225" t="s">
        <v>516</v>
      </c>
      <c r="BI225">
        <v>2016</v>
      </c>
      <c r="BN225">
        <v>41</v>
      </c>
      <c r="BQ225" s="305">
        <v>44651</v>
      </c>
      <c r="CD225" t="e">
        <v>#N/A</v>
      </c>
    </row>
    <row r="226" spans="1:82" x14ac:dyDescent="0.3">
      <c r="A226">
        <v>251</v>
      </c>
      <c r="B226" t="e">
        <v>#NUM!</v>
      </c>
      <c r="C226" t="s">
        <v>3240</v>
      </c>
      <c r="D226">
        <v>642201150</v>
      </c>
      <c r="E226">
        <v>1710001955833</v>
      </c>
      <c r="G226" t="s">
        <v>217</v>
      </c>
      <c r="H226" t="s">
        <v>217</v>
      </c>
      <c r="I226" s="305">
        <v>44579</v>
      </c>
      <c r="J226">
        <v>2</v>
      </c>
      <c r="K226">
        <v>11</v>
      </c>
      <c r="L226" t="s">
        <v>14</v>
      </c>
      <c r="M226" t="s">
        <v>187</v>
      </c>
      <c r="O226" s="305">
        <v>45657</v>
      </c>
      <c r="Q226" t="s">
        <v>206</v>
      </c>
      <c r="R226" t="s">
        <v>6863</v>
      </c>
      <c r="S226" t="s">
        <v>312</v>
      </c>
      <c r="T226" t="s">
        <v>24</v>
      </c>
      <c r="U226" t="s">
        <v>204</v>
      </c>
      <c r="V226" t="s">
        <v>706</v>
      </c>
      <c r="W226" t="s">
        <v>121</v>
      </c>
      <c r="X226" t="s">
        <v>313</v>
      </c>
      <c r="AA226" t="s">
        <v>132</v>
      </c>
      <c r="AB226" t="s">
        <v>217</v>
      </c>
      <c r="AC226" s="305">
        <v>35990</v>
      </c>
      <c r="AD226">
        <v>26</v>
      </c>
      <c r="AE226" t="s">
        <v>3241</v>
      </c>
      <c r="AF226" t="s">
        <v>3242</v>
      </c>
      <c r="AG226" t="s">
        <v>3243</v>
      </c>
      <c r="AJ226" t="s">
        <v>3244</v>
      </c>
      <c r="AK226" t="s">
        <v>3245</v>
      </c>
      <c r="AL226">
        <v>22017333661</v>
      </c>
      <c r="AM226" t="s">
        <v>4733</v>
      </c>
      <c r="AN226" t="s">
        <v>3246</v>
      </c>
      <c r="AS226" t="s">
        <v>3247</v>
      </c>
      <c r="AT226" t="s">
        <v>3248</v>
      </c>
      <c r="AU226" t="s">
        <v>3249</v>
      </c>
      <c r="AV226" t="s">
        <v>3250</v>
      </c>
      <c r="AW226">
        <v>0</v>
      </c>
      <c r="AX226" t="s">
        <v>5627</v>
      </c>
      <c r="AY226" t="s">
        <v>3251</v>
      </c>
      <c r="AZ226" t="s">
        <v>3251</v>
      </c>
      <c r="BA226" t="s">
        <v>161</v>
      </c>
      <c r="BB226" t="s">
        <v>349</v>
      </c>
      <c r="BC226" t="s">
        <v>515</v>
      </c>
      <c r="BD226" t="s">
        <v>1631</v>
      </c>
      <c r="BE226">
        <v>2016</v>
      </c>
      <c r="BF226" t="s">
        <v>349</v>
      </c>
      <c r="BG226" t="s">
        <v>515</v>
      </c>
      <c r="BH226" t="s">
        <v>1631</v>
      </c>
      <c r="BI226">
        <v>2016</v>
      </c>
      <c r="BN226">
        <v>41</v>
      </c>
      <c r="CD226" t="e">
        <v>#N/A</v>
      </c>
    </row>
    <row r="227" spans="1:82" x14ac:dyDescent="0.3">
      <c r="A227">
        <v>252</v>
      </c>
      <c r="B227" t="e">
        <v>#NUM!</v>
      </c>
      <c r="C227" t="s">
        <v>3252</v>
      </c>
      <c r="D227">
        <v>642201132</v>
      </c>
      <c r="E227">
        <v>1710010808171</v>
      </c>
      <c r="G227" t="s">
        <v>217</v>
      </c>
      <c r="H227" t="s">
        <v>315</v>
      </c>
      <c r="I227" s="305">
        <v>44579</v>
      </c>
      <c r="J227">
        <v>2</v>
      </c>
      <c r="K227">
        <v>11</v>
      </c>
      <c r="L227" t="s">
        <v>14</v>
      </c>
      <c r="M227" t="s">
        <v>187</v>
      </c>
      <c r="O227" s="305">
        <v>45657</v>
      </c>
      <c r="Q227" t="s">
        <v>206</v>
      </c>
      <c r="R227" t="s">
        <v>6863</v>
      </c>
      <c r="S227" t="s">
        <v>312</v>
      </c>
      <c r="T227" t="s">
        <v>23</v>
      </c>
      <c r="U227" t="s">
        <v>204</v>
      </c>
      <c r="V227" t="s">
        <v>51</v>
      </c>
      <c r="W227" t="s">
        <v>121</v>
      </c>
      <c r="X227" t="s">
        <v>313</v>
      </c>
      <c r="AA227" t="s">
        <v>132</v>
      </c>
      <c r="AB227" t="s">
        <v>315</v>
      </c>
      <c r="AC227" s="305">
        <v>36147</v>
      </c>
      <c r="AD227">
        <v>26</v>
      </c>
      <c r="AE227" t="s">
        <v>3253</v>
      </c>
      <c r="AF227" t="s">
        <v>3254</v>
      </c>
      <c r="AG227" t="s">
        <v>3255</v>
      </c>
      <c r="AJ227" t="s">
        <v>3256</v>
      </c>
      <c r="AK227" t="s">
        <v>3257</v>
      </c>
      <c r="AL227">
        <v>22017333638</v>
      </c>
      <c r="AM227" t="s">
        <v>4733</v>
      </c>
      <c r="AN227" t="s">
        <v>3258</v>
      </c>
      <c r="AS227" t="s">
        <v>3259</v>
      </c>
      <c r="AT227" t="s">
        <v>3260</v>
      </c>
      <c r="AU227" t="s">
        <v>1182</v>
      </c>
      <c r="AV227" t="s">
        <v>3261</v>
      </c>
      <c r="AW227">
        <v>0</v>
      </c>
      <c r="AX227" t="s">
        <v>5627</v>
      </c>
      <c r="AY227" t="s">
        <v>3262</v>
      </c>
      <c r="AZ227" t="s">
        <v>3262</v>
      </c>
      <c r="BA227" t="s">
        <v>161</v>
      </c>
      <c r="BB227" t="s">
        <v>349</v>
      </c>
      <c r="BC227" t="s">
        <v>515</v>
      </c>
      <c r="BD227" t="s">
        <v>1319</v>
      </c>
      <c r="BE227">
        <v>2016</v>
      </c>
      <c r="BF227" t="s">
        <v>349</v>
      </c>
      <c r="BG227" t="s">
        <v>515</v>
      </c>
      <c r="BH227" t="s">
        <v>1319</v>
      </c>
      <c r="BI227">
        <v>2016</v>
      </c>
      <c r="BN227">
        <v>41</v>
      </c>
      <c r="CD227" t="e">
        <v>#N/A</v>
      </c>
    </row>
    <row r="228" spans="1:82" x14ac:dyDescent="0.3">
      <c r="A228">
        <v>253</v>
      </c>
      <c r="B228" t="e">
        <v>#NUM!</v>
      </c>
      <c r="C228" t="s">
        <v>3263</v>
      </c>
      <c r="D228">
        <v>642201156</v>
      </c>
      <c r="F228">
        <v>7190173911</v>
      </c>
      <c r="G228" t="s">
        <v>24</v>
      </c>
      <c r="H228" t="s">
        <v>24</v>
      </c>
      <c r="I228" s="305">
        <v>44594</v>
      </c>
      <c r="J228">
        <v>2</v>
      </c>
      <c r="K228">
        <v>11</v>
      </c>
      <c r="L228" t="s">
        <v>14</v>
      </c>
      <c r="M228" t="s">
        <v>187</v>
      </c>
      <c r="O228" s="305">
        <v>45535</v>
      </c>
      <c r="Q228" t="s">
        <v>206</v>
      </c>
      <c r="R228" t="s">
        <v>6863</v>
      </c>
      <c r="S228" t="s">
        <v>312</v>
      </c>
      <c r="T228" t="s">
        <v>24</v>
      </c>
      <c r="U228" t="s">
        <v>204</v>
      </c>
      <c r="V228" t="s">
        <v>706</v>
      </c>
      <c r="W228" t="s">
        <v>121</v>
      </c>
      <c r="X228" t="s">
        <v>313</v>
      </c>
      <c r="Y228" t="s">
        <v>445</v>
      </c>
      <c r="AA228" t="s">
        <v>132</v>
      </c>
      <c r="AB228" t="s">
        <v>3264</v>
      </c>
      <c r="AC228" s="305">
        <v>32924</v>
      </c>
      <c r="AD228">
        <v>34</v>
      </c>
      <c r="AE228" t="s">
        <v>3265</v>
      </c>
      <c r="AF228" t="s">
        <v>3266</v>
      </c>
      <c r="AG228" t="s">
        <v>3267</v>
      </c>
      <c r="AJ228" t="s">
        <v>3268</v>
      </c>
      <c r="AK228" t="s">
        <v>3269</v>
      </c>
      <c r="AL228">
        <v>22017333513</v>
      </c>
      <c r="AM228" t="s">
        <v>4716</v>
      </c>
      <c r="AS228" t="s">
        <v>306</v>
      </c>
      <c r="AT228" t="s">
        <v>306</v>
      </c>
      <c r="AU228" t="s">
        <v>306</v>
      </c>
      <c r="AV228" t="s">
        <v>306</v>
      </c>
      <c r="AW228">
        <v>0</v>
      </c>
      <c r="AX228" t="s">
        <v>5078</v>
      </c>
      <c r="BA228" t="s">
        <v>161</v>
      </c>
      <c r="BB228" t="s">
        <v>75</v>
      </c>
      <c r="BC228" t="s">
        <v>106</v>
      </c>
      <c r="BD228" t="s">
        <v>1337</v>
      </c>
      <c r="BE228">
        <v>2016</v>
      </c>
      <c r="BF228" t="s">
        <v>75</v>
      </c>
      <c r="BG228" t="s">
        <v>106</v>
      </c>
      <c r="BH228" t="s">
        <v>1337</v>
      </c>
      <c r="BI228">
        <v>2016</v>
      </c>
      <c r="BN228">
        <v>40</v>
      </c>
      <c r="BV228" t="s">
        <v>3270</v>
      </c>
      <c r="CD228" t="s">
        <v>7131</v>
      </c>
    </row>
    <row r="229" spans="1:82" x14ac:dyDescent="0.3">
      <c r="A229">
        <v>254</v>
      </c>
      <c r="B229">
        <v>17</v>
      </c>
      <c r="C229" t="s">
        <v>3271</v>
      </c>
      <c r="D229">
        <v>642201158</v>
      </c>
      <c r="E229">
        <v>1710003198200</v>
      </c>
      <c r="G229" t="s">
        <v>217</v>
      </c>
      <c r="H229" t="s">
        <v>217</v>
      </c>
      <c r="I229" s="305">
        <v>44596</v>
      </c>
      <c r="J229">
        <v>2</v>
      </c>
      <c r="K229">
        <v>11</v>
      </c>
      <c r="L229" t="s">
        <v>14</v>
      </c>
      <c r="M229" t="s">
        <v>187</v>
      </c>
      <c r="O229" s="305">
        <v>45691</v>
      </c>
      <c r="Q229" t="s">
        <v>206</v>
      </c>
      <c r="R229" t="s">
        <v>6863</v>
      </c>
      <c r="S229" t="s">
        <v>312</v>
      </c>
      <c r="T229" t="s">
        <v>23</v>
      </c>
      <c r="U229" t="s">
        <v>204</v>
      </c>
      <c r="V229" t="s">
        <v>51</v>
      </c>
      <c r="W229" t="s">
        <v>121</v>
      </c>
      <c r="X229" t="s">
        <v>313</v>
      </c>
      <c r="AA229" t="s">
        <v>132</v>
      </c>
      <c r="AB229" t="s">
        <v>217</v>
      </c>
      <c r="AC229" s="305">
        <v>36085</v>
      </c>
      <c r="AD229">
        <v>26</v>
      </c>
      <c r="AE229" t="s">
        <v>3272</v>
      </c>
      <c r="AF229" t="s">
        <v>3273</v>
      </c>
      <c r="AG229" t="s">
        <v>3274</v>
      </c>
      <c r="AJ229" t="s">
        <v>3275</v>
      </c>
      <c r="AK229" t="s">
        <v>3276</v>
      </c>
      <c r="AL229">
        <v>22017333836</v>
      </c>
      <c r="AM229" t="s">
        <v>4716</v>
      </c>
      <c r="AS229" t="s">
        <v>2339</v>
      </c>
      <c r="AT229" t="s">
        <v>3277</v>
      </c>
      <c r="AU229" t="s">
        <v>306</v>
      </c>
      <c r="AV229" t="s">
        <v>306</v>
      </c>
      <c r="AW229">
        <v>0</v>
      </c>
      <c r="AX229" t="s">
        <v>5078</v>
      </c>
      <c r="AY229" t="s">
        <v>3278</v>
      </c>
      <c r="AZ229" t="s">
        <v>3278</v>
      </c>
      <c r="BA229" t="s">
        <v>161</v>
      </c>
      <c r="BB229" t="s">
        <v>349</v>
      </c>
      <c r="BC229" t="s">
        <v>91</v>
      </c>
      <c r="BD229" t="s">
        <v>516</v>
      </c>
      <c r="BE229">
        <v>2017</v>
      </c>
      <c r="BF229" t="s">
        <v>349</v>
      </c>
      <c r="BG229" t="s">
        <v>91</v>
      </c>
      <c r="BH229" t="s">
        <v>516</v>
      </c>
      <c r="BI229">
        <v>2017</v>
      </c>
      <c r="BN229">
        <v>39</v>
      </c>
      <c r="BV229" t="s">
        <v>3279</v>
      </c>
      <c r="CD229" t="e">
        <v>#N/A</v>
      </c>
    </row>
    <row r="230" spans="1:82" x14ac:dyDescent="0.3">
      <c r="A230">
        <v>255</v>
      </c>
      <c r="B230">
        <v>17</v>
      </c>
      <c r="C230" t="s">
        <v>3280</v>
      </c>
      <c r="D230">
        <v>642201153</v>
      </c>
      <c r="E230">
        <v>1710001957979</v>
      </c>
      <c r="G230" t="s">
        <v>217</v>
      </c>
      <c r="H230" t="s">
        <v>217</v>
      </c>
      <c r="I230" s="305">
        <v>44596</v>
      </c>
      <c r="J230">
        <v>2</v>
      </c>
      <c r="K230">
        <v>11</v>
      </c>
      <c r="L230" t="s">
        <v>14</v>
      </c>
      <c r="M230" t="s">
        <v>187</v>
      </c>
      <c r="O230" s="305">
        <v>45691</v>
      </c>
      <c r="Q230" t="s">
        <v>206</v>
      </c>
      <c r="R230" t="s">
        <v>6863</v>
      </c>
      <c r="S230" t="s">
        <v>312</v>
      </c>
      <c r="T230" t="s">
        <v>23</v>
      </c>
      <c r="U230" t="s">
        <v>204</v>
      </c>
      <c r="V230" t="s">
        <v>51</v>
      </c>
      <c r="W230" t="s">
        <v>121</v>
      </c>
      <c r="X230" t="s">
        <v>313</v>
      </c>
      <c r="AA230" t="s">
        <v>132</v>
      </c>
      <c r="AB230" t="s">
        <v>217</v>
      </c>
      <c r="AC230" s="305">
        <v>35746</v>
      </c>
      <c r="AD230">
        <v>27</v>
      </c>
      <c r="AE230" t="s">
        <v>3281</v>
      </c>
      <c r="AF230" t="s">
        <v>3282</v>
      </c>
      <c r="AG230" t="s">
        <v>3283</v>
      </c>
      <c r="AJ230" t="s">
        <v>3284</v>
      </c>
      <c r="AK230" t="s">
        <v>3285</v>
      </c>
      <c r="AL230">
        <v>22017333737</v>
      </c>
      <c r="AM230" t="s">
        <v>4716</v>
      </c>
      <c r="AS230" t="s">
        <v>306</v>
      </c>
      <c r="AT230" t="s">
        <v>306</v>
      </c>
      <c r="AU230" t="s">
        <v>306</v>
      </c>
      <c r="AV230" t="s">
        <v>306</v>
      </c>
      <c r="AW230">
        <v>0</v>
      </c>
      <c r="AX230" t="s">
        <v>5078</v>
      </c>
      <c r="BA230" t="s">
        <v>161</v>
      </c>
      <c r="BB230" t="s">
        <v>349</v>
      </c>
      <c r="BC230" t="s">
        <v>515</v>
      </c>
      <c r="BD230" t="s">
        <v>516</v>
      </c>
      <c r="BE230">
        <v>2016</v>
      </c>
      <c r="BF230" t="s">
        <v>349</v>
      </c>
      <c r="BG230" t="s">
        <v>515</v>
      </c>
      <c r="BH230" t="s">
        <v>516</v>
      </c>
      <c r="BI230">
        <v>2016</v>
      </c>
      <c r="BN230">
        <v>41</v>
      </c>
      <c r="BV230" t="s">
        <v>3286</v>
      </c>
      <c r="CD230" t="e">
        <v>#N/A</v>
      </c>
    </row>
    <row r="231" spans="1:82" x14ac:dyDescent="0.3">
      <c r="A231">
        <v>257</v>
      </c>
      <c r="B231" t="e">
        <v>#NUM!</v>
      </c>
      <c r="C231" t="s">
        <v>3297</v>
      </c>
      <c r="D231">
        <v>642201160</v>
      </c>
      <c r="F231">
        <v>1038639583</v>
      </c>
      <c r="G231" t="s">
        <v>25</v>
      </c>
      <c r="H231" t="s">
        <v>25</v>
      </c>
      <c r="I231" s="305">
        <v>44698</v>
      </c>
      <c r="J231">
        <v>2</v>
      </c>
      <c r="K231">
        <v>8</v>
      </c>
      <c r="L231" t="s">
        <v>14</v>
      </c>
      <c r="M231" t="s">
        <v>187</v>
      </c>
      <c r="O231" s="305">
        <v>45657</v>
      </c>
      <c r="Q231" t="s">
        <v>206</v>
      </c>
      <c r="R231" t="s">
        <v>6863</v>
      </c>
      <c r="S231" t="s">
        <v>312</v>
      </c>
      <c r="T231" t="s">
        <v>25</v>
      </c>
      <c r="U231" t="s">
        <v>443</v>
      </c>
      <c r="V231" t="s">
        <v>748</v>
      </c>
      <c r="W231" t="s">
        <v>122</v>
      </c>
      <c r="X231" t="s">
        <v>313</v>
      </c>
      <c r="AA231" t="s">
        <v>132</v>
      </c>
      <c r="AB231" t="s">
        <v>25</v>
      </c>
      <c r="AC231" s="305">
        <v>35550</v>
      </c>
      <c r="AD231">
        <v>27</v>
      </c>
      <c r="AE231" t="s">
        <v>3298</v>
      </c>
      <c r="AF231" t="s">
        <v>3299</v>
      </c>
      <c r="AG231" t="s">
        <v>3300</v>
      </c>
      <c r="AJ231" t="s">
        <v>3301</v>
      </c>
      <c r="AK231" t="s">
        <v>3302</v>
      </c>
      <c r="AL231">
        <v>22063660694</v>
      </c>
      <c r="AM231" t="s">
        <v>4716</v>
      </c>
      <c r="AS231" t="s">
        <v>3303</v>
      </c>
      <c r="AT231" t="s">
        <v>3304</v>
      </c>
      <c r="AU231" t="s">
        <v>306</v>
      </c>
      <c r="AV231" t="s">
        <v>306</v>
      </c>
      <c r="AW231">
        <v>0</v>
      </c>
      <c r="AX231" t="s">
        <v>5078</v>
      </c>
      <c r="AY231" t="s">
        <v>3305</v>
      </c>
      <c r="AZ231" t="s">
        <v>3305</v>
      </c>
      <c r="BA231" t="s">
        <v>161</v>
      </c>
      <c r="BB231" t="s">
        <v>349</v>
      </c>
      <c r="BC231" t="s">
        <v>87</v>
      </c>
      <c r="BD231" t="s">
        <v>3306</v>
      </c>
      <c r="BE231">
        <v>2017</v>
      </c>
      <c r="BF231" t="s">
        <v>349</v>
      </c>
      <c r="BG231" t="s">
        <v>87</v>
      </c>
      <c r="BH231" t="s">
        <v>3306</v>
      </c>
      <c r="BI231">
        <v>2017</v>
      </c>
      <c r="BN231">
        <v>40</v>
      </c>
      <c r="BV231" t="s">
        <v>3307</v>
      </c>
      <c r="CD231" t="e">
        <v>#N/A</v>
      </c>
    </row>
    <row r="232" spans="1:82" x14ac:dyDescent="0.3">
      <c r="A232">
        <v>258</v>
      </c>
      <c r="B232">
        <v>119</v>
      </c>
      <c r="C232" t="s">
        <v>3308</v>
      </c>
      <c r="D232">
        <v>642201159</v>
      </c>
      <c r="E232">
        <v>1110019861182</v>
      </c>
      <c r="G232" t="s">
        <v>26</v>
      </c>
      <c r="H232" t="s">
        <v>26</v>
      </c>
      <c r="I232" s="305">
        <v>44698</v>
      </c>
      <c r="J232">
        <v>2</v>
      </c>
      <c r="K232">
        <v>8</v>
      </c>
      <c r="L232" t="s">
        <v>14</v>
      </c>
      <c r="M232" t="s">
        <v>187</v>
      </c>
      <c r="O232" s="305">
        <v>45793</v>
      </c>
      <c r="Q232" t="s">
        <v>206</v>
      </c>
      <c r="R232" t="s">
        <v>6863</v>
      </c>
      <c r="S232" t="s">
        <v>312</v>
      </c>
      <c r="T232" t="s">
        <v>26</v>
      </c>
      <c r="U232" t="s">
        <v>547</v>
      </c>
      <c r="V232" t="s">
        <v>97</v>
      </c>
      <c r="W232" t="s">
        <v>122</v>
      </c>
      <c r="X232" t="s">
        <v>313</v>
      </c>
      <c r="AA232" t="s">
        <v>132</v>
      </c>
      <c r="AB232" t="s">
        <v>2117</v>
      </c>
      <c r="AC232" s="305">
        <v>34037</v>
      </c>
      <c r="AD232">
        <v>31</v>
      </c>
      <c r="AE232" t="s">
        <v>3309</v>
      </c>
      <c r="AF232" t="s">
        <v>3310</v>
      </c>
      <c r="AG232" t="s">
        <v>3311</v>
      </c>
      <c r="AJ232" t="s">
        <v>3312</v>
      </c>
      <c r="AK232" t="s">
        <v>3313</v>
      </c>
      <c r="AL232">
        <v>23009096720</v>
      </c>
      <c r="AM232" t="s">
        <v>4716</v>
      </c>
      <c r="AS232" t="s">
        <v>306</v>
      </c>
      <c r="AT232" t="s">
        <v>306</v>
      </c>
      <c r="AU232" t="s">
        <v>306</v>
      </c>
      <c r="AV232" t="s">
        <v>306</v>
      </c>
      <c r="AW232">
        <v>0</v>
      </c>
      <c r="AX232" t="s">
        <v>5078</v>
      </c>
      <c r="BA232" t="s">
        <v>161</v>
      </c>
      <c r="BB232" t="s">
        <v>349</v>
      </c>
      <c r="BC232" t="s">
        <v>91</v>
      </c>
      <c r="BD232" t="s">
        <v>2123</v>
      </c>
      <c r="BE232">
        <v>2011</v>
      </c>
      <c r="BF232" t="s">
        <v>349</v>
      </c>
      <c r="BG232" t="s">
        <v>91</v>
      </c>
      <c r="BH232" t="s">
        <v>2123</v>
      </c>
      <c r="BI232">
        <v>2011</v>
      </c>
      <c r="BN232">
        <v>40</v>
      </c>
      <c r="BV232" t="s">
        <v>3314</v>
      </c>
      <c r="CD232" t="e">
        <v>#N/A</v>
      </c>
    </row>
    <row r="233" spans="1:82" x14ac:dyDescent="0.3">
      <c r="A233">
        <v>259</v>
      </c>
      <c r="B233">
        <v>121</v>
      </c>
      <c r="C233" t="s">
        <v>3315</v>
      </c>
      <c r="D233">
        <v>642201164</v>
      </c>
      <c r="E233">
        <v>1710011552737</v>
      </c>
      <c r="G233" t="s">
        <v>217</v>
      </c>
      <c r="H233" t="s">
        <v>217</v>
      </c>
      <c r="I233" s="305">
        <v>44699</v>
      </c>
      <c r="J233">
        <v>2</v>
      </c>
      <c r="K233">
        <v>7</v>
      </c>
      <c r="L233" t="s">
        <v>14</v>
      </c>
      <c r="M233" t="s">
        <v>187</v>
      </c>
      <c r="O233" s="305">
        <v>45795</v>
      </c>
      <c r="Q233" t="s">
        <v>206</v>
      </c>
      <c r="R233" t="s">
        <v>6863</v>
      </c>
      <c r="S233" t="s">
        <v>312</v>
      </c>
      <c r="T233" t="s">
        <v>23</v>
      </c>
      <c r="U233" t="s">
        <v>204</v>
      </c>
      <c r="V233" t="s">
        <v>51</v>
      </c>
      <c r="W233" t="s">
        <v>121</v>
      </c>
      <c r="X233" t="s">
        <v>313</v>
      </c>
      <c r="AA233" t="s">
        <v>132</v>
      </c>
      <c r="AB233" t="s">
        <v>217</v>
      </c>
      <c r="AC233" s="305">
        <v>35535</v>
      </c>
      <c r="AD233">
        <v>27</v>
      </c>
      <c r="AE233" t="s">
        <v>3316</v>
      </c>
      <c r="AF233" t="s">
        <v>3317</v>
      </c>
      <c r="AG233" t="s">
        <v>3318</v>
      </c>
      <c r="AJ233" t="s">
        <v>3319</v>
      </c>
      <c r="AK233" t="s">
        <v>3320</v>
      </c>
      <c r="AL233">
        <v>22063660728</v>
      </c>
      <c r="AM233" t="s">
        <v>4716</v>
      </c>
      <c r="AS233" t="s">
        <v>337</v>
      </c>
      <c r="AT233" t="s">
        <v>3321</v>
      </c>
      <c r="AU233" t="s">
        <v>306</v>
      </c>
      <c r="AV233" t="s">
        <v>306</v>
      </c>
      <c r="AW233">
        <v>0</v>
      </c>
      <c r="AX233" t="s">
        <v>5078</v>
      </c>
      <c r="AY233" t="s">
        <v>3322</v>
      </c>
      <c r="AZ233" t="s">
        <v>3323</v>
      </c>
      <c r="BA233" t="s">
        <v>161</v>
      </c>
      <c r="BB233" t="s">
        <v>349</v>
      </c>
      <c r="BC233" t="s">
        <v>1742</v>
      </c>
      <c r="BD233" t="s">
        <v>516</v>
      </c>
      <c r="BE233">
        <v>2016</v>
      </c>
      <c r="BF233" t="s">
        <v>349</v>
      </c>
      <c r="BG233" t="s">
        <v>1742</v>
      </c>
      <c r="BH233" t="s">
        <v>516</v>
      </c>
      <c r="BI233">
        <v>2016</v>
      </c>
      <c r="BN233">
        <v>40</v>
      </c>
      <c r="BV233" t="s">
        <v>3324</v>
      </c>
      <c r="CD233" t="e">
        <v>#N/A</v>
      </c>
    </row>
    <row r="234" spans="1:82" x14ac:dyDescent="0.3">
      <c r="A234">
        <v>260</v>
      </c>
      <c r="B234">
        <v>121</v>
      </c>
      <c r="C234" t="s">
        <v>3325</v>
      </c>
      <c r="D234">
        <v>642201162</v>
      </c>
      <c r="E234">
        <v>1710002244500</v>
      </c>
      <c r="G234" t="s">
        <v>217</v>
      </c>
      <c r="H234" t="s">
        <v>217</v>
      </c>
      <c r="I234" s="305">
        <v>44699</v>
      </c>
      <c r="J234">
        <v>2</v>
      </c>
      <c r="K234">
        <v>7</v>
      </c>
      <c r="L234" t="s">
        <v>14</v>
      </c>
      <c r="M234" t="s">
        <v>187</v>
      </c>
      <c r="O234" s="305">
        <v>45795</v>
      </c>
      <c r="Q234" t="s">
        <v>206</v>
      </c>
      <c r="R234" t="s">
        <v>6863</v>
      </c>
      <c r="S234" t="s">
        <v>312</v>
      </c>
      <c r="T234" t="s">
        <v>23</v>
      </c>
      <c r="U234" t="s">
        <v>204</v>
      </c>
      <c r="V234" t="s">
        <v>51</v>
      </c>
      <c r="W234" t="s">
        <v>121</v>
      </c>
      <c r="X234" t="s">
        <v>313</v>
      </c>
      <c r="AA234" t="s">
        <v>132</v>
      </c>
      <c r="AB234" t="s">
        <v>1779</v>
      </c>
      <c r="AC234" s="305">
        <v>35518</v>
      </c>
      <c r="AD234">
        <v>27</v>
      </c>
      <c r="AE234" t="s">
        <v>3326</v>
      </c>
      <c r="AF234" t="s">
        <v>3327</v>
      </c>
      <c r="AG234" t="s">
        <v>3328</v>
      </c>
      <c r="AJ234" t="s">
        <v>3329</v>
      </c>
      <c r="AK234" t="s">
        <v>3330</v>
      </c>
      <c r="AL234">
        <v>22063660702</v>
      </c>
      <c r="AM234" t="s">
        <v>4716</v>
      </c>
      <c r="AS234" t="s">
        <v>3331</v>
      </c>
      <c r="AT234" t="s">
        <v>3332</v>
      </c>
      <c r="AU234" t="s">
        <v>306</v>
      </c>
      <c r="AV234" t="s">
        <v>306</v>
      </c>
      <c r="AW234">
        <v>0</v>
      </c>
      <c r="AX234" t="s">
        <v>5078</v>
      </c>
      <c r="AY234" t="s">
        <v>3333</v>
      </c>
      <c r="AZ234" t="s">
        <v>3333</v>
      </c>
      <c r="BA234" t="s">
        <v>161</v>
      </c>
      <c r="BB234" t="s">
        <v>349</v>
      </c>
      <c r="BC234" t="s">
        <v>6779</v>
      </c>
      <c r="BD234" t="s">
        <v>1793</v>
      </c>
      <c r="BE234">
        <v>2016</v>
      </c>
      <c r="BF234" t="s">
        <v>349</v>
      </c>
      <c r="BG234" t="s">
        <v>6779</v>
      </c>
      <c r="BH234" t="s">
        <v>1793</v>
      </c>
      <c r="BI234">
        <v>2016</v>
      </c>
      <c r="BN234">
        <v>41</v>
      </c>
      <c r="BV234" t="s">
        <v>3334</v>
      </c>
      <c r="CD234" t="e">
        <v>#N/A</v>
      </c>
    </row>
    <row r="235" spans="1:82" x14ac:dyDescent="0.3">
      <c r="A235">
        <v>261</v>
      </c>
      <c r="B235">
        <v>121</v>
      </c>
      <c r="C235" t="s">
        <v>3335</v>
      </c>
      <c r="D235">
        <v>642201161</v>
      </c>
      <c r="E235">
        <v>1380020903931</v>
      </c>
      <c r="G235" t="s">
        <v>217</v>
      </c>
      <c r="H235" t="s">
        <v>217</v>
      </c>
      <c r="I235" s="305">
        <v>44699</v>
      </c>
      <c r="J235">
        <v>2</v>
      </c>
      <c r="K235">
        <v>7</v>
      </c>
      <c r="L235" t="s">
        <v>14</v>
      </c>
      <c r="M235" t="s">
        <v>187</v>
      </c>
      <c r="O235" s="305">
        <v>45795</v>
      </c>
      <c r="Q235" t="s">
        <v>206</v>
      </c>
      <c r="R235" t="s">
        <v>6863</v>
      </c>
      <c r="S235" t="s">
        <v>312</v>
      </c>
      <c r="T235" t="s">
        <v>23</v>
      </c>
      <c r="U235" t="s">
        <v>204</v>
      </c>
      <c r="V235" t="s">
        <v>51</v>
      </c>
      <c r="W235" t="s">
        <v>121</v>
      </c>
      <c r="X235" t="s">
        <v>313</v>
      </c>
      <c r="AA235" t="s">
        <v>132</v>
      </c>
      <c r="AB235" t="s">
        <v>217</v>
      </c>
      <c r="AC235" s="305">
        <v>37267</v>
      </c>
      <c r="AD235">
        <v>23</v>
      </c>
      <c r="AE235" t="s">
        <v>3336</v>
      </c>
      <c r="AF235" t="s">
        <v>3337</v>
      </c>
      <c r="AG235" t="s">
        <v>3338</v>
      </c>
      <c r="AJ235" t="s">
        <v>3339</v>
      </c>
      <c r="AK235" t="s">
        <v>3340</v>
      </c>
      <c r="AL235">
        <v>22063660686</v>
      </c>
      <c r="AM235" t="s">
        <v>4716</v>
      </c>
      <c r="AS235" t="s">
        <v>3341</v>
      </c>
      <c r="AT235" t="s">
        <v>3342</v>
      </c>
      <c r="AU235" t="s">
        <v>306</v>
      </c>
      <c r="AV235" t="s">
        <v>306</v>
      </c>
      <c r="AW235">
        <v>0</v>
      </c>
      <c r="AX235" t="s">
        <v>5078</v>
      </c>
      <c r="AY235" t="s">
        <v>3343</v>
      </c>
      <c r="AZ235" t="s">
        <v>3343</v>
      </c>
      <c r="BA235" t="s">
        <v>161</v>
      </c>
      <c r="BB235" t="s">
        <v>349</v>
      </c>
      <c r="BC235" t="s">
        <v>91</v>
      </c>
      <c r="BD235" t="s">
        <v>350</v>
      </c>
      <c r="BF235" t="s">
        <v>349</v>
      </c>
      <c r="BG235" t="s">
        <v>91</v>
      </c>
      <c r="BH235" t="s">
        <v>350</v>
      </c>
      <c r="BN235">
        <v>42</v>
      </c>
      <c r="BV235" t="s">
        <v>3344</v>
      </c>
      <c r="CD235" t="e">
        <v>#N/A</v>
      </c>
    </row>
    <row r="236" spans="1:82" x14ac:dyDescent="0.3">
      <c r="A236">
        <v>262</v>
      </c>
      <c r="B236">
        <v>120</v>
      </c>
      <c r="C236" t="s">
        <v>3345</v>
      </c>
      <c r="D236">
        <v>642201165</v>
      </c>
      <c r="E236">
        <v>1380020870718</v>
      </c>
      <c r="G236" t="s">
        <v>23</v>
      </c>
      <c r="H236" t="s">
        <v>23</v>
      </c>
      <c r="I236" s="305">
        <v>44699</v>
      </c>
      <c r="J236">
        <v>2</v>
      </c>
      <c r="K236">
        <v>7</v>
      </c>
      <c r="L236" t="s">
        <v>14</v>
      </c>
      <c r="M236" t="s">
        <v>187</v>
      </c>
      <c r="O236" s="305">
        <v>45794</v>
      </c>
      <c r="Q236" t="s">
        <v>206</v>
      </c>
      <c r="R236" t="s">
        <v>6863</v>
      </c>
      <c r="S236" t="s">
        <v>312</v>
      </c>
      <c r="T236" t="s">
        <v>23</v>
      </c>
      <c r="U236" t="s">
        <v>204</v>
      </c>
      <c r="V236" t="s">
        <v>51</v>
      </c>
      <c r="W236" t="s">
        <v>121</v>
      </c>
      <c r="X236" t="s">
        <v>313</v>
      </c>
      <c r="AA236" t="s">
        <v>132</v>
      </c>
      <c r="AB236" t="s">
        <v>3346</v>
      </c>
      <c r="AC236" s="305">
        <v>37001</v>
      </c>
      <c r="AD236">
        <v>23</v>
      </c>
      <c r="AE236" t="s">
        <v>3347</v>
      </c>
      <c r="AF236" t="s">
        <v>3348</v>
      </c>
      <c r="AG236" t="s">
        <v>3349</v>
      </c>
      <c r="AJ236" t="s">
        <v>3350</v>
      </c>
      <c r="AK236" t="s">
        <v>3351</v>
      </c>
      <c r="AL236">
        <v>22063660736</v>
      </c>
      <c r="AM236" t="s">
        <v>4716</v>
      </c>
      <c r="AS236" t="s">
        <v>1787</v>
      </c>
      <c r="AT236" t="s">
        <v>3352</v>
      </c>
      <c r="AU236" t="s">
        <v>306</v>
      </c>
      <c r="AV236" t="s">
        <v>306</v>
      </c>
      <c r="AW236">
        <v>0</v>
      </c>
      <c r="AX236" t="s">
        <v>5078</v>
      </c>
      <c r="AY236" t="s">
        <v>3353</v>
      </c>
      <c r="AZ236" t="s">
        <v>3354</v>
      </c>
      <c r="BA236" t="s">
        <v>161</v>
      </c>
      <c r="BB236" t="s">
        <v>349</v>
      </c>
      <c r="BC236" t="s">
        <v>515</v>
      </c>
      <c r="BD236" t="s">
        <v>3355</v>
      </c>
      <c r="BE236">
        <v>2020</v>
      </c>
      <c r="BF236" t="s">
        <v>349</v>
      </c>
      <c r="BG236" t="s">
        <v>515</v>
      </c>
      <c r="BH236" t="s">
        <v>3356</v>
      </c>
      <c r="BI236">
        <v>2020</v>
      </c>
      <c r="BN236">
        <v>40</v>
      </c>
      <c r="BV236" t="s">
        <v>3357</v>
      </c>
      <c r="CD236" t="e">
        <v>#N/A</v>
      </c>
    </row>
    <row r="237" spans="1:82" x14ac:dyDescent="0.3">
      <c r="A237">
        <v>263</v>
      </c>
      <c r="B237">
        <v>120</v>
      </c>
      <c r="C237" t="s">
        <v>3358</v>
      </c>
      <c r="D237">
        <v>642201163</v>
      </c>
      <c r="E237">
        <v>1710001954513</v>
      </c>
      <c r="G237" t="s">
        <v>217</v>
      </c>
      <c r="H237" t="s">
        <v>311</v>
      </c>
      <c r="I237" s="305">
        <v>44699</v>
      </c>
      <c r="J237">
        <v>2</v>
      </c>
      <c r="K237">
        <v>7</v>
      </c>
      <c r="L237" t="s">
        <v>14</v>
      </c>
      <c r="M237" t="s">
        <v>187</v>
      </c>
      <c r="O237" s="305">
        <v>45794</v>
      </c>
      <c r="Q237" t="s">
        <v>206</v>
      </c>
      <c r="R237" t="s">
        <v>6863</v>
      </c>
      <c r="S237" t="s">
        <v>312</v>
      </c>
      <c r="T237" t="s">
        <v>23</v>
      </c>
      <c r="U237" t="s">
        <v>204</v>
      </c>
      <c r="V237" t="s">
        <v>51</v>
      </c>
      <c r="W237" t="s">
        <v>121</v>
      </c>
      <c r="X237" t="s">
        <v>313</v>
      </c>
      <c r="AA237" t="s">
        <v>132</v>
      </c>
      <c r="AB237" t="s">
        <v>311</v>
      </c>
      <c r="AC237" s="305">
        <v>35687</v>
      </c>
      <c r="AD237">
        <v>27</v>
      </c>
      <c r="AE237" t="s">
        <v>3359</v>
      </c>
      <c r="AF237" t="s">
        <v>3360</v>
      </c>
      <c r="AG237" t="s">
        <v>3361</v>
      </c>
      <c r="AJ237" t="s">
        <v>3362</v>
      </c>
      <c r="AK237" t="s">
        <v>3363</v>
      </c>
      <c r="AL237">
        <v>22063660710</v>
      </c>
      <c r="AM237" t="s">
        <v>4716</v>
      </c>
      <c r="AS237" t="s">
        <v>1359</v>
      </c>
      <c r="AT237" t="s">
        <v>3364</v>
      </c>
      <c r="AU237" t="s">
        <v>306</v>
      </c>
      <c r="AV237" t="s">
        <v>306</v>
      </c>
      <c r="AW237">
        <v>0</v>
      </c>
      <c r="AX237" t="s">
        <v>5078</v>
      </c>
      <c r="AY237" t="s">
        <v>3365</v>
      </c>
      <c r="AZ237" t="s">
        <v>3365</v>
      </c>
      <c r="BA237" t="s">
        <v>161</v>
      </c>
      <c r="BB237" t="s">
        <v>349</v>
      </c>
      <c r="BC237" t="s">
        <v>3166</v>
      </c>
      <c r="BD237" t="s">
        <v>3366</v>
      </c>
      <c r="BE237">
        <v>2016</v>
      </c>
      <c r="BF237" t="s">
        <v>349</v>
      </c>
      <c r="BG237" t="s">
        <v>3166</v>
      </c>
      <c r="BH237" t="s">
        <v>3366</v>
      </c>
      <c r="BI237">
        <v>2016</v>
      </c>
      <c r="BN237">
        <v>40</v>
      </c>
      <c r="BV237" t="s">
        <v>3367</v>
      </c>
      <c r="CD237" t="e">
        <v>#N/A</v>
      </c>
    </row>
    <row r="238" spans="1:82" x14ac:dyDescent="0.3">
      <c r="A238">
        <v>264</v>
      </c>
      <c r="B238" t="e">
        <v>#NUM!</v>
      </c>
      <c r="C238" t="s">
        <v>3368</v>
      </c>
      <c r="D238">
        <v>642201166</v>
      </c>
      <c r="E238">
        <v>1710001910713</v>
      </c>
      <c r="G238" t="s">
        <v>217</v>
      </c>
      <c r="H238" t="s">
        <v>217</v>
      </c>
      <c r="I238" s="305">
        <v>44700</v>
      </c>
      <c r="J238">
        <v>2</v>
      </c>
      <c r="K238">
        <v>7</v>
      </c>
      <c r="L238" t="s">
        <v>14</v>
      </c>
      <c r="M238" t="s">
        <v>187</v>
      </c>
      <c r="O238" s="305">
        <v>45430</v>
      </c>
      <c r="Q238" t="s">
        <v>206</v>
      </c>
      <c r="R238" t="s">
        <v>6863</v>
      </c>
      <c r="S238" t="s">
        <v>296</v>
      </c>
      <c r="T238" t="s">
        <v>187</v>
      </c>
      <c r="U238" t="s">
        <v>1115</v>
      </c>
      <c r="V238" t="s">
        <v>119</v>
      </c>
      <c r="W238" t="s">
        <v>120</v>
      </c>
      <c r="X238" t="s">
        <v>313</v>
      </c>
      <c r="AA238" t="s">
        <v>132</v>
      </c>
      <c r="AB238" t="s">
        <v>217</v>
      </c>
      <c r="AC238" s="305">
        <v>34566</v>
      </c>
      <c r="AD238">
        <v>30</v>
      </c>
      <c r="AE238" t="s">
        <v>3369</v>
      </c>
      <c r="AF238" t="s">
        <v>3370</v>
      </c>
      <c r="AG238" t="s">
        <v>3371</v>
      </c>
      <c r="AJ238" t="s">
        <v>3372</v>
      </c>
      <c r="AK238" t="s">
        <v>3373</v>
      </c>
      <c r="AL238">
        <v>22063660678</v>
      </c>
      <c r="AM238" t="s">
        <v>4733</v>
      </c>
      <c r="AS238" t="s">
        <v>306</v>
      </c>
      <c r="AT238" t="s">
        <v>306</v>
      </c>
      <c r="AU238" t="s">
        <v>306</v>
      </c>
      <c r="AV238" t="s">
        <v>306</v>
      </c>
      <c r="AW238">
        <v>0</v>
      </c>
      <c r="AX238" t="s">
        <v>5627</v>
      </c>
      <c r="BA238" t="s">
        <v>161</v>
      </c>
      <c r="BB238" t="s">
        <v>349</v>
      </c>
      <c r="BC238" t="s">
        <v>6779</v>
      </c>
      <c r="BD238" t="s">
        <v>516</v>
      </c>
      <c r="BF238" t="s">
        <v>349</v>
      </c>
      <c r="BG238" t="s">
        <v>6779</v>
      </c>
      <c r="BH238" t="s">
        <v>516</v>
      </c>
      <c r="BN238">
        <v>40</v>
      </c>
      <c r="BV238" t="s">
        <v>3374</v>
      </c>
      <c r="CD238" t="e">
        <v>#N/A</v>
      </c>
    </row>
    <row r="239" spans="1:82" x14ac:dyDescent="0.3">
      <c r="A239">
        <v>265</v>
      </c>
      <c r="B239" t="e">
        <v>#NUM!</v>
      </c>
      <c r="C239" t="s">
        <v>3375</v>
      </c>
      <c r="D239">
        <v>642201167</v>
      </c>
      <c r="E239">
        <v>1710001957920</v>
      </c>
      <c r="G239" t="s">
        <v>217</v>
      </c>
      <c r="H239" t="s">
        <v>311</v>
      </c>
      <c r="I239" s="305">
        <v>44702</v>
      </c>
      <c r="J239">
        <v>2</v>
      </c>
      <c r="K239">
        <v>7</v>
      </c>
      <c r="L239" t="s">
        <v>14</v>
      </c>
      <c r="M239" t="s">
        <v>187</v>
      </c>
      <c r="O239" s="305">
        <v>45432</v>
      </c>
      <c r="Q239" t="s">
        <v>206</v>
      </c>
      <c r="R239" t="s">
        <v>6863</v>
      </c>
      <c r="S239" t="s">
        <v>312</v>
      </c>
      <c r="T239" t="s">
        <v>22</v>
      </c>
      <c r="U239" t="s">
        <v>547</v>
      </c>
      <c r="V239" t="s">
        <v>42</v>
      </c>
      <c r="W239" t="s">
        <v>122</v>
      </c>
      <c r="X239" t="s">
        <v>313</v>
      </c>
      <c r="AA239" t="s">
        <v>132</v>
      </c>
      <c r="AB239" t="s">
        <v>3376</v>
      </c>
      <c r="AC239" s="305">
        <v>36102</v>
      </c>
      <c r="AD239">
        <v>26</v>
      </c>
      <c r="AE239" t="s">
        <v>3377</v>
      </c>
      <c r="AF239" t="s">
        <v>3378</v>
      </c>
      <c r="AG239" t="s">
        <v>3379</v>
      </c>
      <c r="AJ239" t="s">
        <v>3380</v>
      </c>
      <c r="AK239" t="s">
        <v>3381</v>
      </c>
      <c r="AL239">
        <v>22063660744</v>
      </c>
      <c r="AM239" t="s">
        <v>4716</v>
      </c>
      <c r="AS239" t="s">
        <v>306</v>
      </c>
      <c r="AT239" t="s">
        <v>306</v>
      </c>
      <c r="AU239" t="s">
        <v>306</v>
      </c>
      <c r="AV239" t="s">
        <v>306</v>
      </c>
      <c r="AW239">
        <v>0</v>
      </c>
      <c r="AX239" t="s">
        <v>5078</v>
      </c>
      <c r="BA239" t="s">
        <v>161</v>
      </c>
      <c r="BB239" t="s">
        <v>349</v>
      </c>
      <c r="BC239" t="s">
        <v>4502</v>
      </c>
      <c r="BD239" t="s">
        <v>327</v>
      </c>
      <c r="BE239">
        <v>2016</v>
      </c>
      <c r="BF239" t="s">
        <v>349</v>
      </c>
      <c r="BG239" t="s">
        <v>4502</v>
      </c>
      <c r="BH239" t="s">
        <v>327</v>
      </c>
      <c r="BI239">
        <v>2016</v>
      </c>
      <c r="BN239">
        <v>41</v>
      </c>
      <c r="BQ239" s="305">
        <v>44757</v>
      </c>
      <c r="BV239" t="s">
        <v>3382</v>
      </c>
      <c r="CD239" t="e">
        <v>#N/A</v>
      </c>
    </row>
    <row r="240" spans="1:82" x14ac:dyDescent="0.3">
      <c r="A240">
        <v>266</v>
      </c>
      <c r="B240">
        <v>124</v>
      </c>
      <c r="C240" t="s">
        <v>3383</v>
      </c>
      <c r="D240">
        <v>642201168</v>
      </c>
      <c r="E240">
        <v>1710001958076</v>
      </c>
      <c r="G240" t="s">
        <v>217</v>
      </c>
      <c r="H240" t="s">
        <v>311</v>
      </c>
      <c r="I240" s="305">
        <v>44702</v>
      </c>
      <c r="J240">
        <v>2</v>
      </c>
      <c r="K240">
        <v>7</v>
      </c>
      <c r="L240" t="s">
        <v>14</v>
      </c>
      <c r="M240" t="s">
        <v>187</v>
      </c>
      <c r="O240" s="305">
        <v>45798</v>
      </c>
      <c r="Q240" t="s">
        <v>206</v>
      </c>
      <c r="R240" t="s">
        <v>6863</v>
      </c>
      <c r="S240" t="s">
        <v>312</v>
      </c>
      <c r="T240" t="s">
        <v>24</v>
      </c>
      <c r="U240" t="s">
        <v>204</v>
      </c>
      <c r="V240" t="s">
        <v>706</v>
      </c>
      <c r="W240" t="s">
        <v>121</v>
      </c>
      <c r="X240" t="s">
        <v>313</v>
      </c>
      <c r="AA240" t="s">
        <v>132</v>
      </c>
      <c r="AB240" t="s">
        <v>311</v>
      </c>
      <c r="AC240" s="305">
        <v>35929</v>
      </c>
      <c r="AD240">
        <v>26</v>
      </c>
      <c r="AE240" t="s">
        <v>3384</v>
      </c>
      <c r="AF240" t="s">
        <v>3385</v>
      </c>
      <c r="AG240" t="s">
        <v>3386</v>
      </c>
      <c r="AJ240" t="s">
        <v>3387</v>
      </c>
      <c r="AK240" t="s">
        <v>3388</v>
      </c>
      <c r="AL240" t="s">
        <v>6725</v>
      </c>
      <c r="AM240" t="s">
        <v>4733</v>
      </c>
      <c r="AN240" t="s">
        <v>3389</v>
      </c>
      <c r="AS240" t="s">
        <v>3390</v>
      </c>
      <c r="AT240" t="s">
        <v>3391</v>
      </c>
      <c r="AU240" t="s">
        <v>1405</v>
      </c>
      <c r="AV240" t="s">
        <v>1751</v>
      </c>
      <c r="AW240">
        <v>0</v>
      </c>
      <c r="AX240" t="s">
        <v>5627</v>
      </c>
      <c r="AY240" t="s">
        <v>3392</v>
      </c>
      <c r="AZ240" t="s">
        <v>3392</v>
      </c>
      <c r="BA240" t="s">
        <v>161</v>
      </c>
      <c r="BB240" t="s">
        <v>349</v>
      </c>
      <c r="BC240" t="s">
        <v>91</v>
      </c>
      <c r="BD240" t="s">
        <v>775</v>
      </c>
      <c r="BE240">
        <v>2016</v>
      </c>
      <c r="BF240" t="s">
        <v>349</v>
      </c>
      <c r="BG240" t="s">
        <v>91</v>
      </c>
      <c r="BH240" t="s">
        <v>775</v>
      </c>
      <c r="BI240">
        <v>2016</v>
      </c>
      <c r="BN240">
        <v>42</v>
      </c>
      <c r="BQ240" s="305">
        <v>44639</v>
      </c>
      <c r="BV240" t="s">
        <v>3393</v>
      </c>
      <c r="CD240" t="e">
        <v>#N/A</v>
      </c>
    </row>
    <row r="241" spans="1:82" x14ac:dyDescent="0.3">
      <c r="A241">
        <v>267</v>
      </c>
      <c r="B241">
        <v>124</v>
      </c>
      <c r="C241" t="s">
        <v>3394</v>
      </c>
      <c r="D241">
        <v>642201171</v>
      </c>
      <c r="E241">
        <v>60011446550</v>
      </c>
      <c r="G241" t="s">
        <v>217</v>
      </c>
      <c r="H241" t="s">
        <v>217</v>
      </c>
      <c r="I241" s="305">
        <v>44702</v>
      </c>
      <c r="J241">
        <v>2</v>
      </c>
      <c r="K241">
        <v>7</v>
      </c>
      <c r="L241" t="s">
        <v>14</v>
      </c>
      <c r="M241" t="s">
        <v>187</v>
      </c>
      <c r="O241" s="305">
        <v>45798</v>
      </c>
      <c r="Q241" t="s">
        <v>206</v>
      </c>
      <c r="R241" t="s">
        <v>6863</v>
      </c>
      <c r="S241" t="s">
        <v>312</v>
      </c>
      <c r="T241" t="s">
        <v>28</v>
      </c>
      <c r="U241" t="s">
        <v>461</v>
      </c>
      <c r="V241" t="s">
        <v>125</v>
      </c>
      <c r="W241" t="s">
        <v>121</v>
      </c>
      <c r="X241" t="s">
        <v>313</v>
      </c>
      <c r="AA241" t="s">
        <v>132</v>
      </c>
      <c r="AB241" t="s">
        <v>217</v>
      </c>
      <c r="AC241" s="305">
        <v>37189</v>
      </c>
      <c r="AD241">
        <v>23</v>
      </c>
      <c r="AE241" t="s">
        <v>3395</v>
      </c>
      <c r="AF241" t="s">
        <v>3396</v>
      </c>
      <c r="AG241" t="s">
        <v>3397</v>
      </c>
      <c r="AJ241" t="s">
        <v>3398</v>
      </c>
      <c r="AK241" t="s">
        <v>3399</v>
      </c>
      <c r="AL241">
        <v>22063660777</v>
      </c>
      <c r="AM241" t="s">
        <v>4733</v>
      </c>
      <c r="AS241" t="s">
        <v>306</v>
      </c>
      <c r="AT241" t="s">
        <v>306</v>
      </c>
      <c r="AU241" t="s">
        <v>306</v>
      </c>
      <c r="AV241" t="s">
        <v>306</v>
      </c>
      <c r="AW241">
        <v>0</v>
      </c>
      <c r="AX241" t="s">
        <v>5627</v>
      </c>
      <c r="AY241" t="s">
        <v>3400</v>
      </c>
      <c r="AZ241" t="s">
        <v>3400</v>
      </c>
      <c r="BA241" t="s">
        <v>161</v>
      </c>
      <c r="BB241" t="s">
        <v>70</v>
      </c>
      <c r="BC241" t="s">
        <v>515</v>
      </c>
      <c r="BD241" t="s">
        <v>72</v>
      </c>
      <c r="BE241">
        <v>2021</v>
      </c>
      <c r="BF241" t="s">
        <v>70</v>
      </c>
      <c r="BG241" t="s">
        <v>515</v>
      </c>
      <c r="BH241" t="s">
        <v>72</v>
      </c>
      <c r="BI241">
        <v>2021</v>
      </c>
      <c r="BN241">
        <v>43</v>
      </c>
      <c r="BV241" t="s">
        <v>3401</v>
      </c>
      <c r="CD241" t="e">
        <v>#N/A</v>
      </c>
    </row>
    <row r="242" spans="1:82" x14ac:dyDescent="0.3">
      <c r="A242">
        <v>268</v>
      </c>
      <c r="B242" t="e">
        <v>#NUM!</v>
      </c>
      <c r="C242" t="s">
        <v>3402</v>
      </c>
      <c r="D242">
        <v>642201169</v>
      </c>
      <c r="E242">
        <v>1710001953952</v>
      </c>
      <c r="G242" t="s">
        <v>217</v>
      </c>
      <c r="H242" t="s">
        <v>217</v>
      </c>
      <c r="I242" s="305">
        <v>44702</v>
      </c>
      <c r="J242">
        <v>2</v>
      </c>
      <c r="K242">
        <v>7</v>
      </c>
      <c r="L242" t="s">
        <v>14</v>
      </c>
      <c r="M242" t="s">
        <v>187</v>
      </c>
      <c r="O242" s="305">
        <v>45432</v>
      </c>
      <c r="Q242" t="s">
        <v>206</v>
      </c>
      <c r="R242" t="s">
        <v>6863</v>
      </c>
      <c r="S242" t="s">
        <v>312</v>
      </c>
      <c r="T242" t="s">
        <v>20</v>
      </c>
      <c r="U242" t="s">
        <v>204</v>
      </c>
      <c r="V242" t="s">
        <v>1278</v>
      </c>
      <c r="W242" t="s">
        <v>122</v>
      </c>
      <c r="X242" t="s">
        <v>313</v>
      </c>
      <c r="AA242" t="s">
        <v>132</v>
      </c>
      <c r="AB242" t="s">
        <v>217</v>
      </c>
      <c r="AC242" s="305">
        <v>35975</v>
      </c>
      <c r="AD242">
        <v>26</v>
      </c>
      <c r="AE242" t="s">
        <v>3403</v>
      </c>
      <c r="AF242" t="s">
        <v>3404</v>
      </c>
      <c r="AG242" t="s">
        <v>3405</v>
      </c>
      <c r="AJ242" t="s">
        <v>3406</v>
      </c>
      <c r="AK242" t="s">
        <v>3407</v>
      </c>
      <c r="AL242">
        <v>22063660769</v>
      </c>
      <c r="AM242" t="s">
        <v>4716</v>
      </c>
      <c r="AS242" t="s">
        <v>3408</v>
      </c>
      <c r="AT242" t="s">
        <v>3409</v>
      </c>
      <c r="AU242" t="s">
        <v>306</v>
      </c>
      <c r="AV242" t="s">
        <v>306</v>
      </c>
      <c r="AW242">
        <v>0</v>
      </c>
      <c r="AX242" t="s">
        <v>5078</v>
      </c>
      <c r="AY242" t="s">
        <v>3410</v>
      </c>
      <c r="AZ242" t="s">
        <v>3410</v>
      </c>
      <c r="BA242" t="s">
        <v>161</v>
      </c>
      <c r="BB242" t="s">
        <v>349</v>
      </c>
      <c r="BC242" t="s">
        <v>515</v>
      </c>
      <c r="BD242" t="s">
        <v>1631</v>
      </c>
      <c r="BE242">
        <v>2016</v>
      </c>
      <c r="BF242" t="s">
        <v>349</v>
      </c>
      <c r="BG242" t="s">
        <v>515</v>
      </c>
      <c r="BH242" t="s">
        <v>1631</v>
      </c>
      <c r="BI242">
        <v>2016</v>
      </c>
      <c r="BN242">
        <v>43</v>
      </c>
      <c r="BQ242" s="305">
        <v>44600</v>
      </c>
      <c r="BV242" t="s">
        <v>3411</v>
      </c>
      <c r="CD242" t="e">
        <v>#N/A</v>
      </c>
    </row>
    <row r="243" spans="1:82" x14ac:dyDescent="0.3">
      <c r="A243">
        <v>270</v>
      </c>
      <c r="B243">
        <v>124</v>
      </c>
      <c r="C243" t="s">
        <v>3422</v>
      </c>
      <c r="D243">
        <v>642201170</v>
      </c>
      <c r="E243">
        <v>1710011597385</v>
      </c>
      <c r="G243" t="s">
        <v>217</v>
      </c>
      <c r="H243" t="s">
        <v>311</v>
      </c>
      <c r="I243" s="305">
        <v>44702</v>
      </c>
      <c r="J243">
        <v>2</v>
      </c>
      <c r="K243">
        <v>7</v>
      </c>
      <c r="L243" t="s">
        <v>14</v>
      </c>
      <c r="M243" t="s">
        <v>187</v>
      </c>
      <c r="O243" s="305">
        <v>45798</v>
      </c>
      <c r="Q243" t="s">
        <v>206</v>
      </c>
      <c r="R243" t="s">
        <v>6863</v>
      </c>
      <c r="S243" t="s">
        <v>312</v>
      </c>
      <c r="T243" t="s">
        <v>23</v>
      </c>
      <c r="U243" t="s">
        <v>204</v>
      </c>
      <c r="V243" t="s">
        <v>51</v>
      </c>
      <c r="W243" t="s">
        <v>121</v>
      </c>
      <c r="X243" t="s">
        <v>313</v>
      </c>
      <c r="AA243" t="s">
        <v>132</v>
      </c>
      <c r="AB243" t="s">
        <v>311</v>
      </c>
      <c r="AC243" s="305">
        <v>36168</v>
      </c>
      <c r="AD243">
        <v>26</v>
      </c>
      <c r="AE243" t="s">
        <v>3423</v>
      </c>
      <c r="AF243" t="s">
        <v>3424</v>
      </c>
      <c r="AG243" t="s">
        <v>3425</v>
      </c>
      <c r="AJ243" t="s">
        <v>3426</v>
      </c>
      <c r="AK243" t="s">
        <v>3427</v>
      </c>
      <c r="AL243">
        <v>22063660785</v>
      </c>
      <c r="AM243" t="s">
        <v>4716</v>
      </c>
      <c r="AS243" t="s">
        <v>1977</v>
      </c>
      <c r="AT243" t="s">
        <v>3428</v>
      </c>
      <c r="AU243" t="s">
        <v>306</v>
      </c>
      <c r="AV243" t="s">
        <v>306</v>
      </c>
      <c r="AW243">
        <v>0</v>
      </c>
      <c r="AX243" t="s">
        <v>5078</v>
      </c>
      <c r="AY243" t="s">
        <v>3429</v>
      </c>
      <c r="AZ243" t="s">
        <v>3429</v>
      </c>
      <c r="BA243" t="s">
        <v>161</v>
      </c>
      <c r="BB243" t="s">
        <v>70</v>
      </c>
      <c r="BC243" t="s">
        <v>99</v>
      </c>
      <c r="BD243" t="s">
        <v>100</v>
      </c>
      <c r="BE243">
        <v>2020</v>
      </c>
      <c r="BF243" t="s">
        <v>70</v>
      </c>
      <c r="BG243" t="s">
        <v>99</v>
      </c>
      <c r="BH243" t="s">
        <v>100</v>
      </c>
      <c r="BI243">
        <v>2020</v>
      </c>
      <c r="BN243">
        <v>38</v>
      </c>
      <c r="BV243" t="s">
        <v>3430</v>
      </c>
      <c r="CD243" t="e">
        <v>#N/A</v>
      </c>
    </row>
    <row r="244" spans="1:82" x14ac:dyDescent="0.3">
      <c r="A244">
        <v>271</v>
      </c>
      <c r="B244" t="e">
        <v>#NUM!</v>
      </c>
      <c r="C244" t="s">
        <v>3431</v>
      </c>
      <c r="D244">
        <v>642201174</v>
      </c>
      <c r="E244">
        <v>1710011618611</v>
      </c>
      <c r="G244" t="s">
        <v>217</v>
      </c>
      <c r="H244" t="s">
        <v>217</v>
      </c>
      <c r="I244" s="305">
        <v>44719</v>
      </c>
      <c r="J244">
        <v>2</v>
      </c>
      <c r="K244">
        <v>7</v>
      </c>
      <c r="L244" t="s">
        <v>14</v>
      </c>
      <c r="M244" t="s">
        <v>187</v>
      </c>
      <c r="O244" s="305">
        <v>45657</v>
      </c>
      <c r="Q244" t="s">
        <v>206</v>
      </c>
      <c r="R244" t="s">
        <v>6863</v>
      </c>
      <c r="S244" t="s">
        <v>312</v>
      </c>
      <c r="T244" t="s">
        <v>25</v>
      </c>
      <c r="U244" t="s">
        <v>443</v>
      </c>
      <c r="V244" t="s">
        <v>748</v>
      </c>
      <c r="W244" t="s">
        <v>122</v>
      </c>
      <c r="X244" t="s">
        <v>313</v>
      </c>
      <c r="AA244" t="s">
        <v>132</v>
      </c>
      <c r="AB244" t="s">
        <v>217</v>
      </c>
      <c r="AC244" s="305">
        <v>36508</v>
      </c>
      <c r="AD244">
        <v>25</v>
      </c>
      <c r="AE244" t="s">
        <v>3432</v>
      </c>
      <c r="AF244" t="s">
        <v>3433</v>
      </c>
      <c r="AG244" t="s">
        <v>3434</v>
      </c>
      <c r="AJ244" t="s">
        <v>3435</v>
      </c>
      <c r="AK244" t="s">
        <v>3436</v>
      </c>
      <c r="AL244">
        <v>22063660660</v>
      </c>
      <c r="AM244" t="s">
        <v>4716</v>
      </c>
      <c r="AS244" t="s">
        <v>306</v>
      </c>
      <c r="AT244" t="s">
        <v>306</v>
      </c>
      <c r="AU244" t="s">
        <v>306</v>
      </c>
      <c r="AV244" t="s">
        <v>306</v>
      </c>
      <c r="AW244">
        <v>0</v>
      </c>
      <c r="AX244" t="s">
        <v>5078</v>
      </c>
      <c r="BA244" t="s">
        <v>161</v>
      </c>
      <c r="BB244" t="s">
        <v>349</v>
      </c>
      <c r="BC244" t="s">
        <v>91</v>
      </c>
      <c r="BD244" t="s">
        <v>516</v>
      </c>
      <c r="BF244" t="s">
        <v>349</v>
      </c>
      <c r="BG244" t="s">
        <v>91</v>
      </c>
      <c r="BH244" t="s">
        <v>516</v>
      </c>
      <c r="BN244">
        <v>42</v>
      </c>
      <c r="BV244" t="s">
        <v>3437</v>
      </c>
      <c r="CD244" t="e">
        <v>#N/A</v>
      </c>
    </row>
    <row r="245" spans="1:82" x14ac:dyDescent="0.3">
      <c r="A245">
        <v>272</v>
      </c>
      <c r="B245">
        <v>141</v>
      </c>
      <c r="C245" t="s">
        <v>3438</v>
      </c>
      <c r="D245">
        <v>642201175</v>
      </c>
      <c r="E245">
        <v>1710011722942</v>
      </c>
      <c r="G245" t="s">
        <v>217</v>
      </c>
      <c r="H245" t="s">
        <v>432</v>
      </c>
      <c r="I245" s="305">
        <v>44719</v>
      </c>
      <c r="J245">
        <v>2</v>
      </c>
      <c r="K245">
        <v>7</v>
      </c>
      <c r="L245" t="s">
        <v>14</v>
      </c>
      <c r="M245" t="s">
        <v>187</v>
      </c>
      <c r="O245" s="305">
        <v>45815</v>
      </c>
      <c r="Q245" t="s">
        <v>206</v>
      </c>
      <c r="R245" t="s">
        <v>6863</v>
      </c>
      <c r="S245" t="s">
        <v>312</v>
      </c>
      <c r="T245" t="s">
        <v>23</v>
      </c>
      <c r="U245" t="s">
        <v>204</v>
      </c>
      <c r="V245" t="s">
        <v>51</v>
      </c>
      <c r="W245" t="s">
        <v>121</v>
      </c>
      <c r="X245" t="s">
        <v>313</v>
      </c>
      <c r="AA245" t="s">
        <v>132</v>
      </c>
      <c r="AB245" t="s">
        <v>432</v>
      </c>
      <c r="AC245" s="305">
        <v>37670</v>
      </c>
      <c r="AD245">
        <v>21</v>
      </c>
      <c r="AE245" t="s">
        <v>3439</v>
      </c>
      <c r="AF245" t="s">
        <v>3440</v>
      </c>
      <c r="AG245" t="s">
        <v>3441</v>
      </c>
      <c r="AJ245" t="s">
        <v>3442</v>
      </c>
      <c r="AK245" t="s">
        <v>3443</v>
      </c>
      <c r="AL245">
        <v>22063660819</v>
      </c>
      <c r="AM245" t="s">
        <v>4716</v>
      </c>
      <c r="AS245" t="s">
        <v>3444</v>
      </c>
      <c r="AT245" t="s">
        <v>1211</v>
      </c>
      <c r="AU245" t="s">
        <v>306</v>
      </c>
      <c r="AV245" t="s">
        <v>306</v>
      </c>
      <c r="AW245">
        <v>0</v>
      </c>
      <c r="AX245" t="s">
        <v>5078</v>
      </c>
      <c r="AY245" t="s">
        <v>3445</v>
      </c>
      <c r="AZ245" t="s">
        <v>3445</v>
      </c>
      <c r="BA245" t="s">
        <v>161</v>
      </c>
      <c r="BB245" t="s">
        <v>349</v>
      </c>
      <c r="BC245" t="s">
        <v>515</v>
      </c>
      <c r="BD245" t="s">
        <v>3446</v>
      </c>
      <c r="BF245" t="s">
        <v>349</v>
      </c>
      <c r="BG245" t="s">
        <v>515</v>
      </c>
      <c r="BH245" t="s">
        <v>3446</v>
      </c>
      <c r="BN245">
        <v>40</v>
      </c>
      <c r="BV245" t="s">
        <v>3447</v>
      </c>
      <c r="CD245" t="e">
        <v>#N/A</v>
      </c>
    </row>
    <row r="246" spans="1:82" x14ac:dyDescent="0.3">
      <c r="A246">
        <v>273</v>
      </c>
      <c r="B246">
        <v>165</v>
      </c>
      <c r="C246" t="s">
        <v>3448</v>
      </c>
      <c r="D246">
        <v>642201177</v>
      </c>
      <c r="E246">
        <v>1710011826701</v>
      </c>
      <c r="G246" t="s">
        <v>217</v>
      </c>
      <c r="H246" t="s">
        <v>311</v>
      </c>
      <c r="I246" s="305">
        <v>44743</v>
      </c>
      <c r="J246">
        <v>2</v>
      </c>
      <c r="K246">
        <v>6</v>
      </c>
      <c r="L246" t="s">
        <v>14</v>
      </c>
      <c r="M246" t="s">
        <v>187</v>
      </c>
      <c r="O246" s="305">
        <v>45839</v>
      </c>
      <c r="Q246" t="s">
        <v>206</v>
      </c>
      <c r="R246" t="s">
        <v>6863</v>
      </c>
      <c r="S246" t="s">
        <v>312</v>
      </c>
      <c r="T246" t="s">
        <v>23</v>
      </c>
      <c r="U246" t="s">
        <v>204</v>
      </c>
      <c r="V246" t="s">
        <v>51</v>
      </c>
      <c r="W246" t="s">
        <v>121</v>
      </c>
      <c r="X246" t="s">
        <v>313</v>
      </c>
      <c r="AA246" t="s">
        <v>132</v>
      </c>
      <c r="AB246" t="s">
        <v>311</v>
      </c>
      <c r="AC246" s="305">
        <v>36272</v>
      </c>
      <c r="AD246">
        <v>25</v>
      </c>
      <c r="AE246" t="s">
        <v>3449</v>
      </c>
      <c r="AF246" t="s">
        <v>3450</v>
      </c>
      <c r="AG246" t="s">
        <v>3451</v>
      </c>
      <c r="AJ246" t="s">
        <v>3452</v>
      </c>
      <c r="AK246" t="s">
        <v>3453</v>
      </c>
      <c r="AL246">
        <v>22090773635</v>
      </c>
      <c r="AM246" t="s">
        <v>4716</v>
      </c>
      <c r="AS246" t="s">
        <v>306</v>
      </c>
      <c r="AT246" t="s">
        <v>306</v>
      </c>
      <c r="AU246" t="s">
        <v>306</v>
      </c>
      <c r="AV246" t="s">
        <v>306</v>
      </c>
      <c r="AW246">
        <v>0</v>
      </c>
      <c r="AX246" t="s">
        <v>5078</v>
      </c>
      <c r="BA246" t="s">
        <v>161</v>
      </c>
      <c r="BB246" t="s">
        <v>307</v>
      </c>
      <c r="BC246" t="s">
        <v>308</v>
      </c>
      <c r="BD246" t="s">
        <v>6844</v>
      </c>
      <c r="BF246" t="s">
        <v>307</v>
      </c>
      <c r="BN246">
        <v>41</v>
      </c>
      <c r="BV246" t="s">
        <v>3454</v>
      </c>
      <c r="CD246" t="e">
        <v>#N/A</v>
      </c>
    </row>
    <row r="247" spans="1:82" x14ac:dyDescent="0.3">
      <c r="A247">
        <v>274</v>
      </c>
      <c r="B247">
        <v>165</v>
      </c>
      <c r="C247" t="s">
        <v>3455</v>
      </c>
      <c r="D247">
        <v>642201176</v>
      </c>
      <c r="E247">
        <v>1710011617928</v>
      </c>
      <c r="G247" t="s">
        <v>217</v>
      </c>
      <c r="H247" t="s">
        <v>217</v>
      </c>
      <c r="I247" s="305">
        <v>44743</v>
      </c>
      <c r="J247">
        <v>2</v>
      </c>
      <c r="K247">
        <v>6</v>
      </c>
      <c r="L247" t="s">
        <v>14</v>
      </c>
      <c r="M247" t="s">
        <v>187</v>
      </c>
      <c r="O247" s="305">
        <v>45839</v>
      </c>
      <c r="Q247" t="s">
        <v>206</v>
      </c>
      <c r="R247" t="s">
        <v>6863</v>
      </c>
      <c r="S247" t="s">
        <v>312</v>
      </c>
      <c r="T247" t="s">
        <v>20</v>
      </c>
      <c r="U247" t="s">
        <v>204</v>
      </c>
      <c r="V247" t="s">
        <v>1278</v>
      </c>
      <c r="W247" t="s">
        <v>122</v>
      </c>
      <c r="X247" t="s">
        <v>313</v>
      </c>
      <c r="AA247" t="s">
        <v>132</v>
      </c>
      <c r="AB247" t="s">
        <v>217</v>
      </c>
      <c r="AC247" s="305">
        <v>37496</v>
      </c>
      <c r="AD247">
        <v>22</v>
      </c>
      <c r="AE247" t="s">
        <v>3456</v>
      </c>
      <c r="AF247" t="s">
        <v>3457</v>
      </c>
      <c r="AG247" t="s">
        <v>3458</v>
      </c>
      <c r="AJ247" t="s">
        <v>3459</v>
      </c>
      <c r="AK247" t="s">
        <v>3460</v>
      </c>
      <c r="AL247">
        <v>22090773627</v>
      </c>
      <c r="AM247" t="s">
        <v>4716</v>
      </c>
      <c r="AS247" t="s">
        <v>3461</v>
      </c>
      <c r="AT247" t="s">
        <v>3462</v>
      </c>
      <c r="AU247" t="s">
        <v>306</v>
      </c>
      <c r="AV247" t="s">
        <v>306</v>
      </c>
      <c r="AW247">
        <v>0</v>
      </c>
      <c r="AX247" t="s">
        <v>5078</v>
      </c>
      <c r="AY247" t="s">
        <v>3463</v>
      </c>
      <c r="AZ247" t="s">
        <v>3464</v>
      </c>
      <c r="BA247" t="s">
        <v>161</v>
      </c>
      <c r="BB247" t="s">
        <v>307</v>
      </c>
      <c r="BC247" t="s">
        <v>308</v>
      </c>
      <c r="BD247" t="s">
        <v>6844</v>
      </c>
      <c r="BF247" t="s">
        <v>307</v>
      </c>
      <c r="BN247">
        <v>40</v>
      </c>
      <c r="BQ247" s="305">
        <v>44667</v>
      </c>
      <c r="BV247" t="s">
        <v>3465</v>
      </c>
      <c r="CD247" t="e">
        <v>#N/A</v>
      </c>
    </row>
    <row r="248" spans="1:82" x14ac:dyDescent="0.3">
      <c r="A248">
        <v>275</v>
      </c>
      <c r="B248" t="e">
        <v>#NUM!</v>
      </c>
      <c r="C248" t="s">
        <v>3466</v>
      </c>
      <c r="D248">
        <v>642301178</v>
      </c>
      <c r="E248">
        <v>1710010758608</v>
      </c>
      <c r="G248" t="s">
        <v>217</v>
      </c>
      <c r="H248" t="s">
        <v>1511</v>
      </c>
      <c r="I248" s="305">
        <v>44927</v>
      </c>
      <c r="J248">
        <v>2</v>
      </c>
      <c r="K248">
        <v>0</v>
      </c>
      <c r="L248" t="s">
        <v>14</v>
      </c>
      <c r="M248" t="s">
        <v>187</v>
      </c>
      <c r="O248" s="305">
        <v>45657</v>
      </c>
      <c r="Q248" t="s">
        <v>206</v>
      </c>
      <c r="R248" t="s">
        <v>6863</v>
      </c>
      <c r="S248" t="s">
        <v>296</v>
      </c>
      <c r="T248" t="s">
        <v>187</v>
      </c>
      <c r="U248" t="s">
        <v>73</v>
      </c>
      <c r="V248" t="s">
        <v>122</v>
      </c>
      <c r="W248" t="s">
        <v>122</v>
      </c>
      <c r="X248" t="s">
        <v>313</v>
      </c>
      <c r="AA248" t="s">
        <v>132</v>
      </c>
      <c r="AB248" t="s">
        <v>1511</v>
      </c>
      <c r="AC248" s="305">
        <v>36641</v>
      </c>
      <c r="AD248">
        <v>24</v>
      </c>
      <c r="AE248" t="s">
        <v>3467</v>
      </c>
      <c r="AF248" t="s">
        <v>3468</v>
      </c>
      <c r="AG248" t="s">
        <v>3469</v>
      </c>
      <c r="AJ248" t="s">
        <v>3470</v>
      </c>
      <c r="AK248" t="s">
        <v>3471</v>
      </c>
      <c r="AL248">
        <v>23009096605</v>
      </c>
      <c r="AM248" t="s">
        <v>4716</v>
      </c>
      <c r="AS248" t="s">
        <v>3472</v>
      </c>
      <c r="AT248" t="s">
        <v>3473</v>
      </c>
      <c r="AU248" t="s">
        <v>306</v>
      </c>
      <c r="AV248" t="s">
        <v>306</v>
      </c>
      <c r="AW248">
        <v>0</v>
      </c>
      <c r="AX248" t="s">
        <v>5078</v>
      </c>
      <c r="AY248" t="s">
        <v>3474</v>
      </c>
      <c r="AZ248" t="s">
        <v>3474</v>
      </c>
      <c r="BA248" t="s">
        <v>161</v>
      </c>
      <c r="BB248" t="s">
        <v>70</v>
      </c>
      <c r="BC248" t="s">
        <v>3475</v>
      </c>
      <c r="BD248" t="s">
        <v>100</v>
      </c>
      <c r="BF248" t="s">
        <v>70</v>
      </c>
      <c r="BG248" t="s">
        <v>3475</v>
      </c>
      <c r="BH248" t="s">
        <v>100</v>
      </c>
      <c r="BN248">
        <v>43</v>
      </c>
      <c r="BQ248" s="305">
        <v>44672</v>
      </c>
      <c r="CD248" t="e">
        <v>#N/A</v>
      </c>
    </row>
    <row r="249" spans="1:82" x14ac:dyDescent="0.3">
      <c r="A249">
        <v>276</v>
      </c>
      <c r="B249" t="e">
        <v>#NUM!</v>
      </c>
      <c r="C249" t="s">
        <v>3476</v>
      </c>
      <c r="D249">
        <v>642301180</v>
      </c>
      <c r="E249">
        <v>1710012918895</v>
      </c>
      <c r="G249" t="s">
        <v>217</v>
      </c>
      <c r="H249" t="s">
        <v>3477</v>
      </c>
      <c r="I249" s="305">
        <v>44931</v>
      </c>
      <c r="J249">
        <v>2</v>
      </c>
      <c r="K249">
        <v>0</v>
      </c>
      <c r="L249" t="s">
        <v>14</v>
      </c>
      <c r="M249" t="s">
        <v>187</v>
      </c>
      <c r="O249" s="305">
        <v>45657</v>
      </c>
      <c r="Q249" t="s">
        <v>206</v>
      </c>
      <c r="R249" t="s">
        <v>6863</v>
      </c>
      <c r="S249" t="s">
        <v>312</v>
      </c>
      <c r="T249" t="s">
        <v>24</v>
      </c>
      <c r="U249" t="s">
        <v>204</v>
      </c>
      <c r="V249" t="s">
        <v>629</v>
      </c>
      <c r="W249" t="s">
        <v>121</v>
      </c>
      <c r="X249" t="s">
        <v>313</v>
      </c>
      <c r="Y249" t="s">
        <v>445</v>
      </c>
      <c r="AA249" t="s">
        <v>132</v>
      </c>
      <c r="AB249" t="s">
        <v>3477</v>
      </c>
      <c r="AC249" s="305">
        <v>36937</v>
      </c>
      <c r="AD249">
        <v>23</v>
      </c>
      <c r="AE249" t="s">
        <v>3478</v>
      </c>
      <c r="AF249" t="s">
        <v>3479</v>
      </c>
      <c r="AG249" t="s">
        <v>3480</v>
      </c>
      <c r="AJ249" t="s">
        <v>3481</v>
      </c>
      <c r="AK249" t="s">
        <v>3482</v>
      </c>
      <c r="AL249">
        <v>23009096696</v>
      </c>
      <c r="AM249" t="s">
        <v>4716</v>
      </c>
      <c r="AS249" t="s">
        <v>3483</v>
      </c>
      <c r="AT249" t="s">
        <v>3484</v>
      </c>
      <c r="AU249" t="s">
        <v>306</v>
      </c>
      <c r="AV249" t="s">
        <v>306</v>
      </c>
      <c r="AW249">
        <v>0</v>
      </c>
      <c r="AX249" t="s">
        <v>5078</v>
      </c>
      <c r="AY249" t="s">
        <v>3485</v>
      </c>
      <c r="AZ249" t="s">
        <v>3485</v>
      </c>
      <c r="BA249" t="s">
        <v>161</v>
      </c>
      <c r="BB249" t="s">
        <v>70</v>
      </c>
      <c r="BC249" t="s">
        <v>3475</v>
      </c>
      <c r="BD249" t="s">
        <v>100</v>
      </c>
      <c r="BE249">
        <v>2022</v>
      </c>
      <c r="BF249" t="s">
        <v>70</v>
      </c>
      <c r="BG249" t="s">
        <v>3475</v>
      </c>
      <c r="BH249" t="s">
        <v>100</v>
      </c>
      <c r="BI249">
        <v>2022</v>
      </c>
      <c r="BN249">
        <v>41</v>
      </c>
      <c r="CD249" t="s">
        <v>7131</v>
      </c>
    </row>
    <row r="250" spans="1:82" x14ac:dyDescent="0.3">
      <c r="A250">
        <v>277</v>
      </c>
      <c r="B250" t="e">
        <v>#NUM!</v>
      </c>
      <c r="C250" t="s">
        <v>3486</v>
      </c>
      <c r="D250">
        <v>642301184</v>
      </c>
      <c r="F250">
        <v>7117407262</v>
      </c>
      <c r="G250" t="s">
        <v>217</v>
      </c>
      <c r="H250" t="s">
        <v>217</v>
      </c>
      <c r="I250" s="305">
        <v>44931</v>
      </c>
      <c r="J250">
        <v>2</v>
      </c>
      <c r="K250">
        <v>0</v>
      </c>
      <c r="L250" t="s">
        <v>14</v>
      </c>
      <c r="M250" t="s">
        <v>187</v>
      </c>
      <c r="O250" s="305">
        <v>45657</v>
      </c>
      <c r="Q250" t="s">
        <v>206</v>
      </c>
      <c r="R250" t="s">
        <v>6863</v>
      </c>
      <c r="S250" t="s">
        <v>312</v>
      </c>
      <c r="T250" t="s">
        <v>24</v>
      </c>
      <c r="U250" t="s">
        <v>204</v>
      </c>
      <c r="V250" t="s">
        <v>629</v>
      </c>
      <c r="W250" t="s">
        <v>121</v>
      </c>
      <c r="X250" t="s">
        <v>313</v>
      </c>
      <c r="Y250" t="s">
        <v>445</v>
      </c>
      <c r="AA250" t="s">
        <v>132</v>
      </c>
      <c r="AB250" t="s">
        <v>24</v>
      </c>
      <c r="AC250" s="305">
        <v>36802</v>
      </c>
      <c r="AD250">
        <v>24</v>
      </c>
      <c r="AE250" t="s">
        <v>3487</v>
      </c>
      <c r="AF250" t="s">
        <v>3488</v>
      </c>
      <c r="AG250" t="s">
        <v>3489</v>
      </c>
      <c r="AJ250" t="s">
        <v>3490</v>
      </c>
      <c r="AK250" t="s">
        <v>3491</v>
      </c>
      <c r="AL250">
        <v>23009096613</v>
      </c>
      <c r="AM250" t="s">
        <v>4716</v>
      </c>
      <c r="AS250" t="s">
        <v>3492</v>
      </c>
      <c r="AT250" t="s">
        <v>3493</v>
      </c>
      <c r="AU250" t="s">
        <v>306</v>
      </c>
      <c r="AV250" t="s">
        <v>306</v>
      </c>
      <c r="AW250">
        <v>0</v>
      </c>
      <c r="AX250" t="s">
        <v>5078</v>
      </c>
      <c r="AY250" t="s">
        <v>3494</v>
      </c>
      <c r="AZ250" t="s">
        <v>3494</v>
      </c>
      <c r="BA250" t="s">
        <v>161</v>
      </c>
      <c r="BB250" t="s">
        <v>70</v>
      </c>
      <c r="BC250" t="s">
        <v>3475</v>
      </c>
      <c r="BD250" t="s">
        <v>100</v>
      </c>
      <c r="BE250">
        <v>2022</v>
      </c>
      <c r="BF250" t="s">
        <v>70</v>
      </c>
      <c r="BG250" t="s">
        <v>3475</v>
      </c>
      <c r="BH250" t="s">
        <v>100</v>
      </c>
      <c r="BI250">
        <v>2022</v>
      </c>
      <c r="BN250">
        <v>41</v>
      </c>
      <c r="CD250" t="s">
        <v>7131</v>
      </c>
    </row>
    <row r="251" spans="1:82" x14ac:dyDescent="0.3">
      <c r="A251">
        <v>278</v>
      </c>
      <c r="B251" t="e">
        <v>#NUM!</v>
      </c>
      <c r="C251" t="s">
        <v>3495</v>
      </c>
      <c r="D251">
        <v>642301183</v>
      </c>
      <c r="E251">
        <v>1710012923051</v>
      </c>
      <c r="G251" t="s">
        <v>217</v>
      </c>
      <c r="H251" t="s">
        <v>217</v>
      </c>
      <c r="I251" s="305">
        <v>44931</v>
      </c>
      <c r="J251">
        <v>2</v>
      </c>
      <c r="K251">
        <v>0</v>
      </c>
      <c r="L251" t="s">
        <v>14</v>
      </c>
      <c r="M251" t="s">
        <v>187</v>
      </c>
      <c r="O251" s="305">
        <v>45657</v>
      </c>
      <c r="Q251" t="s">
        <v>206</v>
      </c>
      <c r="R251" t="s">
        <v>6863</v>
      </c>
      <c r="S251" t="s">
        <v>312</v>
      </c>
      <c r="T251" t="s">
        <v>24</v>
      </c>
      <c r="U251" t="s">
        <v>204</v>
      </c>
      <c r="V251" t="s">
        <v>706</v>
      </c>
      <c r="W251" t="s">
        <v>121</v>
      </c>
      <c r="X251" t="s">
        <v>313</v>
      </c>
      <c r="Y251" t="s">
        <v>445</v>
      </c>
      <c r="AA251" t="s">
        <v>132</v>
      </c>
      <c r="AB251" t="s">
        <v>217</v>
      </c>
      <c r="AC251" s="305">
        <v>36643</v>
      </c>
      <c r="AD251">
        <v>24</v>
      </c>
      <c r="AE251" t="s">
        <v>3496</v>
      </c>
      <c r="AF251" t="s">
        <v>3497</v>
      </c>
      <c r="AG251" t="s">
        <v>3498</v>
      </c>
      <c r="AJ251" t="s">
        <v>3499</v>
      </c>
      <c r="AK251" t="s">
        <v>3500</v>
      </c>
      <c r="AL251">
        <v>23009096654</v>
      </c>
      <c r="AM251" t="s">
        <v>4716</v>
      </c>
      <c r="AS251" t="s">
        <v>3501</v>
      </c>
      <c r="AT251" t="s">
        <v>3502</v>
      </c>
      <c r="AU251" t="s">
        <v>306</v>
      </c>
      <c r="AV251" t="s">
        <v>306</v>
      </c>
      <c r="AW251">
        <v>0</v>
      </c>
      <c r="AX251" t="s">
        <v>5078</v>
      </c>
      <c r="AY251" t="s">
        <v>3503</v>
      </c>
      <c r="AZ251" t="s">
        <v>3503</v>
      </c>
      <c r="BA251" t="s">
        <v>161</v>
      </c>
      <c r="BB251" t="s">
        <v>70</v>
      </c>
      <c r="BC251" t="s">
        <v>3475</v>
      </c>
      <c r="BD251" t="s">
        <v>100</v>
      </c>
      <c r="BE251">
        <v>2022</v>
      </c>
      <c r="BF251" t="s">
        <v>70</v>
      </c>
      <c r="BG251" t="s">
        <v>3475</v>
      </c>
      <c r="BH251" t="s">
        <v>100</v>
      </c>
      <c r="BI251">
        <v>2022</v>
      </c>
      <c r="BN251">
        <v>43</v>
      </c>
      <c r="BQ251" s="305">
        <v>44848</v>
      </c>
      <c r="CD251" t="s">
        <v>7131</v>
      </c>
    </row>
    <row r="252" spans="1:82" x14ac:dyDescent="0.3">
      <c r="A252">
        <v>279</v>
      </c>
      <c r="B252" t="e">
        <v>#NUM!</v>
      </c>
      <c r="C252" t="s">
        <v>3504</v>
      </c>
      <c r="D252">
        <v>642301186</v>
      </c>
      <c r="E252">
        <v>1430027926995</v>
      </c>
      <c r="G252" t="s">
        <v>217</v>
      </c>
      <c r="H252" t="s">
        <v>32</v>
      </c>
      <c r="I252" s="305">
        <v>44931</v>
      </c>
      <c r="J252">
        <v>2</v>
      </c>
      <c r="K252">
        <v>0</v>
      </c>
      <c r="L252" t="s">
        <v>14</v>
      </c>
      <c r="M252" t="s">
        <v>187</v>
      </c>
      <c r="O252" s="305">
        <v>45657</v>
      </c>
      <c r="Q252" t="s">
        <v>206</v>
      </c>
      <c r="R252" t="s">
        <v>6863</v>
      </c>
      <c r="S252" t="s">
        <v>296</v>
      </c>
      <c r="T252" t="s">
        <v>187</v>
      </c>
      <c r="U252" t="s">
        <v>73</v>
      </c>
      <c r="V252" t="s">
        <v>122</v>
      </c>
      <c r="W252" t="s">
        <v>122</v>
      </c>
      <c r="X252" t="s">
        <v>313</v>
      </c>
      <c r="AA252" t="s">
        <v>132</v>
      </c>
      <c r="AB252" t="s">
        <v>1412</v>
      </c>
      <c r="AC252" s="305">
        <v>37127</v>
      </c>
      <c r="AD252">
        <v>23</v>
      </c>
      <c r="AE252" t="s">
        <v>3505</v>
      </c>
      <c r="AF252" t="s">
        <v>3506</v>
      </c>
      <c r="AG252" t="s">
        <v>3507</v>
      </c>
      <c r="AJ252" t="s">
        <v>3508</v>
      </c>
      <c r="AK252" t="s">
        <v>3509</v>
      </c>
      <c r="AL252">
        <v>23009096621</v>
      </c>
      <c r="AM252" t="s">
        <v>4716</v>
      </c>
      <c r="AS252" t="s">
        <v>306</v>
      </c>
      <c r="AT252" t="s">
        <v>306</v>
      </c>
      <c r="AU252" t="s">
        <v>306</v>
      </c>
      <c r="AV252" t="s">
        <v>306</v>
      </c>
      <c r="AW252">
        <v>0</v>
      </c>
      <c r="AX252" t="s">
        <v>5078</v>
      </c>
      <c r="BA252" t="s">
        <v>161</v>
      </c>
      <c r="BB252" t="s">
        <v>70</v>
      </c>
      <c r="BC252" t="s">
        <v>3475</v>
      </c>
      <c r="BD252" t="s">
        <v>100</v>
      </c>
      <c r="BE252">
        <v>2022</v>
      </c>
      <c r="BF252" t="s">
        <v>70</v>
      </c>
      <c r="BG252" t="s">
        <v>3475</v>
      </c>
      <c r="BH252" t="s">
        <v>100</v>
      </c>
      <c r="BI252">
        <v>2022</v>
      </c>
      <c r="BN252">
        <v>41</v>
      </c>
      <c r="BQ252" s="305">
        <v>44650</v>
      </c>
      <c r="CD252" t="e">
        <v>#N/A</v>
      </c>
    </row>
    <row r="253" spans="1:82" x14ac:dyDescent="0.3">
      <c r="A253">
        <v>280</v>
      </c>
      <c r="B253" t="e">
        <v>#NUM!</v>
      </c>
      <c r="C253" t="s">
        <v>3510</v>
      </c>
      <c r="D253">
        <v>642301185</v>
      </c>
      <c r="E253">
        <v>1710012922319</v>
      </c>
      <c r="G253" t="s">
        <v>217</v>
      </c>
      <c r="H253" t="s">
        <v>217</v>
      </c>
      <c r="I253" s="305">
        <v>44931</v>
      </c>
      <c r="J253">
        <v>2</v>
      </c>
      <c r="K253">
        <v>0</v>
      </c>
      <c r="L253" t="s">
        <v>14</v>
      </c>
      <c r="M253" t="s">
        <v>187</v>
      </c>
      <c r="O253" s="305">
        <v>45657</v>
      </c>
      <c r="Q253" t="s">
        <v>206</v>
      </c>
      <c r="R253" t="s">
        <v>6863</v>
      </c>
      <c r="S253" t="s">
        <v>296</v>
      </c>
      <c r="T253" t="s">
        <v>24</v>
      </c>
      <c r="U253" t="s">
        <v>204</v>
      </c>
      <c r="V253" t="s">
        <v>706</v>
      </c>
      <c r="W253" t="s">
        <v>121</v>
      </c>
      <c r="X253" t="s">
        <v>313</v>
      </c>
      <c r="Y253" t="s">
        <v>445</v>
      </c>
      <c r="AA253" t="s">
        <v>133</v>
      </c>
      <c r="AB253" t="s">
        <v>217</v>
      </c>
      <c r="AC253" s="305">
        <v>37103</v>
      </c>
      <c r="AD253">
        <v>23</v>
      </c>
      <c r="AE253" t="s">
        <v>3511</v>
      </c>
      <c r="AF253" t="s">
        <v>3512</v>
      </c>
      <c r="AG253" t="s">
        <v>3513</v>
      </c>
      <c r="AJ253" t="s">
        <v>3514</v>
      </c>
      <c r="AK253" t="s">
        <v>3515</v>
      </c>
      <c r="AL253">
        <v>23009096670</v>
      </c>
      <c r="AM253" t="s">
        <v>4716</v>
      </c>
      <c r="AS253" t="s">
        <v>3516</v>
      </c>
      <c r="AT253" t="s">
        <v>3517</v>
      </c>
      <c r="AU253" t="s">
        <v>306</v>
      </c>
      <c r="AV253" t="s">
        <v>306</v>
      </c>
      <c r="AW253">
        <v>0</v>
      </c>
      <c r="AX253" t="s">
        <v>5078</v>
      </c>
      <c r="AY253" t="s">
        <v>3518</v>
      </c>
      <c r="AZ253" t="s">
        <v>3518</v>
      </c>
      <c r="BA253" t="s">
        <v>161</v>
      </c>
      <c r="BB253" t="s">
        <v>70</v>
      </c>
      <c r="BC253" t="s">
        <v>3475</v>
      </c>
      <c r="BD253" t="s">
        <v>100</v>
      </c>
      <c r="BE253">
        <v>2022</v>
      </c>
      <c r="BF253" t="s">
        <v>70</v>
      </c>
      <c r="BG253" t="s">
        <v>3475</v>
      </c>
      <c r="BH253" t="s">
        <v>100</v>
      </c>
      <c r="BI253">
        <v>2022</v>
      </c>
      <c r="BN253">
        <v>38</v>
      </c>
      <c r="CD253" t="s">
        <v>7131</v>
      </c>
    </row>
    <row r="254" spans="1:82" x14ac:dyDescent="0.3">
      <c r="A254">
        <v>281</v>
      </c>
      <c r="B254" t="e">
        <v>#NUM!</v>
      </c>
      <c r="C254" t="s">
        <v>3519</v>
      </c>
      <c r="D254">
        <v>642301181</v>
      </c>
      <c r="E254">
        <v>1710012918747</v>
      </c>
      <c r="G254" t="s">
        <v>217</v>
      </c>
      <c r="H254" t="s">
        <v>432</v>
      </c>
      <c r="I254" s="305">
        <v>44931</v>
      </c>
      <c r="J254">
        <v>2</v>
      </c>
      <c r="K254">
        <v>0</v>
      </c>
      <c r="L254" t="s">
        <v>14</v>
      </c>
      <c r="M254" t="s">
        <v>187</v>
      </c>
      <c r="O254" s="305">
        <v>45657</v>
      </c>
      <c r="Q254" t="s">
        <v>206</v>
      </c>
      <c r="R254" t="s">
        <v>6863</v>
      </c>
      <c r="S254" t="s">
        <v>312</v>
      </c>
      <c r="T254" t="s">
        <v>24</v>
      </c>
      <c r="U254" t="s">
        <v>204</v>
      </c>
      <c r="V254" t="s">
        <v>629</v>
      </c>
      <c r="W254" t="s">
        <v>121</v>
      </c>
      <c r="X254" t="s">
        <v>313</v>
      </c>
      <c r="Y254" t="s">
        <v>445</v>
      </c>
      <c r="AA254" t="s">
        <v>132</v>
      </c>
      <c r="AB254" t="s">
        <v>432</v>
      </c>
      <c r="AC254" s="305">
        <v>36891</v>
      </c>
      <c r="AD254">
        <v>24</v>
      </c>
      <c r="AE254" t="s">
        <v>3520</v>
      </c>
      <c r="AF254" t="s">
        <v>3521</v>
      </c>
      <c r="AG254" t="s">
        <v>3522</v>
      </c>
      <c r="AJ254" t="s">
        <v>3523</v>
      </c>
      <c r="AK254" t="s">
        <v>3524</v>
      </c>
      <c r="AL254" t="s">
        <v>3525</v>
      </c>
      <c r="AM254" t="s">
        <v>4716</v>
      </c>
      <c r="AS254" t="s">
        <v>601</v>
      </c>
      <c r="AT254" t="s">
        <v>899</v>
      </c>
      <c r="AU254" t="s">
        <v>306</v>
      </c>
      <c r="AV254" t="s">
        <v>306</v>
      </c>
      <c r="AW254">
        <v>0</v>
      </c>
      <c r="AX254" t="s">
        <v>5078</v>
      </c>
      <c r="AY254" t="s">
        <v>3526</v>
      </c>
      <c r="AZ254" t="s">
        <v>3526</v>
      </c>
      <c r="BA254" t="s">
        <v>161</v>
      </c>
      <c r="BB254" t="s">
        <v>70</v>
      </c>
      <c r="BC254" t="s">
        <v>3527</v>
      </c>
      <c r="BD254" t="s">
        <v>100</v>
      </c>
      <c r="BE254">
        <v>2022</v>
      </c>
      <c r="BF254" t="s">
        <v>70</v>
      </c>
      <c r="BG254" t="s">
        <v>3527</v>
      </c>
      <c r="BH254" t="s">
        <v>100</v>
      </c>
      <c r="BI254">
        <v>2022</v>
      </c>
      <c r="BN254">
        <v>41</v>
      </c>
      <c r="CD254" t="s">
        <v>7131</v>
      </c>
    </row>
    <row r="255" spans="1:82" x14ac:dyDescent="0.3">
      <c r="A255">
        <v>282</v>
      </c>
      <c r="B255" t="e">
        <v>#NUM!</v>
      </c>
      <c r="C255" t="s">
        <v>3528</v>
      </c>
      <c r="D255">
        <v>642301193</v>
      </c>
      <c r="E255">
        <v>1420021243323</v>
      </c>
      <c r="G255" t="s">
        <v>217</v>
      </c>
      <c r="H255" t="s">
        <v>602</v>
      </c>
      <c r="I255" s="305">
        <v>44931</v>
      </c>
      <c r="J255">
        <v>2</v>
      </c>
      <c r="K255">
        <v>0</v>
      </c>
      <c r="L255" t="s">
        <v>14</v>
      </c>
      <c r="M255" t="s">
        <v>187</v>
      </c>
      <c r="O255" s="305">
        <v>45657</v>
      </c>
      <c r="Q255" t="s">
        <v>206</v>
      </c>
      <c r="R255" t="s">
        <v>6863</v>
      </c>
      <c r="S255" t="s">
        <v>296</v>
      </c>
      <c r="T255" t="s">
        <v>187</v>
      </c>
      <c r="U255" t="s">
        <v>1115</v>
      </c>
      <c r="V255" t="s">
        <v>119</v>
      </c>
      <c r="W255" t="s">
        <v>120</v>
      </c>
      <c r="X255" t="s">
        <v>313</v>
      </c>
      <c r="Y255" t="s">
        <v>462</v>
      </c>
      <c r="AA255" t="s">
        <v>132</v>
      </c>
      <c r="AB255" t="s">
        <v>602</v>
      </c>
      <c r="AC255" s="305">
        <v>36602</v>
      </c>
      <c r="AD255">
        <v>24</v>
      </c>
      <c r="AE255" t="s">
        <v>3529</v>
      </c>
      <c r="AF255" t="s">
        <v>3530</v>
      </c>
      <c r="AG255" t="s">
        <v>3531</v>
      </c>
      <c r="AJ255" t="s">
        <v>3532</v>
      </c>
      <c r="AK255" t="s">
        <v>3533</v>
      </c>
      <c r="AL255">
        <v>23009096753</v>
      </c>
      <c r="AM255" t="s">
        <v>4716</v>
      </c>
      <c r="AS255" t="s">
        <v>306</v>
      </c>
      <c r="AT255" t="s">
        <v>306</v>
      </c>
      <c r="AU255" t="s">
        <v>306</v>
      </c>
      <c r="AV255" t="s">
        <v>306</v>
      </c>
      <c r="AW255">
        <v>0</v>
      </c>
      <c r="AX255" t="s">
        <v>5078</v>
      </c>
      <c r="BA255" t="s">
        <v>161</v>
      </c>
      <c r="BB255" t="s">
        <v>70</v>
      </c>
      <c r="BC255" t="s">
        <v>99</v>
      </c>
      <c r="BD255" t="s">
        <v>100</v>
      </c>
      <c r="BE255">
        <v>2022</v>
      </c>
      <c r="BF255" t="s">
        <v>70</v>
      </c>
      <c r="BG255" t="s">
        <v>99</v>
      </c>
      <c r="BH255" t="s">
        <v>100</v>
      </c>
      <c r="BI255">
        <v>2022</v>
      </c>
      <c r="BN255">
        <v>43</v>
      </c>
      <c r="BQ255" s="305">
        <v>44659</v>
      </c>
      <c r="CD255" t="e">
        <v>#N/A</v>
      </c>
    </row>
    <row r="256" spans="1:82" x14ac:dyDescent="0.3">
      <c r="A256">
        <v>283</v>
      </c>
      <c r="B256" t="e">
        <v>#NUM!</v>
      </c>
      <c r="C256" t="s">
        <v>98</v>
      </c>
      <c r="D256">
        <v>642301191</v>
      </c>
      <c r="E256">
        <v>1710012946185</v>
      </c>
      <c r="G256" t="s">
        <v>217</v>
      </c>
      <c r="H256" t="s">
        <v>217</v>
      </c>
      <c r="I256" s="305">
        <v>44931</v>
      </c>
      <c r="J256">
        <v>2</v>
      </c>
      <c r="K256">
        <v>0</v>
      </c>
      <c r="L256" t="s">
        <v>14</v>
      </c>
      <c r="M256" t="s">
        <v>187</v>
      </c>
      <c r="O256" s="305">
        <v>45657</v>
      </c>
      <c r="Q256" t="s">
        <v>206</v>
      </c>
      <c r="R256" t="s">
        <v>6863</v>
      </c>
      <c r="S256" t="s">
        <v>296</v>
      </c>
      <c r="T256" t="s">
        <v>187</v>
      </c>
      <c r="U256" t="s">
        <v>3413</v>
      </c>
      <c r="V256" t="s">
        <v>119</v>
      </c>
      <c r="W256" t="s">
        <v>59</v>
      </c>
      <c r="X256" t="s">
        <v>313</v>
      </c>
      <c r="Y256" t="s">
        <v>462</v>
      </c>
      <c r="AA256" t="s">
        <v>132</v>
      </c>
      <c r="AB256" t="s">
        <v>217</v>
      </c>
      <c r="AC256" s="305">
        <v>36025</v>
      </c>
      <c r="AD256">
        <v>26</v>
      </c>
      <c r="AE256" t="s">
        <v>3535</v>
      </c>
      <c r="AF256" t="s">
        <v>3536</v>
      </c>
      <c r="AG256" t="s">
        <v>3537</v>
      </c>
      <c r="AJ256" t="s">
        <v>3538</v>
      </c>
      <c r="AK256" t="s">
        <v>3539</v>
      </c>
      <c r="AL256">
        <v>23009096704</v>
      </c>
      <c r="AM256" t="s">
        <v>4716</v>
      </c>
      <c r="AS256" t="s">
        <v>3540</v>
      </c>
      <c r="AT256" t="s">
        <v>3541</v>
      </c>
      <c r="AU256" t="s">
        <v>306</v>
      </c>
      <c r="AV256" t="s">
        <v>306</v>
      </c>
      <c r="AW256">
        <v>0</v>
      </c>
      <c r="AX256" t="s">
        <v>5078</v>
      </c>
      <c r="AY256" t="s">
        <v>3542</v>
      </c>
      <c r="AZ256" t="s">
        <v>3542</v>
      </c>
      <c r="BA256" t="s">
        <v>161</v>
      </c>
      <c r="BB256" t="s">
        <v>70</v>
      </c>
      <c r="BC256" t="s">
        <v>99</v>
      </c>
      <c r="BD256" t="s">
        <v>100</v>
      </c>
      <c r="BE256">
        <v>2021</v>
      </c>
      <c r="BF256" t="s">
        <v>70</v>
      </c>
      <c r="BG256" t="s">
        <v>99</v>
      </c>
      <c r="BH256" t="s">
        <v>100</v>
      </c>
      <c r="BI256">
        <v>2021</v>
      </c>
      <c r="BN256">
        <v>43</v>
      </c>
      <c r="CD256" t="e">
        <v>#N/A</v>
      </c>
    </row>
    <row r="257" spans="1:82" x14ac:dyDescent="0.3">
      <c r="A257">
        <v>284</v>
      </c>
      <c r="B257" t="e">
        <v>#NUM!</v>
      </c>
      <c r="C257" t="s">
        <v>3543</v>
      </c>
      <c r="D257">
        <v>642301192</v>
      </c>
      <c r="E257">
        <v>1330026036293</v>
      </c>
      <c r="G257" t="s">
        <v>217</v>
      </c>
      <c r="H257" t="s">
        <v>24</v>
      </c>
      <c r="I257" s="305">
        <v>44931</v>
      </c>
      <c r="J257">
        <v>2</v>
      </c>
      <c r="K257">
        <v>0</v>
      </c>
      <c r="L257" t="s">
        <v>14</v>
      </c>
      <c r="M257" t="s">
        <v>187</v>
      </c>
      <c r="O257" s="305">
        <v>45657</v>
      </c>
      <c r="Q257" t="s">
        <v>206</v>
      </c>
      <c r="R257" t="s">
        <v>6863</v>
      </c>
      <c r="S257" t="s">
        <v>312</v>
      </c>
      <c r="T257" t="s">
        <v>24</v>
      </c>
      <c r="U257" t="s">
        <v>204</v>
      </c>
      <c r="V257" t="s">
        <v>629</v>
      </c>
      <c r="W257" t="s">
        <v>121</v>
      </c>
      <c r="X257" t="s">
        <v>313</v>
      </c>
      <c r="Y257" t="s">
        <v>462</v>
      </c>
      <c r="AA257" t="s">
        <v>132</v>
      </c>
      <c r="AB257" t="s">
        <v>2377</v>
      </c>
      <c r="AC257" s="305">
        <v>36942</v>
      </c>
      <c r="AD257">
        <v>23</v>
      </c>
      <c r="AE257" t="s">
        <v>3544</v>
      </c>
      <c r="AF257" t="s">
        <v>3545</v>
      </c>
      <c r="AG257" t="s">
        <v>3546</v>
      </c>
      <c r="AJ257" t="s">
        <v>3547</v>
      </c>
      <c r="AK257" t="s">
        <v>3548</v>
      </c>
      <c r="AL257">
        <v>23009096761</v>
      </c>
      <c r="AM257" t="s">
        <v>4716</v>
      </c>
      <c r="AS257" t="s">
        <v>3549</v>
      </c>
      <c r="AT257" t="s">
        <v>3550</v>
      </c>
      <c r="AU257" t="s">
        <v>306</v>
      </c>
      <c r="AV257" t="s">
        <v>306</v>
      </c>
      <c r="AW257">
        <v>0</v>
      </c>
      <c r="AX257" t="s">
        <v>5078</v>
      </c>
      <c r="AY257" t="s">
        <v>3551</v>
      </c>
      <c r="AZ257" t="s">
        <v>3551</v>
      </c>
      <c r="BA257" t="s">
        <v>161</v>
      </c>
      <c r="BB257" t="s">
        <v>70</v>
      </c>
      <c r="BC257" t="s">
        <v>99</v>
      </c>
      <c r="BD257" t="s">
        <v>100</v>
      </c>
      <c r="BE257">
        <v>2022</v>
      </c>
      <c r="BF257" t="s">
        <v>70</v>
      </c>
      <c r="BG257" t="s">
        <v>99</v>
      </c>
      <c r="BH257" t="s">
        <v>100</v>
      </c>
      <c r="BI257">
        <v>2022</v>
      </c>
      <c r="BN257">
        <v>46</v>
      </c>
      <c r="BQ257" s="305">
        <v>44887</v>
      </c>
      <c r="CD257" t="e">
        <v>#N/A</v>
      </c>
    </row>
    <row r="258" spans="1:82" x14ac:dyDescent="0.3">
      <c r="A258">
        <v>285</v>
      </c>
      <c r="B258" t="e">
        <v>#NUM!</v>
      </c>
      <c r="C258" t="s">
        <v>3552</v>
      </c>
      <c r="D258">
        <v>642301188</v>
      </c>
      <c r="E258">
        <v>1710007809752</v>
      </c>
      <c r="G258" t="s">
        <v>217</v>
      </c>
      <c r="H258" t="s">
        <v>3477</v>
      </c>
      <c r="I258" s="305">
        <v>44931</v>
      </c>
      <c r="J258">
        <v>2</v>
      </c>
      <c r="K258">
        <v>0</v>
      </c>
      <c r="L258" t="s">
        <v>14</v>
      </c>
      <c r="M258" t="s">
        <v>187</v>
      </c>
      <c r="O258" s="305">
        <v>45657</v>
      </c>
      <c r="Q258" t="s">
        <v>206</v>
      </c>
      <c r="R258" t="s">
        <v>6863</v>
      </c>
      <c r="S258" t="s">
        <v>312</v>
      </c>
      <c r="T258" t="s">
        <v>25</v>
      </c>
      <c r="U258" t="s">
        <v>443</v>
      </c>
      <c r="V258" t="s">
        <v>748</v>
      </c>
      <c r="W258" t="s">
        <v>122</v>
      </c>
      <c r="X258" t="s">
        <v>313</v>
      </c>
      <c r="Y258" t="s">
        <v>462</v>
      </c>
      <c r="AA258" t="s">
        <v>132</v>
      </c>
      <c r="AB258" t="s">
        <v>3477</v>
      </c>
      <c r="AC258" s="305">
        <v>36013</v>
      </c>
      <c r="AD258">
        <v>26</v>
      </c>
      <c r="AE258" t="s">
        <v>3553</v>
      </c>
      <c r="AF258" t="s">
        <v>3554</v>
      </c>
      <c r="AG258" t="s">
        <v>3555</v>
      </c>
      <c r="AJ258" t="s">
        <v>3556</v>
      </c>
      <c r="AK258" t="s">
        <v>3557</v>
      </c>
      <c r="AL258">
        <v>23009096746</v>
      </c>
      <c r="AM258" t="s">
        <v>4716</v>
      </c>
      <c r="AS258" t="s">
        <v>306</v>
      </c>
      <c r="AT258" t="s">
        <v>306</v>
      </c>
      <c r="AU258" t="s">
        <v>306</v>
      </c>
      <c r="AV258" t="s">
        <v>306</v>
      </c>
      <c r="AW258">
        <v>0</v>
      </c>
      <c r="AX258" t="s">
        <v>5078</v>
      </c>
      <c r="BA258" t="s">
        <v>161</v>
      </c>
      <c r="BB258" t="s">
        <v>70</v>
      </c>
      <c r="BC258" t="s">
        <v>99</v>
      </c>
      <c r="BD258" t="s">
        <v>100</v>
      </c>
      <c r="BE258">
        <v>2020</v>
      </c>
      <c r="BF258" t="s">
        <v>70</v>
      </c>
      <c r="BG258" t="s">
        <v>99</v>
      </c>
      <c r="BH258" t="s">
        <v>100</v>
      </c>
      <c r="BI258">
        <v>2020</v>
      </c>
      <c r="BN258">
        <v>42</v>
      </c>
      <c r="CD258" t="e">
        <v>#N/A</v>
      </c>
    </row>
    <row r="259" spans="1:82" x14ac:dyDescent="0.3">
      <c r="A259">
        <v>286</v>
      </c>
      <c r="B259" t="e">
        <v>#NUM!</v>
      </c>
      <c r="C259" t="s">
        <v>3558</v>
      </c>
      <c r="D259">
        <v>642301190</v>
      </c>
      <c r="E259">
        <v>1840005425002</v>
      </c>
      <c r="G259" t="s">
        <v>217</v>
      </c>
      <c r="H259" t="s">
        <v>2687</v>
      </c>
      <c r="I259" s="305">
        <v>44931</v>
      </c>
      <c r="J259">
        <v>2</v>
      </c>
      <c r="K259">
        <v>0</v>
      </c>
      <c r="L259" t="s">
        <v>14</v>
      </c>
      <c r="M259" t="s">
        <v>187</v>
      </c>
      <c r="O259" s="305">
        <v>45657</v>
      </c>
      <c r="Q259" t="s">
        <v>206</v>
      </c>
      <c r="R259" t="s">
        <v>6863</v>
      </c>
      <c r="S259" t="s">
        <v>312</v>
      </c>
      <c r="T259" t="s">
        <v>31</v>
      </c>
      <c r="U259" t="s">
        <v>204</v>
      </c>
      <c r="V259" t="s">
        <v>639</v>
      </c>
      <c r="W259" t="s">
        <v>122</v>
      </c>
      <c r="X259" t="s">
        <v>313</v>
      </c>
      <c r="Y259" t="s">
        <v>462</v>
      </c>
      <c r="AA259" t="s">
        <v>132</v>
      </c>
      <c r="AB259" t="s">
        <v>2687</v>
      </c>
      <c r="AC259" s="305">
        <v>37158</v>
      </c>
      <c r="AD259">
        <v>23</v>
      </c>
      <c r="AE259" t="s">
        <v>3559</v>
      </c>
      <c r="AF259" t="s">
        <v>3560</v>
      </c>
      <c r="AG259" t="s">
        <v>3561</v>
      </c>
      <c r="AJ259" t="s">
        <v>3562</v>
      </c>
      <c r="AK259" t="s">
        <v>3563</v>
      </c>
      <c r="AL259">
        <v>23009096647</v>
      </c>
      <c r="AM259" t="s">
        <v>4716</v>
      </c>
      <c r="AS259" t="s">
        <v>306</v>
      </c>
      <c r="AT259" t="s">
        <v>306</v>
      </c>
      <c r="AU259" t="s">
        <v>306</v>
      </c>
      <c r="AV259" t="s">
        <v>306</v>
      </c>
      <c r="AW259">
        <v>0</v>
      </c>
      <c r="AX259" t="s">
        <v>5078</v>
      </c>
      <c r="BA259" t="s">
        <v>161</v>
      </c>
      <c r="BB259" t="s">
        <v>70</v>
      </c>
      <c r="BC259" t="s">
        <v>99</v>
      </c>
      <c r="BD259" t="s">
        <v>100</v>
      </c>
      <c r="BE259">
        <v>2022</v>
      </c>
      <c r="BF259" t="s">
        <v>70</v>
      </c>
      <c r="BG259" t="s">
        <v>99</v>
      </c>
      <c r="BH259" t="s">
        <v>100</v>
      </c>
      <c r="BI259">
        <v>2022</v>
      </c>
      <c r="BN259">
        <v>46</v>
      </c>
      <c r="BQ259" s="305">
        <v>44670</v>
      </c>
      <c r="CD259" t="e">
        <v>#N/A</v>
      </c>
    </row>
    <row r="260" spans="1:82" x14ac:dyDescent="0.3">
      <c r="A260">
        <v>288</v>
      </c>
      <c r="B260" t="e">
        <v>#NUM!</v>
      </c>
      <c r="C260" t="s">
        <v>3570</v>
      </c>
      <c r="D260">
        <v>642301187</v>
      </c>
      <c r="E260">
        <v>1710012923291</v>
      </c>
      <c r="G260" t="s">
        <v>217</v>
      </c>
      <c r="H260" t="s">
        <v>311</v>
      </c>
      <c r="I260" s="305">
        <v>44931</v>
      </c>
      <c r="J260">
        <v>2</v>
      </c>
      <c r="K260">
        <v>0</v>
      </c>
      <c r="L260" t="s">
        <v>14</v>
      </c>
      <c r="M260" t="s">
        <v>187</v>
      </c>
      <c r="O260" s="305">
        <v>45657</v>
      </c>
      <c r="Q260" t="s">
        <v>206</v>
      </c>
      <c r="R260" t="s">
        <v>6863</v>
      </c>
      <c r="S260" t="s">
        <v>296</v>
      </c>
      <c r="T260" t="s">
        <v>187</v>
      </c>
      <c r="U260" t="s">
        <v>1115</v>
      </c>
      <c r="V260" t="s">
        <v>119</v>
      </c>
      <c r="W260" t="s">
        <v>120</v>
      </c>
      <c r="X260" t="s">
        <v>313</v>
      </c>
      <c r="Y260" t="s">
        <v>462</v>
      </c>
      <c r="AA260" t="s">
        <v>132</v>
      </c>
      <c r="AB260" t="s">
        <v>311</v>
      </c>
      <c r="AC260" s="305">
        <v>36395</v>
      </c>
      <c r="AD260">
        <v>25</v>
      </c>
      <c r="AE260" t="s">
        <v>3571</v>
      </c>
      <c r="AF260" t="s">
        <v>3572</v>
      </c>
      <c r="AG260" t="s">
        <v>3573</v>
      </c>
      <c r="AJ260" t="s">
        <v>3574</v>
      </c>
      <c r="AK260" t="s">
        <v>3575</v>
      </c>
      <c r="AL260">
        <v>23009096712</v>
      </c>
      <c r="AM260" t="s">
        <v>4716</v>
      </c>
      <c r="AS260" t="s">
        <v>306</v>
      </c>
      <c r="AT260" t="s">
        <v>306</v>
      </c>
      <c r="AU260" t="s">
        <v>306</v>
      </c>
      <c r="AV260" t="s">
        <v>306</v>
      </c>
      <c r="AW260">
        <v>0</v>
      </c>
      <c r="AX260" t="s">
        <v>5078</v>
      </c>
      <c r="BA260" t="s">
        <v>161</v>
      </c>
      <c r="BB260" t="s">
        <v>70</v>
      </c>
      <c r="BC260" t="s">
        <v>99</v>
      </c>
      <c r="BD260" t="s">
        <v>100</v>
      </c>
      <c r="BE260">
        <v>2020</v>
      </c>
      <c r="BF260" t="s">
        <v>70</v>
      </c>
      <c r="BG260" t="s">
        <v>99</v>
      </c>
      <c r="BH260" t="s">
        <v>100</v>
      </c>
      <c r="BI260">
        <v>2020</v>
      </c>
      <c r="BN260">
        <v>43</v>
      </c>
      <c r="BQ260" s="305">
        <v>44714</v>
      </c>
      <c r="CD260" t="e">
        <v>#N/A</v>
      </c>
    </row>
    <row r="261" spans="1:82" x14ac:dyDescent="0.3">
      <c r="A261">
        <v>289</v>
      </c>
      <c r="B261" t="e">
        <v>#NUM!</v>
      </c>
      <c r="C261" t="s">
        <v>3576</v>
      </c>
      <c r="D261">
        <v>642301196</v>
      </c>
      <c r="E261">
        <v>1710012984491</v>
      </c>
      <c r="G261" t="s">
        <v>217</v>
      </c>
      <c r="H261" t="s">
        <v>315</v>
      </c>
      <c r="I261" s="305">
        <v>44935</v>
      </c>
      <c r="J261">
        <v>2</v>
      </c>
      <c r="K261">
        <v>0</v>
      </c>
      <c r="L261" t="s">
        <v>14</v>
      </c>
      <c r="M261" t="s">
        <v>187</v>
      </c>
      <c r="O261" s="305">
        <v>45657</v>
      </c>
      <c r="Q261" t="s">
        <v>206</v>
      </c>
      <c r="R261" t="s">
        <v>6863</v>
      </c>
      <c r="S261" t="s">
        <v>296</v>
      </c>
      <c r="T261" t="s">
        <v>187</v>
      </c>
      <c r="U261" t="s">
        <v>1115</v>
      </c>
      <c r="V261" t="s">
        <v>119</v>
      </c>
      <c r="W261" t="s">
        <v>120</v>
      </c>
      <c r="X261" t="s">
        <v>313</v>
      </c>
      <c r="AA261" t="s">
        <v>132</v>
      </c>
      <c r="AB261" t="s">
        <v>667</v>
      </c>
      <c r="AC261" s="305">
        <v>35213</v>
      </c>
      <c r="AD261">
        <v>28</v>
      </c>
      <c r="AE261" t="s">
        <v>3577</v>
      </c>
      <c r="AF261" t="s">
        <v>3578</v>
      </c>
      <c r="AG261" t="s">
        <v>3579</v>
      </c>
      <c r="AJ261" t="s">
        <v>3580</v>
      </c>
      <c r="AK261" t="s">
        <v>3581</v>
      </c>
      <c r="AL261">
        <v>20076140480</v>
      </c>
      <c r="AM261" t="s">
        <v>4733</v>
      </c>
      <c r="AS261" t="s">
        <v>306</v>
      </c>
      <c r="AT261" t="s">
        <v>306</v>
      </c>
      <c r="AU261" t="s">
        <v>306</v>
      </c>
      <c r="AV261" t="s">
        <v>306</v>
      </c>
      <c r="AW261">
        <v>0</v>
      </c>
      <c r="AX261" t="s">
        <v>5627</v>
      </c>
      <c r="BA261" t="s">
        <v>161</v>
      </c>
      <c r="BB261" t="s">
        <v>70</v>
      </c>
      <c r="BC261" t="s">
        <v>3582</v>
      </c>
      <c r="BD261" t="s">
        <v>3583</v>
      </c>
      <c r="BE261">
        <v>2017</v>
      </c>
      <c r="BF261" t="s">
        <v>70</v>
      </c>
      <c r="BG261" t="s">
        <v>3582</v>
      </c>
      <c r="BH261" t="s">
        <v>3583</v>
      </c>
      <c r="BI261">
        <v>2017</v>
      </c>
      <c r="BN261">
        <v>42</v>
      </c>
      <c r="BQ261" s="305">
        <v>44588</v>
      </c>
      <c r="CD261" t="e">
        <v>#N/A</v>
      </c>
    </row>
    <row r="262" spans="1:82" x14ac:dyDescent="0.3">
      <c r="A262">
        <v>290</v>
      </c>
      <c r="B262" t="e">
        <v>#NUM!</v>
      </c>
      <c r="C262" t="s">
        <v>3584</v>
      </c>
      <c r="D262">
        <v>642301195</v>
      </c>
      <c r="F262">
        <v>7221848677</v>
      </c>
      <c r="G262" t="s">
        <v>24</v>
      </c>
      <c r="H262" t="s">
        <v>24</v>
      </c>
      <c r="I262" s="305">
        <v>44939</v>
      </c>
      <c r="J262">
        <v>2</v>
      </c>
      <c r="K262">
        <v>0</v>
      </c>
      <c r="L262" t="s">
        <v>14</v>
      </c>
      <c r="M262" t="s">
        <v>187</v>
      </c>
      <c r="O262" s="305">
        <v>45535</v>
      </c>
      <c r="Q262" t="s">
        <v>206</v>
      </c>
      <c r="R262" t="s">
        <v>6863</v>
      </c>
      <c r="S262" t="s">
        <v>312</v>
      </c>
      <c r="T262" t="s">
        <v>24</v>
      </c>
      <c r="U262" t="s">
        <v>204</v>
      </c>
      <c r="V262" t="s">
        <v>629</v>
      </c>
      <c r="W262" t="s">
        <v>121</v>
      </c>
      <c r="X262" t="s">
        <v>313</v>
      </c>
      <c r="Y262" t="s">
        <v>1218</v>
      </c>
      <c r="AA262" t="s">
        <v>132</v>
      </c>
      <c r="AB262" t="s">
        <v>20</v>
      </c>
      <c r="AC262" s="305">
        <v>31260</v>
      </c>
      <c r="AD262">
        <v>39</v>
      </c>
      <c r="AE262" t="s">
        <v>3585</v>
      </c>
      <c r="AF262" t="s">
        <v>3586</v>
      </c>
      <c r="AG262" t="s">
        <v>3587</v>
      </c>
      <c r="AJ262" t="s">
        <v>3588</v>
      </c>
      <c r="AK262" t="s">
        <v>3589</v>
      </c>
      <c r="AL262">
        <v>23009096779</v>
      </c>
      <c r="AM262" t="s">
        <v>4733</v>
      </c>
      <c r="AN262" t="s">
        <v>3590</v>
      </c>
      <c r="AO262" t="s">
        <v>3591</v>
      </c>
      <c r="AP262" t="s">
        <v>3592</v>
      </c>
      <c r="AS262" t="s">
        <v>306</v>
      </c>
      <c r="AT262" t="s">
        <v>306</v>
      </c>
      <c r="AU262" t="s">
        <v>306</v>
      </c>
      <c r="AV262" t="s">
        <v>306</v>
      </c>
      <c r="AW262">
        <v>2</v>
      </c>
      <c r="AX262" t="s">
        <v>5002</v>
      </c>
      <c r="BA262" t="s">
        <v>161</v>
      </c>
      <c r="BB262" t="s">
        <v>349</v>
      </c>
      <c r="BC262" t="s">
        <v>91</v>
      </c>
      <c r="BD262" t="s">
        <v>3593</v>
      </c>
      <c r="BE262">
        <v>2003</v>
      </c>
      <c r="BF262" t="s">
        <v>349</v>
      </c>
      <c r="BG262" t="s">
        <v>91</v>
      </c>
      <c r="BH262" t="s">
        <v>3593</v>
      </c>
      <c r="BI262">
        <v>2003</v>
      </c>
      <c r="BN262">
        <v>41</v>
      </c>
      <c r="CD262" t="e">
        <v>#N/A</v>
      </c>
    </row>
    <row r="263" spans="1:82" x14ac:dyDescent="0.3">
      <c r="A263">
        <v>291</v>
      </c>
      <c r="B263" t="e">
        <v>#NUM!</v>
      </c>
      <c r="C263" t="s">
        <v>3594</v>
      </c>
      <c r="D263">
        <v>642301198</v>
      </c>
      <c r="E263">
        <v>1080024841786</v>
      </c>
      <c r="G263" t="s">
        <v>24</v>
      </c>
      <c r="H263" t="s">
        <v>24</v>
      </c>
      <c r="I263" s="305">
        <v>45000</v>
      </c>
      <c r="J263">
        <v>1</v>
      </c>
      <c r="K263">
        <v>10</v>
      </c>
      <c r="L263" t="s">
        <v>14</v>
      </c>
      <c r="M263" t="s">
        <v>187</v>
      </c>
      <c r="O263" s="305">
        <v>45365</v>
      </c>
      <c r="Q263" t="s">
        <v>206</v>
      </c>
      <c r="R263" t="s">
        <v>6863</v>
      </c>
      <c r="S263" t="s">
        <v>312</v>
      </c>
      <c r="T263" t="s">
        <v>24</v>
      </c>
      <c r="U263" t="s">
        <v>204</v>
      </c>
      <c r="V263" t="s">
        <v>629</v>
      </c>
      <c r="W263" t="s">
        <v>121</v>
      </c>
      <c r="X263" t="s">
        <v>313</v>
      </c>
      <c r="AA263" t="s">
        <v>132</v>
      </c>
      <c r="AB263" t="s">
        <v>2151</v>
      </c>
      <c r="AC263" s="305">
        <v>36437</v>
      </c>
      <c r="AD263">
        <v>25</v>
      </c>
      <c r="AE263" t="s">
        <v>3595</v>
      </c>
      <c r="AF263" t="s">
        <v>3596</v>
      </c>
      <c r="AG263" t="s">
        <v>3597</v>
      </c>
      <c r="AJ263" t="s">
        <v>3598</v>
      </c>
      <c r="AK263" t="s">
        <v>3599</v>
      </c>
      <c r="AL263">
        <v>22160059188</v>
      </c>
      <c r="AM263" t="s">
        <v>4716</v>
      </c>
      <c r="AS263" t="s">
        <v>306</v>
      </c>
      <c r="AT263" t="s">
        <v>306</v>
      </c>
      <c r="AU263" t="s">
        <v>306</v>
      </c>
      <c r="AV263" t="s">
        <v>306</v>
      </c>
      <c r="AW263">
        <v>0</v>
      </c>
      <c r="AX263" t="s">
        <v>5078</v>
      </c>
      <c r="BA263" t="s">
        <v>161</v>
      </c>
      <c r="BB263" t="s">
        <v>75</v>
      </c>
      <c r="BC263" t="s">
        <v>91</v>
      </c>
      <c r="BD263" t="s">
        <v>3600</v>
      </c>
      <c r="BE263">
        <v>2022</v>
      </c>
      <c r="BF263" t="s">
        <v>75</v>
      </c>
      <c r="BG263" t="s">
        <v>91</v>
      </c>
      <c r="BH263" t="s">
        <v>3600</v>
      </c>
      <c r="BI263">
        <v>2022</v>
      </c>
      <c r="BN263">
        <v>43</v>
      </c>
      <c r="CD263" t="e">
        <v>#N/A</v>
      </c>
    </row>
    <row r="264" spans="1:82" x14ac:dyDescent="0.3">
      <c r="A264">
        <v>294</v>
      </c>
      <c r="B264" t="e">
        <v>#NUM!</v>
      </c>
      <c r="C264" t="s">
        <v>3623</v>
      </c>
      <c r="D264">
        <v>642307120</v>
      </c>
      <c r="F264">
        <v>7249704207</v>
      </c>
      <c r="G264" t="s">
        <v>25</v>
      </c>
      <c r="H264" t="s">
        <v>3477</v>
      </c>
      <c r="I264" s="305">
        <v>45174</v>
      </c>
      <c r="J264">
        <v>1</v>
      </c>
      <c r="K264">
        <v>4</v>
      </c>
      <c r="L264" t="s">
        <v>14</v>
      </c>
      <c r="M264" t="s">
        <v>187</v>
      </c>
      <c r="O264" s="305">
        <v>45539</v>
      </c>
      <c r="Q264" t="s">
        <v>206</v>
      </c>
      <c r="R264" t="s">
        <v>6863</v>
      </c>
      <c r="S264" t="s">
        <v>312</v>
      </c>
      <c r="T264" t="s">
        <v>24</v>
      </c>
      <c r="U264" t="s">
        <v>204</v>
      </c>
      <c r="V264" t="s">
        <v>629</v>
      </c>
      <c r="W264" t="s">
        <v>121</v>
      </c>
      <c r="X264" t="s">
        <v>313</v>
      </c>
      <c r="Y264" t="s">
        <v>3624</v>
      </c>
      <c r="AA264" t="s">
        <v>132</v>
      </c>
      <c r="AB264" t="s">
        <v>3477</v>
      </c>
      <c r="AC264" s="305">
        <v>36853</v>
      </c>
      <c r="AD264">
        <v>24</v>
      </c>
      <c r="AE264" t="s">
        <v>3625</v>
      </c>
      <c r="AF264" t="s">
        <v>3626</v>
      </c>
      <c r="AG264">
        <v>6285647824003</v>
      </c>
      <c r="AJ264" t="s">
        <v>3627</v>
      </c>
      <c r="AK264" t="s">
        <v>3628</v>
      </c>
      <c r="AL264">
        <v>23138645884</v>
      </c>
      <c r="AM264" t="s">
        <v>4716</v>
      </c>
      <c r="AS264" t="s">
        <v>306</v>
      </c>
      <c r="AT264" t="s">
        <v>306</v>
      </c>
      <c r="AU264" t="s">
        <v>306</v>
      </c>
      <c r="AV264" t="s">
        <v>306</v>
      </c>
      <c r="AW264">
        <v>0</v>
      </c>
      <c r="AX264" t="s">
        <v>5078</v>
      </c>
      <c r="BA264" t="s">
        <v>161</v>
      </c>
      <c r="BB264" t="s">
        <v>70</v>
      </c>
      <c r="BC264" t="s">
        <v>99</v>
      </c>
      <c r="BD264" t="s">
        <v>100</v>
      </c>
      <c r="BE264">
        <v>2022</v>
      </c>
      <c r="BF264" t="s">
        <v>70</v>
      </c>
      <c r="BG264" t="s">
        <v>99</v>
      </c>
      <c r="BH264" t="s">
        <v>100</v>
      </c>
      <c r="BI264">
        <v>2022</v>
      </c>
      <c r="CD264" t="e">
        <v>#N/A</v>
      </c>
    </row>
    <row r="265" spans="1:82" x14ac:dyDescent="0.3">
      <c r="A265">
        <v>295</v>
      </c>
      <c r="B265" t="e">
        <v>#NUM!</v>
      </c>
      <c r="C265" t="s">
        <v>3635</v>
      </c>
      <c r="D265">
        <v>642307121</v>
      </c>
      <c r="F265">
        <v>7249707591</v>
      </c>
      <c r="G265" t="s">
        <v>217</v>
      </c>
      <c r="H265" t="s">
        <v>3636</v>
      </c>
      <c r="I265" s="305">
        <v>45174</v>
      </c>
      <c r="J265">
        <v>1</v>
      </c>
      <c r="K265">
        <v>4</v>
      </c>
      <c r="L265" t="s">
        <v>14</v>
      </c>
      <c r="M265" t="s">
        <v>187</v>
      </c>
      <c r="O265" s="305">
        <v>45539</v>
      </c>
      <c r="Q265" t="s">
        <v>206</v>
      </c>
      <c r="R265" t="s">
        <v>6863</v>
      </c>
      <c r="S265" t="s">
        <v>312</v>
      </c>
      <c r="T265" t="s">
        <v>24</v>
      </c>
      <c r="U265" t="s">
        <v>204</v>
      </c>
      <c r="V265" t="s">
        <v>706</v>
      </c>
      <c r="W265" t="s">
        <v>121</v>
      </c>
      <c r="X265" t="s">
        <v>313</v>
      </c>
      <c r="Y265" t="s">
        <v>462</v>
      </c>
      <c r="AA265" t="s">
        <v>132</v>
      </c>
      <c r="AB265" t="s">
        <v>217</v>
      </c>
      <c r="AC265" s="305">
        <v>36569</v>
      </c>
      <c r="AD265">
        <v>24</v>
      </c>
      <c r="AE265" t="s">
        <v>3637</v>
      </c>
      <c r="AF265" t="s">
        <v>3638</v>
      </c>
      <c r="AG265">
        <v>85784023890</v>
      </c>
      <c r="AJ265" t="s">
        <v>3639</v>
      </c>
      <c r="AK265" t="s">
        <v>3640</v>
      </c>
      <c r="AL265">
        <v>23138647468</v>
      </c>
      <c r="AM265" t="s">
        <v>4716</v>
      </c>
      <c r="AS265" t="s">
        <v>3641</v>
      </c>
      <c r="AT265" t="s">
        <v>3642</v>
      </c>
      <c r="AU265" t="s">
        <v>306</v>
      </c>
      <c r="AV265" t="s">
        <v>306</v>
      </c>
      <c r="AW265">
        <v>0</v>
      </c>
      <c r="AX265" t="s">
        <v>5078</v>
      </c>
      <c r="AY265" t="s">
        <v>3643</v>
      </c>
      <c r="AZ265" t="s">
        <v>3643</v>
      </c>
      <c r="BA265" t="s">
        <v>161</v>
      </c>
      <c r="BB265" t="s">
        <v>70</v>
      </c>
      <c r="BC265" t="s">
        <v>99</v>
      </c>
      <c r="BD265" t="s">
        <v>100</v>
      </c>
      <c r="BE265">
        <v>2021</v>
      </c>
      <c r="BF265" t="s">
        <v>70</v>
      </c>
      <c r="BG265" t="s">
        <v>99</v>
      </c>
      <c r="BH265" t="s">
        <v>100</v>
      </c>
      <c r="BI265">
        <v>2021</v>
      </c>
      <c r="CD265" t="e">
        <v>#N/A</v>
      </c>
    </row>
    <row r="266" spans="1:82" x14ac:dyDescent="0.3">
      <c r="A266">
        <v>296</v>
      </c>
      <c r="B266" t="e">
        <v>#NUM!</v>
      </c>
      <c r="C266" t="s">
        <v>3644</v>
      </c>
      <c r="D266">
        <v>642307133</v>
      </c>
      <c r="E266">
        <v>1330027424019</v>
      </c>
      <c r="G266" t="s">
        <v>24</v>
      </c>
      <c r="H266" t="s">
        <v>25</v>
      </c>
      <c r="I266" s="305">
        <v>45204</v>
      </c>
      <c r="J266">
        <v>1</v>
      </c>
      <c r="K266">
        <v>3</v>
      </c>
      <c r="L266" t="s">
        <v>14</v>
      </c>
      <c r="M266" t="s">
        <v>187</v>
      </c>
      <c r="O266" s="305">
        <v>45657</v>
      </c>
      <c r="Q266" t="s">
        <v>206</v>
      </c>
      <c r="R266" t="s">
        <v>6863</v>
      </c>
      <c r="S266" t="s">
        <v>312</v>
      </c>
      <c r="T266" t="s">
        <v>24</v>
      </c>
      <c r="U266" t="s">
        <v>204</v>
      </c>
      <c r="V266" t="s">
        <v>629</v>
      </c>
      <c r="W266" t="s">
        <v>121</v>
      </c>
      <c r="X266" t="s">
        <v>313</v>
      </c>
      <c r="AA266" t="s">
        <v>132</v>
      </c>
      <c r="AB266" t="s">
        <v>3645</v>
      </c>
      <c r="AC266" s="305">
        <v>37643</v>
      </c>
      <c r="AD266">
        <v>21</v>
      </c>
      <c r="AE266" t="s">
        <v>3646</v>
      </c>
      <c r="AF266" t="s">
        <v>3647</v>
      </c>
      <c r="AG266" t="s">
        <v>3648</v>
      </c>
      <c r="AJ266" t="s">
        <v>3649</v>
      </c>
      <c r="AK266" t="s">
        <v>3650</v>
      </c>
      <c r="AL266">
        <v>23156731251</v>
      </c>
      <c r="AM266" t="s">
        <v>4716</v>
      </c>
      <c r="AS266" t="s">
        <v>306</v>
      </c>
      <c r="AT266" t="s">
        <v>306</v>
      </c>
      <c r="AU266" t="s">
        <v>306</v>
      </c>
      <c r="AV266" t="s">
        <v>306</v>
      </c>
      <c r="AW266">
        <v>0</v>
      </c>
      <c r="AX266" t="s">
        <v>5078</v>
      </c>
      <c r="BA266" t="s">
        <v>161</v>
      </c>
      <c r="BB266" t="s">
        <v>307</v>
      </c>
      <c r="BC266" t="s">
        <v>544</v>
      </c>
      <c r="BD266" t="s">
        <v>3651</v>
      </c>
      <c r="BE266">
        <v>2021</v>
      </c>
      <c r="BF266" t="s">
        <v>307</v>
      </c>
      <c r="BG266" t="s">
        <v>544</v>
      </c>
      <c r="BH266" t="s">
        <v>3652</v>
      </c>
      <c r="BI266">
        <v>2021</v>
      </c>
      <c r="CD266" t="e">
        <v>#N/A</v>
      </c>
    </row>
    <row r="267" spans="1:82" x14ac:dyDescent="0.3">
      <c r="A267">
        <v>297</v>
      </c>
      <c r="B267" t="e">
        <v>#NUM!</v>
      </c>
      <c r="C267" t="s">
        <v>3653</v>
      </c>
      <c r="D267">
        <v>642307132</v>
      </c>
      <c r="E267">
        <v>1670006022403</v>
      </c>
      <c r="G267" t="s">
        <v>24</v>
      </c>
      <c r="H267" t="s">
        <v>2377</v>
      </c>
      <c r="I267" s="305">
        <v>45204</v>
      </c>
      <c r="J267">
        <v>1</v>
      </c>
      <c r="K267">
        <v>3</v>
      </c>
      <c r="L267" t="s">
        <v>14</v>
      </c>
      <c r="M267" t="s">
        <v>187</v>
      </c>
      <c r="O267" s="305">
        <v>45657</v>
      </c>
      <c r="Q267" t="s">
        <v>206</v>
      </c>
      <c r="R267" t="s">
        <v>6863</v>
      </c>
      <c r="S267" t="s">
        <v>312</v>
      </c>
      <c r="T267" t="s">
        <v>24</v>
      </c>
      <c r="U267" t="s">
        <v>204</v>
      </c>
      <c r="V267" t="s">
        <v>629</v>
      </c>
      <c r="W267" t="s">
        <v>121</v>
      </c>
      <c r="X267" t="s">
        <v>313</v>
      </c>
      <c r="AA267" t="s">
        <v>132</v>
      </c>
      <c r="AB267" t="s">
        <v>1795</v>
      </c>
      <c r="AC267" s="305">
        <v>35874</v>
      </c>
      <c r="AD267">
        <v>26</v>
      </c>
      <c r="AE267" t="s">
        <v>3654</v>
      </c>
      <c r="AF267" t="s">
        <v>3655</v>
      </c>
      <c r="AG267" t="s">
        <v>3656</v>
      </c>
      <c r="AJ267" t="s">
        <v>3657</v>
      </c>
      <c r="AK267" t="s">
        <v>3658</v>
      </c>
      <c r="AL267">
        <v>23156731343</v>
      </c>
      <c r="AM267" t="s">
        <v>4716</v>
      </c>
      <c r="AS267" t="s">
        <v>306</v>
      </c>
      <c r="AT267" t="s">
        <v>306</v>
      </c>
      <c r="AU267" t="s">
        <v>306</v>
      </c>
      <c r="AV267" t="s">
        <v>306</v>
      </c>
      <c r="AW267">
        <v>0</v>
      </c>
      <c r="AX267" t="s">
        <v>5078</v>
      </c>
      <c r="BA267" t="s">
        <v>161</v>
      </c>
      <c r="BB267" t="s">
        <v>75</v>
      </c>
      <c r="BC267" t="s">
        <v>3659</v>
      </c>
      <c r="BD267" t="s">
        <v>3660</v>
      </c>
      <c r="BE267">
        <v>2023</v>
      </c>
      <c r="BF267" t="s">
        <v>75</v>
      </c>
      <c r="BG267" t="s">
        <v>3659</v>
      </c>
      <c r="BH267" t="s">
        <v>3660</v>
      </c>
      <c r="BI267">
        <v>2023</v>
      </c>
      <c r="CD267" t="e">
        <v>#N/A</v>
      </c>
    </row>
    <row r="268" spans="1:82" x14ac:dyDescent="0.3">
      <c r="A268">
        <v>298</v>
      </c>
      <c r="B268" t="e">
        <v>#NUM!</v>
      </c>
      <c r="C268" t="s">
        <v>3661</v>
      </c>
      <c r="D268">
        <v>642307126</v>
      </c>
      <c r="F268">
        <v>7219063018</v>
      </c>
      <c r="G268" t="s">
        <v>217</v>
      </c>
      <c r="H268" t="s">
        <v>432</v>
      </c>
      <c r="I268" s="305">
        <v>45204</v>
      </c>
      <c r="J268">
        <v>1</v>
      </c>
      <c r="K268">
        <v>3</v>
      </c>
      <c r="L268" t="s">
        <v>14</v>
      </c>
      <c r="M268" t="s">
        <v>187</v>
      </c>
      <c r="O268" s="305">
        <v>45657</v>
      </c>
      <c r="Q268" t="s">
        <v>206</v>
      </c>
      <c r="R268" t="s">
        <v>6863</v>
      </c>
      <c r="S268" t="s">
        <v>312</v>
      </c>
      <c r="T268" t="s">
        <v>24</v>
      </c>
      <c r="U268" t="s">
        <v>204</v>
      </c>
      <c r="V268" t="s">
        <v>629</v>
      </c>
      <c r="W268" t="s">
        <v>121</v>
      </c>
      <c r="X268" t="s">
        <v>313</v>
      </c>
      <c r="Y268" t="s">
        <v>462</v>
      </c>
      <c r="AA268" t="s">
        <v>132</v>
      </c>
      <c r="AB268" t="s">
        <v>432</v>
      </c>
      <c r="AC268" s="305">
        <v>36280</v>
      </c>
      <c r="AD268">
        <v>25</v>
      </c>
      <c r="AE268" t="s">
        <v>3662</v>
      </c>
      <c r="AF268" t="s">
        <v>3663</v>
      </c>
      <c r="AG268" t="s">
        <v>3664</v>
      </c>
      <c r="AJ268" t="s">
        <v>3665</v>
      </c>
      <c r="AK268" t="s">
        <v>3666</v>
      </c>
      <c r="AL268">
        <v>23156731277</v>
      </c>
      <c r="AM268" t="s">
        <v>4716</v>
      </c>
      <c r="AS268" t="s">
        <v>3667</v>
      </c>
      <c r="AT268" t="s">
        <v>3668</v>
      </c>
      <c r="AU268" t="s">
        <v>306</v>
      </c>
      <c r="AV268" t="s">
        <v>306</v>
      </c>
      <c r="AW268">
        <v>0</v>
      </c>
      <c r="AX268" t="s">
        <v>5078</v>
      </c>
      <c r="AY268" t="s">
        <v>3669</v>
      </c>
      <c r="AZ268" t="s">
        <v>3669</v>
      </c>
      <c r="BA268" t="s">
        <v>161</v>
      </c>
      <c r="BB268" t="s">
        <v>70</v>
      </c>
      <c r="BC268" t="s">
        <v>3475</v>
      </c>
      <c r="BD268" t="s">
        <v>100</v>
      </c>
      <c r="BE268">
        <v>2020</v>
      </c>
      <c r="BF268" t="s">
        <v>70</v>
      </c>
      <c r="BG268" t="s">
        <v>3475</v>
      </c>
      <c r="BH268" t="s">
        <v>100</v>
      </c>
      <c r="BI268">
        <v>2020</v>
      </c>
      <c r="CD268" t="e">
        <v>#N/A</v>
      </c>
    </row>
    <row r="269" spans="1:82" x14ac:dyDescent="0.3">
      <c r="A269">
        <v>299</v>
      </c>
      <c r="B269" t="e">
        <v>#NUM!</v>
      </c>
      <c r="C269" t="s">
        <v>3670</v>
      </c>
      <c r="D269">
        <v>642307134</v>
      </c>
      <c r="E269">
        <v>1290013817925</v>
      </c>
      <c r="G269" t="s">
        <v>24</v>
      </c>
      <c r="H269" t="s">
        <v>3671</v>
      </c>
      <c r="I269" s="305">
        <v>45204</v>
      </c>
      <c r="J269">
        <v>1</v>
      </c>
      <c r="K269">
        <v>3</v>
      </c>
      <c r="L269" t="s">
        <v>14</v>
      </c>
      <c r="M269" t="s">
        <v>187</v>
      </c>
      <c r="O269" s="305">
        <v>45657</v>
      </c>
      <c r="Q269" t="s">
        <v>206</v>
      </c>
      <c r="R269" t="s">
        <v>6863</v>
      </c>
      <c r="S269" t="s">
        <v>312</v>
      </c>
      <c r="T269" t="s">
        <v>24</v>
      </c>
      <c r="U269" t="s">
        <v>204</v>
      </c>
      <c r="V269" t="s">
        <v>629</v>
      </c>
      <c r="W269" t="s">
        <v>121</v>
      </c>
      <c r="X269" t="s">
        <v>313</v>
      </c>
      <c r="AA269" t="s">
        <v>132</v>
      </c>
      <c r="AB269" t="s">
        <v>3671</v>
      </c>
      <c r="AC269" s="305">
        <v>36694</v>
      </c>
      <c r="AD269">
        <v>24</v>
      </c>
      <c r="AE269" t="s">
        <v>3672</v>
      </c>
      <c r="AF269" t="s">
        <v>3673</v>
      </c>
      <c r="AG269" t="s">
        <v>3674</v>
      </c>
      <c r="AJ269" t="s">
        <v>3675</v>
      </c>
      <c r="AK269" t="s">
        <v>3676</v>
      </c>
      <c r="AL269">
        <v>23156731236</v>
      </c>
      <c r="AM269" t="s">
        <v>4716</v>
      </c>
      <c r="AS269" t="s">
        <v>3677</v>
      </c>
      <c r="AT269" t="s">
        <v>3678</v>
      </c>
      <c r="AU269" t="s">
        <v>306</v>
      </c>
      <c r="AV269" t="s">
        <v>306</v>
      </c>
      <c r="AW269">
        <v>0</v>
      </c>
      <c r="AX269" t="s">
        <v>5078</v>
      </c>
      <c r="AY269" t="s">
        <v>3679</v>
      </c>
      <c r="AZ269" t="s">
        <v>3679</v>
      </c>
      <c r="BA269" t="s">
        <v>161</v>
      </c>
      <c r="BB269" t="s">
        <v>75</v>
      </c>
      <c r="BC269" t="s">
        <v>3680</v>
      </c>
      <c r="BD269" t="s">
        <v>3681</v>
      </c>
      <c r="BE269">
        <v>2023</v>
      </c>
      <c r="BF269" t="s">
        <v>75</v>
      </c>
      <c r="BG269" t="s">
        <v>3680</v>
      </c>
      <c r="BH269" t="s">
        <v>3681</v>
      </c>
      <c r="BI269">
        <v>2023</v>
      </c>
      <c r="CD269" t="e">
        <v>#N/A</v>
      </c>
    </row>
    <row r="270" spans="1:82" x14ac:dyDescent="0.3">
      <c r="A270">
        <v>300</v>
      </c>
      <c r="B270" t="e">
        <v>#NUM!</v>
      </c>
      <c r="C270" t="s">
        <v>3682</v>
      </c>
      <c r="D270">
        <v>642307135</v>
      </c>
      <c r="E270">
        <v>1710003411389</v>
      </c>
      <c r="G270" t="s">
        <v>217</v>
      </c>
      <c r="H270" t="s">
        <v>1779</v>
      </c>
      <c r="I270" s="305">
        <v>45204</v>
      </c>
      <c r="J270">
        <v>1</v>
      </c>
      <c r="K270">
        <v>3</v>
      </c>
      <c r="L270" t="s">
        <v>14</v>
      </c>
      <c r="M270" t="s">
        <v>187</v>
      </c>
      <c r="O270" s="305">
        <v>45569</v>
      </c>
      <c r="Q270" t="s">
        <v>206</v>
      </c>
      <c r="R270" t="s">
        <v>6863</v>
      </c>
      <c r="S270" t="s">
        <v>312</v>
      </c>
      <c r="T270" t="s">
        <v>24</v>
      </c>
      <c r="U270" t="s">
        <v>204</v>
      </c>
      <c r="V270" t="s">
        <v>629</v>
      </c>
      <c r="W270" t="s">
        <v>121</v>
      </c>
      <c r="X270" t="s">
        <v>313</v>
      </c>
      <c r="AA270" t="s">
        <v>132</v>
      </c>
      <c r="AB270" t="s">
        <v>1779</v>
      </c>
      <c r="AC270" s="305">
        <v>35846</v>
      </c>
      <c r="AD270">
        <v>26</v>
      </c>
      <c r="AE270" t="s">
        <v>3683</v>
      </c>
      <c r="AF270" t="s">
        <v>3684</v>
      </c>
      <c r="AG270" t="s">
        <v>3685</v>
      </c>
      <c r="AJ270" t="s">
        <v>3686</v>
      </c>
      <c r="AK270" t="s">
        <v>3687</v>
      </c>
      <c r="AL270">
        <v>23156731293</v>
      </c>
      <c r="AM270" t="s">
        <v>4716</v>
      </c>
      <c r="AS270" t="s">
        <v>306</v>
      </c>
      <c r="AT270" t="s">
        <v>306</v>
      </c>
      <c r="AU270" t="s">
        <v>306</v>
      </c>
      <c r="AV270" t="s">
        <v>306</v>
      </c>
      <c r="AW270">
        <v>0</v>
      </c>
      <c r="AX270" t="s">
        <v>5078</v>
      </c>
      <c r="BA270" t="s">
        <v>161</v>
      </c>
      <c r="BB270" t="s">
        <v>349</v>
      </c>
      <c r="BC270" t="s">
        <v>6779</v>
      </c>
      <c r="BD270" t="s">
        <v>3688</v>
      </c>
      <c r="BE270">
        <v>2017</v>
      </c>
      <c r="BF270" t="s">
        <v>349</v>
      </c>
      <c r="BG270" t="s">
        <v>6779</v>
      </c>
      <c r="BH270" t="s">
        <v>3688</v>
      </c>
      <c r="BI270">
        <v>2017</v>
      </c>
      <c r="CD270" t="e">
        <v>#N/A</v>
      </c>
    </row>
    <row r="271" spans="1:82" x14ac:dyDescent="0.3">
      <c r="A271">
        <v>301</v>
      </c>
      <c r="B271" t="e">
        <v>#NUM!</v>
      </c>
      <c r="C271" t="s">
        <v>3689</v>
      </c>
      <c r="D271">
        <v>642307136</v>
      </c>
      <c r="E271">
        <v>1800013074564</v>
      </c>
      <c r="G271" t="s">
        <v>217</v>
      </c>
      <c r="H271" t="s">
        <v>3690</v>
      </c>
      <c r="I271" s="305">
        <v>45204</v>
      </c>
      <c r="J271">
        <v>1</v>
      </c>
      <c r="K271">
        <v>3</v>
      </c>
      <c r="L271" t="s">
        <v>14</v>
      </c>
      <c r="M271" t="s">
        <v>187</v>
      </c>
      <c r="O271" s="305">
        <v>45569</v>
      </c>
      <c r="Q271" t="s">
        <v>206</v>
      </c>
      <c r="R271" t="s">
        <v>6863</v>
      </c>
      <c r="S271" t="s">
        <v>312</v>
      </c>
      <c r="T271" t="s">
        <v>27</v>
      </c>
      <c r="U271" t="s">
        <v>547</v>
      </c>
      <c r="V271" t="s">
        <v>93</v>
      </c>
      <c r="W271" t="s">
        <v>122</v>
      </c>
      <c r="X271" t="s">
        <v>313</v>
      </c>
      <c r="AA271" t="s">
        <v>132</v>
      </c>
      <c r="AB271" t="s">
        <v>867</v>
      </c>
      <c r="AC271" s="305">
        <v>36301</v>
      </c>
      <c r="AD271">
        <v>25</v>
      </c>
      <c r="AE271" t="s">
        <v>3691</v>
      </c>
      <c r="AF271" t="s">
        <v>3692</v>
      </c>
      <c r="AG271" t="s">
        <v>3693</v>
      </c>
      <c r="AJ271" t="s">
        <v>3694</v>
      </c>
      <c r="AK271" t="s">
        <v>3695</v>
      </c>
      <c r="AL271">
        <v>23156731285</v>
      </c>
      <c r="AM271" t="s">
        <v>4716</v>
      </c>
      <c r="AS271" t="s">
        <v>306</v>
      </c>
      <c r="AT271" t="s">
        <v>306</v>
      </c>
      <c r="AU271" t="s">
        <v>306</v>
      </c>
      <c r="AV271" t="s">
        <v>306</v>
      </c>
      <c r="AW271">
        <v>0</v>
      </c>
      <c r="AX271" t="s">
        <v>5078</v>
      </c>
      <c r="BA271" t="s">
        <v>161</v>
      </c>
      <c r="BB271" t="s">
        <v>349</v>
      </c>
      <c r="BC271" t="s">
        <v>91</v>
      </c>
      <c r="BD271" t="s">
        <v>3696</v>
      </c>
      <c r="BF271" t="s">
        <v>349</v>
      </c>
      <c r="BG271" t="s">
        <v>91</v>
      </c>
      <c r="BH271" t="s">
        <v>3696</v>
      </c>
      <c r="CD271" t="e">
        <v>#N/A</v>
      </c>
    </row>
    <row r="272" spans="1:82" x14ac:dyDescent="0.3">
      <c r="A272">
        <v>302</v>
      </c>
      <c r="B272" t="e">
        <v>#NUM!</v>
      </c>
      <c r="C272" t="s">
        <v>3697</v>
      </c>
      <c r="D272">
        <v>642307127</v>
      </c>
      <c r="E272">
        <v>1800013047933</v>
      </c>
      <c r="G272" t="s">
        <v>217</v>
      </c>
      <c r="H272" t="s">
        <v>2687</v>
      </c>
      <c r="I272" s="305">
        <v>45204</v>
      </c>
      <c r="J272">
        <v>1</v>
      </c>
      <c r="K272">
        <v>3</v>
      </c>
      <c r="L272" t="s">
        <v>14</v>
      </c>
      <c r="M272" t="s">
        <v>187</v>
      </c>
      <c r="O272" s="305">
        <v>45657</v>
      </c>
      <c r="Q272" t="s">
        <v>206</v>
      </c>
      <c r="R272" t="s">
        <v>6863</v>
      </c>
      <c r="S272" t="s">
        <v>312</v>
      </c>
      <c r="T272" t="s">
        <v>24</v>
      </c>
      <c r="U272" t="s">
        <v>204</v>
      </c>
      <c r="V272" t="s">
        <v>629</v>
      </c>
      <c r="W272" t="s">
        <v>121</v>
      </c>
      <c r="X272" t="s">
        <v>313</v>
      </c>
      <c r="Y272" t="s">
        <v>462</v>
      </c>
      <c r="AA272" t="s">
        <v>132</v>
      </c>
      <c r="AB272" t="s">
        <v>2687</v>
      </c>
      <c r="AC272" s="305">
        <v>37170</v>
      </c>
      <c r="AD272">
        <v>23</v>
      </c>
      <c r="AE272" t="s">
        <v>3698</v>
      </c>
      <c r="AF272" t="s">
        <v>3699</v>
      </c>
      <c r="AG272" t="s">
        <v>3700</v>
      </c>
      <c r="AJ272" t="s">
        <v>3701</v>
      </c>
      <c r="AK272" t="s">
        <v>3702</v>
      </c>
      <c r="AL272">
        <v>23156731319</v>
      </c>
      <c r="AM272" t="s">
        <v>4716</v>
      </c>
      <c r="AS272" t="s">
        <v>306</v>
      </c>
      <c r="AT272" t="s">
        <v>306</v>
      </c>
      <c r="AU272" t="s">
        <v>306</v>
      </c>
      <c r="AV272" t="s">
        <v>306</v>
      </c>
      <c r="AW272">
        <v>0</v>
      </c>
      <c r="AX272" t="s">
        <v>5078</v>
      </c>
      <c r="BA272" t="s">
        <v>161</v>
      </c>
      <c r="BB272" t="s">
        <v>70</v>
      </c>
      <c r="BC272" t="s">
        <v>99</v>
      </c>
      <c r="BD272" t="s">
        <v>100</v>
      </c>
      <c r="BE272">
        <v>2023</v>
      </c>
      <c r="BF272" t="s">
        <v>70</v>
      </c>
      <c r="BG272" t="s">
        <v>99</v>
      </c>
      <c r="BH272" t="s">
        <v>100</v>
      </c>
      <c r="BI272">
        <v>2023</v>
      </c>
      <c r="CD272" t="e">
        <v>#N/A</v>
      </c>
    </row>
    <row r="273" spans="1:82" x14ac:dyDescent="0.3">
      <c r="A273">
        <v>303</v>
      </c>
      <c r="B273" t="e">
        <v>#NUM!</v>
      </c>
      <c r="C273" t="s">
        <v>3703</v>
      </c>
      <c r="D273">
        <v>642307125</v>
      </c>
      <c r="F273">
        <v>7252451368</v>
      </c>
      <c r="G273" t="s">
        <v>217</v>
      </c>
      <c r="H273" t="s">
        <v>3704</v>
      </c>
      <c r="I273" s="305">
        <v>45204</v>
      </c>
      <c r="J273">
        <v>1</v>
      </c>
      <c r="K273">
        <v>3</v>
      </c>
      <c r="L273" t="s">
        <v>14</v>
      </c>
      <c r="M273" t="s">
        <v>187</v>
      </c>
      <c r="O273" s="305">
        <v>45657</v>
      </c>
      <c r="Q273" t="s">
        <v>206</v>
      </c>
      <c r="R273" t="s">
        <v>6863</v>
      </c>
      <c r="S273" t="s">
        <v>312</v>
      </c>
      <c r="T273" t="s">
        <v>24</v>
      </c>
      <c r="U273" t="s">
        <v>204</v>
      </c>
      <c r="V273" t="s">
        <v>629</v>
      </c>
      <c r="W273" t="s">
        <v>121</v>
      </c>
      <c r="X273" t="s">
        <v>313</v>
      </c>
      <c r="Y273" t="s">
        <v>462</v>
      </c>
      <c r="AA273" t="s">
        <v>132</v>
      </c>
      <c r="AB273" t="s">
        <v>3704</v>
      </c>
      <c r="AC273" s="305">
        <v>35956</v>
      </c>
      <c r="AD273">
        <v>26</v>
      </c>
      <c r="AE273" t="s">
        <v>3705</v>
      </c>
      <c r="AF273" t="s">
        <v>3706</v>
      </c>
      <c r="AG273" t="s">
        <v>3707</v>
      </c>
      <c r="AJ273" t="s">
        <v>3708</v>
      </c>
      <c r="AK273" t="s">
        <v>3709</v>
      </c>
      <c r="AL273">
        <v>23156731335</v>
      </c>
      <c r="AM273" t="s">
        <v>4716</v>
      </c>
      <c r="AS273" t="s">
        <v>306</v>
      </c>
      <c r="AT273" t="s">
        <v>306</v>
      </c>
      <c r="AU273" t="s">
        <v>306</v>
      </c>
      <c r="AV273" t="s">
        <v>306</v>
      </c>
      <c r="AW273">
        <v>0</v>
      </c>
      <c r="AX273" t="s">
        <v>5078</v>
      </c>
      <c r="BA273" t="s">
        <v>161</v>
      </c>
      <c r="BB273" t="s">
        <v>70</v>
      </c>
      <c r="BC273" t="s">
        <v>99</v>
      </c>
      <c r="BD273" t="s">
        <v>100</v>
      </c>
      <c r="BE273">
        <v>2021</v>
      </c>
      <c r="BF273" t="s">
        <v>70</v>
      </c>
      <c r="BG273" t="s">
        <v>99</v>
      </c>
      <c r="BH273" t="s">
        <v>100</v>
      </c>
      <c r="BI273">
        <v>2021</v>
      </c>
      <c r="CD273" t="e">
        <v>#N/A</v>
      </c>
    </row>
    <row r="274" spans="1:82" x14ac:dyDescent="0.3">
      <c r="A274">
        <v>304</v>
      </c>
      <c r="B274" t="e">
        <v>#NUM!</v>
      </c>
      <c r="C274" t="s">
        <v>3710</v>
      </c>
      <c r="D274">
        <v>642307128</v>
      </c>
      <c r="E274">
        <v>1560021516259</v>
      </c>
      <c r="G274" t="s">
        <v>217</v>
      </c>
      <c r="H274" t="s">
        <v>3711</v>
      </c>
      <c r="I274" s="305">
        <v>45204</v>
      </c>
      <c r="J274">
        <v>1</v>
      </c>
      <c r="K274">
        <v>3</v>
      </c>
      <c r="L274" t="s">
        <v>14</v>
      </c>
      <c r="M274" t="s">
        <v>187</v>
      </c>
      <c r="O274" s="305">
        <v>45657</v>
      </c>
      <c r="Q274" t="s">
        <v>206</v>
      </c>
      <c r="R274" t="s">
        <v>6863</v>
      </c>
      <c r="S274" t="s">
        <v>312</v>
      </c>
      <c r="T274" t="s">
        <v>24</v>
      </c>
      <c r="U274" t="s">
        <v>204</v>
      </c>
      <c r="V274" t="s">
        <v>629</v>
      </c>
      <c r="W274" t="s">
        <v>121</v>
      </c>
      <c r="X274" t="s">
        <v>313</v>
      </c>
      <c r="Y274" t="s">
        <v>462</v>
      </c>
      <c r="AA274" t="s">
        <v>132</v>
      </c>
      <c r="AB274" t="s">
        <v>3711</v>
      </c>
      <c r="AC274" s="305">
        <v>37438</v>
      </c>
      <c r="AD274">
        <v>22</v>
      </c>
      <c r="AE274" t="s">
        <v>3712</v>
      </c>
      <c r="AF274" t="s">
        <v>3713</v>
      </c>
      <c r="AG274" t="s">
        <v>3714</v>
      </c>
      <c r="AJ274" t="s">
        <v>3715</v>
      </c>
      <c r="AK274" t="s">
        <v>3716</v>
      </c>
      <c r="AL274">
        <v>23156731269</v>
      </c>
      <c r="AM274" t="s">
        <v>4716</v>
      </c>
      <c r="AS274" t="s">
        <v>306</v>
      </c>
      <c r="AT274" t="s">
        <v>306</v>
      </c>
      <c r="AU274" t="s">
        <v>306</v>
      </c>
      <c r="AV274" t="s">
        <v>306</v>
      </c>
      <c r="AW274">
        <v>0</v>
      </c>
      <c r="AX274" t="s">
        <v>5078</v>
      </c>
      <c r="BA274" t="s">
        <v>161</v>
      </c>
      <c r="BB274" t="s">
        <v>70</v>
      </c>
      <c r="BC274" t="s">
        <v>99</v>
      </c>
      <c r="BD274" t="s">
        <v>100</v>
      </c>
      <c r="BE274">
        <v>2023</v>
      </c>
      <c r="BF274" t="s">
        <v>70</v>
      </c>
      <c r="BG274" t="s">
        <v>99</v>
      </c>
      <c r="BH274" t="s">
        <v>100</v>
      </c>
      <c r="BI274">
        <v>2023</v>
      </c>
      <c r="CD274" t="e">
        <v>#N/A</v>
      </c>
    </row>
    <row r="275" spans="1:82" x14ac:dyDescent="0.3">
      <c r="A275">
        <v>305</v>
      </c>
      <c r="B275" t="e">
        <v>#NUM!</v>
      </c>
      <c r="C275" t="s">
        <v>3717</v>
      </c>
      <c r="D275">
        <v>642307130</v>
      </c>
      <c r="E275">
        <v>1560021505617</v>
      </c>
      <c r="G275" t="s">
        <v>217</v>
      </c>
      <c r="H275" t="s">
        <v>2377</v>
      </c>
      <c r="I275" s="305">
        <v>45204</v>
      </c>
      <c r="J275">
        <v>1</v>
      </c>
      <c r="K275">
        <v>3</v>
      </c>
      <c r="L275" t="s">
        <v>14</v>
      </c>
      <c r="M275" t="s">
        <v>187</v>
      </c>
      <c r="O275" s="305">
        <v>45657</v>
      </c>
      <c r="Q275" t="s">
        <v>206</v>
      </c>
      <c r="R275" t="s">
        <v>6863</v>
      </c>
      <c r="S275" t="s">
        <v>312</v>
      </c>
      <c r="T275" t="s">
        <v>24</v>
      </c>
      <c r="U275" t="s">
        <v>204</v>
      </c>
      <c r="V275" t="s">
        <v>629</v>
      </c>
      <c r="W275" t="s">
        <v>121</v>
      </c>
      <c r="X275" t="s">
        <v>313</v>
      </c>
      <c r="Y275" t="s">
        <v>462</v>
      </c>
      <c r="AA275" t="s">
        <v>132</v>
      </c>
      <c r="AB275" t="s">
        <v>2377</v>
      </c>
      <c r="AC275" s="305">
        <v>37384</v>
      </c>
      <c r="AD275">
        <v>22</v>
      </c>
      <c r="AE275" t="s">
        <v>3718</v>
      </c>
      <c r="AF275" t="s">
        <v>3719</v>
      </c>
      <c r="AG275" t="s">
        <v>3720</v>
      </c>
      <c r="AJ275" t="s">
        <v>3721</v>
      </c>
      <c r="AK275" t="s">
        <v>3722</v>
      </c>
      <c r="AL275">
        <v>23156731301</v>
      </c>
      <c r="AM275" t="s">
        <v>4716</v>
      </c>
      <c r="AS275" t="s">
        <v>306</v>
      </c>
      <c r="AT275" t="s">
        <v>306</v>
      </c>
      <c r="AU275" t="s">
        <v>306</v>
      </c>
      <c r="AV275" t="s">
        <v>306</v>
      </c>
      <c r="AW275">
        <v>0</v>
      </c>
      <c r="AX275" t="s">
        <v>5078</v>
      </c>
      <c r="BA275" t="s">
        <v>161</v>
      </c>
      <c r="BB275" t="s">
        <v>70</v>
      </c>
      <c r="BC275" t="s">
        <v>99</v>
      </c>
      <c r="BD275" t="s">
        <v>100</v>
      </c>
      <c r="BE275">
        <v>2023</v>
      </c>
      <c r="BF275" t="s">
        <v>70</v>
      </c>
      <c r="BG275" t="s">
        <v>99</v>
      </c>
      <c r="BH275" t="s">
        <v>100</v>
      </c>
      <c r="BI275">
        <v>2023</v>
      </c>
      <c r="CD275" t="e">
        <v>#N/A</v>
      </c>
    </row>
    <row r="276" spans="1:82" x14ac:dyDescent="0.3">
      <c r="A276">
        <v>306</v>
      </c>
      <c r="B276" t="e">
        <v>#NUM!</v>
      </c>
      <c r="C276" t="s">
        <v>2727</v>
      </c>
      <c r="D276">
        <v>642311138</v>
      </c>
      <c r="E276">
        <v>1710005602191</v>
      </c>
      <c r="G276" t="s">
        <v>217</v>
      </c>
      <c r="H276" t="s">
        <v>217</v>
      </c>
      <c r="I276" s="305">
        <v>45247</v>
      </c>
      <c r="J276">
        <v>1</v>
      </c>
      <c r="K276">
        <v>2</v>
      </c>
      <c r="L276" t="s">
        <v>14</v>
      </c>
      <c r="M276" t="s">
        <v>187</v>
      </c>
      <c r="O276" s="305">
        <v>45657</v>
      </c>
      <c r="Q276" t="s">
        <v>206</v>
      </c>
      <c r="R276" t="s">
        <v>6863</v>
      </c>
      <c r="S276" t="s">
        <v>312</v>
      </c>
      <c r="T276" t="s">
        <v>31</v>
      </c>
      <c r="U276" t="s">
        <v>204</v>
      </c>
      <c r="V276" t="s">
        <v>639</v>
      </c>
      <c r="W276" t="s">
        <v>122</v>
      </c>
      <c r="X276" t="s">
        <v>313</v>
      </c>
      <c r="AA276" t="s">
        <v>132</v>
      </c>
      <c r="AB276" t="s">
        <v>1511</v>
      </c>
      <c r="AC276" s="305">
        <v>36801</v>
      </c>
      <c r="AD276">
        <v>24</v>
      </c>
      <c r="AE276" t="s">
        <v>3723</v>
      </c>
      <c r="AF276" t="s">
        <v>2720</v>
      </c>
      <c r="AG276" t="s">
        <v>3724</v>
      </c>
      <c r="AJ276" t="s">
        <v>3725</v>
      </c>
      <c r="AK276" t="s">
        <v>3726</v>
      </c>
      <c r="AL276">
        <v>23206738850</v>
      </c>
      <c r="AM276" t="s">
        <v>4716</v>
      </c>
      <c r="AS276" t="s">
        <v>306</v>
      </c>
      <c r="AT276" t="s">
        <v>306</v>
      </c>
      <c r="AU276" t="s">
        <v>306</v>
      </c>
      <c r="AV276" t="s">
        <v>306</v>
      </c>
      <c r="AW276">
        <v>0</v>
      </c>
      <c r="AX276" t="s">
        <v>5078</v>
      </c>
      <c r="BA276" t="s">
        <v>161</v>
      </c>
      <c r="BB276" t="s">
        <v>307</v>
      </c>
      <c r="BC276" t="s">
        <v>544</v>
      </c>
      <c r="BD276" t="s">
        <v>3727</v>
      </c>
      <c r="BE276">
        <v>2019</v>
      </c>
      <c r="BF276" t="s">
        <v>307</v>
      </c>
      <c r="BG276" t="s">
        <v>544</v>
      </c>
      <c r="BH276" t="s">
        <v>3727</v>
      </c>
      <c r="BI276">
        <v>2019</v>
      </c>
    </row>
    <row r="277" spans="1:82" x14ac:dyDescent="0.3">
      <c r="A277">
        <v>307</v>
      </c>
      <c r="B277" t="e">
        <v>#NUM!</v>
      </c>
      <c r="C277" t="s">
        <v>3728</v>
      </c>
      <c r="D277">
        <v>642311137</v>
      </c>
      <c r="E277">
        <v>1460011119570</v>
      </c>
      <c r="G277" t="s">
        <v>217</v>
      </c>
      <c r="H277" t="s">
        <v>217</v>
      </c>
      <c r="I277" s="305">
        <v>45247</v>
      </c>
      <c r="J277">
        <v>1</v>
      </c>
      <c r="K277">
        <v>2</v>
      </c>
      <c r="L277" t="s">
        <v>14</v>
      </c>
      <c r="M277" t="s">
        <v>187</v>
      </c>
      <c r="O277" s="305">
        <v>45657</v>
      </c>
      <c r="Q277" t="s">
        <v>206</v>
      </c>
      <c r="R277" t="s">
        <v>6863</v>
      </c>
      <c r="S277" t="s">
        <v>312</v>
      </c>
      <c r="T277" t="s">
        <v>20</v>
      </c>
      <c r="U277" t="s">
        <v>204</v>
      </c>
      <c r="V277" t="s">
        <v>1278</v>
      </c>
      <c r="W277" t="s">
        <v>122</v>
      </c>
      <c r="X277" t="s">
        <v>313</v>
      </c>
      <c r="AA277" t="s">
        <v>132</v>
      </c>
      <c r="AB277" t="s">
        <v>217</v>
      </c>
      <c r="AC277" s="305">
        <v>36317</v>
      </c>
      <c r="AD277">
        <v>25</v>
      </c>
      <c r="AE277" t="s">
        <v>3729</v>
      </c>
      <c r="AF277" t="s">
        <v>3730</v>
      </c>
      <c r="AG277" t="s">
        <v>3731</v>
      </c>
      <c r="AJ277" t="s">
        <v>3732</v>
      </c>
      <c r="AK277" t="s">
        <v>3733</v>
      </c>
      <c r="AL277">
        <v>23206738843</v>
      </c>
      <c r="AM277" t="s">
        <v>4716</v>
      </c>
      <c r="AS277" t="s">
        <v>306</v>
      </c>
      <c r="AT277" t="s">
        <v>306</v>
      </c>
      <c r="AU277" t="s">
        <v>306</v>
      </c>
      <c r="AV277" t="s">
        <v>306</v>
      </c>
      <c r="AW277">
        <v>0</v>
      </c>
      <c r="AX277" t="s">
        <v>5078</v>
      </c>
      <c r="BA277" t="s">
        <v>161</v>
      </c>
      <c r="BB277" t="s">
        <v>349</v>
      </c>
      <c r="BC277" t="s">
        <v>515</v>
      </c>
      <c r="BD277" t="s">
        <v>516</v>
      </c>
      <c r="BE277">
        <v>2017</v>
      </c>
      <c r="BF277" t="s">
        <v>349</v>
      </c>
      <c r="BG277" t="s">
        <v>515</v>
      </c>
      <c r="BH277" t="s">
        <v>516</v>
      </c>
      <c r="BI277">
        <v>2017</v>
      </c>
    </row>
    <row r="278" spans="1:82" x14ac:dyDescent="0.3">
      <c r="A278">
        <v>308</v>
      </c>
      <c r="B278" t="e">
        <v>#NUM!</v>
      </c>
      <c r="C278" t="s">
        <v>3734</v>
      </c>
      <c r="D278">
        <v>642311139</v>
      </c>
      <c r="E278">
        <v>1710014518933</v>
      </c>
      <c r="G278" t="s">
        <v>217</v>
      </c>
      <c r="H278" t="s">
        <v>217</v>
      </c>
      <c r="I278" s="305">
        <v>45247</v>
      </c>
      <c r="J278">
        <v>1</v>
      </c>
      <c r="K278">
        <v>2</v>
      </c>
      <c r="L278" t="s">
        <v>14</v>
      </c>
      <c r="M278" t="s">
        <v>187</v>
      </c>
      <c r="O278" s="305">
        <v>45657</v>
      </c>
      <c r="Q278" t="s">
        <v>206</v>
      </c>
      <c r="R278" t="s">
        <v>6863</v>
      </c>
      <c r="S278" t="s">
        <v>312</v>
      </c>
      <c r="T278" t="s">
        <v>204</v>
      </c>
      <c r="U278" t="s">
        <v>207</v>
      </c>
      <c r="V278" t="s">
        <v>208</v>
      </c>
      <c r="W278" t="s">
        <v>208</v>
      </c>
      <c r="X278" t="s">
        <v>313</v>
      </c>
      <c r="AA278" t="s">
        <v>132</v>
      </c>
      <c r="AB278" t="s">
        <v>1533</v>
      </c>
      <c r="AC278" s="305">
        <v>35232</v>
      </c>
      <c r="AD278">
        <v>28</v>
      </c>
      <c r="AE278" t="s">
        <v>3735</v>
      </c>
      <c r="AF278" t="s">
        <v>3736</v>
      </c>
      <c r="AG278" t="s">
        <v>3737</v>
      </c>
      <c r="AJ278" t="s">
        <v>3738</v>
      </c>
      <c r="AK278" t="s">
        <v>3739</v>
      </c>
      <c r="AL278">
        <v>23206738868</v>
      </c>
      <c r="AM278" t="s">
        <v>4716</v>
      </c>
      <c r="AS278" t="s">
        <v>306</v>
      </c>
      <c r="AT278" t="s">
        <v>306</v>
      </c>
      <c r="AU278" t="s">
        <v>306</v>
      </c>
      <c r="AV278" t="s">
        <v>306</v>
      </c>
      <c r="AW278">
        <v>0</v>
      </c>
      <c r="AX278" t="s">
        <v>5078</v>
      </c>
      <c r="BA278" t="s">
        <v>164</v>
      </c>
      <c r="BB278" t="s">
        <v>349</v>
      </c>
      <c r="BC278" t="s">
        <v>3740</v>
      </c>
      <c r="BD278" t="s">
        <v>516</v>
      </c>
      <c r="BE278">
        <v>2015</v>
      </c>
      <c r="BF278" t="s">
        <v>349</v>
      </c>
      <c r="BG278" t="s">
        <v>3740</v>
      </c>
      <c r="BH278" t="s">
        <v>516</v>
      </c>
      <c r="BI278">
        <v>2015</v>
      </c>
    </row>
    <row r="279" spans="1:82" x14ac:dyDescent="0.3">
      <c r="A279">
        <v>310</v>
      </c>
      <c r="B279">
        <v>164</v>
      </c>
      <c r="C279" t="s">
        <v>3748</v>
      </c>
      <c r="D279">
        <v>642312150</v>
      </c>
      <c r="E279">
        <v>1660004943932</v>
      </c>
      <c r="G279" t="s">
        <v>24</v>
      </c>
      <c r="H279" t="s">
        <v>24</v>
      </c>
      <c r="I279" s="305">
        <v>45275</v>
      </c>
      <c r="J279">
        <v>1</v>
      </c>
      <c r="K279">
        <v>1</v>
      </c>
      <c r="L279" t="s">
        <v>14</v>
      </c>
      <c r="M279" t="s">
        <v>187</v>
      </c>
      <c r="O279" s="305">
        <v>45838</v>
      </c>
      <c r="Q279" t="s">
        <v>206</v>
      </c>
      <c r="R279" t="s">
        <v>6863</v>
      </c>
      <c r="S279" t="s">
        <v>312</v>
      </c>
      <c r="T279" t="s">
        <v>24</v>
      </c>
      <c r="U279" t="s">
        <v>204</v>
      </c>
      <c r="V279" t="s">
        <v>629</v>
      </c>
      <c r="W279" t="s">
        <v>121</v>
      </c>
      <c r="X279" t="s">
        <v>313</v>
      </c>
      <c r="AA279" t="s">
        <v>132</v>
      </c>
      <c r="AB279" t="s">
        <v>24</v>
      </c>
      <c r="AC279" s="305">
        <v>38350</v>
      </c>
      <c r="AD279">
        <v>20</v>
      </c>
      <c r="AE279" t="s">
        <v>3749</v>
      </c>
      <c r="AF279" t="s">
        <v>3750</v>
      </c>
      <c r="AG279" t="s">
        <v>3751</v>
      </c>
      <c r="AJ279" t="s">
        <v>3752</v>
      </c>
      <c r="AK279" t="s">
        <v>3753</v>
      </c>
      <c r="AL279">
        <v>24009885484</v>
      </c>
      <c r="AM279" t="s">
        <v>4716</v>
      </c>
      <c r="AS279" t="s">
        <v>306</v>
      </c>
      <c r="AT279" t="s">
        <v>306</v>
      </c>
      <c r="AU279" t="s">
        <v>306</v>
      </c>
      <c r="AV279" t="s">
        <v>306</v>
      </c>
      <c r="AW279">
        <v>0</v>
      </c>
      <c r="AX279" t="s">
        <v>5078</v>
      </c>
      <c r="BA279" t="s">
        <v>161</v>
      </c>
      <c r="BB279" t="s">
        <v>349</v>
      </c>
      <c r="BC279" t="s">
        <v>3754</v>
      </c>
      <c r="BD279" t="s">
        <v>3755</v>
      </c>
      <c r="BF279" t="s">
        <v>349</v>
      </c>
      <c r="BG279" t="s">
        <v>3754</v>
      </c>
      <c r="BH279" t="s">
        <v>3755</v>
      </c>
    </row>
    <row r="280" spans="1:82" ht="172.8" x14ac:dyDescent="0.3">
      <c r="A280">
        <v>320</v>
      </c>
      <c r="B280" t="e">
        <v>#NUM!</v>
      </c>
      <c r="C280" t="s">
        <v>3832</v>
      </c>
      <c r="D280">
        <v>642401151</v>
      </c>
      <c r="E280">
        <v>1710014724671</v>
      </c>
      <c r="G280" t="s">
        <v>217</v>
      </c>
      <c r="H280" t="s">
        <v>32</v>
      </c>
      <c r="I280" s="305">
        <v>45292</v>
      </c>
      <c r="J280">
        <v>1</v>
      </c>
      <c r="K280">
        <v>0</v>
      </c>
      <c r="L280" t="s">
        <v>14</v>
      </c>
      <c r="M280" t="s">
        <v>187</v>
      </c>
      <c r="O280" s="305">
        <v>45657</v>
      </c>
      <c r="Q280" t="s">
        <v>206</v>
      </c>
      <c r="R280" t="s">
        <v>6863</v>
      </c>
      <c r="S280" t="s">
        <v>312</v>
      </c>
      <c r="T280" t="s">
        <v>32</v>
      </c>
      <c r="U280" t="s">
        <v>3833</v>
      </c>
      <c r="V280" t="s">
        <v>32</v>
      </c>
      <c r="W280" t="s">
        <v>208</v>
      </c>
      <c r="X280" t="s">
        <v>313</v>
      </c>
      <c r="AA280" t="s">
        <v>132</v>
      </c>
      <c r="AB280" t="s">
        <v>32</v>
      </c>
      <c r="AC280" s="305">
        <v>35091</v>
      </c>
      <c r="AD280">
        <v>28</v>
      </c>
      <c r="AE280" t="s">
        <v>3834</v>
      </c>
      <c r="AF280" s="306" t="s">
        <v>3835</v>
      </c>
      <c r="AG280" t="s">
        <v>3836</v>
      </c>
      <c r="AJ280" t="s">
        <v>3837</v>
      </c>
      <c r="AK280" t="s">
        <v>3838</v>
      </c>
      <c r="AL280">
        <v>22051869927</v>
      </c>
      <c r="AM280" t="s">
        <v>4733</v>
      </c>
      <c r="AN280" t="s">
        <v>3839</v>
      </c>
      <c r="AO280" t="s">
        <v>3840</v>
      </c>
      <c r="AS280" t="s">
        <v>306</v>
      </c>
      <c r="AT280" t="s">
        <v>306</v>
      </c>
      <c r="AU280" t="s">
        <v>306</v>
      </c>
      <c r="AV280" t="s">
        <v>306</v>
      </c>
      <c r="AW280">
        <v>1</v>
      </c>
      <c r="AX280" t="s">
        <v>5637</v>
      </c>
      <c r="BA280" t="s">
        <v>161</v>
      </c>
      <c r="BB280" t="s">
        <v>349</v>
      </c>
      <c r="BC280" t="s">
        <v>527</v>
      </c>
      <c r="BD280" t="s">
        <v>3841</v>
      </c>
      <c r="BE280">
        <v>2014</v>
      </c>
      <c r="BF280" t="s">
        <v>349</v>
      </c>
      <c r="BG280" t="s">
        <v>527</v>
      </c>
      <c r="BH280" t="s">
        <v>3841</v>
      </c>
      <c r="BI280">
        <v>2014</v>
      </c>
    </row>
    <row r="281" spans="1:82" x14ac:dyDescent="0.3">
      <c r="A281">
        <v>321</v>
      </c>
      <c r="B281" t="e">
        <v>#NUM!</v>
      </c>
      <c r="C281" t="s">
        <v>3842</v>
      </c>
      <c r="D281">
        <v>642401152</v>
      </c>
      <c r="E281">
        <v>1710014746898</v>
      </c>
      <c r="G281" t="s">
        <v>217</v>
      </c>
      <c r="H281" t="s">
        <v>315</v>
      </c>
      <c r="I281" s="305">
        <v>45292</v>
      </c>
      <c r="J281">
        <v>1</v>
      </c>
      <c r="K281">
        <v>0</v>
      </c>
      <c r="L281" t="s">
        <v>14</v>
      </c>
      <c r="M281" t="s">
        <v>187</v>
      </c>
      <c r="O281" s="305">
        <v>45657</v>
      </c>
      <c r="Q281" t="s">
        <v>206</v>
      </c>
      <c r="R281" t="s">
        <v>6863</v>
      </c>
      <c r="S281" t="s">
        <v>312</v>
      </c>
      <c r="T281" t="s">
        <v>23</v>
      </c>
      <c r="U281" t="s">
        <v>204</v>
      </c>
      <c r="V281" t="s">
        <v>51</v>
      </c>
      <c r="W281" t="s">
        <v>121</v>
      </c>
      <c r="X281" t="s">
        <v>313</v>
      </c>
      <c r="AA281" t="s">
        <v>132</v>
      </c>
      <c r="AB281" t="s">
        <v>217</v>
      </c>
      <c r="AC281" s="305">
        <v>36560</v>
      </c>
      <c r="AD281">
        <v>24</v>
      </c>
      <c r="AE281" t="s">
        <v>3843</v>
      </c>
      <c r="AF281" t="s">
        <v>3844</v>
      </c>
      <c r="AG281" t="s">
        <v>3845</v>
      </c>
      <c r="AJ281" t="s">
        <v>3846</v>
      </c>
      <c r="AK281" t="s">
        <v>3847</v>
      </c>
      <c r="AL281">
        <v>24009885195</v>
      </c>
      <c r="AM281" t="s">
        <v>4716</v>
      </c>
      <c r="AS281" t="s">
        <v>306</v>
      </c>
      <c r="AT281" t="s">
        <v>306</v>
      </c>
      <c r="AU281" t="s">
        <v>306</v>
      </c>
      <c r="AV281" t="s">
        <v>306</v>
      </c>
      <c r="AW281">
        <v>0</v>
      </c>
      <c r="AX281" t="s">
        <v>5078</v>
      </c>
      <c r="BA281" t="s">
        <v>161</v>
      </c>
      <c r="BB281" t="s">
        <v>70</v>
      </c>
      <c r="BC281" t="s">
        <v>515</v>
      </c>
      <c r="BD281" t="s">
        <v>72</v>
      </c>
      <c r="BE281">
        <v>2021</v>
      </c>
      <c r="BF281" t="s">
        <v>70</v>
      </c>
      <c r="BG281" t="s">
        <v>515</v>
      </c>
      <c r="BH281" t="s">
        <v>72</v>
      </c>
      <c r="BI281">
        <v>2021</v>
      </c>
    </row>
    <row r="282" spans="1:82" x14ac:dyDescent="0.3">
      <c r="A282">
        <v>322</v>
      </c>
      <c r="B282" t="e">
        <v>#NUM!</v>
      </c>
      <c r="C282" t="s">
        <v>3848</v>
      </c>
      <c r="D282">
        <v>642401153</v>
      </c>
      <c r="E282">
        <v>1420020955075</v>
      </c>
      <c r="G282" t="s">
        <v>217</v>
      </c>
      <c r="H282" t="s">
        <v>217</v>
      </c>
      <c r="I282" s="305">
        <v>45292</v>
      </c>
      <c r="J282">
        <v>1</v>
      </c>
      <c r="K282">
        <v>0</v>
      </c>
      <c r="L282" t="s">
        <v>14</v>
      </c>
      <c r="M282" t="s">
        <v>187</v>
      </c>
      <c r="O282" s="305">
        <v>45657</v>
      </c>
      <c r="Q282" t="s">
        <v>206</v>
      </c>
      <c r="R282" t="s">
        <v>6863</v>
      </c>
      <c r="S282" t="s">
        <v>312</v>
      </c>
      <c r="T282" t="s">
        <v>204</v>
      </c>
      <c r="U282" t="s">
        <v>204</v>
      </c>
      <c r="V282" t="s">
        <v>1426</v>
      </c>
      <c r="W282" t="s">
        <v>121</v>
      </c>
      <c r="X282" t="s">
        <v>313</v>
      </c>
      <c r="AA282" t="s">
        <v>132</v>
      </c>
      <c r="AB282" t="s">
        <v>217</v>
      </c>
      <c r="AC282" s="305">
        <v>37509</v>
      </c>
      <c r="AD282">
        <v>22</v>
      </c>
      <c r="AE282" t="s">
        <v>3849</v>
      </c>
      <c r="AF282" t="s">
        <v>3850</v>
      </c>
      <c r="AG282" t="s">
        <v>3851</v>
      </c>
      <c r="AJ282" t="s">
        <v>3852</v>
      </c>
      <c r="AK282" t="s">
        <v>3853</v>
      </c>
      <c r="AL282">
        <v>24009885419</v>
      </c>
      <c r="AM282" t="s">
        <v>4716</v>
      </c>
      <c r="AS282" t="s">
        <v>306</v>
      </c>
      <c r="AT282" t="s">
        <v>306</v>
      </c>
      <c r="AU282" t="s">
        <v>306</v>
      </c>
      <c r="AV282" t="s">
        <v>306</v>
      </c>
      <c r="AW282">
        <v>0</v>
      </c>
      <c r="AX282" t="s">
        <v>5078</v>
      </c>
      <c r="BA282" t="s">
        <v>161</v>
      </c>
      <c r="BB282" t="s">
        <v>349</v>
      </c>
      <c r="BC282" t="s">
        <v>515</v>
      </c>
      <c r="BD282" t="s">
        <v>516</v>
      </c>
      <c r="BE282">
        <v>2021</v>
      </c>
      <c r="BF282" t="s">
        <v>349</v>
      </c>
      <c r="BG282" t="s">
        <v>515</v>
      </c>
      <c r="BH282" t="s">
        <v>516</v>
      </c>
      <c r="BI282">
        <v>2021</v>
      </c>
    </row>
    <row r="283" spans="1:82" x14ac:dyDescent="0.3">
      <c r="A283">
        <v>323</v>
      </c>
      <c r="B283" t="e">
        <v>#NUM!</v>
      </c>
      <c r="C283" t="s">
        <v>3854</v>
      </c>
      <c r="D283">
        <v>642401154</v>
      </c>
      <c r="E283">
        <v>1710014827987</v>
      </c>
      <c r="G283" t="s">
        <v>217</v>
      </c>
      <c r="H283" t="s">
        <v>217</v>
      </c>
      <c r="I283" s="305">
        <v>45292</v>
      </c>
      <c r="J283">
        <v>1</v>
      </c>
      <c r="K283">
        <v>0</v>
      </c>
      <c r="L283" t="s">
        <v>14</v>
      </c>
      <c r="M283" t="s">
        <v>187</v>
      </c>
      <c r="O283" s="305">
        <v>45657</v>
      </c>
      <c r="Q283" t="s">
        <v>206</v>
      </c>
      <c r="R283" t="s">
        <v>6863</v>
      </c>
      <c r="S283" t="s">
        <v>312</v>
      </c>
      <c r="T283" t="s">
        <v>23</v>
      </c>
      <c r="U283" t="s">
        <v>204</v>
      </c>
      <c r="V283" t="s">
        <v>51</v>
      </c>
      <c r="W283" t="s">
        <v>121</v>
      </c>
      <c r="X283" t="s">
        <v>313</v>
      </c>
      <c r="AA283" t="s">
        <v>132</v>
      </c>
      <c r="AB283" t="s">
        <v>217</v>
      </c>
      <c r="AC283" s="305">
        <v>37957</v>
      </c>
      <c r="AD283">
        <v>21</v>
      </c>
      <c r="AE283" t="s">
        <v>3855</v>
      </c>
      <c r="AF283" t="s">
        <v>3856</v>
      </c>
      <c r="AG283" t="s">
        <v>3857</v>
      </c>
      <c r="AJ283" t="s">
        <v>3858</v>
      </c>
      <c r="AK283" t="s">
        <v>3859</v>
      </c>
      <c r="AL283">
        <v>24009885310</v>
      </c>
      <c r="AM283" t="s">
        <v>4716</v>
      </c>
      <c r="AS283" t="s">
        <v>306</v>
      </c>
      <c r="AT283" t="s">
        <v>306</v>
      </c>
      <c r="AU283" t="s">
        <v>306</v>
      </c>
      <c r="AV283" t="s">
        <v>306</v>
      </c>
      <c r="AW283">
        <v>0</v>
      </c>
      <c r="AX283" t="s">
        <v>5078</v>
      </c>
      <c r="BA283" t="s">
        <v>161</v>
      </c>
      <c r="BB283" t="s">
        <v>349</v>
      </c>
      <c r="BC283" t="s">
        <v>91</v>
      </c>
      <c r="BD283" t="s">
        <v>516</v>
      </c>
      <c r="BE283">
        <v>2023</v>
      </c>
      <c r="BF283" t="s">
        <v>349</v>
      </c>
      <c r="BG283" t="s">
        <v>91</v>
      </c>
      <c r="BH283" t="s">
        <v>516</v>
      </c>
      <c r="BI283">
        <v>2023</v>
      </c>
    </row>
    <row r="284" spans="1:82" x14ac:dyDescent="0.3">
      <c r="A284">
        <v>324</v>
      </c>
      <c r="B284" t="e">
        <v>#NUM!</v>
      </c>
      <c r="C284" t="s">
        <v>3860</v>
      </c>
      <c r="D284">
        <v>642401155</v>
      </c>
      <c r="E284">
        <v>1710013892099</v>
      </c>
      <c r="G284" t="s">
        <v>217</v>
      </c>
      <c r="H284" t="s">
        <v>217</v>
      </c>
      <c r="I284" s="305">
        <v>45292</v>
      </c>
      <c r="J284">
        <v>1</v>
      </c>
      <c r="K284">
        <v>0</v>
      </c>
      <c r="L284" t="s">
        <v>14</v>
      </c>
      <c r="M284" t="s">
        <v>187</v>
      </c>
      <c r="O284" s="305">
        <v>45657</v>
      </c>
      <c r="Q284" t="s">
        <v>206</v>
      </c>
      <c r="R284" t="s">
        <v>6863</v>
      </c>
      <c r="S284" t="s">
        <v>312</v>
      </c>
      <c r="T284" t="s">
        <v>204</v>
      </c>
      <c r="U284" t="s">
        <v>204</v>
      </c>
      <c r="V284" t="s">
        <v>1426</v>
      </c>
      <c r="W284" t="s">
        <v>121</v>
      </c>
      <c r="X284" t="s">
        <v>313</v>
      </c>
      <c r="AA284" t="s">
        <v>132</v>
      </c>
      <c r="AB284" t="s">
        <v>217</v>
      </c>
      <c r="AC284" s="305">
        <v>35889</v>
      </c>
      <c r="AD284">
        <v>26</v>
      </c>
      <c r="AE284" t="s">
        <v>3861</v>
      </c>
      <c r="AF284" t="s">
        <v>3862</v>
      </c>
      <c r="AG284" t="s">
        <v>3863</v>
      </c>
      <c r="AJ284" t="s">
        <v>3864</v>
      </c>
      <c r="AK284" t="s">
        <v>3865</v>
      </c>
      <c r="AL284">
        <v>24009885575</v>
      </c>
      <c r="AM284" t="s">
        <v>4716</v>
      </c>
      <c r="AS284" t="s">
        <v>306</v>
      </c>
      <c r="AT284" t="s">
        <v>306</v>
      </c>
      <c r="AU284" t="s">
        <v>306</v>
      </c>
      <c r="AV284" t="s">
        <v>306</v>
      </c>
      <c r="AW284">
        <v>0</v>
      </c>
      <c r="AX284" t="s">
        <v>5078</v>
      </c>
      <c r="BA284" t="s">
        <v>161</v>
      </c>
      <c r="BB284" t="s">
        <v>349</v>
      </c>
      <c r="BC284" t="s">
        <v>1742</v>
      </c>
      <c r="BD284" t="s">
        <v>516</v>
      </c>
      <c r="BE284">
        <v>2016</v>
      </c>
      <c r="BF284" t="s">
        <v>349</v>
      </c>
      <c r="BG284" t="s">
        <v>1742</v>
      </c>
      <c r="BH284" t="s">
        <v>516</v>
      </c>
      <c r="BI284">
        <v>2016</v>
      </c>
    </row>
    <row r="285" spans="1:82" x14ac:dyDescent="0.3">
      <c r="A285">
        <v>325</v>
      </c>
      <c r="B285" t="e">
        <v>#NUM!</v>
      </c>
      <c r="C285" t="s">
        <v>3866</v>
      </c>
      <c r="D285">
        <v>642401156</v>
      </c>
      <c r="E285">
        <v>1710014832128</v>
      </c>
      <c r="G285" t="s">
        <v>217</v>
      </c>
      <c r="H285" t="s">
        <v>217</v>
      </c>
      <c r="I285" s="305">
        <v>45292</v>
      </c>
      <c r="J285">
        <v>1</v>
      </c>
      <c r="K285">
        <v>0</v>
      </c>
      <c r="L285" t="s">
        <v>14</v>
      </c>
      <c r="M285" t="s">
        <v>187</v>
      </c>
      <c r="O285" s="305">
        <v>45657</v>
      </c>
      <c r="Q285" t="s">
        <v>206</v>
      </c>
      <c r="R285" t="s">
        <v>6863</v>
      </c>
      <c r="S285" t="s">
        <v>312</v>
      </c>
      <c r="T285" t="s">
        <v>204</v>
      </c>
      <c r="U285" t="s">
        <v>177</v>
      </c>
      <c r="V285" t="s">
        <v>208</v>
      </c>
      <c r="W285" t="s">
        <v>208</v>
      </c>
      <c r="X285" t="s">
        <v>313</v>
      </c>
      <c r="AA285" t="s">
        <v>132</v>
      </c>
      <c r="AB285" t="s">
        <v>217</v>
      </c>
      <c r="AC285" s="305">
        <v>36877</v>
      </c>
      <c r="AD285">
        <v>24</v>
      </c>
      <c r="AE285" t="s">
        <v>3867</v>
      </c>
      <c r="AF285" t="s">
        <v>3868</v>
      </c>
      <c r="AG285" t="s">
        <v>3869</v>
      </c>
      <c r="AJ285" t="s">
        <v>3870</v>
      </c>
      <c r="AK285" t="s">
        <v>3871</v>
      </c>
      <c r="AL285">
        <v>24009885237</v>
      </c>
      <c r="AM285" t="s">
        <v>4716</v>
      </c>
      <c r="AS285" t="s">
        <v>306</v>
      </c>
      <c r="AT285" t="s">
        <v>306</v>
      </c>
      <c r="AU285" t="s">
        <v>306</v>
      </c>
      <c r="AV285" t="s">
        <v>306</v>
      </c>
      <c r="AW285">
        <v>0</v>
      </c>
      <c r="AX285" t="s">
        <v>5078</v>
      </c>
      <c r="BA285" t="s">
        <v>161</v>
      </c>
      <c r="BB285" t="s">
        <v>70</v>
      </c>
      <c r="BC285" t="s">
        <v>3527</v>
      </c>
      <c r="BD285" t="s">
        <v>100</v>
      </c>
      <c r="BE285">
        <v>2022</v>
      </c>
      <c r="BF285" t="s">
        <v>70</v>
      </c>
      <c r="BG285" t="s">
        <v>3527</v>
      </c>
      <c r="BH285" t="s">
        <v>100</v>
      </c>
      <c r="BI285">
        <v>2022</v>
      </c>
    </row>
    <row r="286" spans="1:82" x14ac:dyDescent="0.3">
      <c r="A286">
        <v>326</v>
      </c>
      <c r="B286" t="e">
        <v>#NUM!</v>
      </c>
      <c r="C286" t="s">
        <v>3872</v>
      </c>
      <c r="D286">
        <v>642401157</v>
      </c>
      <c r="E286">
        <v>1710003196519</v>
      </c>
      <c r="G286" t="s">
        <v>217</v>
      </c>
      <c r="H286" t="s">
        <v>311</v>
      </c>
      <c r="I286" s="305">
        <v>45292</v>
      </c>
      <c r="J286">
        <v>1</v>
      </c>
      <c r="K286">
        <v>0</v>
      </c>
      <c r="L286" t="s">
        <v>14</v>
      </c>
      <c r="M286" t="s">
        <v>187</v>
      </c>
      <c r="O286" s="305">
        <v>45657</v>
      </c>
      <c r="Q286" t="s">
        <v>206</v>
      </c>
      <c r="R286" t="s">
        <v>6863</v>
      </c>
      <c r="S286" t="s">
        <v>312</v>
      </c>
      <c r="T286" t="s">
        <v>204</v>
      </c>
      <c r="U286" t="s">
        <v>204</v>
      </c>
      <c r="V286" t="s">
        <v>1426</v>
      </c>
      <c r="W286" t="s">
        <v>121</v>
      </c>
      <c r="X286" t="s">
        <v>313</v>
      </c>
      <c r="AA286" t="s">
        <v>132</v>
      </c>
      <c r="AB286" t="s">
        <v>311</v>
      </c>
      <c r="AC286" s="305">
        <v>36399</v>
      </c>
      <c r="AD286">
        <v>25</v>
      </c>
      <c r="AE286" t="s">
        <v>3873</v>
      </c>
      <c r="AF286" t="s">
        <v>3874</v>
      </c>
      <c r="AG286" t="s">
        <v>3875</v>
      </c>
      <c r="AJ286" t="s">
        <v>3870</v>
      </c>
      <c r="AK286" t="s">
        <v>3876</v>
      </c>
      <c r="AL286">
        <v>24009885344</v>
      </c>
      <c r="AM286" t="s">
        <v>4716</v>
      </c>
      <c r="AS286" t="s">
        <v>306</v>
      </c>
      <c r="AT286" t="s">
        <v>306</v>
      </c>
      <c r="AU286" t="s">
        <v>306</v>
      </c>
      <c r="AV286" t="s">
        <v>306</v>
      </c>
      <c r="AW286">
        <v>0</v>
      </c>
      <c r="AX286" t="s">
        <v>5078</v>
      </c>
      <c r="BA286" t="s">
        <v>161</v>
      </c>
      <c r="BB286" t="s">
        <v>349</v>
      </c>
      <c r="BC286" t="s">
        <v>91</v>
      </c>
      <c r="BD286" t="s">
        <v>3877</v>
      </c>
      <c r="BE286">
        <v>2017</v>
      </c>
      <c r="BF286" t="s">
        <v>349</v>
      </c>
      <c r="BG286" t="s">
        <v>91</v>
      </c>
      <c r="BH286" t="s">
        <v>3877</v>
      </c>
      <c r="BI286">
        <v>2017</v>
      </c>
    </row>
    <row r="287" spans="1:82" x14ac:dyDescent="0.3">
      <c r="A287">
        <v>327</v>
      </c>
      <c r="B287" t="e">
        <v>#NUM!</v>
      </c>
      <c r="C287" t="s">
        <v>3878</v>
      </c>
      <c r="D287">
        <v>642401158</v>
      </c>
      <c r="E287">
        <v>1710014832144</v>
      </c>
      <c r="G287" t="s">
        <v>217</v>
      </c>
      <c r="H287" t="s">
        <v>217</v>
      </c>
      <c r="I287" s="305">
        <v>45292</v>
      </c>
      <c r="J287">
        <v>1</v>
      </c>
      <c r="K287">
        <v>0</v>
      </c>
      <c r="L287" t="s">
        <v>14</v>
      </c>
      <c r="M287" t="s">
        <v>187</v>
      </c>
      <c r="O287" s="305">
        <v>45657</v>
      </c>
      <c r="Q287" t="s">
        <v>206</v>
      </c>
      <c r="R287" t="s">
        <v>6863</v>
      </c>
      <c r="S287" t="s">
        <v>312</v>
      </c>
      <c r="T287" t="s">
        <v>204</v>
      </c>
      <c r="U287" t="s">
        <v>204</v>
      </c>
      <c r="V287" t="s">
        <v>1426</v>
      </c>
      <c r="W287" t="s">
        <v>121</v>
      </c>
      <c r="X287" t="s">
        <v>313</v>
      </c>
      <c r="AA287" t="s">
        <v>132</v>
      </c>
      <c r="AB287" t="s">
        <v>217</v>
      </c>
      <c r="AC287" s="305">
        <v>37014</v>
      </c>
      <c r="AD287">
        <v>23</v>
      </c>
      <c r="AE287" t="s">
        <v>3879</v>
      </c>
      <c r="AF287" t="s">
        <v>3880</v>
      </c>
      <c r="AG287" t="s">
        <v>3881</v>
      </c>
      <c r="AJ287" t="s">
        <v>3882</v>
      </c>
      <c r="AK287" t="s">
        <v>3883</v>
      </c>
      <c r="AL287">
        <v>24009885559</v>
      </c>
      <c r="AM287" t="s">
        <v>4716</v>
      </c>
      <c r="AS287" t="s">
        <v>306</v>
      </c>
      <c r="AT287" t="s">
        <v>306</v>
      </c>
      <c r="AU287" t="s">
        <v>306</v>
      </c>
      <c r="AV287" t="s">
        <v>306</v>
      </c>
      <c r="AW287">
        <v>0</v>
      </c>
      <c r="AX287" t="s">
        <v>5078</v>
      </c>
      <c r="BA287" t="s">
        <v>161</v>
      </c>
      <c r="BB287" t="s">
        <v>156</v>
      </c>
      <c r="BC287" t="s">
        <v>3884</v>
      </c>
      <c r="BD287" t="s">
        <v>72</v>
      </c>
      <c r="BE287">
        <v>2023</v>
      </c>
      <c r="BF287" t="s">
        <v>156</v>
      </c>
      <c r="BG287" t="s">
        <v>3884</v>
      </c>
      <c r="BH287" t="s">
        <v>72</v>
      </c>
      <c r="BI287">
        <v>2023</v>
      </c>
    </row>
    <row r="288" spans="1:82" x14ac:dyDescent="0.3">
      <c r="A288">
        <v>328</v>
      </c>
      <c r="B288" t="e">
        <v>#NUM!</v>
      </c>
      <c r="C288" t="s">
        <v>3885</v>
      </c>
      <c r="D288">
        <v>642401159</v>
      </c>
      <c r="E288">
        <v>1710014828035</v>
      </c>
      <c r="G288" t="s">
        <v>217</v>
      </c>
      <c r="H288" t="s">
        <v>432</v>
      </c>
      <c r="I288" s="305">
        <v>45292</v>
      </c>
      <c r="J288">
        <v>1</v>
      </c>
      <c r="K288">
        <v>0</v>
      </c>
      <c r="L288" t="s">
        <v>14</v>
      </c>
      <c r="M288" t="s">
        <v>187</v>
      </c>
      <c r="O288" s="305">
        <v>45657</v>
      </c>
      <c r="Q288" t="s">
        <v>206</v>
      </c>
      <c r="R288" t="s">
        <v>6863</v>
      </c>
      <c r="S288" t="s">
        <v>312</v>
      </c>
      <c r="T288" t="s">
        <v>27</v>
      </c>
      <c r="U288" t="s">
        <v>204</v>
      </c>
      <c r="V288" t="s">
        <v>39</v>
      </c>
      <c r="W288" t="s">
        <v>121</v>
      </c>
      <c r="X288" t="s">
        <v>313</v>
      </c>
      <c r="AA288" t="s">
        <v>132</v>
      </c>
      <c r="AB288" t="s">
        <v>432</v>
      </c>
      <c r="AC288" s="305">
        <v>36883</v>
      </c>
      <c r="AD288">
        <v>24</v>
      </c>
      <c r="AE288" t="s">
        <v>3886</v>
      </c>
      <c r="AF288" t="s">
        <v>3887</v>
      </c>
      <c r="AG288" t="s">
        <v>3888</v>
      </c>
      <c r="AJ288" t="s">
        <v>3889</v>
      </c>
      <c r="AK288" t="s">
        <v>3890</v>
      </c>
      <c r="AL288">
        <v>24009885492</v>
      </c>
      <c r="AM288" t="s">
        <v>4716</v>
      </c>
      <c r="AS288" t="s">
        <v>306</v>
      </c>
      <c r="AT288" t="s">
        <v>306</v>
      </c>
      <c r="AU288" t="s">
        <v>306</v>
      </c>
      <c r="AV288" t="s">
        <v>306</v>
      </c>
      <c r="AW288">
        <v>0</v>
      </c>
      <c r="AX288" t="s">
        <v>5078</v>
      </c>
      <c r="BA288" t="s">
        <v>161</v>
      </c>
      <c r="BB288" t="s">
        <v>156</v>
      </c>
      <c r="BC288" t="s">
        <v>3884</v>
      </c>
      <c r="BD288" t="s">
        <v>72</v>
      </c>
      <c r="BE288">
        <v>2022</v>
      </c>
      <c r="BF288" t="s">
        <v>156</v>
      </c>
      <c r="BG288" t="s">
        <v>3884</v>
      </c>
      <c r="BH288" t="s">
        <v>72</v>
      </c>
      <c r="BI288">
        <v>2022</v>
      </c>
    </row>
    <row r="289" spans="1:61" x14ac:dyDescent="0.3">
      <c r="A289">
        <v>329</v>
      </c>
      <c r="B289" t="e">
        <v>#NUM!</v>
      </c>
      <c r="C289" t="s">
        <v>3891</v>
      </c>
      <c r="D289">
        <v>642401160</v>
      </c>
      <c r="F289">
        <v>7261353363</v>
      </c>
      <c r="G289" t="s">
        <v>217</v>
      </c>
      <c r="H289" t="s">
        <v>3892</v>
      </c>
      <c r="I289" s="305">
        <v>45292</v>
      </c>
      <c r="J289">
        <v>1</v>
      </c>
      <c r="K289">
        <v>0</v>
      </c>
      <c r="L289" t="s">
        <v>14</v>
      </c>
      <c r="M289" t="s">
        <v>187</v>
      </c>
      <c r="O289" s="305">
        <v>45657</v>
      </c>
      <c r="Q289" t="s">
        <v>206</v>
      </c>
      <c r="R289" t="s">
        <v>6863</v>
      </c>
      <c r="S289" t="s">
        <v>312</v>
      </c>
      <c r="T289" t="s">
        <v>23</v>
      </c>
      <c r="U289" t="s">
        <v>204</v>
      </c>
      <c r="V289" t="s">
        <v>51</v>
      </c>
      <c r="W289" t="s">
        <v>121</v>
      </c>
      <c r="X289" t="s">
        <v>313</v>
      </c>
      <c r="AA289" t="s">
        <v>132</v>
      </c>
      <c r="AB289" t="s">
        <v>3892</v>
      </c>
      <c r="AC289" s="305">
        <v>36506</v>
      </c>
      <c r="AD289">
        <v>25</v>
      </c>
      <c r="AE289" t="s">
        <v>3893</v>
      </c>
      <c r="AF289" t="s">
        <v>3894</v>
      </c>
      <c r="AG289" t="s">
        <v>3895</v>
      </c>
      <c r="AH289" t="s">
        <v>3896</v>
      </c>
      <c r="AJ289" t="s">
        <v>3897</v>
      </c>
      <c r="AK289" t="s">
        <v>3898</v>
      </c>
      <c r="AL289">
        <v>24009885336</v>
      </c>
      <c r="AM289" t="s">
        <v>4716</v>
      </c>
      <c r="AS289" t="s">
        <v>306</v>
      </c>
      <c r="AT289" t="s">
        <v>306</v>
      </c>
      <c r="AU289" t="s">
        <v>306</v>
      </c>
      <c r="AV289" t="s">
        <v>306</v>
      </c>
      <c r="AW289">
        <v>0</v>
      </c>
      <c r="AX289" t="s">
        <v>5078</v>
      </c>
      <c r="BA289" t="s">
        <v>161</v>
      </c>
      <c r="BB289" t="s">
        <v>349</v>
      </c>
      <c r="BC289" t="s">
        <v>515</v>
      </c>
      <c r="BD289" t="s">
        <v>3899</v>
      </c>
      <c r="BE289">
        <v>2017</v>
      </c>
      <c r="BF289" t="s">
        <v>349</v>
      </c>
      <c r="BG289" t="s">
        <v>515</v>
      </c>
      <c r="BH289" t="s">
        <v>3899</v>
      </c>
      <c r="BI289">
        <v>2017</v>
      </c>
    </row>
    <row r="290" spans="1:61" x14ac:dyDescent="0.3">
      <c r="A290">
        <v>330</v>
      </c>
      <c r="B290" t="e">
        <v>#NUM!</v>
      </c>
      <c r="C290" t="s">
        <v>3900</v>
      </c>
      <c r="D290">
        <v>642401161</v>
      </c>
      <c r="E290">
        <v>1710014827961</v>
      </c>
      <c r="G290" t="s">
        <v>217</v>
      </c>
      <c r="H290" t="s">
        <v>217</v>
      </c>
      <c r="I290" s="305">
        <v>45292</v>
      </c>
      <c r="J290">
        <v>1</v>
      </c>
      <c r="K290">
        <v>0</v>
      </c>
      <c r="L290" t="s">
        <v>14</v>
      </c>
      <c r="M290" t="s">
        <v>187</v>
      </c>
      <c r="O290" s="305">
        <v>45657</v>
      </c>
      <c r="Q290" t="s">
        <v>206</v>
      </c>
      <c r="R290" t="s">
        <v>6863</v>
      </c>
      <c r="S290" t="s">
        <v>312</v>
      </c>
      <c r="T290" t="s">
        <v>23</v>
      </c>
      <c r="U290" t="s">
        <v>204</v>
      </c>
      <c r="V290" t="s">
        <v>51</v>
      </c>
      <c r="W290" t="s">
        <v>121</v>
      </c>
      <c r="X290" t="s">
        <v>313</v>
      </c>
      <c r="AA290" t="s">
        <v>132</v>
      </c>
      <c r="AB290" t="s">
        <v>372</v>
      </c>
      <c r="AC290" s="305">
        <v>37784</v>
      </c>
      <c r="AD290">
        <v>21</v>
      </c>
      <c r="AE290" t="s">
        <v>3901</v>
      </c>
      <c r="AF290" t="s">
        <v>3902</v>
      </c>
      <c r="AG290" t="s">
        <v>3903</v>
      </c>
      <c r="AJ290" t="s">
        <v>3904</v>
      </c>
      <c r="AK290" t="s">
        <v>3905</v>
      </c>
      <c r="AL290">
        <v>24009885468</v>
      </c>
      <c r="AM290" t="s">
        <v>4716</v>
      </c>
      <c r="AS290" t="s">
        <v>306</v>
      </c>
      <c r="AT290" t="s">
        <v>306</v>
      </c>
      <c r="AU290" t="s">
        <v>306</v>
      </c>
      <c r="AV290" t="s">
        <v>306</v>
      </c>
      <c r="AW290">
        <v>0</v>
      </c>
      <c r="AX290" t="s">
        <v>5078</v>
      </c>
      <c r="BA290" t="s">
        <v>161</v>
      </c>
      <c r="BB290" t="s">
        <v>349</v>
      </c>
      <c r="BC290" t="s">
        <v>91</v>
      </c>
      <c r="BD290" t="s">
        <v>775</v>
      </c>
      <c r="BE290">
        <v>2022</v>
      </c>
      <c r="BF290" t="s">
        <v>349</v>
      </c>
      <c r="BG290" t="s">
        <v>91</v>
      </c>
      <c r="BH290" t="s">
        <v>775</v>
      </c>
      <c r="BI290">
        <v>2022</v>
      </c>
    </row>
    <row r="291" spans="1:61" x14ac:dyDescent="0.3">
      <c r="A291">
        <v>331</v>
      </c>
      <c r="B291" t="e">
        <v>#NUM!</v>
      </c>
      <c r="C291" t="s">
        <v>3906</v>
      </c>
      <c r="D291">
        <v>642401162</v>
      </c>
      <c r="E291">
        <v>1710014828001</v>
      </c>
      <c r="G291" t="s">
        <v>217</v>
      </c>
      <c r="H291" t="s">
        <v>217</v>
      </c>
      <c r="I291" s="305">
        <v>45292</v>
      </c>
      <c r="J291">
        <v>1</v>
      </c>
      <c r="K291">
        <v>0</v>
      </c>
      <c r="L291" t="s">
        <v>14</v>
      </c>
      <c r="M291" t="s">
        <v>187</v>
      </c>
      <c r="O291" s="305">
        <v>45657</v>
      </c>
      <c r="Q291" t="s">
        <v>206</v>
      </c>
      <c r="R291" t="s">
        <v>6863</v>
      </c>
      <c r="S291" t="s">
        <v>312</v>
      </c>
      <c r="T291" t="s">
        <v>27</v>
      </c>
      <c r="U291" t="s">
        <v>204</v>
      </c>
      <c r="V291" t="s">
        <v>37</v>
      </c>
      <c r="W291" t="s">
        <v>121</v>
      </c>
      <c r="X291" t="s">
        <v>313</v>
      </c>
      <c r="AA291" t="s">
        <v>132</v>
      </c>
      <c r="AB291" t="s">
        <v>217</v>
      </c>
      <c r="AC291" s="305">
        <v>34187</v>
      </c>
      <c r="AD291">
        <v>31</v>
      </c>
      <c r="AE291" t="s">
        <v>3907</v>
      </c>
      <c r="AF291" t="s">
        <v>3908</v>
      </c>
      <c r="AG291" t="s">
        <v>3909</v>
      </c>
      <c r="AJ291" t="s">
        <v>3910</v>
      </c>
      <c r="AK291" t="s">
        <v>3911</v>
      </c>
      <c r="AL291">
        <v>24009885518</v>
      </c>
      <c r="AM291" t="s">
        <v>4716</v>
      </c>
      <c r="AS291" t="s">
        <v>306</v>
      </c>
      <c r="AT291" t="s">
        <v>306</v>
      </c>
      <c r="AU291" t="s">
        <v>306</v>
      </c>
      <c r="AV291" t="s">
        <v>306</v>
      </c>
      <c r="AW291">
        <v>0</v>
      </c>
      <c r="AX291" t="s">
        <v>5078</v>
      </c>
      <c r="BA291" t="s">
        <v>161</v>
      </c>
      <c r="BB291" t="s">
        <v>349</v>
      </c>
      <c r="BC291" t="s">
        <v>91</v>
      </c>
      <c r="BD291" t="s">
        <v>790</v>
      </c>
      <c r="BE291">
        <v>2011</v>
      </c>
      <c r="BF291" t="s">
        <v>349</v>
      </c>
      <c r="BG291" t="s">
        <v>91</v>
      </c>
      <c r="BH291" t="s">
        <v>790</v>
      </c>
      <c r="BI291">
        <v>2011</v>
      </c>
    </row>
    <row r="292" spans="1:61" x14ac:dyDescent="0.3">
      <c r="A292">
        <v>332</v>
      </c>
      <c r="B292" t="e">
        <v>#NUM!</v>
      </c>
      <c r="C292" t="s">
        <v>3912</v>
      </c>
      <c r="D292">
        <v>642401163</v>
      </c>
      <c r="E292">
        <v>1710014827979</v>
      </c>
      <c r="G292" t="s">
        <v>217</v>
      </c>
      <c r="H292" t="s">
        <v>217</v>
      </c>
      <c r="I292" s="305">
        <v>45292</v>
      </c>
      <c r="J292">
        <v>1</v>
      </c>
      <c r="K292">
        <v>0</v>
      </c>
      <c r="L292" t="s">
        <v>14</v>
      </c>
      <c r="M292" t="s">
        <v>187</v>
      </c>
      <c r="O292" s="305">
        <v>45657</v>
      </c>
      <c r="Q292" t="s">
        <v>206</v>
      </c>
      <c r="R292" t="s">
        <v>6863</v>
      </c>
      <c r="S292" t="s">
        <v>312</v>
      </c>
      <c r="T292" t="s">
        <v>23</v>
      </c>
      <c r="U292" t="s">
        <v>204</v>
      </c>
      <c r="V292" t="s">
        <v>51</v>
      </c>
      <c r="W292" t="s">
        <v>121</v>
      </c>
      <c r="X292" t="s">
        <v>313</v>
      </c>
      <c r="AA292" t="s">
        <v>132</v>
      </c>
      <c r="AB292" t="s">
        <v>217</v>
      </c>
      <c r="AC292" s="305">
        <v>36468</v>
      </c>
      <c r="AD292">
        <v>25</v>
      </c>
      <c r="AE292" t="s">
        <v>3913</v>
      </c>
      <c r="AF292" t="s">
        <v>3914</v>
      </c>
      <c r="AG292" t="s">
        <v>3915</v>
      </c>
      <c r="AJ292" t="s">
        <v>3916</v>
      </c>
      <c r="AK292" t="s">
        <v>3917</v>
      </c>
      <c r="AL292">
        <v>24009885385</v>
      </c>
      <c r="AM292" t="s">
        <v>4716</v>
      </c>
      <c r="AS292" t="s">
        <v>306</v>
      </c>
      <c r="AT292" t="s">
        <v>306</v>
      </c>
      <c r="AU292" t="s">
        <v>306</v>
      </c>
      <c r="AV292" t="s">
        <v>306</v>
      </c>
      <c r="AW292">
        <v>0</v>
      </c>
      <c r="AX292" t="s">
        <v>5078</v>
      </c>
      <c r="BA292" t="s">
        <v>161</v>
      </c>
      <c r="BB292" t="s">
        <v>70</v>
      </c>
      <c r="BC292" t="s">
        <v>4502</v>
      </c>
      <c r="BD292" t="s">
        <v>72</v>
      </c>
      <c r="BE292">
        <v>2021</v>
      </c>
      <c r="BF292" t="s">
        <v>70</v>
      </c>
      <c r="BG292" t="s">
        <v>4502</v>
      </c>
      <c r="BH292" t="s">
        <v>72</v>
      </c>
      <c r="BI292">
        <v>2021</v>
      </c>
    </row>
    <row r="293" spans="1:61" x14ac:dyDescent="0.3">
      <c r="A293">
        <v>333</v>
      </c>
      <c r="B293" t="e">
        <v>#NUM!</v>
      </c>
      <c r="C293" t="s">
        <v>3918</v>
      </c>
      <c r="D293">
        <v>642401164</v>
      </c>
      <c r="E293">
        <v>1710014832094</v>
      </c>
      <c r="G293" t="s">
        <v>217</v>
      </c>
      <c r="H293" t="s">
        <v>315</v>
      </c>
      <c r="I293" s="305">
        <v>45292</v>
      </c>
      <c r="J293">
        <v>1</v>
      </c>
      <c r="K293">
        <v>0</v>
      </c>
      <c r="L293" t="s">
        <v>14</v>
      </c>
      <c r="M293" t="s">
        <v>187</v>
      </c>
      <c r="O293" s="305">
        <v>45657</v>
      </c>
      <c r="Q293" t="s">
        <v>206</v>
      </c>
      <c r="R293" t="s">
        <v>6863</v>
      </c>
      <c r="S293" t="s">
        <v>312</v>
      </c>
      <c r="T293" t="s">
        <v>204</v>
      </c>
      <c r="U293" t="s">
        <v>177</v>
      </c>
      <c r="V293" t="s">
        <v>208</v>
      </c>
      <c r="W293" t="s">
        <v>208</v>
      </c>
      <c r="X293" t="s">
        <v>313</v>
      </c>
      <c r="AA293" t="s">
        <v>132</v>
      </c>
      <c r="AB293" t="s">
        <v>315</v>
      </c>
      <c r="AC293" s="305">
        <v>36728</v>
      </c>
      <c r="AD293">
        <v>24</v>
      </c>
      <c r="AE293" t="s">
        <v>3919</v>
      </c>
      <c r="AF293" t="s">
        <v>3920</v>
      </c>
      <c r="AG293" t="s">
        <v>3921</v>
      </c>
      <c r="AJ293" t="s">
        <v>3922</v>
      </c>
      <c r="AK293" t="s">
        <v>3923</v>
      </c>
      <c r="AL293">
        <v>24009885369</v>
      </c>
      <c r="AM293" t="s">
        <v>4716</v>
      </c>
      <c r="AS293" t="s">
        <v>306</v>
      </c>
      <c r="AT293" t="s">
        <v>306</v>
      </c>
      <c r="AU293" t="s">
        <v>306</v>
      </c>
      <c r="AV293" t="s">
        <v>306</v>
      </c>
      <c r="AW293">
        <v>0</v>
      </c>
      <c r="AX293" t="s">
        <v>5078</v>
      </c>
      <c r="BA293" t="s">
        <v>161</v>
      </c>
      <c r="BB293" t="s">
        <v>349</v>
      </c>
      <c r="BC293" t="s">
        <v>515</v>
      </c>
      <c r="BD293" t="s">
        <v>2931</v>
      </c>
      <c r="BE293">
        <v>2019</v>
      </c>
      <c r="BF293" t="s">
        <v>349</v>
      </c>
      <c r="BG293" t="s">
        <v>515</v>
      </c>
      <c r="BH293" t="s">
        <v>2931</v>
      </c>
      <c r="BI293">
        <v>2019</v>
      </c>
    </row>
    <row r="294" spans="1:61" x14ac:dyDescent="0.3">
      <c r="A294">
        <v>334</v>
      </c>
      <c r="B294" t="e">
        <v>#NUM!</v>
      </c>
      <c r="C294" t="s">
        <v>3924</v>
      </c>
      <c r="D294">
        <v>642401165</v>
      </c>
      <c r="E294">
        <v>1710014832185</v>
      </c>
      <c r="G294" t="s">
        <v>217</v>
      </c>
      <c r="H294" t="s">
        <v>217</v>
      </c>
      <c r="I294" s="305">
        <v>45292</v>
      </c>
      <c r="J294">
        <v>1</v>
      </c>
      <c r="K294">
        <v>0</v>
      </c>
      <c r="L294" t="s">
        <v>14</v>
      </c>
      <c r="M294" t="s">
        <v>187</v>
      </c>
      <c r="O294" s="305">
        <v>45657</v>
      </c>
      <c r="Q294" t="s">
        <v>206</v>
      </c>
      <c r="R294" t="s">
        <v>6863</v>
      </c>
      <c r="S294" t="s">
        <v>312</v>
      </c>
      <c r="T294" t="s">
        <v>31</v>
      </c>
      <c r="U294" t="s">
        <v>204</v>
      </c>
      <c r="V294" t="s">
        <v>40</v>
      </c>
      <c r="W294" t="s">
        <v>121</v>
      </c>
      <c r="X294" t="s">
        <v>313</v>
      </c>
      <c r="AA294" t="s">
        <v>132</v>
      </c>
      <c r="AB294" t="s">
        <v>217</v>
      </c>
      <c r="AC294" s="305">
        <v>34671</v>
      </c>
      <c r="AD294">
        <v>30</v>
      </c>
      <c r="AE294" t="s">
        <v>3925</v>
      </c>
      <c r="AF294" t="s">
        <v>3926</v>
      </c>
      <c r="AG294" t="s">
        <v>3927</v>
      </c>
      <c r="AJ294" t="s">
        <v>3928</v>
      </c>
      <c r="AK294" t="s">
        <v>3929</v>
      </c>
      <c r="AL294">
        <v>24009885393</v>
      </c>
      <c r="AM294" t="s">
        <v>4716</v>
      </c>
      <c r="AS294" t="s">
        <v>306</v>
      </c>
      <c r="AT294" t="s">
        <v>306</v>
      </c>
      <c r="AU294" t="s">
        <v>306</v>
      </c>
      <c r="AV294" t="s">
        <v>306</v>
      </c>
      <c r="AW294">
        <v>0</v>
      </c>
      <c r="AX294" t="s">
        <v>5078</v>
      </c>
      <c r="BA294" t="s">
        <v>161</v>
      </c>
      <c r="BB294" t="s">
        <v>349</v>
      </c>
      <c r="BC294" t="s">
        <v>91</v>
      </c>
      <c r="BD294" t="s">
        <v>790</v>
      </c>
      <c r="BE294">
        <v>2014</v>
      </c>
      <c r="BF294" t="s">
        <v>349</v>
      </c>
      <c r="BG294" t="s">
        <v>91</v>
      </c>
      <c r="BH294" t="s">
        <v>790</v>
      </c>
      <c r="BI294">
        <v>2014</v>
      </c>
    </row>
    <row r="295" spans="1:61" x14ac:dyDescent="0.3">
      <c r="A295">
        <v>335</v>
      </c>
      <c r="B295" t="e">
        <v>#NUM!</v>
      </c>
      <c r="C295" t="s">
        <v>3930</v>
      </c>
      <c r="D295">
        <v>642401166</v>
      </c>
      <c r="E295">
        <v>1710014832177</v>
      </c>
      <c r="G295" t="s">
        <v>217</v>
      </c>
      <c r="H295" t="s">
        <v>217</v>
      </c>
      <c r="I295" s="305">
        <v>45292</v>
      </c>
      <c r="J295">
        <v>1</v>
      </c>
      <c r="K295">
        <v>0</v>
      </c>
      <c r="L295" t="s">
        <v>14</v>
      </c>
      <c r="M295" t="s">
        <v>187</v>
      </c>
      <c r="O295" s="305">
        <v>45657</v>
      </c>
      <c r="Q295" t="s">
        <v>206</v>
      </c>
      <c r="R295" t="s">
        <v>6863</v>
      </c>
      <c r="S295" t="s">
        <v>312</v>
      </c>
      <c r="T295" t="s">
        <v>204</v>
      </c>
      <c r="U295" t="s">
        <v>177</v>
      </c>
      <c r="V295" t="s">
        <v>208</v>
      </c>
      <c r="W295" t="s">
        <v>208</v>
      </c>
      <c r="X295" t="s">
        <v>313</v>
      </c>
      <c r="AA295" t="s">
        <v>132</v>
      </c>
      <c r="AB295" t="s">
        <v>217</v>
      </c>
      <c r="AC295" s="305">
        <v>36954</v>
      </c>
      <c r="AD295">
        <v>23</v>
      </c>
      <c r="AE295" t="s">
        <v>3931</v>
      </c>
      <c r="AF295" t="s">
        <v>3932</v>
      </c>
      <c r="AG295" t="s">
        <v>3933</v>
      </c>
      <c r="AJ295" t="s">
        <v>3934</v>
      </c>
      <c r="AK295" t="s">
        <v>3935</v>
      </c>
      <c r="AL295">
        <v>24009885302</v>
      </c>
      <c r="AM295" t="s">
        <v>4716</v>
      </c>
      <c r="AS295" t="s">
        <v>306</v>
      </c>
      <c r="AT295" t="s">
        <v>306</v>
      </c>
      <c r="AU295" t="s">
        <v>306</v>
      </c>
      <c r="AV295" t="s">
        <v>306</v>
      </c>
      <c r="AW295">
        <v>0</v>
      </c>
      <c r="AX295" t="s">
        <v>5078</v>
      </c>
      <c r="BA295" t="s">
        <v>161</v>
      </c>
      <c r="BB295" t="s">
        <v>349</v>
      </c>
      <c r="BC295" t="s">
        <v>91</v>
      </c>
      <c r="BD295" t="s">
        <v>350</v>
      </c>
      <c r="BE295">
        <v>2021</v>
      </c>
      <c r="BF295" t="s">
        <v>349</v>
      </c>
      <c r="BG295" t="s">
        <v>91</v>
      </c>
      <c r="BH295" t="s">
        <v>350</v>
      </c>
      <c r="BI295">
        <v>2021</v>
      </c>
    </row>
    <row r="296" spans="1:61" x14ac:dyDescent="0.3">
      <c r="A296">
        <v>336</v>
      </c>
      <c r="B296" t="e">
        <v>#NUM!</v>
      </c>
      <c r="C296" t="s">
        <v>3936</v>
      </c>
      <c r="D296">
        <v>642401167</v>
      </c>
      <c r="E296">
        <v>1710014724689</v>
      </c>
      <c r="G296" t="s">
        <v>217</v>
      </c>
      <c r="H296" t="s">
        <v>32</v>
      </c>
      <c r="I296" s="305">
        <v>45292</v>
      </c>
      <c r="J296">
        <v>1</v>
      </c>
      <c r="K296">
        <v>0</v>
      </c>
      <c r="L296" t="s">
        <v>14</v>
      </c>
      <c r="M296" t="s">
        <v>187</v>
      </c>
      <c r="O296" s="305">
        <v>45657</v>
      </c>
      <c r="Q296" t="s">
        <v>206</v>
      </c>
      <c r="R296" t="s">
        <v>6863</v>
      </c>
      <c r="S296" t="s">
        <v>312</v>
      </c>
      <c r="T296" t="s">
        <v>24</v>
      </c>
      <c r="U296" t="s">
        <v>204</v>
      </c>
      <c r="V296" t="s">
        <v>123</v>
      </c>
      <c r="W296" t="s">
        <v>121</v>
      </c>
      <c r="X296" t="s">
        <v>313</v>
      </c>
      <c r="AA296" t="s">
        <v>132</v>
      </c>
      <c r="AB296" t="s">
        <v>32</v>
      </c>
      <c r="AC296" s="305">
        <v>38307</v>
      </c>
      <c r="AD296">
        <v>20</v>
      </c>
      <c r="AE296" t="s">
        <v>3937</v>
      </c>
      <c r="AF296" t="s">
        <v>3938</v>
      </c>
      <c r="AG296" t="s">
        <v>3939</v>
      </c>
      <c r="AJ296" t="s">
        <v>3940</v>
      </c>
      <c r="AK296" t="s">
        <v>3941</v>
      </c>
      <c r="AL296">
        <v>24009885286</v>
      </c>
      <c r="AM296" t="s">
        <v>4716</v>
      </c>
      <c r="AS296" t="s">
        <v>306</v>
      </c>
      <c r="AT296" t="s">
        <v>306</v>
      </c>
      <c r="AU296" t="s">
        <v>306</v>
      </c>
      <c r="AV296" t="s">
        <v>306</v>
      </c>
      <c r="AW296">
        <v>0</v>
      </c>
      <c r="AX296" t="s">
        <v>5078</v>
      </c>
      <c r="BA296" t="s">
        <v>161</v>
      </c>
      <c r="BB296" t="s">
        <v>349</v>
      </c>
      <c r="BC296" t="s">
        <v>4502</v>
      </c>
      <c r="BD296" t="s">
        <v>3841</v>
      </c>
      <c r="BE296">
        <v>2023</v>
      </c>
      <c r="BF296" t="s">
        <v>349</v>
      </c>
      <c r="BG296" t="s">
        <v>4502</v>
      </c>
      <c r="BH296" t="s">
        <v>3841</v>
      </c>
      <c r="BI296">
        <v>2023</v>
      </c>
    </row>
    <row r="297" spans="1:61" x14ac:dyDescent="0.3">
      <c r="A297">
        <v>337</v>
      </c>
      <c r="B297" t="e">
        <v>#NUM!</v>
      </c>
      <c r="C297" t="s">
        <v>3942</v>
      </c>
      <c r="D297">
        <v>642401168</v>
      </c>
      <c r="E297">
        <v>1710014832060</v>
      </c>
      <c r="G297" t="s">
        <v>217</v>
      </c>
      <c r="H297" t="s">
        <v>217</v>
      </c>
      <c r="I297" s="305">
        <v>45292</v>
      </c>
      <c r="J297">
        <v>1</v>
      </c>
      <c r="K297">
        <v>0</v>
      </c>
      <c r="L297" t="s">
        <v>14</v>
      </c>
      <c r="M297" t="s">
        <v>187</v>
      </c>
      <c r="O297" s="305">
        <v>45657</v>
      </c>
      <c r="Q297" t="s">
        <v>206</v>
      </c>
      <c r="R297" t="s">
        <v>6863</v>
      </c>
      <c r="S297" t="s">
        <v>312</v>
      </c>
      <c r="T297" t="s">
        <v>204</v>
      </c>
      <c r="U297" t="s">
        <v>177</v>
      </c>
      <c r="V297" t="s">
        <v>208</v>
      </c>
      <c r="W297" t="s">
        <v>208</v>
      </c>
      <c r="X297" t="s">
        <v>313</v>
      </c>
      <c r="AA297" t="s">
        <v>132</v>
      </c>
      <c r="AB297" t="s">
        <v>217</v>
      </c>
      <c r="AC297" s="305">
        <v>36882</v>
      </c>
      <c r="AD297">
        <v>24</v>
      </c>
      <c r="AE297" t="s">
        <v>3943</v>
      </c>
      <c r="AF297" t="s">
        <v>3944</v>
      </c>
      <c r="AG297" t="s">
        <v>3945</v>
      </c>
      <c r="AJ297" t="s">
        <v>3946</v>
      </c>
      <c r="AK297" t="s">
        <v>3947</v>
      </c>
      <c r="AL297">
        <v>24009885427</v>
      </c>
      <c r="AM297" t="s">
        <v>4716</v>
      </c>
      <c r="AS297" t="s">
        <v>306</v>
      </c>
      <c r="AT297" t="s">
        <v>306</v>
      </c>
      <c r="AU297" t="s">
        <v>306</v>
      </c>
      <c r="AV297" t="s">
        <v>306</v>
      </c>
      <c r="AW297">
        <v>0</v>
      </c>
      <c r="AX297" t="s">
        <v>5078</v>
      </c>
      <c r="BA297" t="s">
        <v>161</v>
      </c>
      <c r="BB297" t="s">
        <v>70</v>
      </c>
      <c r="BC297" t="s">
        <v>3527</v>
      </c>
      <c r="BD297" t="s">
        <v>100</v>
      </c>
      <c r="BE297">
        <v>2022</v>
      </c>
      <c r="BF297" t="s">
        <v>70</v>
      </c>
      <c r="BG297" t="s">
        <v>3527</v>
      </c>
      <c r="BH297" t="s">
        <v>100</v>
      </c>
      <c r="BI297">
        <v>2022</v>
      </c>
    </row>
    <row r="298" spans="1:61" x14ac:dyDescent="0.3">
      <c r="A298">
        <v>338</v>
      </c>
      <c r="B298" t="e">
        <v>#NUM!</v>
      </c>
      <c r="C298" t="s">
        <v>3948</v>
      </c>
      <c r="D298">
        <v>642401169</v>
      </c>
      <c r="E298">
        <v>1710014832086</v>
      </c>
      <c r="G298" t="s">
        <v>217</v>
      </c>
      <c r="H298" t="s">
        <v>217</v>
      </c>
      <c r="I298" s="305">
        <v>45292</v>
      </c>
      <c r="J298">
        <v>1</v>
      </c>
      <c r="K298">
        <v>0</v>
      </c>
      <c r="L298" t="s">
        <v>14</v>
      </c>
      <c r="M298" t="s">
        <v>187</v>
      </c>
      <c r="O298" s="305">
        <v>45657</v>
      </c>
      <c r="Q298" t="s">
        <v>206</v>
      </c>
      <c r="R298" t="s">
        <v>6863</v>
      </c>
      <c r="S298" t="s">
        <v>312</v>
      </c>
      <c r="T298" t="s">
        <v>204</v>
      </c>
      <c r="U298" t="s">
        <v>177</v>
      </c>
      <c r="V298" t="s">
        <v>208</v>
      </c>
      <c r="W298" t="s">
        <v>208</v>
      </c>
      <c r="X298" t="s">
        <v>313</v>
      </c>
      <c r="AA298" t="s">
        <v>132</v>
      </c>
      <c r="AB298" t="s">
        <v>217</v>
      </c>
      <c r="AC298" s="305">
        <v>36279</v>
      </c>
      <c r="AD298">
        <v>25</v>
      </c>
      <c r="AE298" t="s">
        <v>3949</v>
      </c>
      <c r="AF298" t="s">
        <v>3950</v>
      </c>
      <c r="AG298" t="s">
        <v>3951</v>
      </c>
      <c r="AJ298" t="s">
        <v>3952</v>
      </c>
      <c r="AK298" t="s">
        <v>3953</v>
      </c>
      <c r="AL298">
        <v>24009885443</v>
      </c>
      <c r="AM298" t="s">
        <v>4716</v>
      </c>
      <c r="AS298" t="s">
        <v>306</v>
      </c>
      <c r="AT298" t="s">
        <v>306</v>
      </c>
      <c r="AU298" t="s">
        <v>306</v>
      </c>
      <c r="AV298" t="s">
        <v>306</v>
      </c>
      <c r="AW298">
        <v>0</v>
      </c>
      <c r="AX298" t="s">
        <v>5078</v>
      </c>
      <c r="BA298" t="s">
        <v>161</v>
      </c>
      <c r="BB298" t="s">
        <v>349</v>
      </c>
      <c r="BC298" t="s">
        <v>515</v>
      </c>
      <c r="BD298" t="s">
        <v>3954</v>
      </c>
      <c r="BE298">
        <v>2017</v>
      </c>
      <c r="BF298" t="s">
        <v>349</v>
      </c>
      <c r="BG298" t="s">
        <v>515</v>
      </c>
      <c r="BH298" t="s">
        <v>3954</v>
      </c>
      <c r="BI298">
        <v>2017</v>
      </c>
    </row>
    <row r="299" spans="1:61" x14ac:dyDescent="0.3">
      <c r="A299">
        <v>339</v>
      </c>
      <c r="B299" t="e">
        <v>#NUM!</v>
      </c>
      <c r="C299" t="s">
        <v>3955</v>
      </c>
      <c r="D299">
        <v>642401170</v>
      </c>
      <c r="E299">
        <v>1710014832110</v>
      </c>
      <c r="G299" t="s">
        <v>217</v>
      </c>
      <c r="H299" t="s">
        <v>217</v>
      </c>
      <c r="I299" s="305">
        <v>45292</v>
      </c>
      <c r="J299">
        <v>1</v>
      </c>
      <c r="K299">
        <v>0</v>
      </c>
      <c r="L299" t="s">
        <v>14</v>
      </c>
      <c r="M299" t="s">
        <v>187</v>
      </c>
      <c r="O299" s="305">
        <v>45657</v>
      </c>
      <c r="Q299" t="s">
        <v>206</v>
      </c>
      <c r="R299" t="s">
        <v>6863</v>
      </c>
      <c r="S299" t="s">
        <v>312</v>
      </c>
      <c r="T299" t="s">
        <v>204</v>
      </c>
      <c r="U299" t="s">
        <v>177</v>
      </c>
      <c r="V299" t="s">
        <v>208</v>
      </c>
      <c r="W299" t="s">
        <v>208</v>
      </c>
      <c r="X299" t="s">
        <v>313</v>
      </c>
      <c r="AA299" t="s">
        <v>132</v>
      </c>
      <c r="AB299" t="s">
        <v>217</v>
      </c>
      <c r="AC299" s="305">
        <v>37560</v>
      </c>
      <c r="AD299">
        <v>22</v>
      </c>
      <c r="AE299" t="s">
        <v>3956</v>
      </c>
      <c r="AF299" t="s">
        <v>3957</v>
      </c>
      <c r="AG299" t="s">
        <v>3958</v>
      </c>
      <c r="AJ299" t="s">
        <v>3959</v>
      </c>
      <c r="AK299" t="s">
        <v>3960</v>
      </c>
      <c r="AL299">
        <v>24009885534</v>
      </c>
      <c r="AM299" t="s">
        <v>4716</v>
      </c>
      <c r="AS299" t="s">
        <v>306</v>
      </c>
      <c r="AT299" t="s">
        <v>306</v>
      </c>
      <c r="AU299" t="s">
        <v>306</v>
      </c>
      <c r="AV299" t="s">
        <v>306</v>
      </c>
      <c r="AW299">
        <v>0</v>
      </c>
      <c r="AX299" t="s">
        <v>5078</v>
      </c>
      <c r="BA299" t="s">
        <v>161</v>
      </c>
      <c r="BB299" t="s">
        <v>349</v>
      </c>
      <c r="BC299" t="s">
        <v>515</v>
      </c>
      <c r="BD299" t="s">
        <v>3961</v>
      </c>
      <c r="BE299">
        <v>2021</v>
      </c>
      <c r="BF299" t="s">
        <v>349</v>
      </c>
      <c r="BG299" t="s">
        <v>515</v>
      </c>
      <c r="BH299" t="s">
        <v>3961</v>
      </c>
      <c r="BI299">
        <v>2021</v>
      </c>
    </row>
    <row r="300" spans="1:61" x14ac:dyDescent="0.3">
      <c r="A300">
        <v>340</v>
      </c>
      <c r="B300" t="e">
        <v>#NUM!</v>
      </c>
      <c r="C300" t="s">
        <v>3968</v>
      </c>
      <c r="D300">
        <v>642401172</v>
      </c>
      <c r="E300">
        <v>1710014827953</v>
      </c>
      <c r="G300" t="s">
        <v>217</v>
      </c>
      <c r="H300" t="s">
        <v>217</v>
      </c>
      <c r="I300" s="305">
        <v>45292</v>
      </c>
      <c r="J300">
        <v>1</v>
      </c>
      <c r="K300">
        <v>0</v>
      </c>
      <c r="L300" t="s">
        <v>14</v>
      </c>
      <c r="M300" t="s">
        <v>187</v>
      </c>
      <c r="O300" s="305">
        <v>45657</v>
      </c>
      <c r="Q300" t="s">
        <v>206</v>
      </c>
      <c r="R300" t="s">
        <v>6863</v>
      </c>
      <c r="S300" t="s">
        <v>312</v>
      </c>
      <c r="T300" t="s">
        <v>23</v>
      </c>
      <c r="U300" t="s">
        <v>204</v>
      </c>
      <c r="V300" t="s">
        <v>51</v>
      </c>
      <c r="W300" t="s">
        <v>121</v>
      </c>
      <c r="X300" t="s">
        <v>313</v>
      </c>
      <c r="AA300" t="s">
        <v>132</v>
      </c>
      <c r="AB300" t="s">
        <v>217</v>
      </c>
      <c r="AC300" s="305">
        <v>37160</v>
      </c>
      <c r="AD300">
        <v>23</v>
      </c>
      <c r="AE300" t="s">
        <v>3969</v>
      </c>
      <c r="AF300" t="s">
        <v>3970</v>
      </c>
      <c r="AG300" t="s">
        <v>3971</v>
      </c>
      <c r="AJ300" t="s">
        <v>3972</v>
      </c>
      <c r="AK300" t="s">
        <v>3973</v>
      </c>
      <c r="AL300">
        <v>24009885401</v>
      </c>
      <c r="AM300" t="s">
        <v>4716</v>
      </c>
      <c r="AS300" t="s">
        <v>306</v>
      </c>
      <c r="AT300" t="s">
        <v>306</v>
      </c>
      <c r="AU300" t="s">
        <v>306</v>
      </c>
      <c r="AV300" t="s">
        <v>306</v>
      </c>
      <c r="AW300">
        <v>0</v>
      </c>
      <c r="AX300" t="s">
        <v>5078</v>
      </c>
      <c r="BA300" t="s">
        <v>161</v>
      </c>
      <c r="BB300" t="s">
        <v>349</v>
      </c>
      <c r="BC300" t="s">
        <v>91</v>
      </c>
      <c r="BD300" t="s">
        <v>1292</v>
      </c>
      <c r="BE300">
        <v>2019</v>
      </c>
      <c r="BF300" t="s">
        <v>349</v>
      </c>
      <c r="BG300" t="s">
        <v>91</v>
      </c>
      <c r="BH300" t="s">
        <v>1292</v>
      </c>
      <c r="BI300">
        <v>2019</v>
      </c>
    </row>
    <row r="301" spans="1:61" x14ac:dyDescent="0.3">
      <c r="A301">
        <v>341</v>
      </c>
      <c r="B301" t="e">
        <v>#NUM!</v>
      </c>
      <c r="C301" t="s">
        <v>3974</v>
      </c>
      <c r="D301">
        <v>642401173</v>
      </c>
      <c r="E301">
        <v>1710014738275</v>
      </c>
      <c r="G301" t="s">
        <v>217</v>
      </c>
      <c r="H301" t="s">
        <v>311</v>
      </c>
      <c r="I301" s="305">
        <v>45292</v>
      </c>
      <c r="J301">
        <v>1</v>
      </c>
      <c r="K301">
        <v>0</v>
      </c>
      <c r="L301" t="s">
        <v>14</v>
      </c>
      <c r="M301" t="s">
        <v>187</v>
      </c>
      <c r="O301" s="305">
        <v>45657</v>
      </c>
      <c r="Q301" t="s">
        <v>206</v>
      </c>
      <c r="R301" t="s">
        <v>6863</v>
      </c>
      <c r="S301" t="s">
        <v>312</v>
      </c>
      <c r="T301" t="s">
        <v>204</v>
      </c>
      <c r="U301" t="s">
        <v>204</v>
      </c>
      <c r="V301" t="s">
        <v>1426</v>
      </c>
      <c r="W301" t="s">
        <v>121</v>
      </c>
      <c r="X301" t="s">
        <v>313</v>
      </c>
      <c r="AA301" t="s">
        <v>132</v>
      </c>
      <c r="AB301" t="s">
        <v>217</v>
      </c>
      <c r="AC301" s="305">
        <v>36458</v>
      </c>
      <c r="AD301">
        <v>25</v>
      </c>
      <c r="AE301" t="s">
        <v>3975</v>
      </c>
      <c r="AF301" t="s">
        <v>3976</v>
      </c>
      <c r="AG301" t="s">
        <v>3977</v>
      </c>
      <c r="AJ301" t="s">
        <v>3978</v>
      </c>
      <c r="AK301" t="s">
        <v>3979</v>
      </c>
      <c r="AL301">
        <v>24009885526</v>
      </c>
      <c r="AM301" t="s">
        <v>4716</v>
      </c>
      <c r="AS301" t="s">
        <v>306</v>
      </c>
      <c r="AT301" t="s">
        <v>306</v>
      </c>
      <c r="AU301" t="s">
        <v>306</v>
      </c>
      <c r="AV301" t="s">
        <v>306</v>
      </c>
      <c r="AW301">
        <v>0</v>
      </c>
      <c r="AX301" t="s">
        <v>5078</v>
      </c>
      <c r="BA301" t="s">
        <v>161</v>
      </c>
      <c r="BB301" t="s">
        <v>70</v>
      </c>
      <c r="BC301" t="s">
        <v>2834</v>
      </c>
      <c r="BD301" t="s">
        <v>72</v>
      </c>
      <c r="BE301">
        <v>2023</v>
      </c>
      <c r="BF301" t="s">
        <v>70</v>
      </c>
      <c r="BG301" t="s">
        <v>2834</v>
      </c>
      <c r="BH301" t="s">
        <v>72</v>
      </c>
      <c r="BI301">
        <v>2023</v>
      </c>
    </row>
    <row r="302" spans="1:61" x14ac:dyDescent="0.3">
      <c r="A302">
        <v>342</v>
      </c>
      <c r="B302" t="e">
        <v>#NUM!</v>
      </c>
      <c r="C302" t="s">
        <v>3980</v>
      </c>
      <c r="D302">
        <v>642401174</v>
      </c>
      <c r="E302">
        <v>1710000670938</v>
      </c>
      <c r="G302" t="s">
        <v>217</v>
      </c>
      <c r="H302" t="s">
        <v>217</v>
      </c>
      <c r="I302" s="305">
        <v>45292</v>
      </c>
      <c r="J302">
        <v>1</v>
      </c>
      <c r="K302">
        <v>0</v>
      </c>
      <c r="L302" t="s">
        <v>14</v>
      </c>
      <c r="M302" t="s">
        <v>187</v>
      </c>
      <c r="O302" s="305">
        <v>45657</v>
      </c>
      <c r="Q302" t="s">
        <v>206</v>
      </c>
      <c r="R302" t="s">
        <v>6863</v>
      </c>
      <c r="S302" t="s">
        <v>312</v>
      </c>
      <c r="T302" t="s">
        <v>204</v>
      </c>
      <c r="U302" t="s">
        <v>177</v>
      </c>
      <c r="V302" t="s">
        <v>208</v>
      </c>
      <c r="W302" t="s">
        <v>208</v>
      </c>
      <c r="X302" t="s">
        <v>313</v>
      </c>
      <c r="AA302" t="s">
        <v>132</v>
      </c>
      <c r="AB302" t="s">
        <v>217</v>
      </c>
      <c r="AC302" s="305">
        <v>33548</v>
      </c>
      <c r="AD302">
        <v>33</v>
      </c>
      <c r="AE302" t="s">
        <v>3981</v>
      </c>
      <c r="AF302" t="s">
        <v>3982</v>
      </c>
      <c r="AG302" t="s">
        <v>3983</v>
      </c>
      <c r="AJ302" t="s">
        <v>3984</v>
      </c>
      <c r="AK302" t="s">
        <v>3985</v>
      </c>
      <c r="AL302" t="s">
        <v>6822</v>
      </c>
      <c r="AM302" t="s">
        <v>4733</v>
      </c>
      <c r="AS302" t="s">
        <v>306</v>
      </c>
      <c r="AT302" t="s">
        <v>306</v>
      </c>
      <c r="AU302" t="s">
        <v>306</v>
      </c>
      <c r="AV302" t="s">
        <v>306</v>
      </c>
      <c r="AW302">
        <v>0</v>
      </c>
      <c r="AX302" t="s">
        <v>5627</v>
      </c>
      <c r="BA302" t="s">
        <v>161</v>
      </c>
      <c r="BB302" t="s">
        <v>349</v>
      </c>
      <c r="BC302" t="s">
        <v>527</v>
      </c>
      <c r="BD302" t="s">
        <v>516</v>
      </c>
      <c r="BE302">
        <v>2010</v>
      </c>
      <c r="BF302" t="s">
        <v>349</v>
      </c>
      <c r="BG302" t="s">
        <v>527</v>
      </c>
      <c r="BH302" t="s">
        <v>516</v>
      </c>
      <c r="BI302">
        <v>2010</v>
      </c>
    </row>
    <row r="303" spans="1:61" x14ac:dyDescent="0.3">
      <c r="A303">
        <v>343</v>
      </c>
      <c r="B303" t="e">
        <v>#NUM!</v>
      </c>
      <c r="C303" t="s">
        <v>3986</v>
      </c>
      <c r="D303">
        <v>642401177</v>
      </c>
      <c r="E303">
        <v>1710014724697</v>
      </c>
      <c r="G303" t="s">
        <v>217</v>
      </c>
      <c r="H303" t="s">
        <v>32</v>
      </c>
      <c r="I303" s="305">
        <v>45292</v>
      </c>
      <c r="J303">
        <v>1</v>
      </c>
      <c r="K303">
        <v>0</v>
      </c>
      <c r="L303" t="s">
        <v>14</v>
      </c>
      <c r="M303" t="s">
        <v>187</v>
      </c>
      <c r="O303" s="305">
        <v>45657</v>
      </c>
      <c r="Q303" t="s">
        <v>206</v>
      </c>
      <c r="R303" t="s">
        <v>6863</v>
      </c>
      <c r="S303" t="s">
        <v>312</v>
      </c>
      <c r="T303" t="s">
        <v>32</v>
      </c>
      <c r="U303" t="s">
        <v>3833</v>
      </c>
      <c r="V303" t="s">
        <v>32</v>
      </c>
      <c r="W303" t="s">
        <v>208</v>
      </c>
      <c r="X303" t="s">
        <v>313</v>
      </c>
      <c r="AA303" t="s">
        <v>132</v>
      </c>
      <c r="AB303" t="s">
        <v>217</v>
      </c>
      <c r="AC303" s="305">
        <v>37364</v>
      </c>
      <c r="AD303">
        <v>22</v>
      </c>
      <c r="AE303" t="s">
        <v>3987</v>
      </c>
      <c r="AF303" t="s">
        <v>3988</v>
      </c>
      <c r="AG303" t="s">
        <v>3989</v>
      </c>
      <c r="AJ303" t="s">
        <v>3990</v>
      </c>
      <c r="AK303" t="s">
        <v>3991</v>
      </c>
      <c r="AL303">
        <v>23085566612</v>
      </c>
      <c r="AM303" t="s">
        <v>4716</v>
      </c>
      <c r="AS303" t="s">
        <v>306</v>
      </c>
      <c r="AT303" t="s">
        <v>306</v>
      </c>
      <c r="AU303" t="s">
        <v>306</v>
      </c>
      <c r="AV303" t="s">
        <v>306</v>
      </c>
      <c r="AW303">
        <v>0</v>
      </c>
      <c r="AX303" t="s">
        <v>5078</v>
      </c>
      <c r="BA303" t="s">
        <v>161</v>
      </c>
      <c r="BB303" t="s">
        <v>349</v>
      </c>
      <c r="BC303" t="s">
        <v>3992</v>
      </c>
      <c r="BD303" t="s">
        <v>3841</v>
      </c>
      <c r="BE303">
        <v>2021</v>
      </c>
      <c r="BF303" t="s">
        <v>349</v>
      </c>
      <c r="BG303" t="s">
        <v>3992</v>
      </c>
      <c r="BH303" t="s">
        <v>3841</v>
      </c>
      <c r="BI303">
        <v>2021</v>
      </c>
    </row>
    <row r="304" spans="1:61" x14ac:dyDescent="0.3">
      <c r="A304">
        <v>344</v>
      </c>
      <c r="B304" t="e">
        <v>#NUM!</v>
      </c>
      <c r="C304" t="s">
        <v>3993</v>
      </c>
      <c r="D304">
        <v>642401178</v>
      </c>
      <c r="E304">
        <v>1710014729704</v>
      </c>
      <c r="G304" t="s">
        <v>217</v>
      </c>
      <c r="H304" t="s">
        <v>217</v>
      </c>
      <c r="I304" s="305">
        <v>45292</v>
      </c>
      <c r="J304">
        <v>1</v>
      </c>
      <c r="K304">
        <v>0</v>
      </c>
      <c r="L304" t="s">
        <v>14</v>
      </c>
      <c r="M304" t="s">
        <v>187</v>
      </c>
      <c r="O304" s="305">
        <v>45657</v>
      </c>
      <c r="Q304" t="s">
        <v>206</v>
      </c>
      <c r="R304" t="s">
        <v>6863</v>
      </c>
      <c r="S304" t="s">
        <v>312</v>
      </c>
      <c r="T304" t="s">
        <v>204</v>
      </c>
      <c r="U304" t="s">
        <v>177</v>
      </c>
      <c r="V304" t="s">
        <v>208</v>
      </c>
      <c r="W304" t="s">
        <v>208</v>
      </c>
      <c r="X304" t="s">
        <v>313</v>
      </c>
      <c r="AA304" t="s">
        <v>132</v>
      </c>
      <c r="AB304" t="s">
        <v>217</v>
      </c>
      <c r="AC304" s="305">
        <v>36948</v>
      </c>
      <c r="AD304">
        <v>23</v>
      </c>
      <c r="AE304" t="s">
        <v>3994</v>
      </c>
      <c r="AF304" t="s">
        <v>3995</v>
      </c>
      <c r="AJ304" t="s">
        <v>3996</v>
      </c>
      <c r="AK304" t="s">
        <v>3997</v>
      </c>
      <c r="AL304">
        <v>24009885278</v>
      </c>
      <c r="AM304" t="s">
        <v>4716</v>
      </c>
      <c r="AS304" t="s">
        <v>306</v>
      </c>
      <c r="AT304" t="s">
        <v>306</v>
      </c>
      <c r="AU304" t="s">
        <v>306</v>
      </c>
      <c r="AV304" t="s">
        <v>306</v>
      </c>
      <c r="AW304">
        <v>0</v>
      </c>
      <c r="AX304" t="s">
        <v>5078</v>
      </c>
      <c r="BA304" t="s">
        <v>161</v>
      </c>
      <c r="BB304" t="s">
        <v>70</v>
      </c>
      <c r="BC304" t="s">
        <v>3527</v>
      </c>
      <c r="BD304" t="s">
        <v>100</v>
      </c>
      <c r="BE304">
        <v>2022</v>
      </c>
      <c r="BF304" t="s">
        <v>70</v>
      </c>
      <c r="BG304" t="s">
        <v>3527</v>
      </c>
      <c r="BH304" t="s">
        <v>100</v>
      </c>
      <c r="BI304">
        <v>2022</v>
      </c>
    </row>
    <row r="305" spans="1:61" x14ac:dyDescent="0.3">
      <c r="A305">
        <v>345</v>
      </c>
      <c r="B305" t="e">
        <v>#NUM!</v>
      </c>
      <c r="C305" t="s">
        <v>3998</v>
      </c>
      <c r="D305">
        <v>642401180</v>
      </c>
      <c r="E305">
        <v>1710014832169</v>
      </c>
      <c r="G305" t="s">
        <v>217</v>
      </c>
      <c r="H305" t="s">
        <v>695</v>
      </c>
      <c r="I305" s="305">
        <v>45292</v>
      </c>
      <c r="J305">
        <v>1</v>
      </c>
      <c r="K305">
        <v>0</v>
      </c>
      <c r="L305" t="s">
        <v>14</v>
      </c>
      <c r="M305" t="s">
        <v>187</v>
      </c>
      <c r="O305" s="305">
        <v>45657</v>
      </c>
      <c r="Q305" t="s">
        <v>206</v>
      </c>
      <c r="R305" t="s">
        <v>6863</v>
      </c>
      <c r="S305" t="s">
        <v>312</v>
      </c>
      <c r="T305" t="s">
        <v>27</v>
      </c>
      <c r="U305" t="s">
        <v>204</v>
      </c>
      <c r="V305" t="s">
        <v>38</v>
      </c>
      <c r="W305" t="s">
        <v>121</v>
      </c>
      <c r="X305" t="s">
        <v>313</v>
      </c>
      <c r="AA305" t="s">
        <v>132</v>
      </c>
      <c r="AB305" t="s">
        <v>695</v>
      </c>
      <c r="AC305" s="305">
        <v>36775</v>
      </c>
      <c r="AD305">
        <v>24</v>
      </c>
      <c r="AE305" t="s">
        <v>3999</v>
      </c>
      <c r="AF305" t="s">
        <v>4000</v>
      </c>
      <c r="AG305" t="s">
        <v>4001</v>
      </c>
      <c r="AJ305" t="s">
        <v>4002</v>
      </c>
      <c r="AK305" t="s">
        <v>4003</v>
      </c>
      <c r="AL305">
        <v>24009885377</v>
      </c>
      <c r="AM305" t="s">
        <v>4716</v>
      </c>
      <c r="AS305" t="s">
        <v>306</v>
      </c>
      <c r="AT305" t="s">
        <v>306</v>
      </c>
      <c r="AU305" t="s">
        <v>306</v>
      </c>
      <c r="AV305" t="s">
        <v>306</v>
      </c>
      <c r="AW305">
        <v>0</v>
      </c>
      <c r="AX305" t="s">
        <v>5078</v>
      </c>
      <c r="BA305" t="s">
        <v>161</v>
      </c>
      <c r="BB305" t="s">
        <v>156</v>
      </c>
      <c r="BC305" t="s">
        <v>3884</v>
      </c>
      <c r="BD305" t="s">
        <v>72</v>
      </c>
      <c r="BE305">
        <v>2022</v>
      </c>
      <c r="BF305" t="s">
        <v>156</v>
      </c>
      <c r="BG305" t="s">
        <v>3884</v>
      </c>
      <c r="BH305" t="s">
        <v>72</v>
      </c>
      <c r="BI305">
        <v>2022</v>
      </c>
    </row>
    <row r="306" spans="1:61" x14ac:dyDescent="0.3">
      <c r="A306">
        <v>346</v>
      </c>
      <c r="B306" t="e">
        <v>#NUM!</v>
      </c>
      <c r="C306" t="s">
        <v>4004</v>
      </c>
      <c r="D306">
        <v>642401181</v>
      </c>
      <c r="E306">
        <v>1710001954356</v>
      </c>
      <c r="G306" t="s">
        <v>217</v>
      </c>
      <c r="H306" t="s">
        <v>311</v>
      </c>
      <c r="I306" s="305">
        <v>45292</v>
      </c>
      <c r="J306">
        <v>1</v>
      </c>
      <c r="K306">
        <v>0</v>
      </c>
      <c r="L306" t="s">
        <v>14</v>
      </c>
      <c r="M306" t="s">
        <v>187</v>
      </c>
      <c r="O306" s="305">
        <v>45657</v>
      </c>
      <c r="Q306" t="s">
        <v>206</v>
      </c>
      <c r="R306" t="s">
        <v>6863</v>
      </c>
      <c r="S306" t="s">
        <v>312</v>
      </c>
      <c r="T306" t="s">
        <v>27</v>
      </c>
      <c r="U306" t="s">
        <v>204</v>
      </c>
      <c r="V306" t="s">
        <v>39</v>
      </c>
      <c r="W306" t="s">
        <v>121</v>
      </c>
      <c r="X306" t="s">
        <v>313</v>
      </c>
      <c r="AA306" t="s">
        <v>132</v>
      </c>
      <c r="AB306" t="s">
        <v>311</v>
      </c>
      <c r="AC306" s="305">
        <v>35576</v>
      </c>
      <c r="AD306">
        <v>27</v>
      </c>
      <c r="AE306" t="s">
        <v>4005</v>
      </c>
      <c r="AF306" t="s">
        <v>4006</v>
      </c>
      <c r="AG306" t="s">
        <v>4007</v>
      </c>
      <c r="AJ306" t="s">
        <v>4008</v>
      </c>
      <c r="AK306" t="s">
        <v>4009</v>
      </c>
      <c r="AL306">
        <v>16029748601</v>
      </c>
      <c r="AM306" t="s">
        <v>4716</v>
      </c>
      <c r="AS306" t="s">
        <v>306</v>
      </c>
      <c r="AT306" t="s">
        <v>306</v>
      </c>
      <c r="AU306" t="s">
        <v>306</v>
      </c>
      <c r="AV306" t="s">
        <v>306</v>
      </c>
      <c r="AW306">
        <v>0</v>
      </c>
      <c r="AX306" t="s">
        <v>5078</v>
      </c>
      <c r="BA306" t="s">
        <v>161</v>
      </c>
      <c r="BB306" t="s">
        <v>349</v>
      </c>
      <c r="BC306" t="s">
        <v>4010</v>
      </c>
      <c r="BD306" t="s">
        <v>3877</v>
      </c>
      <c r="BE306">
        <v>2016</v>
      </c>
      <c r="BF306" t="s">
        <v>349</v>
      </c>
      <c r="BG306" t="s">
        <v>4010</v>
      </c>
      <c r="BH306" t="s">
        <v>3877</v>
      </c>
      <c r="BI306">
        <v>2016</v>
      </c>
    </row>
    <row r="307" spans="1:61" x14ac:dyDescent="0.3">
      <c r="A307">
        <v>347</v>
      </c>
      <c r="B307" t="e">
        <v>#NUM!</v>
      </c>
      <c r="C307" t="s">
        <v>4011</v>
      </c>
      <c r="D307">
        <v>642401182</v>
      </c>
      <c r="E307">
        <v>1710014828027</v>
      </c>
      <c r="G307" t="s">
        <v>217</v>
      </c>
      <c r="H307" t="s">
        <v>311</v>
      </c>
      <c r="I307" s="305">
        <v>45292</v>
      </c>
      <c r="J307">
        <v>1</v>
      </c>
      <c r="K307">
        <v>0</v>
      </c>
      <c r="L307" t="s">
        <v>14</v>
      </c>
      <c r="M307" t="s">
        <v>187</v>
      </c>
      <c r="O307" s="305">
        <v>45657</v>
      </c>
      <c r="Q307" t="s">
        <v>206</v>
      </c>
      <c r="R307" t="s">
        <v>6863</v>
      </c>
      <c r="S307" t="s">
        <v>312</v>
      </c>
      <c r="T307" t="s">
        <v>204</v>
      </c>
      <c r="U307" t="s">
        <v>204</v>
      </c>
      <c r="V307" t="s">
        <v>1426</v>
      </c>
      <c r="W307" t="s">
        <v>121</v>
      </c>
      <c r="X307" t="s">
        <v>313</v>
      </c>
      <c r="AA307" t="s">
        <v>132</v>
      </c>
      <c r="AB307" t="s">
        <v>311</v>
      </c>
      <c r="AC307" s="305">
        <v>35737</v>
      </c>
      <c r="AD307">
        <v>27</v>
      </c>
      <c r="AE307" t="s">
        <v>4012</v>
      </c>
      <c r="AF307" t="s">
        <v>4013</v>
      </c>
      <c r="AG307" t="s">
        <v>4014</v>
      </c>
      <c r="AJ307" t="s">
        <v>4015</v>
      </c>
      <c r="AK307" t="s">
        <v>4016</v>
      </c>
      <c r="AL307">
        <v>24009885641</v>
      </c>
      <c r="AM307" t="s">
        <v>4716</v>
      </c>
      <c r="AS307" t="s">
        <v>306</v>
      </c>
      <c r="AT307" t="s">
        <v>306</v>
      </c>
      <c r="AU307" t="s">
        <v>306</v>
      </c>
      <c r="AV307" t="s">
        <v>306</v>
      </c>
      <c r="AW307">
        <v>0</v>
      </c>
      <c r="AX307" t="s">
        <v>5078</v>
      </c>
      <c r="BA307" t="s">
        <v>161</v>
      </c>
      <c r="BB307" t="s">
        <v>349</v>
      </c>
      <c r="BC307" t="s">
        <v>4010</v>
      </c>
      <c r="BD307" t="s">
        <v>3877</v>
      </c>
      <c r="BE307">
        <v>2016</v>
      </c>
      <c r="BF307" t="s">
        <v>349</v>
      </c>
      <c r="BG307" t="s">
        <v>4010</v>
      </c>
      <c r="BH307" t="s">
        <v>3877</v>
      </c>
      <c r="BI307">
        <v>2016</v>
      </c>
    </row>
    <row r="308" spans="1:61" x14ac:dyDescent="0.3">
      <c r="A308">
        <v>348</v>
      </c>
      <c r="B308" t="e">
        <v>#NUM!</v>
      </c>
      <c r="C308" t="s">
        <v>4017</v>
      </c>
      <c r="D308">
        <v>642401183</v>
      </c>
      <c r="E308">
        <v>1710014832151</v>
      </c>
      <c r="G308" t="s">
        <v>217</v>
      </c>
      <c r="H308" t="s">
        <v>432</v>
      </c>
      <c r="I308" s="305">
        <v>45292</v>
      </c>
      <c r="J308">
        <v>1</v>
      </c>
      <c r="K308">
        <v>0</v>
      </c>
      <c r="L308" t="s">
        <v>14</v>
      </c>
      <c r="M308" t="s">
        <v>187</v>
      </c>
      <c r="O308" s="305">
        <v>45657</v>
      </c>
      <c r="Q308" t="s">
        <v>206</v>
      </c>
      <c r="R308" t="s">
        <v>6863</v>
      </c>
      <c r="S308" t="s">
        <v>312</v>
      </c>
      <c r="T308" t="s">
        <v>24</v>
      </c>
      <c r="U308" t="s">
        <v>204</v>
      </c>
      <c r="V308" t="s">
        <v>629</v>
      </c>
      <c r="W308" t="s">
        <v>121</v>
      </c>
      <c r="X308" t="s">
        <v>313</v>
      </c>
      <c r="AA308" t="s">
        <v>132</v>
      </c>
      <c r="AB308" t="s">
        <v>432</v>
      </c>
      <c r="AC308" s="305">
        <v>37779</v>
      </c>
      <c r="AD308">
        <v>21</v>
      </c>
      <c r="AE308" t="s">
        <v>4018</v>
      </c>
      <c r="AF308" t="s">
        <v>4019</v>
      </c>
      <c r="AG308" t="s">
        <v>4020</v>
      </c>
      <c r="AJ308" t="s">
        <v>4021</v>
      </c>
      <c r="AK308" t="s">
        <v>4022</v>
      </c>
      <c r="AL308">
        <v>22017315650</v>
      </c>
      <c r="AM308" t="s">
        <v>4716</v>
      </c>
      <c r="AS308" t="s">
        <v>4023</v>
      </c>
      <c r="AT308" t="s">
        <v>4024</v>
      </c>
      <c r="AU308" t="s">
        <v>306</v>
      </c>
      <c r="AV308" t="s">
        <v>306</v>
      </c>
      <c r="AW308">
        <v>0</v>
      </c>
      <c r="AX308" t="s">
        <v>5078</v>
      </c>
      <c r="AY308" t="s">
        <v>4025</v>
      </c>
      <c r="AZ308" t="s">
        <v>4025</v>
      </c>
      <c r="BA308" t="s">
        <v>161</v>
      </c>
      <c r="BB308" t="s">
        <v>349</v>
      </c>
      <c r="BC308" t="s">
        <v>515</v>
      </c>
      <c r="BD308" t="s">
        <v>4026</v>
      </c>
      <c r="BE308">
        <v>2021</v>
      </c>
      <c r="BF308" t="s">
        <v>349</v>
      </c>
      <c r="BG308" t="s">
        <v>515</v>
      </c>
      <c r="BH308" t="s">
        <v>4026</v>
      </c>
      <c r="BI308">
        <v>2021</v>
      </c>
    </row>
    <row r="309" spans="1:61" x14ac:dyDescent="0.3">
      <c r="A309">
        <v>349</v>
      </c>
      <c r="B309" t="e">
        <v>#NUM!</v>
      </c>
      <c r="C309" t="s">
        <v>4027</v>
      </c>
      <c r="D309">
        <v>642401184</v>
      </c>
      <c r="E309">
        <v>1710014730694</v>
      </c>
      <c r="G309" t="s">
        <v>217</v>
      </c>
      <c r="H309" t="s">
        <v>217</v>
      </c>
      <c r="I309" s="305">
        <v>45292</v>
      </c>
      <c r="J309">
        <v>1</v>
      </c>
      <c r="K309">
        <v>0</v>
      </c>
      <c r="L309" t="s">
        <v>14</v>
      </c>
      <c r="M309" t="s">
        <v>187</v>
      </c>
      <c r="O309" s="305">
        <v>45657</v>
      </c>
      <c r="Q309" t="s">
        <v>206</v>
      </c>
      <c r="R309" t="s">
        <v>6863</v>
      </c>
      <c r="S309" t="s">
        <v>312</v>
      </c>
      <c r="T309" t="s">
        <v>204</v>
      </c>
      <c r="U309" t="s">
        <v>204</v>
      </c>
      <c r="V309" t="s">
        <v>1426</v>
      </c>
      <c r="W309" t="s">
        <v>121</v>
      </c>
      <c r="X309" t="s">
        <v>313</v>
      </c>
      <c r="AA309" t="s">
        <v>132</v>
      </c>
      <c r="AB309" t="s">
        <v>217</v>
      </c>
      <c r="AC309" s="305">
        <v>36868</v>
      </c>
      <c r="AD309">
        <v>24</v>
      </c>
      <c r="AE309" t="s">
        <v>4028</v>
      </c>
      <c r="AF309" t="s">
        <v>4029</v>
      </c>
      <c r="AG309" t="s">
        <v>4030</v>
      </c>
      <c r="AJ309" t="s">
        <v>4031</v>
      </c>
      <c r="AK309" t="s">
        <v>4032</v>
      </c>
      <c r="AL309">
        <v>24009885112</v>
      </c>
      <c r="AM309" t="s">
        <v>4716</v>
      </c>
      <c r="AS309" t="s">
        <v>306</v>
      </c>
      <c r="AT309" t="s">
        <v>306</v>
      </c>
      <c r="AU309" t="s">
        <v>306</v>
      </c>
      <c r="AV309" t="s">
        <v>306</v>
      </c>
      <c r="AW309">
        <v>0</v>
      </c>
      <c r="AX309" t="s">
        <v>5078</v>
      </c>
      <c r="BA309" t="s">
        <v>161</v>
      </c>
      <c r="BB309" t="s">
        <v>70</v>
      </c>
      <c r="BC309" t="s">
        <v>2834</v>
      </c>
      <c r="BD309" t="s">
        <v>72</v>
      </c>
      <c r="BE309">
        <v>2022</v>
      </c>
      <c r="BF309" t="s">
        <v>70</v>
      </c>
      <c r="BG309" t="s">
        <v>2834</v>
      </c>
      <c r="BH309" t="s">
        <v>72</v>
      </c>
      <c r="BI309">
        <v>2022</v>
      </c>
    </row>
    <row r="310" spans="1:61" x14ac:dyDescent="0.3">
      <c r="A310">
        <v>350</v>
      </c>
      <c r="B310" t="e">
        <v>#NUM!</v>
      </c>
      <c r="C310" t="s">
        <v>4033</v>
      </c>
      <c r="D310">
        <v>642401185</v>
      </c>
      <c r="E310">
        <v>1710014749769</v>
      </c>
      <c r="G310" t="s">
        <v>217</v>
      </c>
      <c r="H310" t="s">
        <v>311</v>
      </c>
      <c r="I310" s="305">
        <v>45292</v>
      </c>
      <c r="J310">
        <v>1</v>
      </c>
      <c r="K310">
        <v>0</v>
      </c>
      <c r="L310" t="s">
        <v>14</v>
      </c>
      <c r="M310" t="s">
        <v>187</v>
      </c>
      <c r="O310" s="305">
        <v>45657</v>
      </c>
      <c r="Q310" t="s">
        <v>206</v>
      </c>
      <c r="R310" t="s">
        <v>6863</v>
      </c>
      <c r="S310" t="s">
        <v>312</v>
      </c>
      <c r="T310" t="s">
        <v>204</v>
      </c>
      <c r="U310" t="s">
        <v>204</v>
      </c>
      <c r="V310" t="s">
        <v>1426</v>
      </c>
      <c r="W310" t="s">
        <v>121</v>
      </c>
      <c r="X310" t="s">
        <v>313</v>
      </c>
      <c r="AA310" t="s">
        <v>132</v>
      </c>
      <c r="AB310" t="s">
        <v>217</v>
      </c>
      <c r="AC310" s="305">
        <v>37212</v>
      </c>
      <c r="AD310">
        <v>23</v>
      </c>
      <c r="AE310" t="s">
        <v>4034</v>
      </c>
      <c r="AF310" t="s">
        <v>4035</v>
      </c>
      <c r="AG310" t="s">
        <v>4036</v>
      </c>
      <c r="AJ310" t="s">
        <v>4037</v>
      </c>
      <c r="AK310" t="s">
        <v>4038</v>
      </c>
      <c r="AL310">
        <v>24009885591</v>
      </c>
      <c r="AM310" t="s">
        <v>4716</v>
      </c>
      <c r="AS310" t="s">
        <v>306</v>
      </c>
      <c r="AT310" t="s">
        <v>306</v>
      </c>
      <c r="AU310" t="s">
        <v>306</v>
      </c>
      <c r="AV310" t="s">
        <v>306</v>
      </c>
      <c r="AW310">
        <v>0</v>
      </c>
      <c r="AX310" t="s">
        <v>5078</v>
      </c>
      <c r="BA310" t="s">
        <v>161</v>
      </c>
      <c r="BB310" t="s">
        <v>70</v>
      </c>
      <c r="BC310" t="s">
        <v>2834</v>
      </c>
      <c r="BD310" t="s">
        <v>72</v>
      </c>
      <c r="BE310">
        <v>2023</v>
      </c>
      <c r="BF310" t="s">
        <v>70</v>
      </c>
      <c r="BG310" t="s">
        <v>2834</v>
      </c>
      <c r="BH310" t="s">
        <v>72</v>
      </c>
      <c r="BI310">
        <v>2023</v>
      </c>
    </row>
    <row r="311" spans="1:61" x14ac:dyDescent="0.3">
      <c r="A311">
        <v>351</v>
      </c>
      <c r="B311" t="e">
        <v>#NUM!</v>
      </c>
      <c r="C311" t="s">
        <v>4039</v>
      </c>
      <c r="D311">
        <v>642401186</v>
      </c>
      <c r="E311">
        <v>1710014729035</v>
      </c>
      <c r="G311" t="s">
        <v>217</v>
      </c>
      <c r="H311" t="s">
        <v>311</v>
      </c>
      <c r="I311" s="305">
        <v>45292</v>
      </c>
      <c r="J311">
        <v>1</v>
      </c>
      <c r="K311">
        <v>0</v>
      </c>
      <c r="L311" t="s">
        <v>14</v>
      </c>
      <c r="M311" t="s">
        <v>187</v>
      </c>
      <c r="O311" s="305">
        <v>45657</v>
      </c>
      <c r="Q311" t="s">
        <v>206</v>
      </c>
      <c r="R311" t="s">
        <v>6863</v>
      </c>
      <c r="S311" t="s">
        <v>312</v>
      </c>
      <c r="T311" t="s">
        <v>204</v>
      </c>
      <c r="U311" t="s">
        <v>204</v>
      </c>
      <c r="V311" t="s">
        <v>1426</v>
      </c>
      <c r="W311" t="s">
        <v>121</v>
      </c>
      <c r="X311" t="s">
        <v>313</v>
      </c>
      <c r="AA311" t="s">
        <v>132</v>
      </c>
      <c r="AB311" t="s">
        <v>217</v>
      </c>
      <c r="AC311" s="305">
        <v>37421</v>
      </c>
      <c r="AD311">
        <v>22</v>
      </c>
      <c r="AE311" t="s">
        <v>4040</v>
      </c>
      <c r="AF311" t="s">
        <v>4041</v>
      </c>
      <c r="AG311" t="s">
        <v>4042</v>
      </c>
      <c r="AJ311" t="s">
        <v>4043</v>
      </c>
      <c r="AK311" t="s">
        <v>4044</v>
      </c>
      <c r="AL311">
        <v>24009885260</v>
      </c>
      <c r="AM311" t="s">
        <v>4716</v>
      </c>
      <c r="AS311" t="s">
        <v>306</v>
      </c>
      <c r="AT311" t="s">
        <v>306</v>
      </c>
      <c r="AU311" t="s">
        <v>306</v>
      </c>
      <c r="AV311" t="s">
        <v>306</v>
      </c>
      <c r="AW311">
        <v>0</v>
      </c>
      <c r="AX311" t="s">
        <v>5078</v>
      </c>
      <c r="BA311" t="s">
        <v>161</v>
      </c>
      <c r="BB311" t="s">
        <v>70</v>
      </c>
      <c r="BC311" t="s">
        <v>2834</v>
      </c>
      <c r="BD311" t="s">
        <v>72</v>
      </c>
      <c r="BE311">
        <v>2023</v>
      </c>
      <c r="BF311" t="s">
        <v>70</v>
      </c>
      <c r="BG311" t="s">
        <v>2834</v>
      </c>
      <c r="BH311" t="s">
        <v>72</v>
      </c>
      <c r="BI311">
        <v>2023</v>
      </c>
    </row>
    <row r="312" spans="1:61" x14ac:dyDescent="0.3">
      <c r="A312">
        <v>352</v>
      </c>
      <c r="B312" t="e">
        <v>#NUM!</v>
      </c>
      <c r="C312" t="s">
        <v>4045</v>
      </c>
      <c r="D312">
        <v>642401187</v>
      </c>
      <c r="E312">
        <v>1710014828043</v>
      </c>
      <c r="G312" t="s">
        <v>217</v>
      </c>
      <c r="H312" t="s">
        <v>217</v>
      </c>
      <c r="I312" s="305">
        <v>45292</v>
      </c>
      <c r="J312">
        <v>1</v>
      </c>
      <c r="K312">
        <v>0</v>
      </c>
      <c r="L312" t="s">
        <v>14</v>
      </c>
      <c r="M312" t="s">
        <v>187</v>
      </c>
      <c r="O312" s="305">
        <v>45657</v>
      </c>
      <c r="Q312" t="s">
        <v>206</v>
      </c>
      <c r="R312" t="s">
        <v>6863</v>
      </c>
      <c r="S312" t="s">
        <v>312</v>
      </c>
      <c r="T312" t="s">
        <v>33</v>
      </c>
      <c r="U312" t="s">
        <v>204</v>
      </c>
      <c r="V312" t="s">
        <v>38</v>
      </c>
      <c r="W312" t="s">
        <v>121</v>
      </c>
      <c r="X312" t="s">
        <v>313</v>
      </c>
      <c r="AA312" t="s">
        <v>132</v>
      </c>
      <c r="AB312" t="s">
        <v>217</v>
      </c>
      <c r="AC312" s="305">
        <v>36063</v>
      </c>
      <c r="AD312">
        <v>26</v>
      </c>
      <c r="AE312" t="s">
        <v>4046</v>
      </c>
      <c r="AF312" t="s">
        <v>4047</v>
      </c>
      <c r="AG312" t="s">
        <v>4048</v>
      </c>
      <c r="AJ312" t="s">
        <v>4049</v>
      </c>
      <c r="AK312" t="s">
        <v>4050</v>
      </c>
      <c r="AL312">
        <v>24009885229</v>
      </c>
      <c r="AM312" t="s">
        <v>4716</v>
      </c>
      <c r="AS312" t="s">
        <v>306</v>
      </c>
      <c r="AT312" t="s">
        <v>306</v>
      </c>
      <c r="AU312" t="s">
        <v>306</v>
      </c>
      <c r="AV312" t="s">
        <v>306</v>
      </c>
      <c r="AW312">
        <v>0</v>
      </c>
      <c r="AX312" t="s">
        <v>5078</v>
      </c>
      <c r="BA312" t="s">
        <v>161</v>
      </c>
      <c r="BB312" t="s">
        <v>75</v>
      </c>
      <c r="BC312" t="s">
        <v>91</v>
      </c>
      <c r="BD312" t="s">
        <v>92</v>
      </c>
      <c r="BE312">
        <v>2022</v>
      </c>
      <c r="BF312" t="s">
        <v>75</v>
      </c>
      <c r="BG312" t="s">
        <v>91</v>
      </c>
      <c r="BH312" t="s">
        <v>92</v>
      </c>
      <c r="BI312">
        <v>2022</v>
      </c>
    </row>
    <row r="313" spans="1:61" x14ac:dyDescent="0.3">
      <c r="A313">
        <v>353</v>
      </c>
      <c r="B313" t="e">
        <v>#NUM!</v>
      </c>
      <c r="C313" t="s">
        <v>4051</v>
      </c>
      <c r="D313">
        <v>642401188</v>
      </c>
      <c r="E313">
        <v>1710001048597</v>
      </c>
      <c r="G313" t="s">
        <v>217</v>
      </c>
      <c r="H313" t="s">
        <v>217</v>
      </c>
      <c r="I313" s="305">
        <v>45292</v>
      </c>
      <c r="J313">
        <v>1</v>
      </c>
      <c r="K313">
        <v>0</v>
      </c>
      <c r="L313" t="s">
        <v>14</v>
      </c>
      <c r="M313" t="s">
        <v>187</v>
      </c>
      <c r="O313" s="305">
        <v>45657</v>
      </c>
      <c r="Q313" t="s">
        <v>206</v>
      </c>
      <c r="R313" t="s">
        <v>6863</v>
      </c>
      <c r="S313" t="s">
        <v>312</v>
      </c>
      <c r="T313" t="s">
        <v>204</v>
      </c>
      <c r="U313" t="s">
        <v>204</v>
      </c>
      <c r="V313" t="s">
        <v>1426</v>
      </c>
      <c r="W313" t="s">
        <v>121</v>
      </c>
      <c r="X313" t="s">
        <v>313</v>
      </c>
      <c r="AA313" t="s">
        <v>132</v>
      </c>
      <c r="AB313" t="s">
        <v>217</v>
      </c>
      <c r="AC313" s="305">
        <v>34876</v>
      </c>
      <c r="AD313">
        <v>29</v>
      </c>
      <c r="AE313" t="s">
        <v>4052</v>
      </c>
      <c r="AF313" t="s">
        <v>4053</v>
      </c>
      <c r="AG313" t="s">
        <v>4054</v>
      </c>
      <c r="AJ313" t="s">
        <v>4055</v>
      </c>
      <c r="AK313" t="s">
        <v>4056</v>
      </c>
      <c r="AL313">
        <v>24009885567</v>
      </c>
      <c r="AM313" t="s">
        <v>4716</v>
      </c>
      <c r="AS313" t="s">
        <v>306</v>
      </c>
      <c r="AT313" t="s">
        <v>306</v>
      </c>
      <c r="AU313" t="s">
        <v>306</v>
      </c>
      <c r="AV313" t="s">
        <v>306</v>
      </c>
      <c r="AW313">
        <v>0</v>
      </c>
      <c r="AX313" t="s">
        <v>5078</v>
      </c>
      <c r="BA313" t="s">
        <v>161</v>
      </c>
      <c r="BB313" t="s">
        <v>75</v>
      </c>
      <c r="BC313" t="s">
        <v>91</v>
      </c>
      <c r="BD313" t="s">
        <v>4057</v>
      </c>
      <c r="BE313">
        <v>2019</v>
      </c>
      <c r="BF313" t="s">
        <v>75</v>
      </c>
      <c r="BG313" t="s">
        <v>91</v>
      </c>
      <c r="BH313" t="s">
        <v>4057</v>
      </c>
      <c r="BI313">
        <v>2019</v>
      </c>
    </row>
    <row r="314" spans="1:61" x14ac:dyDescent="0.3">
      <c r="A314">
        <v>354</v>
      </c>
      <c r="B314" t="e">
        <v>#NUM!</v>
      </c>
      <c r="C314" t="s">
        <v>4058</v>
      </c>
      <c r="D314">
        <v>642401189</v>
      </c>
      <c r="E314">
        <v>1840006696726</v>
      </c>
      <c r="G314" t="s">
        <v>217</v>
      </c>
      <c r="H314" t="s">
        <v>1571</v>
      </c>
      <c r="I314" s="305">
        <v>45292</v>
      </c>
      <c r="J314">
        <v>1</v>
      </c>
      <c r="K314">
        <v>0</v>
      </c>
      <c r="L314" t="s">
        <v>14</v>
      </c>
      <c r="M314" t="s">
        <v>187</v>
      </c>
      <c r="O314" s="305">
        <v>45657</v>
      </c>
      <c r="Q314" t="s">
        <v>206</v>
      </c>
      <c r="R314" t="s">
        <v>6863</v>
      </c>
      <c r="S314" t="s">
        <v>312</v>
      </c>
      <c r="T314" t="s">
        <v>204</v>
      </c>
      <c r="U314" t="s">
        <v>204</v>
      </c>
      <c r="V314" t="s">
        <v>1426</v>
      </c>
      <c r="W314" t="s">
        <v>121</v>
      </c>
      <c r="X314" t="s">
        <v>313</v>
      </c>
      <c r="AA314" t="s">
        <v>132</v>
      </c>
      <c r="AB314" t="s">
        <v>1571</v>
      </c>
      <c r="AC314" s="305">
        <v>37063</v>
      </c>
      <c r="AD314">
        <v>23</v>
      </c>
      <c r="AE314" t="s">
        <v>4059</v>
      </c>
      <c r="AF314" t="s">
        <v>4060</v>
      </c>
      <c r="AG314" t="s">
        <v>4061</v>
      </c>
      <c r="AJ314" t="s">
        <v>4062</v>
      </c>
      <c r="AK314" t="s">
        <v>4063</v>
      </c>
      <c r="AL314">
        <v>24009885351</v>
      </c>
      <c r="AM314" t="s">
        <v>4716</v>
      </c>
      <c r="AS314" t="s">
        <v>306</v>
      </c>
      <c r="AT314" t="s">
        <v>306</v>
      </c>
      <c r="AU314" t="s">
        <v>306</v>
      </c>
      <c r="AV314" t="s">
        <v>306</v>
      </c>
      <c r="AW314">
        <v>0</v>
      </c>
      <c r="AX314" t="s">
        <v>5078</v>
      </c>
      <c r="BA314" t="s">
        <v>161</v>
      </c>
      <c r="BB314" t="s">
        <v>75</v>
      </c>
      <c r="BC314" t="s">
        <v>91</v>
      </c>
      <c r="BD314" t="s">
        <v>4064</v>
      </c>
      <c r="BE314">
        <v>2024</v>
      </c>
      <c r="BF314" t="s">
        <v>75</v>
      </c>
      <c r="BG314" t="s">
        <v>91</v>
      </c>
      <c r="BH314" t="s">
        <v>4064</v>
      </c>
      <c r="BI314">
        <v>2024</v>
      </c>
    </row>
    <row r="315" spans="1:61" x14ac:dyDescent="0.3">
      <c r="A315">
        <v>355</v>
      </c>
      <c r="B315" t="e">
        <v>#NUM!</v>
      </c>
      <c r="C315" t="s">
        <v>4065</v>
      </c>
      <c r="D315">
        <v>642401191</v>
      </c>
      <c r="E315">
        <v>1710014827938</v>
      </c>
      <c r="G315" t="s">
        <v>217</v>
      </c>
      <c r="H315" t="s">
        <v>311</v>
      </c>
      <c r="I315" s="305">
        <v>45292</v>
      </c>
      <c r="J315">
        <v>1</v>
      </c>
      <c r="K315">
        <v>0</v>
      </c>
      <c r="L315" t="s">
        <v>14</v>
      </c>
      <c r="M315" t="s">
        <v>187</v>
      </c>
      <c r="O315" s="305">
        <v>45657</v>
      </c>
      <c r="Q315" t="s">
        <v>206</v>
      </c>
      <c r="R315" t="s">
        <v>6863</v>
      </c>
      <c r="S315" t="s">
        <v>312</v>
      </c>
      <c r="T315" t="s">
        <v>204</v>
      </c>
      <c r="U315" t="s">
        <v>204</v>
      </c>
      <c r="V315" t="s">
        <v>1426</v>
      </c>
      <c r="W315" t="s">
        <v>121</v>
      </c>
      <c r="X315" t="s">
        <v>313</v>
      </c>
      <c r="AA315" t="s">
        <v>132</v>
      </c>
      <c r="AB315" t="s">
        <v>311</v>
      </c>
      <c r="AC315" s="305">
        <v>34215</v>
      </c>
      <c r="AD315">
        <v>31</v>
      </c>
      <c r="AE315" t="s">
        <v>4066</v>
      </c>
      <c r="AF315" t="s">
        <v>4067</v>
      </c>
      <c r="AG315" t="s">
        <v>4068</v>
      </c>
      <c r="AJ315" t="s">
        <v>4069</v>
      </c>
      <c r="AK315" t="s">
        <v>4070</v>
      </c>
      <c r="AL315">
        <v>22011395591</v>
      </c>
      <c r="AM315" t="s">
        <v>4733</v>
      </c>
      <c r="AS315" t="s">
        <v>306</v>
      </c>
      <c r="AT315" t="s">
        <v>306</v>
      </c>
      <c r="AU315" t="s">
        <v>306</v>
      </c>
      <c r="AV315" t="s">
        <v>306</v>
      </c>
      <c r="AW315">
        <v>0</v>
      </c>
      <c r="AX315" t="s">
        <v>5627</v>
      </c>
      <c r="BA315" t="s">
        <v>161</v>
      </c>
      <c r="BB315" t="s">
        <v>349</v>
      </c>
      <c r="BC315" t="s">
        <v>6779</v>
      </c>
      <c r="BD315" t="s">
        <v>327</v>
      </c>
      <c r="BE315">
        <v>2012</v>
      </c>
      <c r="BF315" t="s">
        <v>349</v>
      </c>
      <c r="BG315" t="s">
        <v>6779</v>
      </c>
      <c r="BH315" t="s">
        <v>327</v>
      </c>
      <c r="BI315">
        <v>2012</v>
      </c>
    </row>
    <row r="316" spans="1:61" x14ac:dyDescent="0.3">
      <c r="A316">
        <v>356</v>
      </c>
      <c r="B316" t="e">
        <v>#NUM!</v>
      </c>
      <c r="C316" t="s">
        <v>4071</v>
      </c>
      <c r="D316">
        <v>642401192</v>
      </c>
      <c r="E316">
        <v>1710014832136</v>
      </c>
      <c r="G316" t="s">
        <v>217</v>
      </c>
      <c r="H316" t="s">
        <v>315</v>
      </c>
      <c r="I316" s="305">
        <v>45292</v>
      </c>
      <c r="J316">
        <v>1</v>
      </c>
      <c r="K316">
        <v>0</v>
      </c>
      <c r="L316" t="s">
        <v>14</v>
      </c>
      <c r="M316" t="s">
        <v>187</v>
      </c>
      <c r="O316" s="305">
        <v>45657</v>
      </c>
      <c r="Q316" t="s">
        <v>206</v>
      </c>
      <c r="R316" t="s">
        <v>6863</v>
      </c>
      <c r="S316" t="s">
        <v>312</v>
      </c>
      <c r="T316" t="s">
        <v>204</v>
      </c>
      <c r="U316" t="s">
        <v>177</v>
      </c>
      <c r="V316" t="s">
        <v>208</v>
      </c>
      <c r="W316" t="s">
        <v>208</v>
      </c>
      <c r="X316" t="s">
        <v>313</v>
      </c>
      <c r="AA316" t="s">
        <v>132</v>
      </c>
      <c r="AB316" t="s">
        <v>315</v>
      </c>
      <c r="AC316" s="305">
        <v>34118</v>
      </c>
      <c r="AD316">
        <v>31</v>
      </c>
      <c r="AE316" t="s">
        <v>4072</v>
      </c>
      <c r="AF316" t="s">
        <v>4073</v>
      </c>
      <c r="AG316" t="s">
        <v>4074</v>
      </c>
      <c r="AJ316" t="s">
        <v>4075</v>
      </c>
      <c r="AK316" t="s">
        <v>4076</v>
      </c>
      <c r="AL316">
        <v>24009885252</v>
      </c>
      <c r="AM316" t="s">
        <v>4716</v>
      </c>
      <c r="AS316" t="s">
        <v>306</v>
      </c>
      <c r="AT316" t="s">
        <v>306</v>
      </c>
      <c r="AU316" t="s">
        <v>306</v>
      </c>
      <c r="AV316" t="s">
        <v>306</v>
      </c>
      <c r="AW316">
        <v>0</v>
      </c>
      <c r="AX316" t="s">
        <v>5078</v>
      </c>
      <c r="BA316" t="s">
        <v>161</v>
      </c>
      <c r="BB316" t="s">
        <v>307</v>
      </c>
      <c r="BC316" t="s">
        <v>544</v>
      </c>
      <c r="BD316" t="s">
        <v>4077</v>
      </c>
      <c r="BE316">
        <v>2012</v>
      </c>
      <c r="BF316" t="s">
        <v>307</v>
      </c>
      <c r="BG316" t="s">
        <v>544</v>
      </c>
      <c r="BH316" t="s">
        <v>4077</v>
      </c>
      <c r="BI316">
        <v>2012</v>
      </c>
    </row>
    <row r="317" spans="1:61" x14ac:dyDescent="0.3">
      <c r="A317">
        <v>357</v>
      </c>
      <c r="B317" t="e">
        <v>#NUM!</v>
      </c>
      <c r="C317" t="s">
        <v>4078</v>
      </c>
      <c r="D317">
        <v>642401193</v>
      </c>
      <c r="E317">
        <v>1710014832102</v>
      </c>
      <c r="G317" t="s">
        <v>217</v>
      </c>
      <c r="H317" t="s">
        <v>217</v>
      </c>
      <c r="I317" s="305">
        <v>45292</v>
      </c>
      <c r="J317">
        <v>1</v>
      </c>
      <c r="K317">
        <v>0</v>
      </c>
      <c r="L317" t="s">
        <v>14</v>
      </c>
      <c r="M317" t="s">
        <v>187</v>
      </c>
      <c r="O317" s="305">
        <v>45657</v>
      </c>
      <c r="Q317" t="s">
        <v>206</v>
      </c>
      <c r="R317" t="s">
        <v>6863</v>
      </c>
      <c r="S317" t="s">
        <v>312</v>
      </c>
      <c r="T317" t="s">
        <v>204</v>
      </c>
      <c r="U317" t="s">
        <v>177</v>
      </c>
      <c r="V317" t="s">
        <v>208</v>
      </c>
      <c r="W317" t="s">
        <v>208</v>
      </c>
      <c r="X317" t="s">
        <v>313</v>
      </c>
      <c r="AA317" t="s">
        <v>132</v>
      </c>
      <c r="AB317" t="s">
        <v>217</v>
      </c>
      <c r="AC317" s="305">
        <v>37139</v>
      </c>
      <c r="AD317">
        <v>23</v>
      </c>
      <c r="AE317" t="s">
        <v>4079</v>
      </c>
      <c r="AF317" t="s">
        <v>4080</v>
      </c>
      <c r="AG317" t="s">
        <v>4081</v>
      </c>
      <c r="AJ317" t="s">
        <v>4082</v>
      </c>
      <c r="AK317" t="s">
        <v>4083</v>
      </c>
      <c r="AL317">
        <v>24009885435</v>
      </c>
      <c r="AM317" t="s">
        <v>4716</v>
      </c>
      <c r="AS317" t="s">
        <v>306</v>
      </c>
      <c r="AT317" t="s">
        <v>306</v>
      </c>
      <c r="AU317" t="s">
        <v>306</v>
      </c>
      <c r="AV317" t="s">
        <v>306</v>
      </c>
      <c r="AW317">
        <v>0</v>
      </c>
      <c r="AX317" t="s">
        <v>5078</v>
      </c>
      <c r="BA317" t="s">
        <v>161</v>
      </c>
      <c r="BB317" t="s">
        <v>349</v>
      </c>
      <c r="BC317" t="s">
        <v>1742</v>
      </c>
      <c r="BD317" t="s">
        <v>516</v>
      </c>
      <c r="BE317">
        <v>2020</v>
      </c>
      <c r="BF317" t="s">
        <v>349</v>
      </c>
      <c r="BG317" t="s">
        <v>1742</v>
      </c>
      <c r="BH317" t="s">
        <v>516</v>
      </c>
      <c r="BI317">
        <v>2020</v>
      </c>
    </row>
    <row r="318" spans="1:61" x14ac:dyDescent="0.3">
      <c r="A318">
        <v>358</v>
      </c>
      <c r="B318" t="e">
        <v>#NUM!</v>
      </c>
      <c r="C318" t="s">
        <v>4084</v>
      </c>
      <c r="D318">
        <v>642401194</v>
      </c>
      <c r="E318">
        <v>1710014729282</v>
      </c>
      <c r="G318" t="s">
        <v>217</v>
      </c>
      <c r="H318" t="s">
        <v>311</v>
      </c>
      <c r="I318" s="305">
        <v>45292</v>
      </c>
      <c r="J318">
        <v>1</v>
      </c>
      <c r="K318">
        <v>0</v>
      </c>
      <c r="L318" t="s">
        <v>14</v>
      </c>
      <c r="M318" t="s">
        <v>187</v>
      </c>
      <c r="O318" s="305">
        <v>45657</v>
      </c>
      <c r="Q318" t="s">
        <v>206</v>
      </c>
      <c r="R318" t="s">
        <v>6863</v>
      </c>
      <c r="S318" t="s">
        <v>312</v>
      </c>
      <c r="T318" t="s">
        <v>204</v>
      </c>
      <c r="U318" t="s">
        <v>177</v>
      </c>
      <c r="V318" t="s">
        <v>208</v>
      </c>
      <c r="W318" t="s">
        <v>208</v>
      </c>
      <c r="X318" t="s">
        <v>313</v>
      </c>
      <c r="AA318" t="s">
        <v>132</v>
      </c>
      <c r="AB318" t="s">
        <v>217</v>
      </c>
      <c r="AC318" s="305">
        <v>30183</v>
      </c>
      <c r="AD318">
        <v>42</v>
      </c>
      <c r="AE318" t="s">
        <v>4085</v>
      </c>
      <c r="AF318" t="s">
        <v>4086</v>
      </c>
      <c r="AG318" t="s">
        <v>4087</v>
      </c>
      <c r="AJ318" t="s">
        <v>4088</v>
      </c>
      <c r="AK318" t="s">
        <v>4089</v>
      </c>
      <c r="AL318">
        <v>24009885245</v>
      </c>
      <c r="AM318" t="s">
        <v>4733</v>
      </c>
      <c r="AS318" t="s">
        <v>306</v>
      </c>
      <c r="AT318" t="s">
        <v>306</v>
      </c>
      <c r="AU318" t="s">
        <v>306</v>
      </c>
      <c r="AV318" t="s">
        <v>306</v>
      </c>
      <c r="AW318">
        <v>0</v>
      </c>
      <c r="AX318" t="s">
        <v>5627</v>
      </c>
      <c r="BA318" t="s">
        <v>161</v>
      </c>
      <c r="BB318" t="s">
        <v>349</v>
      </c>
      <c r="BC318" t="s">
        <v>91</v>
      </c>
      <c r="BD318" t="s">
        <v>1146</v>
      </c>
      <c r="BE318">
        <v>2002</v>
      </c>
      <c r="BF318" t="s">
        <v>349</v>
      </c>
      <c r="BG318" t="s">
        <v>91</v>
      </c>
      <c r="BH318" t="s">
        <v>1146</v>
      </c>
      <c r="BI318">
        <v>2002</v>
      </c>
    </row>
    <row r="319" spans="1:61" x14ac:dyDescent="0.3">
      <c r="A319">
        <v>359</v>
      </c>
      <c r="B319" t="e">
        <v>#NUM!</v>
      </c>
      <c r="C319" t="s">
        <v>4090</v>
      </c>
      <c r="D319">
        <v>642401195</v>
      </c>
      <c r="E319">
        <v>1710014758109</v>
      </c>
      <c r="G319" t="s">
        <v>217</v>
      </c>
      <c r="H319" t="s">
        <v>217</v>
      </c>
      <c r="I319" s="305">
        <v>45292</v>
      </c>
      <c r="J319">
        <v>1</v>
      </c>
      <c r="K319">
        <v>0</v>
      </c>
      <c r="L319" t="s">
        <v>14</v>
      </c>
      <c r="M319" t="s">
        <v>187</v>
      </c>
      <c r="O319" s="305">
        <v>45657</v>
      </c>
      <c r="Q319" t="s">
        <v>206</v>
      </c>
      <c r="R319" t="s">
        <v>6863</v>
      </c>
      <c r="S319" t="s">
        <v>312</v>
      </c>
      <c r="T319" t="s">
        <v>204</v>
      </c>
      <c r="U319" t="s">
        <v>177</v>
      </c>
      <c r="V319" t="s">
        <v>208</v>
      </c>
      <c r="W319" t="s">
        <v>208</v>
      </c>
      <c r="X319" t="s">
        <v>313</v>
      </c>
      <c r="AA319" t="s">
        <v>132</v>
      </c>
      <c r="AB319" t="s">
        <v>315</v>
      </c>
      <c r="AC319" s="305">
        <v>30420</v>
      </c>
      <c r="AD319">
        <v>41</v>
      </c>
      <c r="AE319" t="s">
        <v>4091</v>
      </c>
      <c r="AF319" t="s">
        <v>4092</v>
      </c>
      <c r="AG319" t="s">
        <v>4093</v>
      </c>
      <c r="AJ319" t="s">
        <v>4094</v>
      </c>
      <c r="AK319" t="s">
        <v>4095</v>
      </c>
      <c r="AL319">
        <v>24009885328</v>
      </c>
      <c r="AM319" t="s">
        <v>4733</v>
      </c>
      <c r="AS319" t="s">
        <v>306</v>
      </c>
      <c r="AT319" t="s">
        <v>306</v>
      </c>
      <c r="AU319" t="s">
        <v>306</v>
      </c>
      <c r="AV319" t="s">
        <v>306</v>
      </c>
      <c r="AW319">
        <v>0</v>
      </c>
      <c r="AX319" t="s">
        <v>5627</v>
      </c>
      <c r="BA319" t="s">
        <v>161</v>
      </c>
      <c r="BB319" t="s">
        <v>153</v>
      </c>
      <c r="BD319" t="s">
        <v>4096</v>
      </c>
      <c r="BE319">
        <v>1999</v>
      </c>
      <c r="BF319" t="s">
        <v>153</v>
      </c>
      <c r="BH319" t="s">
        <v>4096</v>
      </c>
      <c r="BI319">
        <v>1999</v>
      </c>
    </row>
    <row r="320" spans="1:61" x14ac:dyDescent="0.3">
      <c r="A320">
        <v>360</v>
      </c>
      <c r="B320" t="e">
        <v>#NUM!</v>
      </c>
      <c r="C320" t="s">
        <v>4097</v>
      </c>
      <c r="D320">
        <v>642401196</v>
      </c>
      <c r="E320">
        <v>1710014728706</v>
      </c>
      <c r="G320" t="s">
        <v>217</v>
      </c>
      <c r="H320" t="s">
        <v>217</v>
      </c>
      <c r="I320" s="305">
        <v>45292</v>
      </c>
      <c r="J320">
        <v>1</v>
      </c>
      <c r="K320">
        <v>0</v>
      </c>
      <c r="L320" t="s">
        <v>14</v>
      </c>
      <c r="M320" t="s">
        <v>187</v>
      </c>
      <c r="O320" s="305">
        <v>45657</v>
      </c>
      <c r="Q320" t="s">
        <v>206</v>
      </c>
      <c r="R320" t="s">
        <v>6863</v>
      </c>
      <c r="S320" t="s">
        <v>312</v>
      </c>
      <c r="T320" t="s">
        <v>204</v>
      </c>
      <c r="U320" t="s">
        <v>177</v>
      </c>
      <c r="V320" t="s">
        <v>208</v>
      </c>
      <c r="W320" t="s">
        <v>208</v>
      </c>
      <c r="X320" t="s">
        <v>313</v>
      </c>
      <c r="AA320" t="s">
        <v>132</v>
      </c>
      <c r="AB320" t="s">
        <v>217</v>
      </c>
      <c r="AC320" s="305">
        <v>33144</v>
      </c>
      <c r="AD320">
        <v>34</v>
      </c>
      <c r="AE320" t="s">
        <v>4098</v>
      </c>
      <c r="AF320" t="s">
        <v>4099</v>
      </c>
      <c r="AG320" t="s">
        <v>4100</v>
      </c>
      <c r="AJ320" t="s">
        <v>4101</v>
      </c>
      <c r="AK320" t="s">
        <v>4102</v>
      </c>
      <c r="AL320">
        <v>24009885476</v>
      </c>
      <c r="AM320" t="s">
        <v>4733</v>
      </c>
      <c r="AS320" t="s">
        <v>306</v>
      </c>
      <c r="AT320" t="s">
        <v>306</v>
      </c>
      <c r="AU320" t="s">
        <v>306</v>
      </c>
      <c r="AV320" t="s">
        <v>306</v>
      </c>
      <c r="AW320">
        <v>0</v>
      </c>
      <c r="AX320" t="s">
        <v>5627</v>
      </c>
      <c r="BA320" t="s">
        <v>161</v>
      </c>
      <c r="BB320" t="s">
        <v>349</v>
      </c>
      <c r="BC320" t="s">
        <v>91</v>
      </c>
      <c r="BD320" t="s">
        <v>560</v>
      </c>
      <c r="BE320">
        <v>2010</v>
      </c>
      <c r="BF320" t="s">
        <v>349</v>
      </c>
      <c r="BG320" t="s">
        <v>91</v>
      </c>
      <c r="BH320" t="s">
        <v>560</v>
      </c>
      <c r="BI320">
        <v>2010</v>
      </c>
    </row>
    <row r="321" spans="1:66" x14ac:dyDescent="0.3">
      <c r="A321">
        <v>361</v>
      </c>
      <c r="B321" t="e">
        <v>#NUM!</v>
      </c>
      <c r="C321" t="s">
        <v>4103</v>
      </c>
      <c r="D321">
        <v>642401197</v>
      </c>
      <c r="E321">
        <v>1710014728730</v>
      </c>
      <c r="G321" t="s">
        <v>217</v>
      </c>
      <c r="H321" t="s">
        <v>217</v>
      </c>
      <c r="I321" s="305">
        <v>45292</v>
      </c>
      <c r="J321">
        <v>1</v>
      </c>
      <c r="K321">
        <v>0</v>
      </c>
      <c r="L321" t="s">
        <v>14</v>
      </c>
      <c r="M321" t="s">
        <v>187</v>
      </c>
      <c r="O321" s="305">
        <v>45657</v>
      </c>
      <c r="Q321" t="s">
        <v>206</v>
      </c>
      <c r="R321" t="s">
        <v>6863</v>
      </c>
      <c r="S321" t="s">
        <v>312</v>
      </c>
      <c r="T321" t="s">
        <v>204</v>
      </c>
      <c r="U321" t="s">
        <v>177</v>
      </c>
      <c r="V321" t="s">
        <v>208</v>
      </c>
      <c r="W321" t="s">
        <v>208</v>
      </c>
      <c r="X321" t="s">
        <v>313</v>
      </c>
      <c r="AA321" t="s">
        <v>132</v>
      </c>
      <c r="AB321" t="s">
        <v>217</v>
      </c>
      <c r="AC321" s="305">
        <v>31737</v>
      </c>
      <c r="AD321">
        <v>38</v>
      </c>
      <c r="AE321" t="s">
        <v>4104</v>
      </c>
      <c r="AF321" t="s">
        <v>4105</v>
      </c>
      <c r="AG321" t="s">
        <v>4106</v>
      </c>
      <c r="AJ321" t="s">
        <v>4107</v>
      </c>
      <c r="AK321" t="s">
        <v>4108</v>
      </c>
      <c r="AL321">
        <v>24009885617</v>
      </c>
      <c r="AM321" t="s">
        <v>4733</v>
      </c>
      <c r="AS321" t="s">
        <v>306</v>
      </c>
      <c r="AT321" t="s">
        <v>306</v>
      </c>
      <c r="AU321" t="s">
        <v>306</v>
      </c>
      <c r="AV321" t="s">
        <v>306</v>
      </c>
      <c r="AW321">
        <v>0</v>
      </c>
      <c r="AX321" t="s">
        <v>5627</v>
      </c>
      <c r="BA321" t="s">
        <v>161</v>
      </c>
      <c r="BB321" t="s">
        <v>153</v>
      </c>
      <c r="BD321" t="s">
        <v>4109</v>
      </c>
      <c r="BE321">
        <v>2003</v>
      </c>
      <c r="BF321" t="s">
        <v>153</v>
      </c>
      <c r="BH321" t="s">
        <v>4109</v>
      </c>
      <c r="BI321">
        <v>2003</v>
      </c>
    </row>
    <row r="322" spans="1:66" x14ac:dyDescent="0.3">
      <c r="A322">
        <v>362</v>
      </c>
      <c r="B322" t="e">
        <v>#NUM!</v>
      </c>
      <c r="C322" t="s">
        <v>4110</v>
      </c>
      <c r="D322">
        <v>642401198</v>
      </c>
      <c r="E322">
        <v>1710014832078</v>
      </c>
      <c r="G322" t="s">
        <v>217</v>
      </c>
      <c r="H322" t="s">
        <v>217</v>
      </c>
      <c r="I322" s="305">
        <v>45292</v>
      </c>
      <c r="J322">
        <v>1</v>
      </c>
      <c r="K322">
        <v>0</v>
      </c>
      <c r="L322" t="s">
        <v>14</v>
      </c>
      <c r="M322" t="s">
        <v>187</v>
      </c>
      <c r="O322" s="305">
        <v>45657</v>
      </c>
      <c r="Q322" t="s">
        <v>206</v>
      </c>
      <c r="R322" t="s">
        <v>6863</v>
      </c>
      <c r="S322" t="s">
        <v>312</v>
      </c>
      <c r="T322" t="s">
        <v>204</v>
      </c>
      <c r="U322" t="s">
        <v>177</v>
      </c>
      <c r="V322" t="s">
        <v>208</v>
      </c>
      <c r="W322" t="s">
        <v>208</v>
      </c>
      <c r="X322" t="s">
        <v>313</v>
      </c>
      <c r="AA322" t="s">
        <v>132</v>
      </c>
      <c r="AB322" t="s">
        <v>217</v>
      </c>
      <c r="AC322" s="305">
        <v>36170</v>
      </c>
      <c r="AD322">
        <v>26</v>
      </c>
      <c r="AE322" t="s">
        <v>4111</v>
      </c>
      <c r="AF322" t="s">
        <v>4112</v>
      </c>
      <c r="AG322" t="s">
        <v>4113</v>
      </c>
      <c r="AJ322" t="s">
        <v>4114</v>
      </c>
      <c r="AK322" t="s">
        <v>4115</v>
      </c>
      <c r="AL322">
        <v>24009885211</v>
      </c>
      <c r="AM322" t="s">
        <v>4733</v>
      </c>
      <c r="AS322" t="s">
        <v>306</v>
      </c>
      <c r="AT322" t="s">
        <v>306</v>
      </c>
      <c r="AU322" t="s">
        <v>306</v>
      </c>
      <c r="AV322" t="s">
        <v>306</v>
      </c>
      <c r="AW322">
        <v>0</v>
      </c>
      <c r="AX322" t="s">
        <v>5627</v>
      </c>
      <c r="BA322" t="s">
        <v>161</v>
      </c>
      <c r="BB322" t="s">
        <v>349</v>
      </c>
      <c r="BC322" t="s">
        <v>515</v>
      </c>
      <c r="BD322" t="s">
        <v>1274</v>
      </c>
      <c r="BE322">
        <v>2017</v>
      </c>
      <c r="BF322" t="s">
        <v>349</v>
      </c>
      <c r="BG322" t="s">
        <v>515</v>
      </c>
      <c r="BH322" t="s">
        <v>1274</v>
      </c>
      <c r="BI322">
        <v>2017</v>
      </c>
    </row>
    <row r="323" spans="1:66" x14ac:dyDescent="0.3">
      <c r="A323">
        <v>363</v>
      </c>
      <c r="B323" t="e">
        <v>#NUM!</v>
      </c>
      <c r="C323" t="s">
        <v>4116</v>
      </c>
      <c r="D323">
        <v>642401199</v>
      </c>
      <c r="E323">
        <v>1710014724721</v>
      </c>
      <c r="G323" t="s">
        <v>217</v>
      </c>
      <c r="H323" t="s">
        <v>32</v>
      </c>
      <c r="I323" s="305">
        <v>45292</v>
      </c>
      <c r="J323">
        <v>1</v>
      </c>
      <c r="K323">
        <v>0</v>
      </c>
      <c r="L323" t="s">
        <v>14</v>
      </c>
      <c r="M323" t="s">
        <v>187</v>
      </c>
      <c r="O323" s="305">
        <v>45657</v>
      </c>
      <c r="Q323" t="s">
        <v>206</v>
      </c>
      <c r="R323" t="s">
        <v>6863</v>
      </c>
      <c r="S323" t="s">
        <v>312</v>
      </c>
      <c r="T323" t="s">
        <v>32</v>
      </c>
      <c r="U323" t="s">
        <v>3833</v>
      </c>
      <c r="V323" t="s">
        <v>32</v>
      </c>
      <c r="W323" t="s">
        <v>208</v>
      </c>
      <c r="X323" t="s">
        <v>313</v>
      </c>
      <c r="AA323" t="s">
        <v>132</v>
      </c>
      <c r="AB323" t="s">
        <v>32</v>
      </c>
      <c r="AC323" s="305">
        <v>34444</v>
      </c>
      <c r="AD323">
        <v>30</v>
      </c>
      <c r="AE323" t="s">
        <v>4117</v>
      </c>
      <c r="AF323" t="s">
        <v>4118</v>
      </c>
      <c r="AG323" t="s">
        <v>4119</v>
      </c>
      <c r="AJ323" t="s">
        <v>4120</v>
      </c>
      <c r="AK323" t="s">
        <v>4121</v>
      </c>
      <c r="AL323">
        <v>24009885096</v>
      </c>
      <c r="AM323" t="s">
        <v>4733</v>
      </c>
      <c r="AS323" t="s">
        <v>306</v>
      </c>
      <c r="AT323" t="s">
        <v>306</v>
      </c>
      <c r="AU323" t="s">
        <v>306</v>
      </c>
      <c r="AV323" t="s">
        <v>306</v>
      </c>
      <c r="AW323">
        <v>0</v>
      </c>
      <c r="AX323" t="s">
        <v>5627</v>
      </c>
      <c r="BA323" t="s">
        <v>161</v>
      </c>
      <c r="BB323" t="s">
        <v>307</v>
      </c>
      <c r="BC323" t="s">
        <v>308</v>
      </c>
      <c r="BD323" t="s">
        <v>4122</v>
      </c>
      <c r="BE323">
        <v>2017</v>
      </c>
      <c r="BF323" t="s">
        <v>307</v>
      </c>
      <c r="BG323" t="s">
        <v>308</v>
      </c>
      <c r="BH323" t="s">
        <v>4122</v>
      </c>
      <c r="BI323">
        <v>2017</v>
      </c>
    </row>
    <row r="324" spans="1:66" x14ac:dyDescent="0.3">
      <c r="A324">
        <v>364</v>
      </c>
      <c r="B324" t="e">
        <v>#NUM!</v>
      </c>
      <c r="C324" t="s">
        <v>4123</v>
      </c>
      <c r="D324">
        <v>642401200</v>
      </c>
      <c r="E324">
        <v>1710014827995</v>
      </c>
      <c r="G324" t="s">
        <v>217</v>
      </c>
      <c r="H324" t="s">
        <v>311</v>
      </c>
      <c r="I324" s="305">
        <v>45292</v>
      </c>
      <c r="J324">
        <v>1</v>
      </c>
      <c r="K324">
        <v>0</v>
      </c>
      <c r="L324" t="s">
        <v>14</v>
      </c>
      <c r="M324" t="s">
        <v>187</v>
      </c>
      <c r="O324" s="305">
        <v>45657</v>
      </c>
      <c r="Q324" t="s">
        <v>206</v>
      </c>
      <c r="R324" t="s">
        <v>6863</v>
      </c>
      <c r="S324" t="s">
        <v>312</v>
      </c>
      <c r="T324" t="s">
        <v>23</v>
      </c>
      <c r="U324" t="s">
        <v>204</v>
      </c>
      <c r="V324" t="s">
        <v>51</v>
      </c>
      <c r="W324" t="s">
        <v>121</v>
      </c>
      <c r="X324" t="s">
        <v>313</v>
      </c>
      <c r="AA324" t="s">
        <v>132</v>
      </c>
      <c r="AB324" t="s">
        <v>311</v>
      </c>
      <c r="AC324" s="305">
        <v>37780</v>
      </c>
      <c r="AD324">
        <v>21</v>
      </c>
      <c r="AE324" t="s">
        <v>4124</v>
      </c>
      <c r="AF324" t="s">
        <v>4125</v>
      </c>
      <c r="AG324" t="s">
        <v>4126</v>
      </c>
      <c r="AJ324" t="s">
        <v>4127</v>
      </c>
      <c r="AK324" t="s">
        <v>4128</v>
      </c>
      <c r="AL324">
        <v>24009885583</v>
      </c>
      <c r="AM324" t="s">
        <v>4716</v>
      </c>
      <c r="AS324" t="s">
        <v>306</v>
      </c>
      <c r="AT324" t="s">
        <v>306</v>
      </c>
      <c r="AU324" t="s">
        <v>306</v>
      </c>
      <c r="AV324" t="s">
        <v>306</v>
      </c>
      <c r="AW324">
        <v>0</v>
      </c>
      <c r="AX324" t="s">
        <v>5078</v>
      </c>
      <c r="BA324" t="s">
        <v>161</v>
      </c>
      <c r="BB324" t="s">
        <v>349</v>
      </c>
      <c r="BC324" t="s">
        <v>515</v>
      </c>
      <c r="BD324" t="s">
        <v>4129</v>
      </c>
      <c r="BE324">
        <v>2022</v>
      </c>
      <c r="BF324" t="s">
        <v>349</v>
      </c>
      <c r="BG324" t="s">
        <v>515</v>
      </c>
      <c r="BH324" t="s">
        <v>4129</v>
      </c>
      <c r="BI324">
        <v>2022</v>
      </c>
    </row>
    <row r="325" spans="1:66" x14ac:dyDescent="0.3">
      <c r="A325">
        <v>365</v>
      </c>
      <c r="B325" t="e">
        <v>#NUM!</v>
      </c>
      <c r="C325" t="s">
        <v>4130</v>
      </c>
      <c r="D325">
        <v>642401201</v>
      </c>
      <c r="E325">
        <v>1710014827946</v>
      </c>
      <c r="G325" t="s">
        <v>217</v>
      </c>
      <c r="H325" t="s">
        <v>311</v>
      </c>
      <c r="I325" s="305">
        <v>45292</v>
      </c>
      <c r="J325">
        <v>1</v>
      </c>
      <c r="K325">
        <v>0</v>
      </c>
      <c r="L325" t="s">
        <v>14</v>
      </c>
      <c r="M325" t="s">
        <v>187</v>
      </c>
      <c r="O325" s="305">
        <v>45657</v>
      </c>
      <c r="Q325" t="s">
        <v>206</v>
      </c>
      <c r="R325" t="s">
        <v>6863</v>
      </c>
      <c r="S325" t="s">
        <v>312</v>
      </c>
      <c r="T325" t="s">
        <v>23</v>
      </c>
      <c r="U325" t="s">
        <v>204</v>
      </c>
      <c r="V325" t="s">
        <v>51</v>
      </c>
      <c r="W325" t="s">
        <v>121</v>
      </c>
      <c r="X325" t="s">
        <v>313</v>
      </c>
      <c r="AA325" t="s">
        <v>132</v>
      </c>
      <c r="AB325" t="s">
        <v>311</v>
      </c>
      <c r="AC325" s="305">
        <v>37727</v>
      </c>
      <c r="AD325">
        <v>21</v>
      </c>
      <c r="AE325" t="s">
        <v>4131</v>
      </c>
      <c r="AF325" t="s">
        <v>4132</v>
      </c>
      <c r="AG325" t="s">
        <v>4133</v>
      </c>
      <c r="AJ325" t="s">
        <v>4134</v>
      </c>
      <c r="AK325" t="s">
        <v>4135</v>
      </c>
      <c r="AL325">
        <v>24009885609</v>
      </c>
      <c r="AM325" t="s">
        <v>4716</v>
      </c>
      <c r="AS325" t="s">
        <v>4136</v>
      </c>
      <c r="AT325" t="s">
        <v>4137</v>
      </c>
      <c r="AU325" t="s">
        <v>306</v>
      </c>
      <c r="AV325" t="s">
        <v>306</v>
      </c>
      <c r="AW325">
        <v>0</v>
      </c>
      <c r="AX325" t="s">
        <v>5078</v>
      </c>
      <c r="AY325" t="s">
        <v>4138</v>
      </c>
      <c r="AZ325" t="s">
        <v>4139</v>
      </c>
      <c r="BA325" t="s">
        <v>161</v>
      </c>
      <c r="BB325" t="s">
        <v>349</v>
      </c>
      <c r="BC325" t="s">
        <v>515</v>
      </c>
      <c r="BD325" t="s">
        <v>4140</v>
      </c>
      <c r="BE325">
        <v>2022</v>
      </c>
      <c r="BF325" t="s">
        <v>349</v>
      </c>
      <c r="BG325" t="s">
        <v>515</v>
      </c>
      <c r="BH325" t="s">
        <v>4140</v>
      </c>
      <c r="BI325">
        <v>2022</v>
      </c>
    </row>
    <row r="326" spans="1:66" x14ac:dyDescent="0.3">
      <c r="A326">
        <v>366</v>
      </c>
      <c r="B326" t="e">
        <v>#NUM!</v>
      </c>
      <c r="C326" t="s">
        <v>4141</v>
      </c>
      <c r="D326">
        <v>642401202</v>
      </c>
      <c r="F326">
        <v>7261131026</v>
      </c>
      <c r="G326" t="s">
        <v>217</v>
      </c>
      <c r="H326" t="s">
        <v>24</v>
      </c>
      <c r="I326" s="305">
        <v>45292</v>
      </c>
      <c r="J326">
        <v>1</v>
      </c>
      <c r="K326">
        <v>0</v>
      </c>
      <c r="L326" t="s">
        <v>14</v>
      </c>
      <c r="M326" t="s">
        <v>187</v>
      </c>
      <c r="O326" s="305">
        <v>45657</v>
      </c>
      <c r="Q326" t="s">
        <v>206</v>
      </c>
      <c r="R326" t="s">
        <v>6863</v>
      </c>
      <c r="S326" t="s">
        <v>312</v>
      </c>
      <c r="T326" t="s">
        <v>24</v>
      </c>
      <c r="U326" t="s">
        <v>204</v>
      </c>
      <c r="V326" t="s">
        <v>123</v>
      </c>
      <c r="W326" t="s">
        <v>121</v>
      </c>
      <c r="X326" t="s">
        <v>313</v>
      </c>
      <c r="AA326" t="s">
        <v>132</v>
      </c>
      <c r="AB326" t="s">
        <v>24</v>
      </c>
      <c r="AC326" s="305">
        <v>34840</v>
      </c>
      <c r="AD326">
        <v>29</v>
      </c>
      <c r="AE326" t="s">
        <v>4142</v>
      </c>
      <c r="AF326" t="s">
        <v>4143</v>
      </c>
      <c r="AG326" t="s">
        <v>4144</v>
      </c>
      <c r="AJ326" t="s">
        <v>4145</v>
      </c>
      <c r="AK326" t="s">
        <v>4146</v>
      </c>
      <c r="AL326">
        <v>24009885294</v>
      </c>
      <c r="AM326" t="s">
        <v>4716</v>
      </c>
      <c r="AS326" t="s">
        <v>306</v>
      </c>
      <c r="AT326" t="s">
        <v>306</v>
      </c>
      <c r="AU326" t="s">
        <v>306</v>
      </c>
      <c r="AV326" t="s">
        <v>306</v>
      </c>
      <c r="AW326">
        <v>0</v>
      </c>
      <c r="AX326" t="s">
        <v>5078</v>
      </c>
      <c r="BA326" t="s">
        <v>161</v>
      </c>
      <c r="BB326" t="s">
        <v>75</v>
      </c>
      <c r="BC326" t="s">
        <v>106</v>
      </c>
      <c r="BD326" t="s">
        <v>4147</v>
      </c>
      <c r="BE326">
        <v>2018</v>
      </c>
      <c r="BF326" t="s">
        <v>75</v>
      </c>
      <c r="BG326" t="s">
        <v>106</v>
      </c>
      <c r="BH326" t="s">
        <v>4147</v>
      </c>
      <c r="BI326">
        <v>2018</v>
      </c>
    </row>
    <row r="327" spans="1:66" x14ac:dyDescent="0.3">
      <c r="A327">
        <v>367</v>
      </c>
      <c r="B327" t="e">
        <v>#NUM!</v>
      </c>
      <c r="C327" t="s">
        <v>4148</v>
      </c>
      <c r="D327">
        <v>642401203</v>
      </c>
      <c r="E327">
        <v>1570010862861</v>
      </c>
      <c r="G327" t="s">
        <v>217</v>
      </c>
      <c r="H327" t="s">
        <v>24</v>
      </c>
      <c r="I327" s="305">
        <v>45292</v>
      </c>
      <c r="J327">
        <v>1</v>
      </c>
      <c r="K327">
        <v>0</v>
      </c>
      <c r="L327" t="s">
        <v>14</v>
      </c>
      <c r="M327" t="s">
        <v>187</v>
      </c>
      <c r="O327" s="305">
        <v>45657</v>
      </c>
      <c r="Q327" t="s">
        <v>206</v>
      </c>
      <c r="R327" t="s">
        <v>6863</v>
      </c>
      <c r="S327" t="s">
        <v>312</v>
      </c>
      <c r="T327" t="s">
        <v>24</v>
      </c>
      <c r="U327" t="s">
        <v>204</v>
      </c>
      <c r="V327" t="s">
        <v>123</v>
      </c>
      <c r="W327" t="s">
        <v>121</v>
      </c>
      <c r="X327" t="s">
        <v>313</v>
      </c>
      <c r="AA327" t="s">
        <v>132</v>
      </c>
      <c r="AB327" t="s">
        <v>24</v>
      </c>
      <c r="AC327" s="305">
        <v>38343</v>
      </c>
      <c r="AD327">
        <v>20</v>
      </c>
      <c r="AE327" t="s">
        <v>4149</v>
      </c>
      <c r="AF327" t="s">
        <v>4150</v>
      </c>
      <c r="AG327" t="s">
        <v>4151</v>
      </c>
      <c r="AH327" t="s">
        <v>4152</v>
      </c>
      <c r="AJ327" t="s">
        <v>4153</v>
      </c>
      <c r="AK327" t="s">
        <v>4154</v>
      </c>
      <c r="AL327">
        <v>24009885542</v>
      </c>
      <c r="AM327" t="s">
        <v>4716</v>
      </c>
      <c r="AS327" t="s">
        <v>4155</v>
      </c>
      <c r="AT327" t="s">
        <v>4156</v>
      </c>
      <c r="AU327" t="s">
        <v>306</v>
      </c>
      <c r="AV327" t="s">
        <v>306</v>
      </c>
      <c r="AW327">
        <v>0</v>
      </c>
      <c r="AX327" t="s">
        <v>5078</v>
      </c>
      <c r="AY327" t="s">
        <v>4157</v>
      </c>
      <c r="AZ327" t="s">
        <v>4157</v>
      </c>
      <c r="BA327" t="s">
        <v>161</v>
      </c>
      <c r="BB327" t="s">
        <v>349</v>
      </c>
      <c r="BC327" t="s">
        <v>1213</v>
      </c>
      <c r="BD327" t="s">
        <v>4158</v>
      </c>
      <c r="BE327">
        <v>2023</v>
      </c>
      <c r="BF327" t="s">
        <v>349</v>
      </c>
      <c r="BG327" t="s">
        <v>1213</v>
      </c>
      <c r="BH327" t="s">
        <v>4158</v>
      </c>
      <c r="BI327">
        <v>2023</v>
      </c>
    </row>
    <row r="328" spans="1:66" x14ac:dyDescent="0.3">
      <c r="A328">
        <v>369</v>
      </c>
      <c r="B328" t="e">
        <v>#NUM!</v>
      </c>
      <c r="C328" t="s">
        <v>4167</v>
      </c>
      <c r="D328">
        <v>642402189</v>
      </c>
      <c r="E328">
        <v>1710012336825</v>
      </c>
      <c r="G328" t="s">
        <v>32</v>
      </c>
      <c r="H328" t="s">
        <v>217</v>
      </c>
      <c r="I328" s="305">
        <v>45323</v>
      </c>
      <c r="J328">
        <v>0</v>
      </c>
      <c r="K328">
        <v>11</v>
      </c>
      <c r="L328" t="s">
        <v>14</v>
      </c>
      <c r="M328" t="s">
        <v>187</v>
      </c>
      <c r="O328" s="305">
        <v>45657</v>
      </c>
      <c r="Q328" t="s">
        <v>206</v>
      </c>
      <c r="R328" t="s">
        <v>6863</v>
      </c>
      <c r="S328" t="s">
        <v>312</v>
      </c>
      <c r="T328" t="s">
        <v>32</v>
      </c>
      <c r="U328" t="s">
        <v>3833</v>
      </c>
      <c r="V328" t="s">
        <v>32</v>
      </c>
      <c r="W328" t="s">
        <v>208</v>
      </c>
      <c r="X328" t="s">
        <v>313</v>
      </c>
      <c r="AA328" t="s">
        <v>132</v>
      </c>
      <c r="AB328" t="s">
        <v>24</v>
      </c>
      <c r="AC328" s="305">
        <v>26535</v>
      </c>
      <c r="AD328">
        <v>52</v>
      </c>
      <c r="AE328" t="s">
        <v>4168</v>
      </c>
      <c r="AF328" t="s">
        <v>4169</v>
      </c>
      <c r="AG328" t="s">
        <v>4170</v>
      </c>
      <c r="AH328" t="s">
        <v>4170</v>
      </c>
      <c r="AJ328" t="s">
        <v>4171</v>
      </c>
      <c r="AK328" t="s">
        <v>4172</v>
      </c>
      <c r="AL328">
        <v>21062476367</v>
      </c>
      <c r="AM328" t="s">
        <v>6821</v>
      </c>
      <c r="AS328" t="s">
        <v>4173</v>
      </c>
      <c r="AT328" t="s">
        <v>4174</v>
      </c>
      <c r="AU328" t="s">
        <v>306</v>
      </c>
      <c r="AV328" t="s">
        <v>4175</v>
      </c>
      <c r="AW328">
        <v>0</v>
      </c>
      <c r="AX328" t="s">
        <v>5078</v>
      </c>
      <c r="AZ328" t="s">
        <v>4176</v>
      </c>
      <c r="BA328" t="s">
        <v>161</v>
      </c>
      <c r="BB328" t="s">
        <v>349</v>
      </c>
      <c r="BC328" t="s">
        <v>91</v>
      </c>
      <c r="BD328" t="s">
        <v>4177</v>
      </c>
      <c r="BE328">
        <v>1991</v>
      </c>
      <c r="BF328" t="s">
        <v>349</v>
      </c>
      <c r="BG328" t="s">
        <v>91</v>
      </c>
      <c r="BH328" t="s">
        <v>4177</v>
      </c>
      <c r="BI328">
        <v>1991</v>
      </c>
      <c r="BL328" t="s">
        <v>4178</v>
      </c>
      <c r="BM328">
        <v>36</v>
      </c>
      <c r="BN328">
        <v>42</v>
      </c>
    </row>
    <row r="329" spans="1:66" x14ac:dyDescent="0.3">
      <c r="A329">
        <v>371</v>
      </c>
      <c r="B329" t="e">
        <v>#NUM!</v>
      </c>
      <c r="C329" t="s">
        <v>4188</v>
      </c>
      <c r="D329">
        <v>642402190</v>
      </c>
      <c r="E329">
        <v>1320028788215</v>
      </c>
      <c r="G329" t="s">
        <v>20</v>
      </c>
      <c r="H329" t="s">
        <v>20</v>
      </c>
      <c r="I329" s="305">
        <v>45342</v>
      </c>
      <c r="J329">
        <v>0</v>
      </c>
      <c r="K329">
        <v>10</v>
      </c>
      <c r="L329" t="s">
        <v>14</v>
      </c>
      <c r="M329" t="s">
        <v>187</v>
      </c>
      <c r="O329" s="305">
        <v>45657</v>
      </c>
      <c r="Q329" t="s">
        <v>206</v>
      </c>
      <c r="R329" t="s">
        <v>6863</v>
      </c>
      <c r="S329" t="s">
        <v>312</v>
      </c>
      <c r="T329" t="s">
        <v>20</v>
      </c>
      <c r="U329" t="s">
        <v>204</v>
      </c>
      <c r="V329" t="s">
        <v>1278</v>
      </c>
      <c r="W329" t="s">
        <v>122</v>
      </c>
      <c r="X329" t="s">
        <v>313</v>
      </c>
      <c r="AA329" t="s">
        <v>132</v>
      </c>
      <c r="AB329" t="s">
        <v>20</v>
      </c>
      <c r="AC329" s="305">
        <v>37151</v>
      </c>
      <c r="AD329">
        <v>23</v>
      </c>
      <c r="AE329" t="s">
        <v>4189</v>
      </c>
      <c r="AF329" t="s">
        <v>4190</v>
      </c>
      <c r="AG329" t="s">
        <v>4191</v>
      </c>
      <c r="AH329">
        <v>85162716956</v>
      </c>
      <c r="AJ329" t="s">
        <v>4192</v>
      </c>
      <c r="AK329" t="s">
        <v>4193</v>
      </c>
      <c r="AL329">
        <v>24036556231</v>
      </c>
      <c r="AM329" t="s">
        <v>4716</v>
      </c>
      <c r="AS329" t="s">
        <v>4194</v>
      </c>
      <c r="AT329" t="s">
        <v>4195</v>
      </c>
      <c r="AU329" t="s">
        <v>306</v>
      </c>
      <c r="AV329" t="s">
        <v>306</v>
      </c>
      <c r="AW329">
        <v>0</v>
      </c>
      <c r="AX329" t="s">
        <v>5078</v>
      </c>
      <c r="BA329" t="s">
        <v>161</v>
      </c>
      <c r="BB329" t="s">
        <v>349</v>
      </c>
      <c r="BC329" t="s">
        <v>4196</v>
      </c>
      <c r="BD329" t="s">
        <v>6782</v>
      </c>
      <c r="BE329">
        <v>2019</v>
      </c>
      <c r="BF329" t="s">
        <v>349</v>
      </c>
      <c r="BG329" t="s">
        <v>4196</v>
      </c>
      <c r="BH329" t="s">
        <v>6782</v>
      </c>
      <c r="BI329">
        <v>2019</v>
      </c>
      <c r="BL329" t="s">
        <v>351</v>
      </c>
      <c r="BM329" t="s">
        <v>351</v>
      </c>
      <c r="BN329">
        <v>41</v>
      </c>
    </row>
    <row r="330" spans="1:66" x14ac:dyDescent="0.3">
      <c r="A330">
        <v>372</v>
      </c>
      <c r="B330" t="e">
        <v>#NUM!</v>
      </c>
      <c r="C330" t="s">
        <v>4197</v>
      </c>
      <c r="D330">
        <v>642402191</v>
      </c>
      <c r="E330">
        <v>1410024689846</v>
      </c>
      <c r="G330" t="s">
        <v>31</v>
      </c>
      <c r="H330" t="s">
        <v>1886</v>
      </c>
      <c r="I330" s="305">
        <v>45342</v>
      </c>
      <c r="J330">
        <v>0</v>
      </c>
      <c r="K330">
        <v>10</v>
      </c>
      <c r="L330" t="s">
        <v>14</v>
      </c>
      <c r="M330" t="s">
        <v>187</v>
      </c>
      <c r="O330" s="305">
        <v>45657</v>
      </c>
      <c r="Q330" t="s">
        <v>206</v>
      </c>
      <c r="R330" t="s">
        <v>6863</v>
      </c>
      <c r="S330" t="s">
        <v>312</v>
      </c>
      <c r="T330" t="s">
        <v>31</v>
      </c>
      <c r="U330" t="s">
        <v>204</v>
      </c>
      <c r="V330" t="s">
        <v>639</v>
      </c>
      <c r="W330" t="s">
        <v>122</v>
      </c>
      <c r="X330" t="s">
        <v>313</v>
      </c>
      <c r="AA330" t="s">
        <v>132</v>
      </c>
      <c r="AB330" t="s">
        <v>1886</v>
      </c>
      <c r="AC330" s="305">
        <v>35004</v>
      </c>
      <c r="AD330">
        <v>29</v>
      </c>
      <c r="AE330" t="s">
        <v>4198</v>
      </c>
      <c r="AF330" t="s">
        <v>4199</v>
      </c>
      <c r="AG330" t="s">
        <v>4200</v>
      </c>
      <c r="AH330" t="s">
        <v>4200</v>
      </c>
      <c r="AJ330" t="s">
        <v>4201</v>
      </c>
      <c r="AK330" t="s">
        <v>4202</v>
      </c>
      <c r="AL330">
        <v>24036556256</v>
      </c>
      <c r="AM330" t="s">
        <v>4733</v>
      </c>
      <c r="AN330" t="s">
        <v>4203</v>
      </c>
      <c r="AO330" t="s">
        <v>4204</v>
      </c>
      <c r="AS330" t="s">
        <v>4205</v>
      </c>
      <c r="AT330" t="s">
        <v>4206</v>
      </c>
      <c r="AU330" t="s">
        <v>4207</v>
      </c>
      <c r="AV330" t="s">
        <v>4208</v>
      </c>
      <c r="AW330">
        <v>1</v>
      </c>
      <c r="AX330" t="s">
        <v>5637</v>
      </c>
      <c r="BA330" t="s">
        <v>161</v>
      </c>
      <c r="BB330" t="s">
        <v>307</v>
      </c>
      <c r="BC330" t="s">
        <v>308</v>
      </c>
      <c r="BD330" t="s">
        <v>6844</v>
      </c>
      <c r="BF330" t="s">
        <v>307</v>
      </c>
      <c r="BG330" t="s">
        <v>308</v>
      </c>
      <c r="BI330">
        <v>2015</v>
      </c>
      <c r="BL330" t="s">
        <v>369</v>
      </c>
      <c r="BM330" t="s">
        <v>369</v>
      </c>
      <c r="BN330">
        <v>33</v>
      </c>
    </row>
    <row r="331" spans="1:66" x14ac:dyDescent="0.3">
      <c r="A331">
        <v>373</v>
      </c>
      <c r="B331" t="e">
        <v>#NUM!</v>
      </c>
      <c r="C331" t="s">
        <v>4209</v>
      </c>
      <c r="D331">
        <v>642402192</v>
      </c>
      <c r="E331">
        <v>1420022728306</v>
      </c>
      <c r="G331" t="s">
        <v>31</v>
      </c>
      <c r="H331" t="s">
        <v>31</v>
      </c>
      <c r="I331" s="305">
        <v>45342</v>
      </c>
      <c r="J331">
        <v>0</v>
      </c>
      <c r="K331">
        <v>10</v>
      </c>
      <c r="L331" t="s">
        <v>14</v>
      </c>
      <c r="M331" t="s">
        <v>187</v>
      </c>
      <c r="O331" s="305">
        <v>45657</v>
      </c>
      <c r="Q331" t="s">
        <v>206</v>
      </c>
      <c r="R331" t="s">
        <v>6863</v>
      </c>
      <c r="S331" t="s">
        <v>312</v>
      </c>
      <c r="T331" t="s">
        <v>31</v>
      </c>
      <c r="U331" t="s">
        <v>204</v>
      </c>
      <c r="V331" t="s">
        <v>639</v>
      </c>
      <c r="W331" t="s">
        <v>122</v>
      </c>
      <c r="X331" t="s">
        <v>313</v>
      </c>
      <c r="AA331" t="s">
        <v>132</v>
      </c>
      <c r="AB331" t="s">
        <v>564</v>
      </c>
      <c r="AC331" s="305">
        <v>36561</v>
      </c>
      <c r="AD331">
        <v>24</v>
      </c>
      <c r="AE331" t="s">
        <v>4210</v>
      </c>
      <c r="AF331" t="s">
        <v>4211</v>
      </c>
      <c r="AG331" t="s">
        <v>4212</v>
      </c>
      <c r="AH331" t="s">
        <v>4212</v>
      </c>
      <c r="AJ331" t="s">
        <v>4213</v>
      </c>
      <c r="AK331" t="s">
        <v>4214</v>
      </c>
      <c r="AL331" t="s">
        <v>4215</v>
      </c>
      <c r="AM331" t="s">
        <v>4733</v>
      </c>
      <c r="AN331" t="s">
        <v>4216</v>
      </c>
      <c r="AS331" t="s">
        <v>4217</v>
      </c>
      <c r="AT331" t="s">
        <v>4218</v>
      </c>
      <c r="AU331" t="s">
        <v>4219</v>
      </c>
      <c r="AV331" t="s">
        <v>4220</v>
      </c>
      <c r="AW331">
        <v>0</v>
      </c>
      <c r="AX331" t="s">
        <v>5627</v>
      </c>
      <c r="BA331" t="s">
        <v>161</v>
      </c>
      <c r="BB331" t="s">
        <v>349</v>
      </c>
      <c r="BC331" t="s">
        <v>4221</v>
      </c>
      <c r="BD331" t="s">
        <v>4222</v>
      </c>
      <c r="BE331">
        <v>2019</v>
      </c>
      <c r="BF331" t="s">
        <v>349</v>
      </c>
      <c r="BG331" t="s">
        <v>4221</v>
      </c>
      <c r="BH331" t="s">
        <v>4222</v>
      </c>
      <c r="BI331">
        <v>2019</v>
      </c>
      <c r="BL331" t="s">
        <v>351</v>
      </c>
      <c r="BM331" t="s">
        <v>351</v>
      </c>
      <c r="BN331">
        <v>42</v>
      </c>
    </row>
    <row r="332" spans="1:66" x14ac:dyDescent="0.3">
      <c r="A332">
        <v>374</v>
      </c>
      <c r="B332" t="e">
        <v>#NUM!</v>
      </c>
      <c r="C332" t="s">
        <v>4223</v>
      </c>
      <c r="D332">
        <v>642402193</v>
      </c>
      <c r="F332">
        <v>7266298158</v>
      </c>
      <c r="G332" t="s">
        <v>31</v>
      </c>
      <c r="H332" t="s">
        <v>31</v>
      </c>
      <c r="I332" s="305">
        <v>45342</v>
      </c>
      <c r="J332">
        <v>0</v>
      </c>
      <c r="K332">
        <v>10</v>
      </c>
      <c r="L332" t="s">
        <v>14</v>
      </c>
      <c r="M332" t="s">
        <v>187</v>
      </c>
      <c r="O332" s="305">
        <v>45657</v>
      </c>
      <c r="Q332" t="s">
        <v>206</v>
      </c>
      <c r="R332" t="s">
        <v>6863</v>
      </c>
      <c r="S332" t="s">
        <v>312</v>
      </c>
      <c r="T332" t="s">
        <v>31</v>
      </c>
      <c r="U332" t="s">
        <v>204</v>
      </c>
      <c r="V332" t="s">
        <v>639</v>
      </c>
      <c r="W332" t="s">
        <v>122</v>
      </c>
      <c r="X332" t="s">
        <v>313</v>
      </c>
      <c r="AA332" t="s">
        <v>132</v>
      </c>
      <c r="AB332" t="s">
        <v>31</v>
      </c>
      <c r="AC332" s="305">
        <v>37022</v>
      </c>
      <c r="AD332">
        <v>23</v>
      </c>
      <c r="AE332" t="s">
        <v>4224</v>
      </c>
      <c r="AF332" t="s">
        <v>4225</v>
      </c>
      <c r="AG332" t="s">
        <v>4226</v>
      </c>
      <c r="AH332" t="s">
        <v>4226</v>
      </c>
      <c r="AJ332" t="s">
        <v>4227</v>
      </c>
      <c r="AK332" t="s">
        <v>4228</v>
      </c>
      <c r="AL332">
        <v>24036556298</v>
      </c>
      <c r="AM332" t="s">
        <v>4716</v>
      </c>
      <c r="AS332" t="s">
        <v>4229</v>
      </c>
      <c r="AT332" t="s">
        <v>4230</v>
      </c>
      <c r="AU332" t="s">
        <v>306</v>
      </c>
      <c r="AV332" t="s">
        <v>306</v>
      </c>
      <c r="AW332">
        <v>0</v>
      </c>
      <c r="AX332" t="s">
        <v>5078</v>
      </c>
      <c r="AZ332" t="s">
        <v>4231</v>
      </c>
      <c r="BA332" t="s">
        <v>161</v>
      </c>
      <c r="BB332" t="s">
        <v>349</v>
      </c>
      <c r="BC332" t="s">
        <v>6778</v>
      </c>
      <c r="BD332" t="s">
        <v>1804</v>
      </c>
      <c r="BE332">
        <v>2019</v>
      </c>
      <c r="BF332" t="s">
        <v>349</v>
      </c>
      <c r="BG332" t="s">
        <v>6778</v>
      </c>
      <c r="BH332" t="s">
        <v>1804</v>
      </c>
      <c r="BI332">
        <v>2019</v>
      </c>
      <c r="BL332" t="s">
        <v>369</v>
      </c>
      <c r="BM332" t="s">
        <v>369</v>
      </c>
      <c r="BN332">
        <v>47</v>
      </c>
    </row>
    <row r="333" spans="1:66" x14ac:dyDescent="0.3">
      <c r="A333">
        <v>375</v>
      </c>
      <c r="B333">
        <v>42</v>
      </c>
      <c r="C333" t="s">
        <v>4232</v>
      </c>
      <c r="D333">
        <v>642403195</v>
      </c>
      <c r="E333">
        <v>1710000417579</v>
      </c>
      <c r="G333" t="s">
        <v>217</v>
      </c>
      <c r="H333" t="s">
        <v>217</v>
      </c>
      <c r="I333" s="305">
        <v>45352</v>
      </c>
      <c r="J333">
        <v>0</v>
      </c>
      <c r="K333">
        <v>10</v>
      </c>
      <c r="L333" t="s">
        <v>14</v>
      </c>
      <c r="M333" t="s">
        <v>187</v>
      </c>
      <c r="O333" s="305">
        <v>45716</v>
      </c>
      <c r="Q333" t="s">
        <v>206</v>
      </c>
      <c r="R333" t="s">
        <v>6863</v>
      </c>
      <c r="S333" t="s">
        <v>312</v>
      </c>
      <c r="T333" t="s">
        <v>204</v>
      </c>
      <c r="U333" t="s">
        <v>204</v>
      </c>
      <c r="V333" t="s">
        <v>832</v>
      </c>
      <c r="W333" t="s">
        <v>208</v>
      </c>
      <c r="X333" t="s">
        <v>313</v>
      </c>
      <c r="AA333" t="s">
        <v>132</v>
      </c>
      <c r="AB333" t="s">
        <v>217</v>
      </c>
      <c r="AC333" s="305">
        <v>31655</v>
      </c>
      <c r="AD333">
        <v>38</v>
      </c>
      <c r="AE333" t="s">
        <v>4233</v>
      </c>
      <c r="AF333" t="s">
        <v>4234</v>
      </c>
      <c r="AG333" t="s">
        <v>4235</v>
      </c>
      <c r="AH333" t="s">
        <v>4235</v>
      </c>
      <c r="AJ333" t="s">
        <v>4236</v>
      </c>
      <c r="AK333" t="s">
        <v>4237</v>
      </c>
      <c r="AL333" t="s">
        <v>4238</v>
      </c>
      <c r="AM333" t="s">
        <v>4733</v>
      </c>
      <c r="AN333" t="s">
        <v>4239</v>
      </c>
      <c r="AS333" t="s">
        <v>4240</v>
      </c>
      <c r="AT333" t="s">
        <v>4241</v>
      </c>
      <c r="AU333" t="s">
        <v>4242</v>
      </c>
      <c r="AV333" t="s">
        <v>4243</v>
      </c>
      <c r="AW333">
        <v>0</v>
      </c>
      <c r="AX333" t="s">
        <v>5627</v>
      </c>
      <c r="BA333" t="s">
        <v>161</v>
      </c>
      <c r="BB333" t="s">
        <v>349</v>
      </c>
      <c r="BC333" t="s">
        <v>4244</v>
      </c>
      <c r="BD333" t="s">
        <v>350</v>
      </c>
      <c r="BE333">
        <v>2005</v>
      </c>
      <c r="BF333" t="s">
        <v>349</v>
      </c>
      <c r="BG333" t="s">
        <v>4244</v>
      </c>
      <c r="BH333" t="s">
        <v>350</v>
      </c>
      <c r="BI333">
        <v>2005</v>
      </c>
      <c r="BL333" t="s">
        <v>351</v>
      </c>
      <c r="BM333" t="s">
        <v>351</v>
      </c>
    </row>
    <row r="334" spans="1:66" x14ac:dyDescent="0.3">
      <c r="A334">
        <v>376</v>
      </c>
      <c r="B334">
        <v>42</v>
      </c>
      <c r="C334" t="s">
        <v>4245</v>
      </c>
      <c r="D334">
        <v>642403196</v>
      </c>
      <c r="F334">
        <v>7269212483</v>
      </c>
      <c r="G334" t="s">
        <v>217</v>
      </c>
      <c r="H334" t="s">
        <v>217</v>
      </c>
      <c r="I334" s="305">
        <v>45352</v>
      </c>
      <c r="J334">
        <v>0</v>
      </c>
      <c r="K334">
        <v>10</v>
      </c>
      <c r="L334" t="s">
        <v>14</v>
      </c>
      <c r="M334" t="s">
        <v>187</v>
      </c>
      <c r="O334" s="305">
        <v>45716</v>
      </c>
      <c r="Q334" t="s">
        <v>206</v>
      </c>
      <c r="R334" t="s">
        <v>6863</v>
      </c>
      <c r="S334" t="s">
        <v>312</v>
      </c>
      <c r="T334" t="s">
        <v>204</v>
      </c>
      <c r="U334" t="s">
        <v>204</v>
      </c>
      <c r="V334" t="s">
        <v>832</v>
      </c>
      <c r="W334" t="s">
        <v>208</v>
      </c>
      <c r="X334" t="s">
        <v>313</v>
      </c>
      <c r="AA334" t="s">
        <v>132</v>
      </c>
      <c r="AB334" t="s">
        <v>217</v>
      </c>
      <c r="AC334" s="305">
        <v>30849</v>
      </c>
      <c r="AD334">
        <v>40</v>
      </c>
      <c r="AE334" t="s">
        <v>4246</v>
      </c>
      <c r="AF334" t="s">
        <v>4247</v>
      </c>
      <c r="AG334" t="s">
        <v>4248</v>
      </c>
      <c r="AH334" t="s">
        <v>4248</v>
      </c>
      <c r="AJ334" t="s">
        <v>4249</v>
      </c>
      <c r="AK334" t="s">
        <v>4250</v>
      </c>
      <c r="AL334">
        <v>24049876162</v>
      </c>
      <c r="AM334" t="s">
        <v>4733</v>
      </c>
      <c r="AN334" t="s">
        <v>4251</v>
      </c>
      <c r="AO334" t="s">
        <v>4252</v>
      </c>
      <c r="AS334" t="s">
        <v>4253</v>
      </c>
      <c r="AT334" t="s">
        <v>4254</v>
      </c>
      <c r="AU334" t="s">
        <v>4255</v>
      </c>
      <c r="AV334" t="s">
        <v>4256</v>
      </c>
      <c r="AW334">
        <v>1</v>
      </c>
      <c r="AX334" t="s">
        <v>5637</v>
      </c>
      <c r="BA334" t="s">
        <v>161</v>
      </c>
      <c r="BB334" t="s">
        <v>349</v>
      </c>
      <c r="BC334" t="s">
        <v>4244</v>
      </c>
      <c r="BD334" t="s">
        <v>790</v>
      </c>
      <c r="BE334">
        <v>2003</v>
      </c>
      <c r="BF334" t="s">
        <v>349</v>
      </c>
      <c r="BG334" t="s">
        <v>4244</v>
      </c>
      <c r="BH334" t="s">
        <v>790</v>
      </c>
      <c r="BI334">
        <v>2003</v>
      </c>
      <c r="BL334" t="s">
        <v>360</v>
      </c>
      <c r="BM334" t="s">
        <v>351</v>
      </c>
      <c r="BN334">
        <v>39</v>
      </c>
    </row>
    <row r="335" spans="1:66" x14ac:dyDescent="0.3">
      <c r="A335">
        <v>381</v>
      </c>
      <c r="B335" t="e">
        <v>#NUM!</v>
      </c>
      <c r="C335" t="s">
        <v>4299</v>
      </c>
      <c r="D335">
        <v>642406195</v>
      </c>
      <c r="E335">
        <v>1220007712865</v>
      </c>
      <c r="F335">
        <v>7183168015</v>
      </c>
      <c r="G335" t="s">
        <v>24</v>
      </c>
      <c r="H335" t="s">
        <v>24</v>
      </c>
      <c r="I335" s="305">
        <v>45444</v>
      </c>
      <c r="J335">
        <v>0</v>
      </c>
      <c r="K335">
        <v>7</v>
      </c>
      <c r="L335" t="s">
        <v>14</v>
      </c>
      <c r="M335" t="s">
        <v>187</v>
      </c>
      <c r="O335" s="305">
        <v>45657</v>
      </c>
      <c r="Q335" t="s">
        <v>206</v>
      </c>
      <c r="R335" t="s">
        <v>6863</v>
      </c>
      <c r="S335" t="s">
        <v>312</v>
      </c>
      <c r="T335" t="s">
        <v>24</v>
      </c>
      <c r="U335" t="s">
        <v>443</v>
      </c>
      <c r="V335" t="s">
        <v>1512</v>
      </c>
      <c r="W335" t="s">
        <v>121</v>
      </c>
      <c r="X335" t="s">
        <v>313</v>
      </c>
      <c r="Y335" t="s">
        <v>1218</v>
      </c>
      <c r="AA335" t="s">
        <v>132</v>
      </c>
      <c r="AB335" t="s">
        <v>24</v>
      </c>
      <c r="AC335" s="305">
        <v>21655</v>
      </c>
      <c r="AD335">
        <v>65</v>
      </c>
      <c r="AE335" t="s">
        <v>4300</v>
      </c>
      <c r="AF335" t="s">
        <v>4301</v>
      </c>
      <c r="AG335" t="s">
        <v>4302</v>
      </c>
      <c r="AJ335" t="s">
        <v>4303</v>
      </c>
      <c r="AK335" t="s">
        <v>4304</v>
      </c>
      <c r="AL335">
        <v>22017333794</v>
      </c>
      <c r="AM335" t="s">
        <v>4733</v>
      </c>
      <c r="AN335" t="s">
        <v>4305</v>
      </c>
      <c r="AO335" t="s">
        <v>4306</v>
      </c>
      <c r="AW335">
        <v>1</v>
      </c>
      <c r="AX335" t="s">
        <v>5637</v>
      </c>
      <c r="BA335" t="s">
        <v>161</v>
      </c>
      <c r="BB335" t="s">
        <v>307</v>
      </c>
      <c r="BC335" t="s">
        <v>544</v>
      </c>
      <c r="BD335" t="s">
        <v>4307</v>
      </c>
      <c r="BE335">
        <v>1979</v>
      </c>
      <c r="BF335" t="s">
        <v>307</v>
      </c>
      <c r="BG335" t="s">
        <v>544</v>
      </c>
      <c r="BH335" t="s">
        <v>4307</v>
      </c>
      <c r="BI335">
        <v>1979</v>
      </c>
      <c r="BN335">
        <v>42</v>
      </c>
    </row>
    <row r="336" spans="1:66" x14ac:dyDescent="0.3">
      <c r="A336">
        <v>382</v>
      </c>
      <c r="B336" t="e">
        <v>#NUM!</v>
      </c>
      <c r="C336" t="s">
        <v>4308</v>
      </c>
      <c r="D336">
        <v>642408195</v>
      </c>
      <c r="E336">
        <v>1380010357569</v>
      </c>
      <c r="G336" t="s">
        <v>217</v>
      </c>
      <c r="H336" t="s">
        <v>432</v>
      </c>
      <c r="I336" s="305">
        <v>45505</v>
      </c>
      <c r="J336">
        <v>0</v>
      </c>
      <c r="K336">
        <v>0</v>
      </c>
      <c r="L336" t="s">
        <v>14</v>
      </c>
      <c r="M336" t="s">
        <v>187</v>
      </c>
      <c r="O336" s="305">
        <v>45657</v>
      </c>
      <c r="Q336" t="s">
        <v>206</v>
      </c>
      <c r="R336" t="s">
        <v>6863</v>
      </c>
      <c r="S336" t="s">
        <v>296</v>
      </c>
      <c r="T336" t="s">
        <v>187</v>
      </c>
      <c r="U336" t="s">
        <v>3413</v>
      </c>
      <c r="V336" t="s">
        <v>54</v>
      </c>
      <c r="W336" t="s">
        <v>120</v>
      </c>
      <c r="X336" t="s">
        <v>313</v>
      </c>
      <c r="AA336" t="s">
        <v>132</v>
      </c>
      <c r="AB336" t="s">
        <v>432</v>
      </c>
      <c r="AC336" s="305">
        <v>30531</v>
      </c>
      <c r="AD336">
        <v>41</v>
      </c>
      <c r="AE336" t="s">
        <v>4309</v>
      </c>
      <c r="AF336" t="s">
        <v>4310</v>
      </c>
      <c r="AG336" t="s">
        <v>4311</v>
      </c>
      <c r="AJ336" t="s">
        <v>4312</v>
      </c>
      <c r="AK336" t="s">
        <v>4313</v>
      </c>
      <c r="AL336" t="s">
        <v>4314</v>
      </c>
      <c r="AM336" t="s">
        <v>4733</v>
      </c>
      <c r="AN336" t="s">
        <v>4315</v>
      </c>
      <c r="AO336" t="s">
        <v>4316</v>
      </c>
      <c r="AP336" t="s">
        <v>4317</v>
      </c>
      <c r="AS336" t="s">
        <v>4318</v>
      </c>
      <c r="AT336" t="s">
        <v>4319</v>
      </c>
      <c r="AU336" t="s">
        <v>4320</v>
      </c>
      <c r="AV336" t="s">
        <v>4321</v>
      </c>
      <c r="AW336">
        <v>2</v>
      </c>
      <c r="AX336" t="s">
        <v>5002</v>
      </c>
      <c r="AZ336" t="s">
        <v>4322</v>
      </c>
      <c r="BA336" t="s">
        <v>161</v>
      </c>
      <c r="BB336" t="s">
        <v>75</v>
      </c>
      <c r="BC336" t="s">
        <v>4323</v>
      </c>
      <c r="BD336" t="s">
        <v>114</v>
      </c>
      <c r="BE336">
        <v>2009</v>
      </c>
      <c r="BF336" t="s">
        <v>75</v>
      </c>
      <c r="BG336" t="s">
        <v>4323</v>
      </c>
      <c r="BH336" t="s">
        <v>114</v>
      </c>
      <c r="BI336">
        <v>2009</v>
      </c>
      <c r="BL336" t="s">
        <v>351</v>
      </c>
      <c r="BM336" t="s">
        <v>351</v>
      </c>
      <c r="BN336">
        <v>41</v>
      </c>
    </row>
    <row r="337" spans="1:66" x14ac:dyDescent="0.3">
      <c r="A337">
        <v>383</v>
      </c>
      <c r="B337" t="e">
        <v>#NUM!</v>
      </c>
      <c r="C337" t="s">
        <v>4324</v>
      </c>
      <c r="D337">
        <v>642408196</v>
      </c>
      <c r="E337">
        <v>1430031389495</v>
      </c>
      <c r="G337" t="s">
        <v>32</v>
      </c>
      <c r="H337" t="s">
        <v>4325</v>
      </c>
      <c r="I337" s="305">
        <v>45516</v>
      </c>
      <c r="J337">
        <v>0</v>
      </c>
      <c r="K337">
        <v>0</v>
      </c>
      <c r="L337" t="s">
        <v>14</v>
      </c>
      <c r="M337" t="s">
        <v>187</v>
      </c>
      <c r="O337" s="305">
        <v>45657</v>
      </c>
      <c r="Q337" t="s">
        <v>206</v>
      </c>
      <c r="R337" t="s">
        <v>6863</v>
      </c>
      <c r="S337" t="s">
        <v>312</v>
      </c>
      <c r="T337" t="s">
        <v>32</v>
      </c>
      <c r="U337" t="s">
        <v>207</v>
      </c>
      <c r="V337" t="s">
        <v>207</v>
      </c>
      <c r="W337" t="s">
        <v>207</v>
      </c>
      <c r="X337" t="s">
        <v>313</v>
      </c>
      <c r="AA337" t="s">
        <v>132</v>
      </c>
      <c r="AB337" t="s">
        <v>4326</v>
      </c>
      <c r="AC337" s="305">
        <v>34141</v>
      </c>
      <c r="AD337">
        <v>31</v>
      </c>
      <c r="AE337" t="s">
        <v>4327</v>
      </c>
      <c r="AF337" t="s">
        <v>4328</v>
      </c>
      <c r="AG337" t="s">
        <v>4329</v>
      </c>
      <c r="AJ337" t="s">
        <v>4330</v>
      </c>
      <c r="AK337" t="s">
        <v>4331</v>
      </c>
      <c r="AL337" t="s">
        <v>4332</v>
      </c>
      <c r="AM337" t="s">
        <v>4733</v>
      </c>
      <c r="AN337" t="s">
        <v>4333</v>
      </c>
      <c r="AO337" t="s">
        <v>4334</v>
      </c>
      <c r="AS337" t="s">
        <v>4335</v>
      </c>
      <c r="AT337" t="s">
        <v>2293</v>
      </c>
      <c r="AU337" t="s">
        <v>4336</v>
      </c>
      <c r="AV337" t="s">
        <v>4337</v>
      </c>
      <c r="AW337">
        <v>1</v>
      </c>
      <c r="AX337" t="s">
        <v>5637</v>
      </c>
      <c r="AZ337" t="s">
        <v>4338</v>
      </c>
      <c r="BA337" t="s">
        <v>161</v>
      </c>
      <c r="BB337" t="s">
        <v>349</v>
      </c>
      <c r="BC337" t="s">
        <v>4339</v>
      </c>
      <c r="BD337" t="s">
        <v>6844</v>
      </c>
      <c r="BE337">
        <v>2011</v>
      </c>
      <c r="BF337" t="s">
        <v>349</v>
      </c>
      <c r="BG337" t="s">
        <v>4339</v>
      </c>
      <c r="BI337">
        <v>2011</v>
      </c>
      <c r="BL337" t="s">
        <v>369</v>
      </c>
      <c r="BM337" t="s">
        <v>369</v>
      </c>
      <c r="BN337">
        <v>43</v>
      </c>
    </row>
    <row r="338" spans="1:66" x14ac:dyDescent="0.3">
      <c r="A338">
        <v>384</v>
      </c>
      <c r="B338" t="e">
        <v>#NUM!</v>
      </c>
      <c r="C338" t="s">
        <v>4340</v>
      </c>
      <c r="D338">
        <v>642408197</v>
      </c>
      <c r="E338">
        <v>1430031389859</v>
      </c>
      <c r="G338" t="s">
        <v>32</v>
      </c>
      <c r="H338" t="s">
        <v>217</v>
      </c>
      <c r="I338" s="305">
        <v>45516</v>
      </c>
      <c r="J338">
        <v>0</v>
      </c>
      <c r="K338">
        <v>0</v>
      </c>
      <c r="L338" t="s">
        <v>14</v>
      </c>
      <c r="M338" t="s">
        <v>187</v>
      </c>
      <c r="O338" s="305">
        <v>45657</v>
      </c>
      <c r="Q338" t="s">
        <v>206</v>
      </c>
      <c r="R338" t="s">
        <v>6863</v>
      </c>
      <c r="S338" t="s">
        <v>312</v>
      </c>
      <c r="T338" t="s">
        <v>32</v>
      </c>
      <c r="U338" t="s">
        <v>207</v>
      </c>
      <c r="V338" t="s">
        <v>207</v>
      </c>
      <c r="W338" t="s">
        <v>207</v>
      </c>
      <c r="X338" t="s">
        <v>313</v>
      </c>
      <c r="AA338" t="s">
        <v>132</v>
      </c>
      <c r="AB338" t="s">
        <v>217</v>
      </c>
      <c r="AC338" s="305">
        <v>36878</v>
      </c>
      <c r="AD338">
        <v>24</v>
      </c>
      <c r="AE338" t="s">
        <v>4341</v>
      </c>
      <c r="AF338" t="s">
        <v>4342</v>
      </c>
      <c r="AG338" t="s">
        <v>4343</v>
      </c>
      <c r="AJ338" t="s">
        <v>4344</v>
      </c>
      <c r="AK338" t="s">
        <v>4345</v>
      </c>
      <c r="AL338" t="s">
        <v>4346</v>
      </c>
      <c r="AM338" t="s">
        <v>4716</v>
      </c>
      <c r="AS338" t="s">
        <v>4347</v>
      </c>
      <c r="AT338" t="s">
        <v>4348</v>
      </c>
      <c r="AW338">
        <v>0</v>
      </c>
      <c r="AX338" t="s">
        <v>5078</v>
      </c>
      <c r="BA338" t="s">
        <v>161</v>
      </c>
      <c r="BB338" t="s">
        <v>349</v>
      </c>
      <c r="BC338" t="s">
        <v>4349</v>
      </c>
      <c r="BD338" t="s">
        <v>516</v>
      </c>
      <c r="BE338">
        <v>2019</v>
      </c>
      <c r="BF338" t="s">
        <v>349</v>
      </c>
      <c r="BG338" t="s">
        <v>4349</v>
      </c>
      <c r="BH338" t="s">
        <v>516</v>
      </c>
      <c r="BI338">
        <v>2019</v>
      </c>
      <c r="BL338" t="s">
        <v>339</v>
      </c>
      <c r="BM338" t="s">
        <v>339</v>
      </c>
      <c r="BN338">
        <v>43</v>
      </c>
    </row>
    <row r="339" spans="1:66" x14ac:dyDescent="0.3">
      <c r="A339">
        <v>385</v>
      </c>
      <c r="B339" t="e">
        <v>#NUM!</v>
      </c>
      <c r="C339" t="s">
        <v>4351</v>
      </c>
      <c r="D339">
        <v>642408199</v>
      </c>
      <c r="E339">
        <v>1710015935748</v>
      </c>
      <c r="G339" t="s">
        <v>217</v>
      </c>
      <c r="H339" t="s">
        <v>217</v>
      </c>
      <c r="I339" s="305">
        <v>45524</v>
      </c>
      <c r="J339">
        <v>0</v>
      </c>
      <c r="K339">
        <v>0</v>
      </c>
      <c r="L339" t="s">
        <v>14</v>
      </c>
      <c r="M339" t="s">
        <v>187</v>
      </c>
      <c r="O339" s="305">
        <v>45657</v>
      </c>
      <c r="Q339" t="s">
        <v>206</v>
      </c>
      <c r="R339" t="s">
        <v>6863</v>
      </c>
      <c r="S339" t="s">
        <v>312</v>
      </c>
      <c r="T339" t="s">
        <v>204</v>
      </c>
      <c r="U339" t="s">
        <v>207</v>
      </c>
      <c r="V339" t="s">
        <v>207</v>
      </c>
      <c r="W339" t="s">
        <v>207</v>
      </c>
      <c r="X339" t="s">
        <v>313</v>
      </c>
      <c r="AA339" t="s">
        <v>132</v>
      </c>
      <c r="AB339" t="s">
        <v>432</v>
      </c>
      <c r="AC339" s="305">
        <v>38871</v>
      </c>
      <c r="AD339">
        <v>18</v>
      </c>
      <c r="AE339" t="s">
        <v>4352</v>
      </c>
      <c r="AF339" t="s">
        <v>4353</v>
      </c>
      <c r="AG339" t="s">
        <v>4354</v>
      </c>
      <c r="AJ339" t="s">
        <v>4355</v>
      </c>
      <c r="AK339" t="s">
        <v>4356</v>
      </c>
      <c r="AL339" t="s">
        <v>4357</v>
      </c>
      <c r="AM339" t="s">
        <v>4716</v>
      </c>
      <c r="AS339" t="s">
        <v>4358</v>
      </c>
      <c r="AT339" t="s">
        <v>4359</v>
      </c>
      <c r="AW339">
        <v>0</v>
      </c>
      <c r="AX339" t="s">
        <v>5078</v>
      </c>
      <c r="BA339" t="s">
        <v>161</v>
      </c>
      <c r="BB339" t="s">
        <v>349</v>
      </c>
      <c r="BC339" t="s">
        <v>4360</v>
      </c>
      <c r="BD339" t="s">
        <v>3877</v>
      </c>
      <c r="BE339">
        <v>2024</v>
      </c>
      <c r="BF339" t="s">
        <v>349</v>
      </c>
      <c r="BG339" t="s">
        <v>4360</v>
      </c>
      <c r="BH339" t="s">
        <v>3877</v>
      </c>
      <c r="BI339">
        <v>2024</v>
      </c>
      <c r="BL339" t="s">
        <v>339</v>
      </c>
      <c r="BM339" t="s">
        <v>369</v>
      </c>
      <c r="BN339">
        <v>43</v>
      </c>
    </row>
    <row r="340" spans="1:66" x14ac:dyDescent="0.3">
      <c r="A340">
        <v>386</v>
      </c>
      <c r="B340" t="e">
        <v>#NUM!</v>
      </c>
      <c r="C340" t="s">
        <v>4361</v>
      </c>
      <c r="D340">
        <v>642408200</v>
      </c>
      <c r="E340">
        <v>1710015931739</v>
      </c>
      <c r="G340" t="s">
        <v>217</v>
      </c>
      <c r="H340" t="s">
        <v>217</v>
      </c>
      <c r="I340" s="305">
        <v>45524</v>
      </c>
      <c r="J340">
        <v>0</v>
      </c>
      <c r="K340">
        <v>0</v>
      </c>
      <c r="L340" t="s">
        <v>14</v>
      </c>
      <c r="M340" t="s">
        <v>187</v>
      </c>
      <c r="O340" s="305">
        <v>45657</v>
      </c>
      <c r="Q340" t="s">
        <v>206</v>
      </c>
      <c r="R340" t="s">
        <v>6863</v>
      </c>
      <c r="S340" t="s">
        <v>312</v>
      </c>
      <c r="T340" t="s">
        <v>204</v>
      </c>
      <c r="U340" t="s">
        <v>207</v>
      </c>
      <c r="V340" t="s">
        <v>207</v>
      </c>
      <c r="W340" t="s">
        <v>207</v>
      </c>
      <c r="X340" t="s">
        <v>313</v>
      </c>
      <c r="AA340" t="s">
        <v>132</v>
      </c>
      <c r="AB340" t="s">
        <v>217</v>
      </c>
      <c r="AC340" s="305">
        <v>37016</v>
      </c>
      <c r="AD340">
        <v>23</v>
      </c>
      <c r="AE340" t="s">
        <v>4362</v>
      </c>
      <c r="AF340" t="s">
        <v>4363</v>
      </c>
      <c r="AG340" t="s">
        <v>4364</v>
      </c>
      <c r="AJ340" t="s">
        <v>4365</v>
      </c>
      <c r="AK340" t="s">
        <v>4366</v>
      </c>
      <c r="AL340" t="s">
        <v>4367</v>
      </c>
      <c r="AM340" t="s">
        <v>4716</v>
      </c>
      <c r="AS340" t="s">
        <v>1787</v>
      </c>
      <c r="AT340" t="s">
        <v>4368</v>
      </c>
      <c r="AW340">
        <v>0</v>
      </c>
      <c r="AX340" t="s">
        <v>5078</v>
      </c>
      <c r="BA340" t="s">
        <v>161</v>
      </c>
      <c r="BB340" t="s">
        <v>307</v>
      </c>
      <c r="BC340" t="s">
        <v>308</v>
      </c>
      <c r="BD340" t="s">
        <v>6844</v>
      </c>
      <c r="BE340">
        <v>2021</v>
      </c>
      <c r="BF340" t="s">
        <v>307</v>
      </c>
      <c r="BG340" t="s">
        <v>308</v>
      </c>
      <c r="BI340">
        <v>2021</v>
      </c>
      <c r="BL340" t="s">
        <v>351</v>
      </c>
      <c r="BM340" t="s">
        <v>339</v>
      </c>
      <c r="BN340">
        <v>41</v>
      </c>
    </row>
    <row r="341" spans="1:66" x14ac:dyDescent="0.3">
      <c r="A341">
        <v>387</v>
      </c>
      <c r="B341" t="e">
        <v>#NUM!</v>
      </c>
      <c r="C341" t="s">
        <v>4369</v>
      </c>
      <c r="D341">
        <v>642408201</v>
      </c>
      <c r="E341">
        <v>1710015931069</v>
      </c>
      <c r="G341" t="s">
        <v>217</v>
      </c>
      <c r="H341" t="s">
        <v>217</v>
      </c>
      <c r="I341" s="305">
        <v>45524</v>
      </c>
      <c r="J341">
        <v>0</v>
      </c>
      <c r="K341">
        <v>0</v>
      </c>
      <c r="L341" t="s">
        <v>14</v>
      </c>
      <c r="M341" t="s">
        <v>187</v>
      </c>
      <c r="O341" s="305">
        <v>45657</v>
      </c>
      <c r="Q341" t="s">
        <v>206</v>
      </c>
      <c r="R341" t="s">
        <v>6863</v>
      </c>
      <c r="S341" t="s">
        <v>312</v>
      </c>
      <c r="T341" t="s">
        <v>204</v>
      </c>
      <c r="U341" t="s">
        <v>207</v>
      </c>
      <c r="V341" t="s">
        <v>207</v>
      </c>
      <c r="W341" t="s">
        <v>207</v>
      </c>
      <c r="X341" t="s">
        <v>313</v>
      </c>
      <c r="AA341" t="s">
        <v>132</v>
      </c>
      <c r="AB341" t="s">
        <v>217</v>
      </c>
      <c r="AC341" s="305">
        <v>33590</v>
      </c>
      <c r="AD341">
        <v>33</v>
      </c>
      <c r="AE341" t="s">
        <v>4370</v>
      </c>
      <c r="AF341" t="s">
        <v>4371</v>
      </c>
      <c r="AG341" t="s">
        <v>4372</v>
      </c>
      <c r="AJ341" t="s">
        <v>4373</v>
      </c>
      <c r="AK341" t="s">
        <v>4374</v>
      </c>
      <c r="AL341" t="s">
        <v>4375</v>
      </c>
      <c r="AM341" t="s">
        <v>4716</v>
      </c>
      <c r="AS341" t="s">
        <v>2612</v>
      </c>
      <c r="AT341" t="s">
        <v>4376</v>
      </c>
      <c r="AW341">
        <v>0</v>
      </c>
      <c r="AX341" t="s">
        <v>5078</v>
      </c>
      <c r="BA341" t="s">
        <v>161</v>
      </c>
      <c r="BB341" t="s">
        <v>349</v>
      </c>
      <c r="BC341" t="s">
        <v>91</v>
      </c>
      <c r="BD341" t="s">
        <v>516</v>
      </c>
      <c r="BE341">
        <v>2010</v>
      </c>
      <c r="BF341" t="s">
        <v>349</v>
      </c>
      <c r="BG341" t="s">
        <v>91</v>
      </c>
      <c r="BH341" t="s">
        <v>516</v>
      </c>
      <c r="BI341">
        <v>2010</v>
      </c>
      <c r="BL341" t="s">
        <v>339</v>
      </c>
      <c r="BM341" t="s">
        <v>339</v>
      </c>
      <c r="BN341">
        <v>39</v>
      </c>
    </row>
    <row r="342" spans="1:66" x14ac:dyDescent="0.3">
      <c r="A342">
        <v>388</v>
      </c>
      <c r="B342" t="e">
        <v>#NUM!</v>
      </c>
      <c r="C342" t="s">
        <v>4377</v>
      </c>
      <c r="D342">
        <v>642408202</v>
      </c>
      <c r="E342">
        <v>1710007372298</v>
      </c>
      <c r="G342" t="s">
        <v>217</v>
      </c>
      <c r="H342" t="s">
        <v>217</v>
      </c>
      <c r="I342" s="305">
        <v>45530</v>
      </c>
      <c r="J342">
        <v>0</v>
      </c>
      <c r="K342">
        <v>0</v>
      </c>
      <c r="L342" t="s">
        <v>14</v>
      </c>
      <c r="M342" t="s">
        <v>187</v>
      </c>
      <c r="O342" s="305">
        <v>45657</v>
      </c>
      <c r="Q342" t="s">
        <v>206</v>
      </c>
      <c r="R342" t="s">
        <v>6863</v>
      </c>
      <c r="S342" t="s">
        <v>312</v>
      </c>
      <c r="T342" t="s">
        <v>204</v>
      </c>
      <c r="U342" t="s">
        <v>204</v>
      </c>
      <c r="V342" t="s">
        <v>1426</v>
      </c>
      <c r="W342" t="s">
        <v>121</v>
      </c>
      <c r="X342" t="s">
        <v>313</v>
      </c>
      <c r="AA342" t="s">
        <v>132</v>
      </c>
      <c r="AB342" t="s">
        <v>217</v>
      </c>
      <c r="AC342" s="305">
        <v>34966</v>
      </c>
      <c r="AD342">
        <v>29</v>
      </c>
      <c r="AE342" t="s">
        <v>4378</v>
      </c>
      <c r="AF342" t="s">
        <v>4379</v>
      </c>
      <c r="AG342" t="s">
        <v>4380</v>
      </c>
      <c r="AH342">
        <v>81259976255</v>
      </c>
      <c r="AJ342" t="s">
        <v>4381</v>
      </c>
      <c r="AK342" t="s">
        <v>4382</v>
      </c>
      <c r="AL342" t="s">
        <v>4383</v>
      </c>
      <c r="AM342" t="s">
        <v>4716</v>
      </c>
      <c r="AS342" t="s">
        <v>4384</v>
      </c>
      <c r="AT342" t="s">
        <v>4385</v>
      </c>
      <c r="AW342">
        <v>0</v>
      </c>
      <c r="AX342" t="s">
        <v>5078</v>
      </c>
      <c r="BA342" t="s">
        <v>161</v>
      </c>
      <c r="BB342" t="s">
        <v>349</v>
      </c>
      <c r="BC342" t="s">
        <v>4386</v>
      </c>
      <c r="BD342" t="s">
        <v>516</v>
      </c>
      <c r="BE342">
        <v>2015</v>
      </c>
      <c r="BF342" t="s">
        <v>349</v>
      </c>
      <c r="BG342" t="s">
        <v>4386</v>
      </c>
      <c r="BH342" t="s">
        <v>516</v>
      </c>
      <c r="BI342">
        <v>2015</v>
      </c>
      <c r="BL342" t="s">
        <v>351</v>
      </c>
      <c r="BM342" t="s">
        <v>351</v>
      </c>
      <c r="BN342">
        <v>40</v>
      </c>
    </row>
    <row r="343" spans="1:66" x14ac:dyDescent="0.3">
      <c r="A343">
        <v>389</v>
      </c>
      <c r="B343" t="e">
        <v>#NUM!</v>
      </c>
      <c r="C343" t="s">
        <v>4387</v>
      </c>
      <c r="D343">
        <v>642408203</v>
      </c>
      <c r="E343">
        <v>1710016059761</v>
      </c>
      <c r="G343" t="s">
        <v>217</v>
      </c>
      <c r="H343" t="s">
        <v>217</v>
      </c>
      <c r="I343" s="305">
        <v>45553</v>
      </c>
      <c r="J343">
        <v>0</v>
      </c>
      <c r="K343">
        <v>0</v>
      </c>
      <c r="L343" t="s">
        <v>14</v>
      </c>
      <c r="M343" t="s">
        <v>187</v>
      </c>
      <c r="O343" s="305">
        <v>45657</v>
      </c>
      <c r="Q343" t="s">
        <v>206</v>
      </c>
      <c r="R343" t="s">
        <v>6863</v>
      </c>
      <c r="S343" t="s">
        <v>312</v>
      </c>
      <c r="T343" t="s">
        <v>204</v>
      </c>
      <c r="U343" t="s">
        <v>207</v>
      </c>
      <c r="V343" t="s">
        <v>207</v>
      </c>
      <c r="W343" t="s">
        <v>207</v>
      </c>
      <c r="AA343" t="s">
        <v>132</v>
      </c>
      <c r="AB343" t="s">
        <v>217</v>
      </c>
      <c r="AC343" s="305">
        <v>38519</v>
      </c>
      <c r="AD343">
        <v>19</v>
      </c>
      <c r="AE343" t="s">
        <v>4388</v>
      </c>
      <c r="AF343" t="s">
        <v>4389</v>
      </c>
      <c r="AG343" t="s">
        <v>4390</v>
      </c>
      <c r="AH343" t="s">
        <v>4390</v>
      </c>
      <c r="AJ343" t="s">
        <v>4391</v>
      </c>
      <c r="AK343" t="s">
        <v>4392</v>
      </c>
      <c r="AL343" t="s">
        <v>4393</v>
      </c>
      <c r="AM343" t="s">
        <v>4716</v>
      </c>
      <c r="AS343" t="s">
        <v>4394</v>
      </c>
      <c r="AT343" t="s">
        <v>4395</v>
      </c>
      <c r="AW343">
        <v>0</v>
      </c>
      <c r="AX343" t="s">
        <v>5078</v>
      </c>
      <c r="BA343" t="s">
        <v>161</v>
      </c>
      <c r="BB343" t="s">
        <v>349</v>
      </c>
      <c r="BC343" t="s">
        <v>91</v>
      </c>
      <c r="BD343" t="s">
        <v>516</v>
      </c>
      <c r="BE343">
        <v>2024</v>
      </c>
      <c r="BF343" t="s">
        <v>349</v>
      </c>
      <c r="BG343" t="s">
        <v>91</v>
      </c>
      <c r="BH343" t="s">
        <v>516</v>
      </c>
      <c r="BI343">
        <v>2024</v>
      </c>
      <c r="BL343" t="s">
        <v>351</v>
      </c>
      <c r="BM343" t="s">
        <v>339</v>
      </c>
      <c r="BN343">
        <v>41</v>
      </c>
    </row>
    <row r="344" spans="1:66" x14ac:dyDescent="0.3">
      <c r="A344">
        <v>390</v>
      </c>
      <c r="B344" t="e">
        <v>#NUM!</v>
      </c>
      <c r="C344" t="s">
        <v>309</v>
      </c>
      <c r="D344">
        <v>642409204</v>
      </c>
      <c r="E344" t="s">
        <v>310</v>
      </c>
      <c r="G344" t="s">
        <v>217</v>
      </c>
      <c r="H344" t="s">
        <v>311</v>
      </c>
      <c r="I344" s="305">
        <v>45567</v>
      </c>
      <c r="J344">
        <v>0</v>
      </c>
      <c r="K344">
        <v>0</v>
      </c>
      <c r="L344" t="s">
        <v>14</v>
      </c>
      <c r="M344" t="s">
        <v>187</v>
      </c>
      <c r="O344" s="305">
        <v>45657</v>
      </c>
      <c r="Q344" t="s">
        <v>206</v>
      </c>
      <c r="R344" t="s">
        <v>6863</v>
      </c>
      <c r="S344" t="s">
        <v>312</v>
      </c>
      <c r="W344" t="s">
        <v>121</v>
      </c>
      <c r="X344" t="s">
        <v>313</v>
      </c>
      <c r="AA344" t="s">
        <v>132</v>
      </c>
      <c r="AB344" t="s">
        <v>315</v>
      </c>
      <c r="AC344" s="305">
        <v>34570</v>
      </c>
      <c r="AD344">
        <v>30</v>
      </c>
      <c r="AE344" t="s">
        <v>316</v>
      </c>
      <c r="AF344" t="s">
        <v>317</v>
      </c>
      <c r="AG344" t="s">
        <v>318</v>
      </c>
      <c r="AH344" t="s">
        <v>319</v>
      </c>
      <c r="AI344" t="s">
        <v>319</v>
      </c>
      <c r="AJ344" t="s">
        <v>320</v>
      </c>
      <c r="AK344" t="s">
        <v>321</v>
      </c>
      <c r="AL344" t="s">
        <v>322</v>
      </c>
      <c r="AM344" t="s">
        <v>4716</v>
      </c>
      <c r="AS344" t="s">
        <v>323</v>
      </c>
      <c r="AT344" t="s">
        <v>324</v>
      </c>
      <c r="AW344">
        <v>0</v>
      </c>
      <c r="AX344" t="s">
        <v>5078</v>
      </c>
      <c r="BA344" t="s">
        <v>161</v>
      </c>
      <c r="BB344" t="s">
        <v>349</v>
      </c>
      <c r="BC344" t="s">
        <v>326</v>
      </c>
      <c r="BD344" t="s">
        <v>327</v>
      </c>
      <c r="BE344">
        <v>2013</v>
      </c>
      <c r="BF344" t="s">
        <v>349</v>
      </c>
      <c r="BG344" t="s">
        <v>326</v>
      </c>
      <c r="BH344" t="s">
        <v>327</v>
      </c>
      <c r="BI344">
        <v>2013</v>
      </c>
      <c r="BL344" t="s">
        <v>328</v>
      </c>
      <c r="BM344" t="s">
        <v>329</v>
      </c>
      <c r="BN344">
        <v>42</v>
      </c>
    </row>
    <row r="345" spans="1:66" x14ac:dyDescent="0.3">
      <c r="A345">
        <v>391</v>
      </c>
      <c r="B345" t="e">
        <v>#NUM!</v>
      </c>
      <c r="C345" t="s">
        <v>4396</v>
      </c>
      <c r="D345">
        <v>642409205</v>
      </c>
      <c r="E345" t="s">
        <v>4397</v>
      </c>
      <c r="G345" t="s">
        <v>217</v>
      </c>
      <c r="H345" t="s">
        <v>217</v>
      </c>
      <c r="I345" s="305">
        <v>45567</v>
      </c>
      <c r="J345">
        <v>0</v>
      </c>
      <c r="K345">
        <v>0</v>
      </c>
      <c r="L345" t="s">
        <v>14</v>
      </c>
      <c r="M345" t="s">
        <v>187</v>
      </c>
      <c r="O345" s="305">
        <v>45657</v>
      </c>
      <c r="Q345" t="s">
        <v>206</v>
      </c>
      <c r="R345" t="s">
        <v>6863</v>
      </c>
      <c r="S345" t="s">
        <v>312</v>
      </c>
      <c r="W345" t="s">
        <v>121</v>
      </c>
      <c r="X345" t="s">
        <v>313</v>
      </c>
      <c r="AA345" t="s">
        <v>132</v>
      </c>
      <c r="AB345" t="s">
        <v>217</v>
      </c>
      <c r="AC345" s="305">
        <v>37252</v>
      </c>
      <c r="AD345">
        <v>23</v>
      </c>
      <c r="AE345" t="s">
        <v>4398</v>
      </c>
      <c r="AF345" t="s">
        <v>4399</v>
      </c>
      <c r="AG345" t="s">
        <v>4400</v>
      </c>
      <c r="AH345" t="s">
        <v>4401</v>
      </c>
      <c r="AI345" t="s">
        <v>4401</v>
      </c>
      <c r="AJ345" t="s">
        <v>4402</v>
      </c>
      <c r="AK345" t="s">
        <v>4403</v>
      </c>
      <c r="AL345" t="s">
        <v>4404</v>
      </c>
      <c r="AM345" t="s">
        <v>4716</v>
      </c>
      <c r="AT345" t="s">
        <v>6751</v>
      </c>
      <c r="AW345">
        <v>0</v>
      </c>
      <c r="AX345" t="s">
        <v>5078</v>
      </c>
      <c r="BA345" t="s">
        <v>161</v>
      </c>
      <c r="BB345" t="s">
        <v>349</v>
      </c>
      <c r="BC345" t="s">
        <v>515</v>
      </c>
      <c r="BD345" t="s">
        <v>4405</v>
      </c>
      <c r="BE345">
        <v>2019</v>
      </c>
      <c r="BF345" t="s">
        <v>349</v>
      </c>
      <c r="BG345" t="s">
        <v>515</v>
      </c>
      <c r="BH345" t="s">
        <v>4405</v>
      </c>
      <c r="BI345">
        <v>2019</v>
      </c>
      <c r="BL345" t="s">
        <v>351</v>
      </c>
      <c r="BM345" t="s">
        <v>351</v>
      </c>
      <c r="BN345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73D5-9EED-4DCE-98BA-A23731F7CB42}">
  <sheetPr codeName="Sheet10">
    <tabColor rgb="FF92D050"/>
  </sheetPr>
  <dimension ref="A1:AG206"/>
  <sheetViews>
    <sheetView topLeftCell="A69" zoomScale="80" zoomScaleNormal="80" workbookViewId="0">
      <selection activeCell="B3" sqref="B3"/>
    </sheetView>
  </sheetViews>
  <sheetFormatPr defaultColWidth="9.21875" defaultRowHeight="14.4" x14ac:dyDescent="0.3"/>
  <cols>
    <col min="1" max="1" width="29.77734375" style="216" bestFit="1" customWidth="1"/>
    <col min="2" max="2" width="10" style="216" bestFit="1" customWidth="1"/>
    <col min="3" max="3" width="20.44140625" style="215" bestFit="1" customWidth="1"/>
    <col min="4" max="4" width="20.77734375" style="216" bestFit="1" customWidth="1"/>
    <col min="5" max="5" width="16.21875" style="216" bestFit="1" customWidth="1"/>
    <col min="6" max="6" width="10" style="216" bestFit="1" customWidth="1"/>
    <col min="7" max="7" width="9.21875" style="216"/>
    <col min="8" max="8" width="17.21875" style="216" bestFit="1" customWidth="1"/>
    <col min="9" max="9" width="23.5546875" style="216" bestFit="1" customWidth="1"/>
    <col min="10" max="10" width="14.77734375" style="216" bestFit="1" customWidth="1"/>
    <col min="11" max="11" width="10.5546875" style="216" bestFit="1" customWidth="1"/>
    <col min="12" max="12" width="16.21875" style="216" bestFit="1" customWidth="1"/>
    <col min="13" max="13" width="20.77734375" style="216" bestFit="1" customWidth="1"/>
    <col min="14" max="14" width="16.21875" style="216" bestFit="1" customWidth="1"/>
    <col min="15" max="16" width="18.77734375" style="216" bestFit="1" customWidth="1"/>
    <col min="17" max="17" width="15" style="216" bestFit="1" customWidth="1"/>
    <col min="18" max="18" width="9.77734375" style="217" customWidth="1"/>
    <col min="19" max="19" width="6.77734375" style="217" bestFit="1" customWidth="1"/>
    <col min="20" max="20" width="7.21875" style="217" customWidth="1"/>
    <col min="21" max="21" width="7.21875" style="217" bestFit="1" customWidth="1"/>
    <col min="22" max="22" width="7.77734375" style="217" bestFit="1" customWidth="1"/>
    <col min="23" max="23" width="7.44140625" style="217" bestFit="1" customWidth="1"/>
    <col min="24" max="24" width="7.21875" style="217" bestFit="1" customWidth="1"/>
    <col min="25" max="25" width="8.21875" style="217" bestFit="1" customWidth="1"/>
    <col min="26" max="27" width="7.44140625" style="217" bestFit="1" customWidth="1"/>
    <col min="28" max="28" width="15" style="217" bestFit="1" customWidth="1"/>
    <col min="29" max="29" width="9.44140625" style="217" customWidth="1"/>
    <col min="30" max="30" width="9.21875" style="217"/>
    <col min="31" max="31" width="8.77734375" style="217" bestFit="1" customWidth="1"/>
    <col min="32" max="32" width="7.44140625" style="217" bestFit="1" customWidth="1"/>
    <col min="33" max="16384" width="9.21875" style="216"/>
  </cols>
  <sheetData>
    <row r="1" spans="1:33" x14ac:dyDescent="0.3">
      <c r="A1" s="344" t="s">
        <v>211</v>
      </c>
      <c r="B1" s="344"/>
      <c r="C1" s="344"/>
      <c r="E1" s="342" t="s">
        <v>212</v>
      </c>
      <c r="F1" s="342"/>
      <c r="H1" s="342" t="s">
        <v>213</v>
      </c>
      <c r="I1" s="342"/>
    </row>
    <row r="2" spans="1:33" x14ac:dyDescent="0.3">
      <c r="A2" s="236" t="s">
        <v>6823</v>
      </c>
      <c r="B2" t="s">
        <v>10</v>
      </c>
      <c r="C2"/>
      <c r="E2" s="226" t="s">
        <v>212</v>
      </c>
      <c r="F2" t="s">
        <v>10</v>
      </c>
      <c r="H2" s="226" t="s">
        <v>10</v>
      </c>
      <c r="I2" s="226" t="s">
        <v>6824</v>
      </c>
      <c r="J2"/>
      <c r="K2"/>
      <c r="L2"/>
    </row>
    <row r="3" spans="1:33" x14ac:dyDescent="0.3">
      <c r="A3" s="227" t="s">
        <v>14</v>
      </c>
      <c r="B3">
        <v>344</v>
      </c>
      <c r="C3"/>
      <c r="D3" s="218"/>
      <c r="E3" s="227" t="s">
        <v>132</v>
      </c>
      <c r="F3">
        <v>392</v>
      </c>
      <c r="H3" s="226" t="s">
        <v>229</v>
      </c>
      <c r="I3" t="s">
        <v>132</v>
      </c>
      <c r="J3" t="s">
        <v>133</v>
      </c>
      <c r="K3" t="s">
        <v>6846</v>
      </c>
      <c r="L3" t="s">
        <v>6825</v>
      </c>
    </row>
    <row r="4" spans="1:33" ht="43.2" x14ac:dyDescent="0.3">
      <c r="A4" s="227" t="s">
        <v>6846</v>
      </c>
      <c r="B4"/>
      <c r="C4"/>
      <c r="D4" s="218"/>
      <c r="E4" s="227" t="s">
        <v>133</v>
      </c>
      <c r="F4">
        <v>28</v>
      </c>
      <c r="H4" s="227" t="s">
        <v>187</v>
      </c>
      <c r="I4">
        <v>378</v>
      </c>
      <c r="J4">
        <v>23</v>
      </c>
      <c r="K4"/>
      <c r="L4">
        <v>401</v>
      </c>
      <c r="R4" s="219" t="s">
        <v>183</v>
      </c>
      <c r="S4" s="220" t="s">
        <v>112</v>
      </c>
      <c r="T4" s="220" t="s">
        <v>50</v>
      </c>
      <c r="U4" s="220" t="s">
        <v>6828</v>
      </c>
      <c r="V4" s="220" t="s">
        <v>6829</v>
      </c>
      <c r="W4" s="220" t="s">
        <v>19</v>
      </c>
      <c r="X4" s="220" t="s">
        <v>6830</v>
      </c>
      <c r="Y4" s="220" t="s">
        <v>6831</v>
      </c>
      <c r="Z4" s="220" t="s">
        <v>115</v>
      </c>
      <c r="AA4" s="220" t="s">
        <v>116</v>
      </c>
      <c r="AB4" s="220" t="s">
        <v>209</v>
      </c>
      <c r="AC4" s="220" t="s">
        <v>120</v>
      </c>
      <c r="AD4" s="220" t="s">
        <v>121</v>
      </c>
      <c r="AE4" s="220" t="s">
        <v>122</v>
      </c>
      <c r="AF4" s="220" t="s">
        <v>11</v>
      </c>
    </row>
    <row r="5" spans="1:33" x14ac:dyDescent="0.3">
      <c r="A5" s="227" t="s">
        <v>6856</v>
      </c>
      <c r="B5">
        <v>57</v>
      </c>
      <c r="C5"/>
      <c r="D5" s="218"/>
      <c r="E5" s="227" t="s">
        <v>6846</v>
      </c>
      <c r="F5"/>
      <c r="H5" s="227" t="s">
        <v>204</v>
      </c>
      <c r="I5">
        <v>14</v>
      </c>
      <c r="J5">
        <v>5</v>
      </c>
      <c r="K5"/>
      <c r="L5">
        <v>19</v>
      </c>
      <c r="R5" s="221" t="s">
        <v>10</v>
      </c>
      <c r="S5" s="222">
        <v>6</v>
      </c>
      <c r="T5" s="222">
        <v>7</v>
      </c>
      <c r="U5" s="222">
        <v>12</v>
      </c>
      <c r="V5" s="222">
        <v>52</v>
      </c>
      <c r="W5" s="222">
        <v>2</v>
      </c>
      <c r="X5" s="222">
        <v>8</v>
      </c>
      <c r="Y5" s="222">
        <v>3</v>
      </c>
      <c r="Z5" s="222">
        <v>2</v>
      </c>
      <c r="AA5" s="222">
        <v>1</v>
      </c>
      <c r="AB5" s="222">
        <v>1</v>
      </c>
      <c r="AC5" s="222">
        <v>26</v>
      </c>
      <c r="AD5" s="222">
        <v>208</v>
      </c>
      <c r="AE5" s="222">
        <v>96</v>
      </c>
      <c r="AF5" s="222">
        <v>3</v>
      </c>
    </row>
    <row r="6" spans="1:33" x14ac:dyDescent="0.3">
      <c r="A6" s="227" t="s">
        <v>6857</v>
      </c>
      <c r="B6">
        <v>19</v>
      </c>
      <c r="C6"/>
      <c r="D6" s="218"/>
      <c r="E6" s="227" t="s">
        <v>6825</v>
      </c>
      <c r="F6">
        <v>420</v>
      </c>
      <c r="H6" s="227" t="s">
        <v>6846</v>
      </c>
      <c r="I6"/>
      <c r="J6"/>
      <c r="K6"/>
      <c r="L6"/>
      <c r="R6" s="221" t="s">
        <v>6832</v>
      </c>
      <c r="S6" s="223">
        <v>1.405152224824356E-2</v>
      </c>
      <c r="T6" s="223">
        <v>1.6393442622950821E-2</v>
      </c>
      <c r="U6" s="223">
        <v>2.8103044496487119E-2</v>
      </c>
      <c r="V6" s="223">
        <v>0.12177985948477751</v>
      </c>
      <c r="W6" s="223">
        <v>4.6838407494145199E-3</v>
      </c>
      <c r="X6" s="223">
        <v>1.873536299765808E-2</v>
      </c>
      <c r="Y6" s="223">
        <v>7.0257611241217799E-3</v>
      </c>
      <c r="Z6" s="223">
        <v>4.6838407494145199E-3</v>
      </c>
      <c r="AA6" s="223">
        <v>2.34192037470726E-3</v>
      </c>
      <c r="AB6" s="223">
        <v>2.34192037470726E-3</v>
      </c>
      <c r="AC6" s="223">
        <v>6.0889929742388757E-2</v>
      </c>
      <c r="AD6" s="223">
        <v>0.48711943793911006</v>
      </c>
      <c r="AE6" s="223">
        <v>0.22482435597189696</v>
      </c>
      <c r="AF6" s="223">
        <v>7.0257611241217799E-3</v>
      </c>
    </row>
    <row r="7" spans="1:33" x14ac:dyDescent="0.3">
      <c r="A7" s="227" t="s">
        <v>6825</v>
      </c>
      <c r="B7">
        <v>420</v>
      </c>
      <c r="H7" s="227" t="s">
        <v>6825</v>
      </c>
      <c r="I7">
        <v>392</v>
      </c>
      <c r="J7">
        <v>28</v>
      </c>
      <c r="K7"/>
      <c r="L7">
        <v>420</v>
      </c>
    </row>
    <row r="8" spans="1:33" ht="43.2" x14ac:dyDescent="0.3">
      <c r="A8" s="343" t="s">
        <v>215</v>
      </c>
      <c r="B8" s="343"/>
      <c r="E8" s="342" t="s">
        <v>214</v>
      </c>
      <c r="F8" s="342"/>
      <c r="R8" s="219" t="s">
        <v>183</v>
      </c>
      <c r="S8" s="220" t="s">
        <v>112</v>
      </c>
      <c r="T8" s="220" t="s">
        <v>50</v>
      </c>
      <c r="U8" s="220" t="s">
        <v>6828</v>
      </c>
      <c r="V8" s="220" t="s">
        <v>6829</v>
      </c>
      <c r="W8" s="220" t="s">
        <v>19</v>
      </c>
      <c r="X8" s="220" t="s">
        <v>6830</v>
      </c>
      <c r="Y8" s="220" t="s">
        <v>6831</v>
      </c>
      <c r="Z8" s="220" t="s">
        <v>115</v>
      </c>
      <c r="AA8" s="220" t="s">
        <v>116</v>
      </c>
      <c r="AB8" s="220" t="s">
        <v>209</v>
      </c>
      <c r="AC8" s="220" t="s">
        <v>120</v>
      </c>
      <c r="AD8" s="220" t="s">
        <v>121</v>
      </c>
      <c r="AE8" s="220" t="s">
        <v>122</v>
      </c>
      <c r="AF8" s="220" t="s">
        <v>11</v>
      </c>
    </row>
    <row r="9" spans="1:33" x14ac:dyDescent="0.3">
      <c r="A9" s="226" t="s">
        <v>183</v>
      </c>
      <c r="B9" t="s">
        <v>10</v>
      </c>
      <c r="C9" t="s">
        <v>6835</v>
      </c>
      <c r="E9" t="s">
        <v>10</v>
      </c>
      <c r="F9" t="s">
        <v>6847</v>
      </c>
      <c r="R9" s="221" t="s">
        <v>10</v>
      </c>
      <c r="S9" s="224">
        <v>6</v>
      </c>
      <c r="T9" s="224">
        <v>7</v>
      </c>
      <c r="U9" s="224">
        <v>12</v>
      </c>
      <c r="V9" s="224">
        <v>52</v>
      </c>
      <c r="W9" s="224">
        <v>2</v>
      </c>
      <c r="X9" s="224">
        <v>8</v>
      </c>
      <c r="Y9" s="224">
        <v>3</v>
      </c>
      <c r="Z9" s="224">
        <v>2</v>
      </c>
      <c r="AA9" s="224">
        <v>1</v>
      </c>
      <c r="AB9" s="224">
        <v>1</v>
      </c>
      <c r="AC9" s="224">
        <v>26</v>
      </c>
      <c r="AD9" s="224">
        <v>193</v>
      </c>
      <c r="AE9" s="224">
        <v>96</v>
      </c>
      <c r="AF9" s="224">
        <v>3</v>
      </c>
    </row>
    <row r="10" spans="1:33" x14ac:dyDescent="0.3">
      <c r="A10" s="227" t="s">
        <v>6833</v>
      </c>
      <c r="B10">
        <v>6</v>
      </c>
      <c r="C10" s="228">
        <v>1.4285714285714285E-2</v>
      </c>
      <c r="E10">
        <v>420</v>
      </c>
      <c r="F10">
        <v>420</v>
      </c>
      <c r="R10" s="221" t="s">
        <v>6832</v>
      </c>
      <c r="S10" s="225">
        <v>1.4563106796116505E-2</v>
      </c>
      <c r="T10" s="225">
        <v>1.6990291262135922E-2</v>
      </c>
      <c r="U10" s="225">
        <v>2.9126213592233011E-2</v>
      </c>
      <c r="V10" s="225">
        <v>0.12621359223300971</v>
      </c>
      <c r="W10" s="225">
        <v>4.8543689320388345E-3</v>
      </c>
      <c r="X10" s="225">
        <v>1.9417475728155338E-2</v>
      </c>
      <c r="Y10" s="225">
        <v>7.2815533980582527E-3</v>
      </c>
      <c r="Z10" s="225">
        <v>4.8543689320388345E-3</v>
      </c>
      <c r="AA10" s="225">
        <v>2.4271844660194173E-3</v>
      </c>
      <c r="AB10" s="225">
        <v>2.4271844660194173E-3</v>
      </c>
      <c r="AC10" s="225">
        <v>6.3106796116504854E-2</v>
      </c>
      <c r="AD10" s="225">
        <v>0.46844660194174759</v>
      </c>
      <c r="AE10" s="225">
        <v>0.23300970873786409</v>
      </c>
      <c r="AF10" s="225">
        <v>7.2815533980582527E-3</v>
      </c>
    </row>
    <row r="11" spans="1:33" x14ac:dyDescent="0.3">
      <c r="A11" s="227" t="s">
        <v>50</v>
      </c>
      <c r="B11">
        <v>7</v>
      </c>
      <c r="C11" s="228">
        <v>1.6666666666666666E-2</v>
      </c>
      <c r="E11"/>
      <c r="F11"/>
    </row>
    <row r="12" spans="1:33" x14ac:dyDescent="0.3">
      <c r="A12" s="227" t="s">
        <v>6828</v>
      </c>
      <c r="B12">
        <v>12</v>
      </c>
      <c r="C12" s="228">
        <v>2.8571428571428571E-2</v>
      </c>
      <c r="E12" s="342" t="s">
        <v>216</v>
      </c>
      <c r="F12" s="342"/>
      <c r="H12" s="342" t="s">
        <v>6864</v>
      </c>
      <c r="I12" s="342"/>
    </row>
    <row r="13" spans="1:33" x14ac:dyDescent="0.3">
      <c r="A13" s="227" t="s">
        <v>6829</v>
      </c>
      <c r="B13">
        <v>52</v>
      </c>
      <c r="C13" s="228">
        <v>0.12380952380952381</v>
      </c>
      <c r="E13" s="226" t="s">
        <v>6826</v>
      </c>
      <c r="F13" t="s">
        <v>10</v>
      </c>
      <c r="H13" s="226" t="s">
        <v>6826</v>
      </c>
      <c r="I13" t="s">
        <v>10</v>
      </c>
    </row>
    <row r="14" spans="1:33" x14ac:dyDescent="0.3">
      <c r="A14" s="227" t="s">
        <v>6834</v>
      </c>
      <c r="B14">
        <v>2</v>
      </c>
      <c r="C14" s="228">
        <v>4.7619047619047623E-3</v>
      </c>
      <c r="E14" s="227" t="s">
        <v>155</v>
      </c>
      <c r="F14">
        <v>1</v>
      </c>
      <c r="H14" s="227" t="s">
        <v>6863</v>
      </c>
      <c r="I14">
        <v>394</v>
      </c>
    </row>
    <row r="15" spans="1:33" x14ac:dyDescent="0.3">
      <c r="A15" s="227" t="s">
        <v>1150</v>
      </c>
      <c r="B15">
        <v>9</v>
      </c>
      <c r="C15" s="228">
        <v>2.1428571428571429E-2</v>
      </c>
      <c r="E15" s="227" t="s">
        <v>70</v>
      </c>
      <c r="F15">
        <v>53</v>
      </c>
      <c r="H15" s="227" t="s">
        <v>6861</v>
      </c>
      <c r="I15">
        <v>5</v>
      </c>
      <c r="K15"/>
      <c r="L15"/>
    </row>
    <row r="16" spans="1:33" ht="28.8" x14ac:dyDescent="0.3">
      <c r="A16" s="227" t="s">
        <v>107</v>
      </c>
      <c r="B16">
        <v>3</v>
      </c>
      <c r="C16" s="228">
        <v>7.1428571428571426E-3</v>
      </c>
      <c r="E16" s="227" t="s">
        <v>156</v>
      </c>
      <c r="F16">
        <v>9</v>
      </c>
      <c r="H16" s="227" t="s">
        <v>6862</v>
      </c>
      <c r="I16">
        <v>11</v>
      </c>
      <c r="K16"/>
      <c r="L16"/>
      <c r="R16" s="234" t="s">
        <v>183</v>
      </c>
      <c r="S16" s="234" t="s">
        <v>6833</v>
      </c>
      <c r="T16" s="234" t="s">
        <v>6840</v>
      </c>
      <c r="U16" s="234" t="s">
        <v>6828</v>
      </c>
      <c r="V16" s="234" t="s">
        <v>6829</v>
      </c>
      <c r="W16" s="234" t="s">
        <v>6834</v>
      </c>
      <c r="X16" s="234" t="s">
        <v>1150</v>
      </c>
      <c r="Y16" s="234" t="s">
        <v>6831</v>
      </c>
      <c r="Z16" s="234" t="s">
        <v>115</v>
      </c>
      <c r="AA16" s="234" t="s">
        <v>116</v>
      </c>
      <c r="AB16" s="233" t="s">
        <v>6836</v>
      </c>
      <c r="AC16" s="234" t="s">
        <v>6837</v>
      </c>
      <c r="AD16" s="234" t="s">
        <v>6838</v>
      </c>
      <c r="AE16" s="234" t="s">
        <v>6839</v>
      </c>
      <c r="AF16" s="234" t="s">
        <v>11</v>
      </c>
      <c r="AG16" s="227" t="s">
        <v>6825</v>
      </c>
    </row>
    <row r="17" spans="1:33" x14ac:dyDescent="0.3">
      <c r="A17" s="227" t="s">
        <v>115</v>
      </c>
      <c r="B17">
        <v>1</v>
      </c>
      <c r="C17" s="228">
        <v>2.3809523809523812E-3</v>
      </c>
      <c r="E17" s="227" t="s">
        <v>4652</v>
      </c>
      <c r="F17">
        <v>1</v>
      </c>
      <c r="H17" s="227" t="s">
        <v>6860</v>
      </c>
      <c r="I17">
        <v>7</v>
      </c>
      <c r="K17"/>
      <c r="L17"/>
      <c r="R17" s="229" t="s">
        <v>10</v>
      </c>
      <c r="S17" s="230">
        <v>6</v>
      </c>
      <c r="T17" s="230">
        <v>7</v>
      </c>
      <c r="U17" s="230">
        <v>12</v>
      </c>
      <c r="V17" s="230">
        <v>52</v>
      </c>
      <c r="W17" s="230">
        <v>2</v>
      </c>
      <c r="X17" s="230">
        <v>9</v>
      </c>
      <c r="Y17" s="230">
        <v>3</v>
      </c>
      <c r="Z17" s="230">
        <v>1</v>
      </c>
      <c r="AA17" s="230">
        <v>1</v>
      </c>
      <c r="AB17" s="230">
        <v>1</v>
      </c>
      <c r="AC17" s="230">
        <v>25</v>
      </c>
      <c r="AD17" s="230">
        <v>205</v>
      </c>
      <c r="AE17" s="230">
        <v>95</v>
      </c>
      <c r="AF17" s="230">
        <v>3</v>
      </c>
      <c r="AG17">
        <v>422</v>
      </c>
    </row>
    <row r="18" spans="1:33" x14ac:dyDescent="0.3">
      <c r="A18" s="227" t="s">
        <v>116</v>
      </c>
      <c r="B18">
        <v>1</v>
      </c>
      <c r="C18" s="228">
        <v>2.3809523809523812E-3</v>
      </c>
      <c r="E18" s="227" t="s">
        <v>75</v>
      </c>
      <c r="F18">
        <v>66</v>
      </c>
      <c r="H18" s="227" t="s">
        <v>6859</v>
      </c>
      <c r="I18">
        <v>3</v>
      </c>
      <c r="K18"/>
      <c r="L18"/>
      <c r="R18" s="231" t="s">
        <v>6832</v>
      </c>
      <c r="S18" s="232">
        <v>1.4218009478672985E-2</v>
      </c>
      <c r="T18" s="232">
        <v>1.6587677725118485E-2</v>
      </c>
      <c r="U18" s="232">
        <v>2.843601895734597E-2</v>
      </c>
      <c r="V18" s="232">
        <v>0.12322274881516587</v>
      </c>
      <c r="W18" s="232">
        <v>4.7393364928909956E-3</v>
      </c>
      <c r="X18" s="232">
        <v>2.132701421800948E-2</v>
      </c>
      <c r="Y18" s="232">
        <v>7.1090047393364926E-3</v>
      </c>
      <c r="Z18" s="232">
        <v>2.3696682464454978E-3</v>
      </c>
      <c r="AA18" s="232">
        <v>2.3696682464454978E-3</v>
      </c>
      <c r="AB18" s="232">
        <v>2.3696682464454978E-3</v>
      </c>
      <c r="AC18" s="232">
        <v>5.9241706161137442E-2</v>
      </c>
      <c r="AD18" s="232">
        <v>0.48578199052132703</v>
      </c>
      <c r="AE18" s="232">
        <v>0.22511848341232227</v>
      </c>
      <c r="AF18" s="232">
        <v>7.1090047393364926E-3</v>
      </c>
    </row>
    <row r="19" spans="1:33" x14ac:dyDescent="0.3">
      <c r="A19" s="227" t="s">
        <v>209</v>
      </c>
      <c r="B19">
        <v>1</v>
      </c>
      <c r="C19" s="228">
        <v>2.3809523809523812E-3</v>
      </c>
      <c r="E19" s="227" t="s">
        <v>109</v>
      </c>
      <c r="F19">
        <v>4</v>
      </c>
      <c r="H19" s="227" t="s">
        <v>6825</v>
      </c>
      <c r="I19">
        <v>420</v>
      </c>
      <c r="K19"/>
      <c r="L19"/>
      <c r="AB19" s="235"/>
    </row>
    <row r="20" spans="1:33" x14ac:dyDescent="0.3">
      <c r="A20" s="227" t="s">
        <v>120</v>
      </c>
      <c r="B20">
        <v>25</v>
      </c>
      <c r="C20" s="228">
        <v>5.9523809523809521E-2</v>
      </c>
      <c r="E20" s="227" t="s">
        <v>307</v>
      </c>
      <c r="F20">
        <v>21</v>
      </c>
      <c r="H20"/>
      <c r="I20"/>
    </row>
    <row r="21" spans="1:33" x14ac:dyDescent="0.3">
      <c r="A21" s="227" t="s">
        <v>121</v>
      </c>
      <c r="B21">
        <v>203</v>
      </c>
      <c r="C21" s="228">
        <v>0.48333333333333334</v>
      </c>
      <c r="E21" s="227" t="s">
        <v>349</v>
      </c>
      <c r="F21">
        <v>259</v>
      </c>
      <c r="H21"/>
      <c r="I21"/>
    </row>
    <row r="22" spans="1:33" x14ac:dyDescent="0.3">
      <c r="A22" s="227" t="s">
        <v>122</v>
      </c>
      <c r="B22">
        <v>95</v>
      </c>
      <c r="C22" s="228">
        <v>0.22619047619047619</v>
      </c>
      <c r="E22" s="227" t="s">
        <v>475</v>
      </c>
      <c r="F22">
        <v>1</v>
      </c>
      <c r="H22"/>
      <c r="I22"/>
    </row>
    <row r="23" spans="1:33" x14ac:dyDescent="0.3">
      <c r="A23" s="227" t="s">
        <v>11</v>
      </c>
      <c r="B23">
        <v>3</v>
      </c>
      <c r="C23" s="228">
        <v>7.1428571428571426E-3</v>
      </c>
      <c r="E23" s="227" t="s">
        <v>153</v>
      </c>
      <c r="F23">
        <v>5</v>
      </c>
      <c r="H23"/>
      <c r="I23"/>
    </row>
    <row r="24" spans="1:33" x14ac:dyDescent="0.3">
      <c r="A24" s="227" t="s">
        <v>6846</v>
      </c>
      <c r="B24"/>
      <c r="C24" s="228">
        <v>0</v>
      </c>
      <c r="E24" s="227" t="s">
        <v>6846</v>
      </c>
      <c r="F24"/>
      <c r="H24"/>
      <c r="I24"/>
    </row>
    <row r="25" spans="1:33" x14ac:dyDescent="0.3">
      <c r="A25" s="227" t="s">
        <v>6825</v>
      </c>
      <c r="B25">
        <v>420</v>
      </c>
      <c r="C25" s="228">
        <v>1</v>
      </c>
      <c r="E25" s="227" t="s">
        <v>6825</v>
      </c>
      <c r="F25">
        <v>420</v>
      </c>
      <c r="H25"/>
      <c r="I25"/>
      <c r="M25"/>
      <c r="N25"/>
      <c r="O25"/>
      <c r="P25"/>
      <c r="Q25"/>
    </row>
    <row r="26" spans="1:33" x14ac:dyDescent="0.3">
      <c r="C26" s="216"/>
      <c r="H26"/>
      <c r="I26"/>
      <c r="J26" s="226" t="s">
        <v>6845</v>
      </c>
      <c r="K26" t="s">
        <v>6848</v>
      </c>
      <c r="L26"/>
      <c r="M26"/>
      <c r="N26" s="342" t="s">
        <v>6864</v>
      </c>
      <c r="O26" s="342"/>
      <c r="P26"/>
      <c r="Q26"/>
    </row>
    <row r="27" spans="1:33" x14ac:dyDescent="0.3">
      <c r="H27"/>
      <c r="I27"/>
      <c r="J27" s="227" t="s">
        <v>6746</v>
      </c>
      <c r="K27">
        <v>1</v>
      </c>
      <c r="L27"/>
      <c r="M27"/>
      <c r="N27" s="226" t="s">
        <v>6826</v>
      </c>
      <c r="O27" t="s">
        <v>6865</v>
      </c>
      <c r="P27"/>
      <c r="Q27"/>
    </row>
    <row r="28" spans="1:33" x14ac:dyDescent="0.3">
      <c r="A28" s="342" t="s">
        <v>6855</v>
      </c>
      <c r="B28" s="342"/>
      <c r="C28" s="216"/>
      <c r="H28"/>
      <c r="I28"/>
      <c r="J28" s="227" t="s">
        <v>5115</v>
      </c>
      <c r="K28">
        <v>1</v>
      </c>
      <c r="L28"/>
      <c r="M28"/>
      <c r="N28" s="227">
        <v>18</v>
      </c>
      <c r="O28">
        <v>1</v>
      </c>
      <c r="P28"/>
      <c r="Q28"/>
    </row>
    <row r="29" spans="1:33" x14ac:dyDescent="0.3">
      <c r="A29" s="226" t="s">
        <v>6827</v>
      </c>
      <c r="B29" s="226" t="s">
        <v>6824</v>
      </c>
      <c r="C29"/>
      <c r="D29"/>
      <c r="E29"/>
      <c r="H29"/>
      <c r="I29"/>
      <c r="J29" s="227" t="s">
        <v>4270</v>
      </c>
      <c r="K29">
        <v>1</v>
      </c>
      <c r="L29"/>
      <c r="M29"/>
      <c r="N29" s="227">
        <v>19</v>
      </c>
      <c r="O29">
        <v>2</v>
      </c>
      <c r="P29"/>
      <c r="Q29"/>
    </row>
    <row r="30" spans="1:33" x14ac:dyDescent="0.3">
      <c r="A30" s="226" t="s">
        <v>6826</v>
      </c>
      <c r="B30" t="s">
        <v>14</v>
      </c>
      <c r="C30" t="s">
        <v>6856</v>
      </c>
      <c r="D30" t="s">
        <v>6857</v>
      </c>
      <c r="E30" t="s">
        <v>6825</v>
      </c>
      <c r="H30"/>
      <c r="I30"/>
      <c r="J30" s="227" t="s">
        <v>1902</v>
      </c>
      <c r="K30">
        <v>6</v>
      </c>
      <c r="L30"/>
      <c r="M30"/>
      <c r="N30" s="227">
        <v>20</v>
      </c>
      <c r="O30">
        <v>4</v>
      </c>
      <c r="P30"/>
      <c r="Q30"/>
    </row>
    <row r="31" spans="1:33" x14ac:dyDescent="0.3">
      <c r="A31" s="227" t="s">
        <v>21</v>
      </c>
      <c r="B31">
        <v>4</v>
      </c>
      <c r="C31">
        <v>1</v>
      </c>
      <c r="D31"/>
      <c r="E31">
        <v>5</v>
      </c>
      <c r="H31"/>
      <c r="I31"/>
      <c r="J31" s="227" t="s">
        <v>416</v>
      </c>
      <c r="K31">
        <v>1</v>
      </c>
      <c r="L31"/>
      <c r="M31"/>
      <c r="N31" s="227">
        <v>21</v>
      </c>
      <c r="O31">
        <v>8</v>
      </c>
      <c r="P31"/>
      <c r="Q31"/>
    </row>
    <row r="32" spans="1:33" x14ac:dyDescent="0.3">
      <c r="A32" s="227" t="s">
        <v>20</v>
      </c>
      <c r="B32">
        <v>10</v>
      </c>
      <c r="C32"/>
      <c r="D32">
        <v>1</v>
      </c>
      <c r="E32">
        <v>11</v>
      </c>
      <c r="H32"/>
      <c r="I32"/>
      <c r="J32" s="227" t="s">
        <v>545</v>
      </c>
      <c r="K32">
        <v>2</v>
      </c>
      <c r="L32"/>
      <c r="M32"/>
      <c r="N32" s="227">
        <v>22</v>
      </c>
      <c r="O32">
        <v>10</v>
      </c>
      <c r="P32"/>
      <c r="Q32"/>
    </row>
    <row r="33" spans="1:24" x14ac:dyDescent="0.3">
      <c r="A33" s="227" t="s">
        <v>32</v>
      </c>
      <c r="B33">
        <v>6</v>
      </c>
      <c r="C33"/>
      <c r="D33"/>
      <c r="E33">
        <v>6</v>
      </c>
      <c r="H33"/>
      <c r="I33"/>
      <c r="J33" s="227" t="s">
        <v>4122</v>
      </c>
      <c r="K33">
        <v>1</v>
      </c>
      <c r="L33"/>
      <c r="M33"/>
      <c r="N33" s="227">
        <v>23</v>
      </c>
      <c r="O33">
        <v>29</v>
      </c>
      <c r="P33"/>
      <c r="Q33"/>
      <c r="V33" s="217">
        <v>33</v>
      </c>
    </row>
    <row r="34" spans="1:24" x14ac:dyDescent="0.3">
      <c r="A34" s="227" t="s">
        <v>49</v>
      </c>
      <c r="B34">
        <v>3</v>
      </c>
      <c r="C34">
        <v>1</v>
      </c>
      <c r="D34">
        <v>1</v>
      </c>
      <c r="E34">
        <v>5</v>
      </c>
      <c r="H34"/>
      <c r="I34"/>
      <c r="J34" s="227" t="s">
        <v>72</v>
      </c>
      <c r="K34">
        <v>24</v>
      </c>
      <c r="L34"/>
      <c r="M34"/>
      <c r="N34" s="227">
        <v>24</v>
      </c>
      <c r="O34">
        <v>30</v>
      </c>
      <c r="P34"/>
      <c r="Q34"/>
      <c r="V34" s="217">
        <v>18</v>
      </c>
    </row>
    <row r="35" spans="1:24" x14ac:dyDescent="0.3">
      <c r="A35" s="227" t="s">
        <v>187</v>
      </c>
      <c r="B35">
        <v>30</v>
      </c>
      <c r="C35">
        <v>26</v>
      </c>
      <c r="D35">
        <v>15</v>
      </c>
      <c r="E35">
        <v>71</v>
      </c>
      <c r="H35"/>
      <c r="I35"/>
      <c r="J35" s="227" t="s">
        <v>368</v>
      </c>
      <c r="K35">
        <v>2</v>
      </c>
      <c r="L35"/>
      <c r="M35"/>
      <c r="N35" s="227">
        <v>25</v>
      </c>
      <c r="O35">
        <v>31</v>
      </c>
      <c r="P35"/>
      <c r="Q35"/>
      <c r="V35" s="217">
        <v>9</v>
      </c>
    </row>
    <row r="36" spans="1:24" x14ac:dyDescent="0.3">
      <c r="A36" s="227" t="s">
        <v>204</v>
      </c>
      <c r="B36">
        <v>65</v>
      </c>
      <c r="C36">
        <v>8</v>
      </c>
      <c r="D36"/>
      <c r="E36">
        <v>73</v>
      </c>
      <c r="H36"/>
      <c r="I36"/>
      <c r="J36" s="227" t="s">
        <v>2529</v>
      </c>
      <c r="K36">
        <v>1</v>
      </c>
      <c r="L36"/>
      <c r="M36"/>
      <c r="N36" s="227">
        <v>26</v>
      </c>
      <c r="O36">
        <v>46</v>
      </c>
      <c r="P36"/>
      <c r="Q36"/>
      <c r="V36" s="217">
        <v>14</v>
      </c>
    </row>
    <row r="37" spans="1:24" x14ac:dyDescent="0.3">
      <c r="A37" s="227" t="s">
        <v>24</v>
      </c>
      <c r="B37">
        <v>85</v>
      </c>
      <c r="C37">
        <v>9</v>
      </c>
      <c r="D37"/>
      <c r="E37">
        <v>94</v>
      </c>
      <c r="H37"/>
      <c r="I37"/>
      <c r="J37" s="227" t="s">
        <v>3583</v>
      </c>
      <c r="K37">
        <v>1</v>
      </c>
      <c r="L37"/>
      <c r="M37"/>
      <c r="N37" s="227">
        <v>27</v>
      </c>
      <c r="O37">
        <v>34</v>
      </c>
      <c r="P37"/>
      <c r="Q37"/>
      <c r="V37" s="217">
        <v>38</v>
      </c>
    </row>
    <row r="38" spans="1:24" x14ac:dyDescent="0.3">
      <c r="A38" s="227" t="s">
        <v>23</v>
      </c>
      <c r="B38">
        <v>36</v>
      </c>
      <c r="C38">
        <v>3</v>
      </c>
      <c r="D38"/>
      <c r="E38">
        <v>39</v>
      </c>
      <c r="H38"/>
      <c r="I38"/>
      <c r="J38" s="227" t="s">
        <v>379</v>
      </c>
      <c r="K38">
        <v>1</v>
      </c>
      <c r="L38"/>
      <c r="M38"/>
      <c r="N38" s="227">
        <v>28</v>
      </c>
      <c r="O38">
        <v>22</v>
      </c>
      <c r="P38"/>
      <c r="Q38"/>
      <c r="V38" s="217">
        <v>92</v>
      </c>
    </row>
    <row r="39" spans="1:24" x14ac:dyDescent="0.3">
      <c r="A39" s="227" t="s">
        <v>29</v>
      </c>
      <c r="B39">
        <v>4</v>
      </c>
      <c r="C39"/>
      <c r="D39"/>
      <c r="E39">
        <v>4</v>
      </c>
      <c r="H39"/>
      <c r="I39"/>
      <c r="J39" s="227" t="s">
        <v>100</v>
      </c>
      <c r="K39">
        <v>28</v>
      </c>
      <c r="L39"/>
      <c r="M39"/>
      <c r="N39" s="227">
        <v>29</v>
      </c>
      <c r="O39">
        <v>20</v>
      </c>
      <c r="P39"/>
      <c r="Q39"/>
      <c r="V39" s="217">
        <v>141</v>
      </c>
      <c r="X39" s="217">
        <f>V33+V39</f>
        <v>174</v>
      </c>
    </row>
    <row r="40" spans="1:24" x14ac:dyDescent="0.3">
      <c r="A40" s="227" t="s">
        <v>22</v>
      </c>
      <c r="B40">
        <v>6</v>
      </c>
      <c r="C40">
        <v>2</v>
      </c>
      <c r="D40"/>
      <c r="E40">
        <v>8</v>
      </c>
      <c r="H40"/>
      <c r="I40"/>
      <c r="J40" s="227" t="s">
        <v>3306</v>
      </c>
      <c r="K40">
        <v>1</v>
      </c>
      <c r="L40"/>
      <c r="M40"/>
      <c r="N40" s="227">
        <v>30</v>
      </c>
      <c r="O40">
        <v>24</v>
      </c>
      <c r="P40"/>
      <c r="Q40"/>
      <c r="V40" s="217">
        <v>82</v>
      </c>
    </row>
    <row r="41" spans="1:24" x14ac:dyDescent="0.3">
      <c r="A41" s="227" t="s">
        <v>30</v>
      </c>
      <c r="B41">
        <v>1</v>
      </c>
      <c r="C41">
        <v>1</v>
      </c>
      <c r="D41"/>
      <c r="E41">
        <v>2</v>
      </c>
      <c r="H41"/>
      <c r="I41"/>
      <c r="J41" s="227" t="s">
        <v>1545</v>
      </c>
      <c r="K41">
        <v>1</v>
      </c>
      <c r="L41"/>
      <c r="M41"/>
      <c r="N41" s="227">
        <v>31</v>
      </c>
      <c r="O41">
        <v>25</v>
      </c>
      <c r="P41"/>
      <c r="Q41"/>
      <c r="V41" s="217">
        <f>SUM(V33:V40)</f>
        <v>427</v>
      </c>
    </row>
    <row r="42" spans="1:24" x14ac:dyDescent="0.3">
      <c r="A42" s="227" t="s">
        <v>26</v>
      </c>
      <c r="B42">
        <v>4</v>
      </c>
      <c r="C42">
        <v>1</v>
      </c>
      <c r="D42"/>
      <c r="E42">
        <v>5</v>
      </c>
      <c r="H42"/>
      <c r="I42"/>
      <c r="J42" s="227" t="s">
        <v>4307</v>
      </c>
      <c r="K42">
        <v>1</v>
      </c>
      <c r="L42"/>
      <c r="M42"/>
      <c r="N42" s="227">
        <v>32</v>
      </c>
      <c r="O42">
        <v>14</v>
      </c>
      <c r="P42"/>
      <c r="Q42"/>
    </row>
    <row r="43" spans="1:24" x14ac:dyDescent="0.3">
      <c r="A43" s="227" t="s">
        <v>25</v>
      </c>
      <c r="B43">
        <v>32</v>
      </c>
      <c r="C43">
        <v>3</v>
      </c>
      <c r="D43"/>
      <c r="E43">
        <v>35</v>
      </c>
      <c r="H43"/>
      <c r="I43"/>
      <c r="J43" s="227" t="s">
        <v>6780</v>
      </c>
      <c r="K43">
        <v>1</v>
      </c>
      <c r="L43"/>
      <c r="M43"/>
      <c r="N43" s="227">
        <v>33</v>
      </c>
      <c r="O43">
        <v>14</v>
      </c>
      <c r="P43"/>
      <c r="Q43"/>
    </row>
    <row r="44" spans="1:24" x14ac:dyDescent="0.3">
      <c r="A44" s="227" t="s">
        <v>19</v>
      </c>
      <c r="B44"/>
      <c r="C44">
        <v>1</v>
      </c>
      <c r="D44">
        <v>1</v>
      </c>
      <c r="E44">
        <v>2</v>
      </c>
      <c r="H44"/>
      <c r="I44"/>
      <c r="J44" s="227" t="s">
        <v>1368</v>
      </c>
      <c r="K44">
        <v>1</v>
      </c>
      <c r="M44"/>
      <c r="N44" s="227">
        <v>34</v>
      </c>
      <c r="O44">
        <v>20</v>
      </c>
      <c r="P44"/>
      <c r="Q44"/>
    </row>
    <row r="45" spans="1:24" x14ac:dyDescent="0.3">
      <c r="A45" s="227" t="s">
        <v>28</v>
      </c>
      <c r="B45">
        <v>6</v>
      </c>
      <c r="C45"/>
      <c r="D45"/>
      <c r="E45">
        <v>6</v>
      </c>
      <c r="H45"/>
      <c r="I45"/>
      <c r="J45" s="227" t="s">
        <v>4077</v>
      </c>
      <c r="K45">
        <v>1</v>
      </c>
      <c r="M45"/>
      <c r="N45" s="227">
        <v>35</v>
      </c>
      <c r="O45">
        <v>11</v>
      </c>
      <c r="P45"/>
      <c r="Q45"/>
    </row>
    <row r="46" spans="1:24" x14ac:dyDescent="0.3">
      <c r="A46" s="227" t="s">
        <v>27</v>
      </c>
      <c r="B46">
        <v>8</v>
      </c>
      <c r="C46">
        <v>1</v>
      </c>
      <c r="D46"/>
      <c r="E46">
        <v>9</v>
      </c>
      <c r="J46" s="227" t="s">
        <v>625</v>
      </c>
      <c r="K46">
        <v>1</v>
      </c>
      <c r="M46"/>
      <c r="N46" s="227">
        <v>36</v>
      </c>
      <c r="O46">
        <v>11</v>
      </c>
      <c r="P46"/>
      <c r="Q46"/>
    </row>
    <row r="47" spans="1:24" x14ac:dyDescent="0.3">
      <c r="A47" s="227" t="s">
        <v>31</v>
      </c>
      <c r="B47">
        <v>11</v>
      </c>
      <c r="C47"/>
      <c r="D47">
        <v>1</v>
      </c>
      <c r="E47">
        <v>12</v>
      </c>
      <c r="J47" s="227" t="s">
        <v>704</v>
      </c>
      <c r="K47">
        <v>1</v>
      </c>
      <c r="M47"/>
      <c r="N47" s="227">
        <v>37</v>
      </c>
      <c r="O47">
        <v>7</v>
      </c>
      <c r="P47"/>
      <c r="Q47"/>
    </row>
    <row r="48" spans="1:24" x14ac:dyDescent="0.3">
      <c r="A48" s="227" t="s">
        <v>33</v>
      </c>
      <c r="B48">
        <v>1</v>
      </c>
      <c r="C48"/>
      <c r="D48"/>
      <c r="E48">
        <v>1</v>
      </c>
      <c r="J48" s="227" t="s">
        <v>1105</v>
      </c>
      <c r="K48">
        <v>1</v>
      </c>
      <c r="M48"/>
      <c r="N48" s="227">
        <v>38</v>
      </c>
      <c r="O48">
        <v>7</v>
      </c>
      <c r="P48"/>
      <c r="Q48"/>
    </row>
    <row r="49" spans="1:17" x14ac:dyDescent="0.3">
      <c r="A49" s="227" t="s">
        <v>6825</v>
      </c>
      <c r="B49">
        <v>312</v>
      </c>
      <c r="C49">
        <v>57</v>
      </c>
      <c r="D49">
        <v>19</v>
      </c>
      <c r="E49">
        <v>388</v>
      </c>
      <c r="J49" s="227" t="s">
        <v>3052</v>
      </c>
      <c r="K49">
        <v>1</v>
      </c>
      <c r="M49"/>
      <c r="N49" s="227">
        <v>39</v>
      </c>
      <c r="O49">
        <v>6</v>
      </c>
      <c r="P49"/>
      <c r="Q49"/>
    </row>
    <row r="50" spans="1:17" x14ac:dyDescent="0.3">
      <c r="A50"/>
      <c r="B50"/>
      <c r="C50"/>
      <c r="D50"/>
      <c r="E50"/>
      <c r="J50" s="227" t="s">
        <v>947</v>
      </c>
      <c r="K50">
        <v>1</v>
      </c>
      <c r="M50"/>
      <c r="N50" s="227">
        <v>40</v>
      </c>
      <c r="O50">
        <v>6</v>
      </c>
      <c r="P50"/>
      <c r="Q50"/>
    </row>
    <row r="51" spans="1:17" x14ac:dyDescent="0.3">
      <c r="J51" s="227" t="s">
        <v>3727</v>
      </c>
      <c r="K51">
        <v>1</v>
      </c>
      <c r="M51"/>
      <c r="N51" s="227">
        <v>41</v>
      </c>
      <c r="O51">
        <v>4</v>
      </c>
      <c r="P51"/>
      <c r="Q51"/>
    </row>
    <row r="52" spans="1:17" x14ac:dyDescent="0.3">
      <c r="J52" s="227" t="s">
        <v>3061</v>
      </c>
      <c r="K52">
        <v>1</v>
      </c>
      <c r="M52"/>
      <c r="N52" s="227">
        <v>42</v>
      </c>
      <c r="O52">
        <v>3</v>
      </c>
      <c r="P52"/>
      <c r="Q52"/>
    </row>
    <row r="53" spans="1:17" x14ac:dyDescent="0.3">
      <c r="J53" s="227" t="s">
        <v>3651</v>
      </c>
      <c r="K53">
        <v>1</v>
      </c>
      <c r="M53"/>
      <c r="N53" s="227">
        <v>43</v>
      </c>
      <c r="O53">
        <v>3</v>
      </c>
      <c r="P53"/>
      <c r="Q53"/>
    </row>
    <row r="54" spans="1:17" x14ac:dyDescent="0.3">
      <c r="J54" s="227" t="s">
        <v>863</v>
      </c>
      <c r="K54">
        <v>1</v>
      </c>
      <c r="M54"/>
      <c r="N54" s="227">
        <v>44</v>
      </c>
      <c r="O54">
        <v>1</v>
      </c>
      <c r="P54"/>
      <c r="Q54"/>
    </row>
    <row r="55" spans="1:17" x14ac:dyDescent="0.3">
      <c r="J55" s="227" t="s">
        <v>3696</v>
      </c>
      <c r="K55">
        <v>1</v>
      </c>
      <c r="M55"/>
      <c r="N55" s="227">
        <v>45</v>
      </c>
      <c r="O55">
        <v>1</v>
      </c>
      <c r="P55"/>
      <c r="Q55"/>
    </row>
    <row r="56" spans="1:17" x14ac:dyDescent="0.3">
      <c r="J56" s="227" t="s">
        <v>2625</v>
      </c>
      <c r="K56">
        <v>1</v>
      </c>
      <c r="M56"/>
      <c r="N56" s="227">
        <v>46</v>
      </c>
      <c r="O56">
        <v>1</v>
      </c>
      <c r="P56"/>
      <c r="Q56"/>
    </row>
    <row r="57" spans="1:17" x14ac:dyDescent="0.3">
      <c r="J57" s="227" t="s">
        <v>3961</v>
      </c>
      <c r="K57">
        <v>1</v>
      </c>
      <c r="M57"/>
      <c r="N57" s="227">
        <v>47</v>
      </c>
      <c r="O57">
        <v>1</v>
      </c>
      <c r="P57"/>
      <c r="Q57"/>
    </row>
    <row r="58" spans="1:17" x14ac:dyDescent="0.3">
      <c r="F58" s="216" t="s">
        <v>6845</v>
      </c>
      <c r="G58" s="216" t="s">
        <v>6848</v>
      </c>
      <c r="J58" s="227" t="s">
        <v>2024</v>
      </c>
      <c r="K58">
        <v>1</v>
      </c>
      <c r="M58"/>
      <c r="N58" s="227">
        <v>48</v>
      </c>
      <c r="O58">
        <v>4</v>
      </c>
      <c r="P58"/>
      <c r="Q58"/>
    </row>
    <row r="59" spans="1:17" x14ac:dyDescent="0.3">
      <c r="F59" s="216" t="s">
        <v>6746</v>
      </c>
      <c r="G59" s="216">
        <v>1</v>
      </c>
      <c r="J59" s="227" t="s">
        <v>1319</v>
      </c>
      <c r="K59">
        <v>2</v>
      </c>
      <c r="M59"/>
      <c r="N59" s="227">
        <v>49</v>
      </c>
      <c r="O59">
        <v>2</v>
      </c>
      <c r="P59"/>
      <c r="Q59"/>
    </row>
    <row r="60" spans="1:17" x14ac:dyDescent="0.3">
      <c r="F60" s="216" t="s">
        <v>5115</v>
      </c>
      <c r="G60" s="216">
        <v>1</v>
      </c>
      <c r="J60" s="227" t="s">
        <v>2549</v>
      </c>
      <c r="K60">
        <v>1</v>
      </c>
      <c r="M60"/>
      <c r="N60" s="227">
        <v>50</v>
      </c>
      <c r="O60">
        <v>3</v>
      </c>
      <c r="P60"/>
      <c r="Q60"/>
    </row>
    <row r="61" spans="1:17" x14ac:dyDescent="0.3">
      <c r="F61" s="216" t="s">
        <v>4270</v>
      </c>
      <c r="G61" s="216">
        <v>1</v>
      </c>
      <c r="J61" s="227" t="s">
        <v>3108</v>
      </c>
      <c r="K61">
        <v>1</v>
      </c>
      <c r="M61"/>
      <c r="N61" s="227">
        <v>51</v>
      </c>
      <c r="O61">
        <v>2</v>
      </c>
      <c r="P61"/>
      <c r="Q61"/>
    </row>
    <row r="62" spans="1:17" x14ac:dyDescent="0.3">
      <c r="F62" s="216" t="s">
        <v>1902</v>
      </c>
      <c r="G62" s="216">
        <v>6</v>
      </c>
      <c r="J62" s="227" t="s">
        <v>616</v>
      </c>
      <c r="K62">
        <v>2</v>
      </c>
      <c r="M62"/>
      <c r="N62" s="227">
        <v>52</v>
      </c>
      <c r="O62">
        <v>4</v>
      </c>
      <c r="P62"/>
      <c r="Q62"/>
    </row>
    <row r="63" spans="1:17" x14ac:dyDescent="0.3">
      <c r="F63" s="216" t="s">
        <v>4122</v>
      </c>
      <c r="G63" s="216">
        <v>1</v>
      </c>
      <c r="J63" s="227" t="s">
        <v>3755</v>
      </c>
      <c r="K63">
        <v>1</v>
      </c>
      <c r="M63"/>
      <c r="N63" s="227">
        <v>53</v>
      </c>
      <c r="O63">
        <v>3</v>
      </c>
      <c r="P63"/>
      <c r="Q63"/>
    </row>
    <row r="64" spans="1:17" x14ac:dyDescent="0.3">
      <c r="F64" s="216" t="s">
        <v>72</v>
      </c>
      <c r="G64" s="216">
        <v>25</v>
      </c>
      <c r="J64" s="227" t="s">
        <v>2040</v>
      </c>
      <c r="K64">
        <v>1</v>
      </c>
      <c r="M64"/>
      <c r="N64" s="227">
        <v>54</v>
      </c>
      <c r="O64">
        <v>3</v>
      </c>
      <c r="P64"/>
      <c r="Q64"/>
    </row>
    <row r="65" spans="6:17" x14ac:dyDescent="0.3">
      <c r="F65" s="216" t="s">
        <v>368</v>
      </c>
      <c r="G65" s="216">
        <v>2</v>
      </c>
      <c r="J65" s="227" t="s">
        <v>350</v>
      </c>
      <c r="K65">
        <v>19</v>
      </c>
      <c r="M65"/>
      <c r="N65" s="227">
        <v>57</v>
      </c>
      <c r="O65">
        <v>2</v>
      </c>
      <c r="P65"/>
      <c r="Q65"/>
    </row>
    <row r="66" spans="6:17" x14ac:dyDescent="0.3">
      <c r="F66" s="216" t="s">
        <v>2529</v>
      </c>
      <c r="G66" s="216">
        <v>1</v>
      </c>
      <c r="J66" s="227" t="s">
        <v>2390</v>
      </c>
      <c r="K66">
        <v>1</v>
      </c>
      <c r="M66"/>
      <c r="N66" s="227">
        <v>65</v>
      </c>
      <c r="O66">
        <v>1</v>
      </c>
      <c r="P66"/>
      <c r="Q66"/>
    </row>
    <row r="67" spans="6:17" x14ac:dyDescent="0.3">
      <c r="F67" s="216" t="s">
        <v>3583</v>
      </c>
      <c r="G67" s="216">
        <v>1</v>
      </c>
      <c r="J67" s="227" t="s">
        <v>3899</v>
      </c>
      <c r="K67">
        <v>1</v>
      </c>
      <c r="M67"/>
      <c r="N67" s="227" t="s">
        <v>6825</v>
      </c>
      <c r="O67">
        <v>420</v>
      </c>
      <c r="P67"/>
      <c r="Q67"/>
    </row>
    <row r="68" spans="6:17" x14ac:dyDescent="0.3">
      <c r="F68" s="216" t="s">
        <v>379</v>
      </c>
      <c r="G68" s="216">
        <v>1</v>
      </c>
      <c r="J68" s="227" t="s">
        <v>4158</v>
      </c>
      <c r="K68">
        <v>1</v>
      </c>
      <c r="M68"/>
      <c r="N68"/>
      <c r="O68"/>
      <c r="P68"/>
      <c r="Q68"/>
    </row>
    <row r="69" spans="6:17" x14ac:dyDescent="0.3">
      <c r="F69" s="216" t="s">
        <v>100</v>
      </c>
      <c r="G69" s="216">
        <v>29</v>
      </c>
      <c r="J69" s="227" t="s">
        <v>2470</v>
      </c>
      <c r="K69">
        <v>1</v>
      </c>
      <c r="M69"/>
      <c r="N69"/>
      <c r="O69"/>
      <c r="P69"/>
      <c r="Q69"/>
    </row>
    <row r="70" spans="6:17" x14ac:dyDescent="0.3">
      <c r="F70" s="216" t="s">
        <v>3306</v>
      </c>
      <c r="G70" s="216">
        <v>1</v>
      </c>
      <c r="J70" s="227" t="s">
        <v>4026</v>
      </c>
      <c r="K70">
        <v>1</v>
      </c>
      <c r="M70"/>
      <c r="N70"/>
      <c r="O70"/>
      <c r="P70"/>
      <c r="Q70"/>
    </row>
    <row r="71" spans="6:17" x14ac:dyDescent="0.3">
      <c r="F71" s="216" t="s">
        <v>1545</v>
      </c>
      <c r="G71" s="216">
        <v>1</v>
      </c>
      <c r="J71" s="227" t="s">
        <v>2123</v>
      </c>
      <c r="K71">
        <v>5</v>
      </c>
      <c r="M71" s="278" t="s">
        <v>6873</v>
      </c>
      <c r="N71"/>
      <c r="O71"/>
      <c r="P71"/>
      <c r="Q71"/>
    </row>
    <row r="72" spans="6:17" x14ac:dyDescent="0.3">
      <c r="F72" s="216" t="s">
        <v>3681</v>
      </c>
      <c r="G72" s="216">
        <v>1</v>
      </c>
      <c r="J72" s="227" t="s">
        <v>2074</v>
      </c>
      <c r="K72">
        <v>1</v>
      </c>
      <c r="M72" t="s">
        <v>6826</v>
      </c>
      <c r="N72" t="s">
        <v>6865</v>
      </c>
      <c r="O72"/>
      <c r="P72"/>
      <c r="Q72"/>
    </row>
    <row r="73" spans="6:17" x14ac:dyDescent="0.3">
      <c r="F73" s="216" t="s">
        <v>2558</v>
      </c>
      <c r="G73" s="216">
        <v>1</v>
      </c>
      <c r="J73" s="227" t="s">
        <v>3203</v>
      </c>
      <c r="K73">
        <v>1</v>
      </c>
      <c r="M73" s="278" t="s">
        <v>6872</v>
      </c>
      <c r="N73">
        <v>84</v>
      </c>
      <c r="O73"/>
      <c r="P73"/>
      <c r="Q73"/>
    </row>
    <row r="74" spans="6:17" x14ac:dyDescent="0.3">
      <c r="F74" s="216" t="s">
        <v>2009</v>
      </c>
      <c r="G74" s="216">
        <v>1</v>
      </c>
      <c r="J74" s="227" t="s">
        <v>2313</v>
      </c>
      <c r="K74">
        <v>1</v>
      </c>
      <c r="M74" s="278" t="s">
        <v>6871</v>
      </c>
      <c r="N74">
        <v>153</v>
      </c>
      <c r="O74"/>
      <c r="P74"/>
      <c r="Q74"/>
    </row>
    <row r="75" spans="6:17" x14ac:dyDescent="0.3">
      <c r="F75" s="216" t="s">
        <v>81</v>
      </c>
      <c r="G75" s="216">
        <v>11</v>
      </c>
      <c r="J75" s="227" t="s">
        <v>2423</v>
      </c>
      <c r="K75">
        <v>1</v>
      </c>
      <c r="M75" s="278" t="s">
        <v>6870</v>
      </c>
      <c r="N75">
        <v>97</v>
      </c>
      <c r="O75"/>
      <c r="P75"/>
      <c r="Q75"/>
    </row>
    <row r="76" spans="6:17" x14ac:dyDescent="0.3">
      <c r="F76" s="216" t="s">
        <v>84</v>
      </c>
      <c r="G76" s="216">
        <v>1</v>
      </c>
      <c r="J76" s="227" t="s">
        <v>4129</v>
      </c>
      <c r="K76">
        <v>1</v>
      </c>
      <c r="M76" s="278" t="s">
        <v>6869</v>
      </c>
      <c r="N76">
        <v>42</v>
      </c>
      <c r="O76"/>
      <c r="P76"/>
      <c r="Q76"/>
    </row>
    <row r="77" spans="6:17" x14ac:dyDescent="0.3">
      <c r="F77" s="216" t="s">
        <v>402</v>
      </c>
      <c r="G77" s="216">
        <v>8</v>
      </c>
      <c r="J77" s="227" t="s">
        <v>3593</v>
      </c>
      <c r="K77">
        <v>1</v>
      </c>
      <c r="M77" s="278" t="s">
        <v>6868</v>
      </c>
      <c r="N77">
        <v>17</v>
      </c>
      <c r="O77"/>
      <c r="P77"/>
      <c r="Q77"/>
    </row>
    <row r="78" spans="6:17" x14ac:dyDescent="0.3">
      <c r="F78" s="216" t="s">
        <v>3660</v>
      </c>
      <c r="G78" s="216">
        <v>1</v>
      </c>
      <c r="J78" s="227" t="s">
        <v>2174</v>
      </c>
      <c r="K78">
        <v>1</v>
      </c>
      <c r="M78" s="278" t="s">
        <v>6867</v>
      </c>
      <c r="N78">
        <v>9</v>
      </c>
      <c r="O78"/>
      <c r="P78"/>
      <c r="Q78"/>
    </row>
    <row r="79" spans="6:17" x14ac:dyDescent="0.3">
      <c r="F79" s="216" t="s">
        <v>1337</v>
      </c>
      <c r="G79" s="216">
        <v>3</v>
      </c>
      <c r="J79" s="227" t="s">
        <v>4222</v>
      </c>
      <c r="K79">
        <v>1</v>
      </c>
      <c r="M79" s="278" t="s">
        <v>6866</v>
      </c>
      <c r="N79">
        <v>18</v>
      </c>
      <c r="O79"/>
      <c r="P79"/>
      <c r="Q79"/>
    </row>
    <row r="80" spans="6:17" x14ac:dyDescent="0.3">
      <c r="F80" s="216" t="s">
        <v>3600</v>
      </c>
      <c r="G80" s="216">
        <v>1</v>
      </c>
      <c r="J80" s="227" t="s">
        <v>3688</v>
      </c>
      <c r="K80">
        <v>1</v>
      </c>
      <c r="M80" t="s">
        <v>6825</v>
      </c>
      <c r="N80">
        <v>420</v>
      </c>
      <c r="O80"/>
      <c r="P80"/>
      <c r="Q80"/>
    </row>
    <row r="81" spans="6:17" x14ac:dyDescent="0.3">
      <c r="F81" s="216" t="s">
        <v>6783</v>
      </c>
      <c r="G81" s="216">
        <v>1</v>
      </c>
      <c r="J81" s="227" t="s">
        <v>2994</v>
      </c>
      <c r="K81">
        <v>1</v>
      </c>
      <c r="M81"/>
      <c r="N81"/>
      <c r="O81"/>
      <c r="P81"/>
      <c r="Q81"/>
    </row>
    <row r="82" spans="6:17" x14ac:dyDescent="0.3">
      <c r="F82" s="216" t="s">
        <v>92</v>
      </c>
      <c r="G82" s="216">
        <v>3</v>
      </c>
      <c r="J82" s="227" t="s">
        <v>327</v>
      </c>
      <c r="K82">
        <v>10</v>
      </c>
      <c r="M82"/>
      <c r="N82"/>
      <c r="O82"/>
      <c r="P82"/>
      <c r="Q82"/>
    </row>
    <row r="83" spans="6:17" x14ac:dyDescent="0.3">
      <c r="F83" s="216" t="s">
        <v>1994</v>
      </c>
      <c r="G83" s="216">
        <v>1</v>
      </c>
      <c r="J83" s="227" t="s">
        <v>2501</v>
      </c>
      <c r="K83">
        <v>1</v>
      </c>
      <c r="M83"/>
      <c r="N83"/>
      <c r="O83"/>
      <c r="P83"/>
      <c r="Q83"/>
    </row>
    <row r="84" spans="6:17" x14ac:dyDescent="0.3">
      <c r="F84" s="216" t="s">
        <v>4057</v>
      </c>
      <c r="G84" s="216">
        <v>1</v>
      </c>
      <c r="J84" s="227" t="s">
        <v>3355</v>
      </c>
      <c r="K84">
        <v>1</v>
      </c>
      <c r="M84"/>
      <c r="N84"/>
      <c r="O84"/>
      <c r="P84"/>
      <c r="Q84"/>
    </row>
    <row r="85" spans="6:17" x14ac:dyDescent="0.3">
      <c r="F85" s="216" t="s">
        <v>574</v>
      </c>
      <c r="G85" s="216">
        <v>1</v>
      </c>
      <c r="J85" s="227" t="s">
        <v>4405</v>
      </c>
      <c r="K85">
        <v>1</v>
      </c>
      <c r="M85"/>
      <c r="N85"/>
      <c r="O85"/>
      <c r="P85"/>
      <c r="Q85"/>
    </row>
    <row r="86" spans="6:17" x14ac:dyDescent="0.3">
      <c r="F86" s="216" t="s">
        <v>4064</v>
      </c>
      <c r="G86" s="216">
        <v>2</v>
      </c>
      <c r="J86" s="227" t="s">
        <v>2211</v>
      </c>
      <c r="K86">
        <v>1</v>
      </c>
      <c r="M86"/>
      <c r="N86"/>
      <c r="O86"/>
      <c r="P86"/>
      <c r="Q86"/>
    </row>
    <row r="87" spans="6:17" x14ac:dyDescent="0.3">
      <c r="F87" s="216" t="s">
        <v>1553</v>
      </c>
      <c r="G87" s="216">
        <v>4</v>
      </c>
      <c r="J87" s="227" t="s">
        <v>3877</v>
      </c>
      <c r="K87">
        <v>5</v>
      </c>
      <c r="M87"/>
      <c r="N87"/>
      <c r="O87"/>
      <c r="P87"/>
      <c r="Q87"/>
    </row>
    <row r="88" spans="6:17" x14ac:dyDescent="0.3">
      <c r="F88" s="216" t="s">
        <v>1097</v>
      </c>
      <c r="G88" s="216">
        <v>1</v>
      </c>
      <c r="J88" s="227" t="s">
        <v>3841</v>
      </c>
      <c r="K88">
        <v>3</v>
      </c>
      <c r="M88"/>
      <c r="N88"/>
      <c r="O88"/>
      <c r="P88"/>
      <c r="Q88"/>
    </row>
    <row r="89" spans="6:17" x14ac:dyDescent="0.3">
      <c r="F89" s="216" t="s">
        <v>3794</v>
      </c>
      <c r="G89" s="216">
        <v>1</v>
      </c>
      <c r="J89" s="227" t="s">
        <v>2931</v>
      </c>
      <c r="K89">
        <v>3</v>
      </c>
      <c r="M89"/>
      <c r="N89"/>
      <c r="O89"/>
      <c r="P89"/>
      <c r="Q89"/>
    </row>
    <row r="90" spans="6:17" x14ac:dyDescent="0.3">
      <c r="F90" s="216" t="s">
        <v>3809</v>
      </c>
      <c r="G90" s="216">
        <v>1</v>
      </c>
      <c r="J90" s="227" t="s">
        <v>1274</v>
      </c>
      <c r="K90">
        <v>5</v>
      </c>
      <c r="M90"/>
      <c r="N90"/>
      <c r="O90"/>
      <c r="P90"/>
      <c r="Q90"/>
    </row>
    <row r="91" spans="6:17" x14ac:dyDescent="0.3">
      <c r="F91" s="216" t="s">
        <v>1958</v>
      </c>
      <c r="G91" s="216">
        <v>1</v>
      </c>
      <c r="J91" s="227" t="s">
        <v>2432</v>
      </c>
      <c r="K91">
        <v>1</v>
      </c>
      <c r="M91"/>
      <c r="N91"/>
      <c r="O91"/>
      <c r="P91"/>
      <c r="Q91"/>
    </row>
    <row r="92" spans="6:17" x14ac:dyDescent="0.3">
      <c r="F92" s="216" t="s">
        <v>4147</v>
      </c>
      <c r="G92" s="216">
        <v>1</v>
      </c>
      <c r="J92" s="227" t="s">
        <v>994</v>
      </c>
      <c r="K92">
        <v>1</v>
      </c>
      <c r="M92"/>
      <c r="N92"/>
      <c r="O92"/>
      <c r="P92"/>
      <c r="Q92"/>
    </row>
    <row r="93" spans="6:17" x14ac:dyDescent="0.3">
      <c r="F93" s="216" t="s">
        <v>77</v>
      </c>
      <c r="G93" s="216">
        <v>4</v>
      </c>
      <c r="J93" s="227" t="s">
        <v>1631</v>
      </c>
      <c r="K93">
        <v>4</v>
      </c>
      <c r="M93"/>
      <c r="N93"/>
      <c r="O93"/>
      <c r="P93"/>
      <c r="Q93"/>
    </row>
    <row r="94" spans="6:17" x14ac:dyDescent="0.3">
      <c r="F94" s="216" t="s">
        <v>1052</v>
      </c>
      <c r="G94" s="216">
        <v>1</v>
      </c>
      <c r="J94" s="227" t="s">
        <v>1793</v>
      </c>
      <c r="K94">
        <v>3</v>
      </c>
      <c r="M94"/>
      <c r="N94"/>
      <c r="O94"/>
      <c r="P94"/>
      <c r="Q94"/>
    </row>
    <row r="95" spans="6:17" x14ac:dyDescent="0.3">
      <c r="F95" s="216" t="s">
        <v>114</v>
      </c>
      <c r="G95" s="216">
        <v>4</v>
      </c>
      <c r="J95" s="227" t="s">
        <v>1232</v>
      </c>
      <c r="K95">
        <v>1</v>
      </c>
      <c r="M95"/>
      <c r="N95"/>
      <c r="O95">
        <v>17</v>
      </c>
      <c r="P95"/>
      <c r="Q95"/>
    </row>
    <row r="96" spans="6:17" x14ac:dyDescent="0.3">
      <c r="F96" s="216" t="s">
        <v>457</v>
      </c>
      <c r="G96" s="216">
        <v>4</v>
      </c>
      <c r="J96" s="227" t="s">
        <v>2284</v>
      </c>
      <c r="K96">
        <v>1</v>
      </c>
      <c r="M96"/>
      <c r="N96"/>
      <c r="O96"/>
      <c r="P96"/>
      <c r="Q96"/>
    </row>
    <row r="97" spans="6:17" x14ac:dyDescent="0.3">
      <c r="F97" s="216" t="s">
        <v>1842</v>
      </c>
      <c r="G97" s="216">
        <v>2</v>
      </c>
      <c r="J97" s="227" t="s">
        <v>1520</v>
      </c>
      <c r="K97">
        <v>1</v>
      </c>
      <c r="M97"/>
      <c r="N97"/>
      <c r="O97"/>
      <c r="P97"/>
      <c r="Q97"/>
    </row>
    <row r="98" spans="6:17" x14ac:dyDescent="0.3">
      <c r="F98" s="216" t="s">
        <v>1071</v>
      </c>
      <c r="G98" s="216">
        <v>1</v>
      </c>
      <c r="J98" s="227" t="s">
        <v>516</v>
      </c>
      <c r="K98">
        <v>43</v>
      </c>
      <c r="M98"/>
      <c r="N98"/>
      <c r="O98"/>
      <c r="P98"/>
      <c r="Q98"/>
    </row>
    <row r="99" spans="6:17" x14ac:dyDescent="0.3">
      <c r="F99" s="216" t="s">
        <v>390</v>
      </c>
      <c r="G99" s="216">
        <v>1</v>
      </c>
      <c r="J99" s="227" t="s">
        <v>2521</v>
      </c>
      <c r="K99">
        <v>1</v>
      </c>
      <c r="M99"/>
      <c r="N99"/>
      <c r="O99"/>
      <c r="P99"/>
      <c r="Q99"/>
    </row>
    <row r="100" spans="6:17" x14ac:dyDescent="0.3">
      <c r="F100" s="216" t="s">
        <v>1158</v>
      </c>
      <c r="G100" s="216">
        <v>1</v>
      </c>
      <c r="J100" s="227" t="s">
        <v>1660</v>
      </c>
      <c r="K100">
        <v>1</v>
      </c>
      <c r="M100"/>
      <c r="N100"/>
      <c r="O100">
        <v>9</v>
      </c>
      <c r="P100"/>
      <c r="Q100"/>
    </row>
    <row r="101" spans="6:17" x14ac:dyDescent="0.3">
      <c r="J101" s="227" t="s">
        <v>3181</v>
      </c>
      <c r="K101">
        <v>1</v>
      </c>
      <c r="M101"/>
      <c r="N101"/>
      <c r="O101"/>
      <c r="P101"/>
      <c r="Q101"/>
    </row>
    <row r="102" spans="6:17" x14ac:dyDescent="0.3">
      <c r="F102" s="216" t="s">
        <v>6825</v>
      </c>
      <c r="G102" s="216">
        <v>411</v>
      </c>
      <c r="J102" s="227" t="s">
        <v>1214</v>
      </c>
      <c r="K102">
        <v>1</v>
      </c>
      <c r="M102"/>
      <c r="N102"/>
      <c r="O102"/>
      <c r="P102"/>
      <c r="Q102"/>
    </row>
    <row r="103" spans="6:17" x14ac:dyDescent="0.3">
      <c r="J103" s="227" t="s">
        <v>2447</v>
      </c>
      <c r="K103">
        <v>1</v>
      </c>
      <c r="M103"/>
      <c r="N103"/>
      <c r="O103"/>
      <c r="P103"/>
      <c r="Q103"/>
    </row>
    <row r="104" spans="6:17" x14ac:dyDescent="0.3">
      <c r="J104" s="227" t="s">
        <v>2975</v>
      </c>
      <c r="K104">
        <v>1</v>
      </c>
      <c r="M104"/>
      <c r="N104"/>
      <c r="O104"/>
      <c r="P104"/>
      <c r="Q104"/>
    </row>
    <row r="105" spans="6:17" x14ac:dyDescent="0.3">
      <c r="J105" s="227" t="s">
        <v>1732</v>
      </c>
      <c r="K105">
        <v>1</v>
      </c>
      <c r="M105"/>
      <c r="N105"/>
      <c r="O105">
        <v>18</v>
      </c>
      <c r="P105"/>
      <c r="Q105"/>
    </row>
    <row r="106" spans="6:17" x14ac:dyDescent="0.3">
      <c r="J106" s="227" t="s">
        <v>1292</v>
      </c>
      <c r="K106">
        <v>5</v>
      </c>
      <c r="M106"/>
      <c r="N106"/>
      <c r="O106"/>
      <c r="P106"/>
      <c r="Q106"/>
    </row>
    <row r="107" spans="6:17" x14ac:dyDescent="0.3">
      <c r="J107" s="227" t="s">
        <v>2398</v>
      </c>
      <c r="K107">
        <v>2</v>
      </c>
      <c r="M107"/>
      <c r="N107"/>
      <c r="O107"/>
      <c r="P107"/>
      <c r="Q107"/>
    </row>
    <row r="108" spans="6:17" x14ac:dyDescent="0.3">
      <c r="J108" s="227" t="s">
        <v>775</v>
      </c>
      <c r="K108">
        <v>8</v>
      </c>
      <c r="M108"/>
      <c r="N108"/>
      <c r="O108"/>
      <c r="P108"/>
      <c r="Q108"/>
    </row>
    <row r="109" spans="6:17" x14ac:dyDescent="0.3">
      <c r="J109" s="227" t="s">
        <v>2960</v>
      </c>
      <c r="K109">
        <v>1</v>
      </c>
      <c r="M109"/>
      <c r="N109"/>
      <c r="O109"/>
      <c r="P109"/>
      <c r="Q109"/>
    </row>
    <row r="110" spans="6:17" x14ac:dyDescent="0.3">
      <c r="J110" s="227" t="s">
        <v>852</v>
      </c>
      <c r="K110">
        <v>2</v>
      </c>
      <c r="M110"/>
      <c r="N110"/>
      <c r="O110"/>
      <c r="P110"/>
      <c r="Q110"/>
    </row>
    <row r="111" spans="6:17" x14ac:dyDescent="0.3">
      <c r="J111" s="227" t="s">
        <v>1862</v>
      </c>
      <c r="K111">
        <v>6</v>
      </c>
      <c r="M111"/>
      <c r="N111"/>
      <c r="O111"/>
      <c r="P111"/>
      <c r="Q111"/>
    </row>
    <row r="112" spans="6:17" x14ac:dyDescent="0.3">
      <c r="J112" s="227" t="s">
        <v>2569</v>
      </c>
      <c r="K112">
        <v>1</v>
      </c>
      <c r="M112"/>
      <c r="N112"/>
      <c r="O112"/>
      <c r="P112"/>
      <c r="Q112"/>
    </row>
    <row r="113" spans="10:17" x14ac:dyDescent="0.3">
      <c r="J113" s="227" t="s">
        <v>876</v>
      </c>
      <c r="K113">
        <v>2</v>
      </c>
      <c r="M113"/>
      <c r="N113"/>
      <c r="O113"/>
      <c r="P113"/>
      <c r="Q113"/>
    </row>
    <row r="114" spans="10:17" x14ac:dyDescent="0.3">
      <c r="J114" s="227" t="s">
        <v>2195</v>
      </c>
      <c r="K114">
        <v>1</v>
      </c>
      <c r="M114"/>
      <c r="N114"/>
      <c r="O114"/>
      <c r="P114"/>
      <c r="Q114"/>
    </row>
    <row r="115" spans="10:17" x14ac:dyDescent="0.3">
      <c r="J115" s="227" t="s">
        <v>6781</v>
      </c>
      <c r="K115">
        <v>1</v>
      </c>
      <c r="M115"/>
      <c r="N115"/>
      <c r="O115"/>
      <c r="P115"/>
      <c r="Q115"/>
    </row>
    <row r="116" spans="10:17" x14ac:dyDescent="0.3">
      <c r="J116" s="227" t="s">
        <v>1804</v>
      </c>
      <c r="K116">
        <v>2</v>
      </c>
      <c r="M116"/>
      <c r="N116"/>
      <c r="O116"/>
      <c r="P116"/>
      <c r="Q116"/>
    </row>
    <row r="117" spans="10:17" x14ac:dyDescent="0.3">
      <c r="J117" s="227" t="s">
        <v>2304</v>
      </c>
      <c r="K117">
        <v>1</v>
      </c>
      <c r="M117"/>
      <c r="N117"/>
      <c r="O117"/>
      <c r="P117"/>
      <c r="Q117"/>
    </row>
    <row r="118" spans="10:17" x14ac:dyDescent="0.3">
      <c r="J118" s="227" t="s">
        <v>3122</v>
      </c>
      <c r="K118">
        <v>1</v>
      </c>
      <c r="M118"/>
      <c r="N118"/>
      <c r="O118"/>
      <c r="P118"/>
      <c r="Q118"/>
    </row>
    <row r="119" spans="10:17" x14ac:dyDescent="0.3">
      <c r="J119" s="227" t="s">
        <v>1855</v>
      </c>
      <c r="K119">
        <v>2</v>
      </c>
      <c r="M119"/>
      <c r="N119"/>
      <c r="O119"/>
      <c r="P119"/>
      <c r="Q119"/>
    </row>
    <row r="120" spans="10:17" x14ac:dyDescent="0.3">
      <c r="J120" s="227" t="s">
        <v>3088</v>
      </c>
      <c r="K120">
        <v>2</v>
      </c>
      <c r="M120"/>
      <c r="N120"/>
      <c r="O120"/>
      <c r="P120"/>
      <c r="Q120"/>
    </row>
    <row r="121" spans="10:17" x14ac:dyDescent="0.3">
      <c r="J121" s="227" t="s">
        <v>3077</v>
      </c>
      <c r="K121">
        <v>1</v>
      </c>
      <c r="M121"/>
      <c r="N121"/>
      <c r="O121"/>
      <c r="P121"/>
      <c r="Q121"/>
    </row>
    <row r="122" spans="10:17" x14ac:dyDescent="0.3">
      <c r="J122" s="227" t="s">
        <v>2825</v>
      </c>
      <c r="K122">
        <v>1</v>
      </c>
      <c r="M122"/>
      <c r="N122"/>
      <c r="O122"/>
      <c r="P122"/>
      <c r="Q122"/>
    </row>
    <row r="123" spans="10:17" x14ac:dyDescent="0.3">
      <c r="J123" s="227" t="s">
        <v>3098</v>
      </c>
      <c r="K123">
        <v>1</v>
      </c>
      <c r="M123"/>
      <c r="N123"/>
      <c r="O123"/>
      <c r="P123"/>
      <c r="Q123"/>
    </row>
    <row r="124" spans="10:17" x14ac:dyDescent="0.3">
      <c r="J124" s="227" t="s">
        <v>3167</v>
      </c>
      <c r="K124">
        <v>1</v>
      </c>
      <c r="M124"/>
      <c r="N124"/>
      <c r="O124"/>
      <c r="P124"/>
      <c r="Q124"/>
    </row>
    <row r="125" spans="10:17" x14ac:dyDescent="0.3">
      <c r="J125" s="227" t="s">
        <v>2106</v>
      </c>
      <c r="K125">
        <v>1</v>
      </c>
      <c r="M125"/>
      <c r="N125"/>
      <c r="O125"/>
      <c r="P125"/>
      <c r="Q125"/>
    </row>
    <row r="126" spans="10:17" x14ac:dyDescent="0.3">
      <c r="J126" s="227" t="s">
        <v>6782</v>
      </c>
      <c r="K126">
        <v>1</v>
      </c>
      <c r="M126"/>
      <c r="N126"/>
      <c r="O126"/>
      <c r="P126"/>
      <c r="Q126"/>
    </row>
    <row r="127" spans="10:17" x14ac:dyDescent="0.3">
      <c r="J127" s="227" t="s">
        <v>3954</v>
      </c>
      <c r="K127">
        <v>1</v>
      </c>
      <c r="M127"/>
      <c r="N127"/>
      <c r="O127"/>
      <c r="P127"/>
      <c r="Q127"/>
    </row>
    <row r="128" spans="10:17" x14ac:dyDescent="0.3">
      <c r="J128" s="227" t="s">
        <v>1472</v>
      </c>
      <c r="K128">
        <v>1</v>
      </c>
      <c r="M128"/>
      <c r="N128"/>
      <c r="O128"/>
      <c r="P128"/>
      <c r="Q128"/>
    </row>
    <row r="129" spans="10:17" x14ac:dyDescent="0.3">
      <c r="J129" s="227" t="s">
        <v>2327</v>
      </c>
      <c r="K129">
        <v>1</v>
      </c>
      <c r="M129"/>
      <c r="N129"/>
      <c r="O129"/>
      <c r="P129"/>
      <c r="Q129"/>
    </row>
    <row r="130" spans="10:17" x14ac:dyDescent="0.3">
      <c r="J130" s="227" t="s">
        <v>2264</v>
      </c>
      <c r="K130">
        <v>1</v>
      </c>
      <c r="M130"/>
      <c r="N130"/>
      <c r="O130"/>
      <c r="P130"/>
      <c r="Q130"/>
    </row>
    <row r="131" spans="10:17" x14ac:dyDescent="0.3">
      <c r="J131" s="227" t="s">
        <v>2050</v>
      </c>
      <c r="K131">
        <v>1</v>
      </c>
      <c r="M131"/>
      <c r="N131"/>
      <c r="O131"/>
      <c r="P131"/>
      <c r="Q131"/>
    </row>
    <row r="132" spans="10:17" x14ac:dyDescent="0.3">
      <c r="J132" s="227" t="s">
        <v>4177</v>
      </c>
      <c r="K132">
        <v>1</v>
      </c>
      <c r="M132"/>
      <c r="N132"/>
      <c r="O132"/>
      <c r="P132"/>
      <c r="Q132"/>
    </row>
    <row r="133" spans="10:17" x14ac:dyDescent="0.3">
      <c r="J133" s="227" t="s">
        <v>1579</v>
      </c>
      <c r="K133">
        <v>1</v>
      </c>
      <c r="M133"/>
      <c r="N133"/>
      <c r="O133"/>
      <c r="P133"/>
      <c r="Q133"/>
    </row>
    <row r="134" spans="10:17" x14ac:dyDescent="0.3">
      <c r="J134" s="227" t="s">
        <v>2088</v>
      </c>
      <c r="K134">
        <v>1</v>
      </c>
      <c r="M134"/>
      <c r="N134"/>
      <c r="O134"/>
      <c r="P134"/>
      <c r="Q134"/>
    </row>
    <row r="135" spans="10:17" x14ac:dyDescent="0.3">
      <c r="J135" s="227" t="s">
        <v>839</v>
      </c>
      <c r="K135">
        <v>1</v>
      </c>
      <c r="M135"/>
      <c r="N135"/>
      <c r="O135"/>
      <c r="P135"/>
      <c r="Q135"/>
    </row>
    <row r="136" spans="10:17" x14ac:dyDescent="0.3">
      <c r="J136" s="227" t="s">
        <v>3366</v>
      </c>
      <c r="K136">
        <v>1</v>
      </c>
      <c r="M136"/>
      <c r="N136"/>
      <c r="O136"/>
      <c r="P136"/>
      <c r="Q136"/>
    </row>
    <row r="137" spans="10:17" x14ac:dyDescent="0.3">
      <c r="J137" s="227" t="s">
        <v>1675</v>
      </c>
      <c r="K137">
        <v>1</v>
      </c>
      <c r="M137"/>
      <c r="N137"/>
      <c r="O137"/>
      <c r="P137"/>
      <c r="Q137"/>
    </row>
    <row r="138" spans="10:17" x14ac:dyDescent="0.3">
      <c r="J138" s="227" t="s">
        <v>1531</v>
      </c>
      <c r="K138">
        <v>2</v>
      </c>
      <c r="O138"/>
      <c r="P138"/>
      <c r="Q138"/>
    </row>
    <row r="139" spans="10:17" x14ac:dyDescent="0.3">
      <c r="J139" s="227" t="s">
        <v>976</v>
      </c>
      <c r="K139">
        <v>2</v>
      </c>
      <c r="O139"/>
      <c r="P139"/>
      <c r="Q139"/>
    </row>
    <row r="140" spans="10:17" x14ac:dyDescent="0.3">
      <c r="J140" s="227" t="s">
        <v>1146</v>
      </c>
      <c r="K140">
        <v>2</v>
      </c>
      <c r="O140"/>
      <c r="P140"/>
      <c r="Q140"/>
    </row>
    <row r="141" spans="10:17" x14ac:dyDescent="0.3">
      <c r="J141" s="227" t="s">
        <v>1060</v>
      </c>
      <c r="K141">
        <v>1</v>
      </c>
      <c r="O141"/>
      <c r="P141"/>
      <c r="Q141"/>
    </row>
    <row r="142" spans="10:17" x14ac:dyDescent="0.3">
      <c r="J142" s="227" t="s">
        <v>1397</v>
      </c>
      <c r="K142">
        <v>1</v>
      </c>
      <c r="O142"/>
      <c r="P142"/>
      <c r="Q142"/>
    </row>
    <row r="143" spans="10:17" x14ac:dyDescent="0.3">
      <c r="J143" s="227" t="s">
        <v>790</v>
      </c>
      <c r="K143">
        <v>6</v>
      </c>
      <c r="O143"/>
      <c r="P143"/>
      <c r="Q143"/>
    </row>
    <row r="144" spans="10:17" x14ac:dyDescent="0.3">
      <c r="J144" s="227" t="s">
        <v>4565</v>
      </c>
      <c r="K144">
        <v>1</v>
      </c>
      <c r="O144"/>
      <c r="P144"/>
      <c r="Q144"/>
    </row>
    <row r="145" spans="10:17" x14ac:dyDescent="0.3">
      <c r="J145" s="227" t="s">
        <v>3155</v>
      </c>
      <c r="K145">
        <v>1</v>
      </c>
      <c r="O145"/>
      <c r="P145"/>
      <c r="Q145"/>
    </row>
    <row r="146" spans="10:17" x14ac:dyDescent="0.3">
      <c r="J146" s="227" t="s">
        <v>1454</v>
      </c>
      <c r="K146">
        <v>2</v>
      </c>
      <c r="O146"/>
      <c r="P146"/>
      <c r="Q146"/>
    </row>
    <row r="147" spans="10:17" x14ac:dyDescent="0.3">
      <c r="J147" s="227" t="s">
        <v>2253</v>
      </c>
      <c r="K147">
        <v>1</v>
      </c>
      <c r="O147"/>
      <c r="P147"/>
      <c r="Q147"/>
    </row>
    <row r="148" spans="10:17" x14ac:dyDescent="0.3">
      <c r="J148" s="227" t="s">
        <v>677</v>
      </c>
      <c r="K148">
        <v>1</v>
      </c>
      <c r="O148"/>
      <c r="P148"/>
      <c r="Q148"/>
    </row>
    <row r="149" spans="10:17" x14ac:dyDescent="0.3">
      <c r="J149" s="227" t="s">
        <v>1811</v>
      </c>
      <c r="K149">
        <v>1</v>
      </c>
      <c r="O149"/>
      <c r="P149"/>
      <c r="Q149"/>
    </row>
    <row r="150" spans="10:17" x14ac:dyDescent="0.3">
      <c r="J150" s="227" t="s">
        <v>1762</v>
      </c>
      <c r="K150">
        <v>3</v>
      </c>
      <c r="O150"/>
      <c r="P150"/>
      <c r="Q150"/>
    </row>
    <row r="151" spans="10:17" x14ac:dyDescent="0.3">
      <c r="J151" s="227" t="s">
        <v>2582</v>
      </c>
      <c r="K151">
        <v>1</v>
      </c>
      <c r="O151"/>
      <c r="P151"/>
      <c r="Q151"/>
    </row>
    <row r="152" spans="10:17" x14ac:dyDescent="0.3">
      <c r="J152" s="227" t="s">
        <v>959</v>
      </c>
      <c r="K152">
        <v>1</v>
      </c>
      <c r="O152"/>
      <c r="P152"/>
      <c r="Q152"/>
    </row>
    <row r="153" spans="10:17" x14ac:dyDescent="0.3">
      <c r="J153" s="227" t="s">
        <v>4140</v>
      </c>
      <c r="K153">
        <v>1</v>
      </c>
      <c r="O153"/>
      <c r="P153"/>
      <c r="Q153"/>
    </row>
    <row r="154" spans="10:17" x14ac:dyDescent="0.3">
      <c r="J154" s="227" t="s">
        <v>499</v>
      </c>
      <c r="K154">
        <v>1</v>
      </c>
      <c r="O154"/>
      <c r="P154"/>
      <c r="Q154"/>
    </row>
    <row r="155" spans="10:17" x14ac:dyDescent="0.3">
      <c r="J155" s="227" t="s">
        <v>2362</v>
      </c>
      <c r="K155">
        <v>1</v>
      </c>
      <c r="O155"/>
      <c r="P155"/>
      <c r="Q155"/>
    </row>
    <row r="156" spans="10:17" x14ac:dyDescent="0.3">
      <c r="J156" s="227" t="s">
        <v>1569</v>
      </c>
      <c r="K156">
        <v>1</v>
      </c>
      <c r="O156"/>
      <c r="P156"/>
      <c r="Q156"/>
    </row>
    <row r="157" spans="10:17" x14ac:dyDescent="0.3">
      <c r="J157" s="227" t="s">
        <v>487</v>
      </c>
      <c r="K157">
        <v>1</v>
      </c>
      <c r="O157"/>
      <c r="P157"/>
      <c r="Q157"/>
    </row>
    <row r="158" spans="10:17" x14ac:dyDescent="0.3">
      <c r="J158" s="227" t="s">
        <v>2601</v>
      </c>
      <c r="K158">
        <v>1</v>
      </c>
      <c r="O158"/>
      <c r="P158"/>
      <c r="Q158"/>
    </row>
    <row r="159" spans="10:17" x14ac:dyDescent="0.3">
      <c r="J159" s="227" t="s">
        <v>2479</v>
      </c>
      <c r="K159">
        <v>1</v>
      </c>
      <c r="O159"/>
      <c r="P159"/>
      <c r="Q159"/>
    </row>
    <row r="160" spans="10:17" x14ac:dyDescent="0.3">
      <c r="J160" s="227" t="s">
        <v>2923</v>
      </c>
      <c r="K160">
        <v>1</v>
      </c>
      <c r="O160"/>
      <c r="P160"/>
      <c r="Q160"/>
    </row>
    <row r="161" spans="10:17" x14ac:dyDescent="0.3">
      <c r="J161" s="227" t="s">
        <v>560</v>
      </c>
      <c r="K161">
        <v>6</v>
      </c>
      <c r="O161"/>
      <c r="P161"/>
      <c r="Q161"/>
    </row>
    <row r="162" spans="10:17" x14ac:dyDescent="0.3">
      <c r="J162" s="227" t="s">
        <v>4417</v>
      </c>
      <c r="K162">
        <v>1</v>
      </c>
      <c r="O162"/>
      <c r="P162"/>
      <c r="Q162"/>
    </row>
    <row r="163" spans="10:17" x14ac:dyDescent="0.3">
      <c r="J163" s="227" t="s">
        <v>1980</v>
      </c>
      <c r="K163">
        <v>2</v>
      </c>
      <c r="O163"/>
      <c r="P163"/>
      <c r="Q163"/>
    </row>
    <row r="164" spans="10:17" x14ac:dyDescent="0.3">
      <c r="J164" s="227" t="s">
        <v>1967</v>
      </c>
      <c r="K164">
        <v>1</v>
      </c>
      <c r="O164"/>
      <c r="P164"/>
      <c r="Q164"/>
    </row>
    <row r="165" spans="10:17" x14ac:dyDescent="0.3">
      <c r="J165" s="227" t="s">
        <v>2187</v>
      </c>
      <c r="K165">
        <v>1</v>
      </c>
      <c r="O165"/>
      <c r="P165"/>
      <c r="Q165"/>
    </row>
    <row r="166" spans="10:17" x14ac:dyDescent="0.3">
      <c r="J166" s="227" t="s">
        <v>3446</v>
      </c>
      <c r="K166">
        <v>1</v>
      </c>
      <c r="O166"/>
      <c r="P166"/>
      <c r="Q166"/>
    </row>
    <row r="167" spans="10:17" x14ac:dyDescent="0.3">
      <c r="J167" s="227" t="s">
        <v>663</v>
      </c>
      <c r="K167">
        <v>9</v>
      </c>
      <c r="O167"/>
      <c r="P167"/>
      <c r="Q167"/>
    </row>
    <row r="168" spans="10:17" x14ac:dyDescent="0.3">
      <c r="J168" s="227" t="s">
        <v>2341</v>
      </c>
      <c r="K168">
        <v>1</v>
      </c>
      <c r="O168"/>
      <c r="P168"/>
      <c r="Q168"/>
    </row>
    <row r="169" spans="10:17" x14ac:dyDescent="0.3">
      <c r="J169" s="227" t="s">
        <v>2511</v>
      </c>
      <c r="K169">
        <v>1</v>
      </c>
      <c r="O169"/>
      <c r="P169"/>
      <c r="Q169"/>
    </row>
    <row r="170" spans="10:17" x14ac:dyDescent="0.3">
      <c r="J170" s="227" t="s">
        <v>4096</v>
      </c>
      <c r="K170">
        <v>1</v>
      </c>
    </row>
    <row r="171" spans="10:17" x14ac:dyDescent="0.3">
      <c r="J171" s="227" t="s">
        <v>4109</v>
      </c>
      <c r="K171">
        <v>1</v>
      </c>
    </row>
    <row r="172" spans="10:17" x14ac:dyDescent="0.3">
      <c r="J172" s="227" t="s">
        <v>1018</v>
      </c>
      <c r="K172">
        <v>2</v>
      </c>
    </row>
    <row r="173" spans="10:17" x14ac:dyDescent="0.3">
      <c r="J173" s="227" t="s">
        <v>2751</v>
      </c>
      <c r="K173">
        <v>1</v>
      </c>
    </row>
    <row r="174" spans="10:17" x14ac:dyDescent="0.3">
      <c r="J174" s="227" t="s">
        <v>2731</v>
      </c>
      <c r="K174">
        <v>1</v>
      </c>
    </row>
    <row r="175" spans="10:17" x14ac:dyDescent="0.3">
      <c r="J175" s="227" t="s">
        <v>3681</v>
      </c>
      <c r="K175">
        <v>1</v>
      </c>
    </row>
    <row r="176" spans="10:17" x14ac:dyDescent="0.3">
      <c r="J176" s="227" t="s">
        <v>2558</v>
      </c>
      <c r="K176">
        <v>1</v>
      </c>
    </row>
    <row r="177" spans="10:11" x14ac:dyDescent="0.3">
      <c r="J177" s="227" t="s">
        <v>2009</v>
      </c>
      <c r="K177">
        <v>1</v>
      </c>
    </row>
    <row r="178" spans="10:11" x14ac:dyDescent="0.3">
      <c r="J178" s="227" t="s">
        <v>81</v>
      </c>
      <c r="K178">
        <v>11</v>
      </c>
    </row>
    <row r="179" spans="10:11" x14ac:dyDescent="0.3">
      <c r="J179" s="227" t="s">
        <v>84</v>
      </c>
      <c r="K179">
        <v>1</v>
      </c>
    </row>
    <row r="180" spans="10:11" x14ac:dyDescent="0.3">
      <c r="J180" s="227" t="s">
        <v>402</v>
      </c>
      <c r="K180">
        <v>8</v>
      </c>
    </row>
    <row r="181" spans="10:11" x14ac:dyDescent="0.3">
      <c r="J181" s="227" t="s">
        <v>3660</v>
      </c>
      <c r="K181">
        <v>1</v>
      </c>
    </row>
    <row r="182" spans="10:11" x14ac:dyDescent="0.3">
      <c r="J182" s="227" t="s">
        <v>1337</v>
      </c>
      <c r="K182">
        <v>3</v>
      </c>
    </row>
    <row r="183" spans="10:11" x14ac:dyDescent="0.3">
      <c r="J183" s="227" t="s">
        <v>3600</v>
      </c>
      <c r="K183">
        <v>1</v>
      </c>
    </row>
    <row r="184" spans="10:11" x14ac:dyDescent="0.3">
      <c r="J184" s="227" t="s">
        <v>6783</v>
      </c>
      <c r="K184">
        <v>1</v>
      </c>
    </row>
    <row r="185" spans="10:11" x14ac:dyDescent="0.3">
      <c r="J185" s="227" t="s">
        <v>92</v>
      </c>
      <c r="K185">
        <v>3</v>
      </c>
    </row>
    <row r="186" spans="10:11" x14ac:dyDescent="0.3">
      <c r="J186" s="227" t="s">
        <v>1994</v>
      </c>
      <c r="K186">
        <v>1</v>
      </c>
    </row>
    <row r="187" spans="10:11" x14ac:dyDescent="0.3">
      <c r="J187" s="227" t="s">
        <v>4057</v>
      </c>
      <c r="K187">
        <v>1</v>
      </c>
    </row>
    <row r="188" spans="10:11" x14ac:dyDescent="0.3">
      <c r="J188" s="227" t="s">
        <v>574</v>
      </c>
      <c r="K188">
        <v>1</v>
      </c>
    </row>
    <row r="189" spans="10:11" x14ac:dyDescent="0.3">
      <c r="J189" s="227" t="s">
        <v>4064</v>
      </c>
      <c r="K189">
        <v>2</v>
      </c>
    </row>
    <row r="190" spans="10:11" x14ac:dyDescent="0.3">
      <c r="J190" s="227" t="s">
        <v>1553</v>
      </c>
      <c r="K190">
        <v>4</v>
      </c>
    </row>
    <row r="191" spans="10:11" x14ac:dyDescent="0.3">
      <c r="J191" s="227" t="s">
        <v>1097</v>
      </c>
      <c r="K191">
        <v>1</v>
      </c>
    </row>
    <row r="192" spans="10:11" x14ac:dyDescent="0.3">
      <c r="J192" s="227" t="s">
        <v>3794</v>
      </c>
      <c r="K192">
        <v>1</v>
      </c>
    </row>
    <row r="193" spans="10:11" x14ac:dyDescent="0.3">
      <c r="J193" s="227" t="s">
        <v>3809</v>
      </c>
      <c r="K193">
        <v>1</v>
      </c>
    </row>
    <row r="194" spans="10:11" x14ac:dyDescent="0.3">
      <c r="J194" s="227" t="s">
        <v>1958</v>
      </c>
      <c r="K194">
        <v>1</v>
      </c>
    </row>
    <row r="195" spans="10:11" x14ac:dyDescent="0.3">
      <c r="J195" s="227" t="s">
        <v>4147</v>
      </c>
      <c r="K195">
        <v>1</v>
      </c>
    </row>
    <row r="196" spans="10:11" x14ac:dyDescent="0.3">
      <c r="J196" s="227" t="s">
        <v>77</v>
      </c>
      <c r="K196">
        <v>4</v>
      </c>
    </row>
    <row r="197" spans="10:11" x14ac:dyDescent="0.3">
      <c r="J197" s="227" t="s">
        <v>1052</v>
      </c>
      <c r="K197">
        <v>1</v>
      </c>
    </row>
    <row r="198" spans="10:11" x14ac:dyDescent="0.3">
      <c r="J198" s="227" t="s">
        <v>114</v>
      </c>
      <c r="K198">
        <v>4</v>
      </c>
    </row>
    <row r="199" spans="10:11" x14ac:dyDescent="0.3">
      <c r="J199" s="227" t="s">
        <v>457</v>
      </c>
      <c r="K199">
        <v>4</v>
      </c>
    </row>
    <row r="200" spans="10:11" x14ac:dyDescent="0.3">
      <c r="J200" s="227" t="s">
        <v>1842</v>
      </c>
      <c r="K200">
        <v>2</v>
      </c>
    </row>
    <row r="201" spans="10:11" x14ac:dyDescent="0.3">
      <c r="J201" s="227" t="s">
        <v>1071</v>
      </c>
      <c r="K201">
        <v>1</v>
      </c>
    </row>
    <row r="202" spans="10:11" x14ac:dyDescent="0.3">
      <c r="J202" s="227" t="s">
        <v>390</v>
      </c>
      <c r="K202">
        <v>1</v>
      </c>
    </row>
    <row r="203" spans="10:11" x14ac:dyDescent="0.3">
      <c r="J203" s="227" t="s">
        <v>1158</v>
      </c>
      <c r="K203">
        <v>1</v>
      </c>
    </row>
    <row r="204" spans="10:11" x14ac:dyDescent="0.3">
      <c r="J204" s="227" t="s">
        <v>6846</v>
      </c>
      <c r="K204"/>
    </row>
    <row r="205" spans="10:11" x14ac:dyDescent="0.3">
      <c r="J205" s="227" t="s">
        <v>6844</v>
      </c>
      <c r="K205">
        <v>11</v>
      </c>
    </row>
    <row r="206" spans="10:11" x14ac:dyDescent="0.3">
      <c r="J206" s="227" t="s">
        <v>6825</v>
      </c>
      <c r="K206">
        <v>420</v>
      </c>
    </row>
  </sheetData>
  <mergeCells count="9">
    <mergeCell ref="N26:O26"/>
    <mergeCell ref="E1:F1"/>
    <mergeCell ref="H1:I1"/>
    <mergeCell ref="A28:B28"/>
    <mergeCell ref="A8:B8"/>
    <mergeCell ref="E8:F8"/>
    <mergeCell ref="E12:F12"/>
    <mergeCell ref="A1:C1"/>
    <mergeCell ref="H12:I12"/>
  </mergeCells>
  <phoneticPr fontId="2" type="noConversion"/>
  <pageMargins left="0.7" right="0.7" top="0.75" bottom="0.75" header="0.3" footer="0.3"/>
  <pageSetup paperSize="9" orientation="portrait" horizontalDpi="0" verticalDpi="0" r:id="rId11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E2A3C-453F-4441-9468-72A7A998D9BF}">
  <sheetPr>
    <tabColor rgb="FF92D050"/>
  </sheetPr>
  <dimension ref="A3:D12"/>
  <sheetViews>
    <sheetView workbookViewId="0">
      <selection activeCell="A9" sqref="A9:C14"/>
    </sheetView>
  </sheetViews>
  <sheetFormatPr defaultRowHeight="14.4" x14ac:dyDescent="0.3"/>
  <cols>
    <col min="1" max="1" width="14.21875" customWidth="1"/>
    <col min="2" max="2" width="22.77734375" customWidth="1"/>
  </cols>
  <sheetData>
    <row r="3" spans="1:4" x14ac:dyDescent="0.3">
      <c r="A3" s="226" t="s">
        <v>6845</v>
      </c>
      <c r="B3" t="s">
        <v>7133</v>
      </c>
    </row>
    <row r="4" spans="1:4" x14ac:dyDescent="0.3">
      <c r="A4" s="227" t="s">
        <v>6856</v>
      </c>
      <c r="B4">
        <v>57</v>
      </c>
      <c r="D4" s="307">
        <f>57/437*100</f>
        <v>13.043478260869565</v>
      </c>
    </row>
    <row r="5" spans="1:4" x14ac:dyDescent="0.3">
      <c r="A5" s="227" t="s">
        <v>6857</v>
      </c>
      <c r="B5">
        <v>19</v>
      </c>
      <c r="D5" s="307">
        <f>19/437*100</f>
        <v>4.3478260869565215</v>
      </c>
    </row>
    <row r="6" spans="1:4" x14ac:dyDescent="0.3">
      <c r="A6" s="227" t="s">
        <v>14</v>
      </c>
      <c r="B6">
        <v>359</v>
      </c>
      <c r="D6" s="307">
        <f>361/437*100</f>
        <v>82.608695652173907</v>
      </c>
    </row>
    <row r="7" spans="1:4" x14ac:dyDescent="0.3">
      <c r="A7" s="227" t="s">
        <v>6825</v>
      </c>
      <c r="B7">
        <v>435</v>
      </c>
      <c r="D7" s="307">
        <f>SUM(D4:D6)</f>
        <v>100</v>
      </c>
    </row>
    <row r="9" spans="1:4" x14ac:dyDescent="0.3">
      <c r="A9" s="226" t="s">
        <v>6845</v>
      </c>
      <c r="B9" t="s">
        <v>7134</v>
      </c>
    </row>
    <row r="10" spans="1:4" x14ac:dyDescent="0.3">
      <c r="A10" s="227" t="s">
        <v>132</v>
      </c>
      <c r="B10">
        <v>401</v>
      </c>
    </row>
    <row r="11" spans="1:4" x14ac:dyDescent="0.3">
      <c r="A11" s="227" t="s">
        <v>133</v>
      </c>
      <c r="B11">
        <v>34</v>
      </c>
    </row>
    <row r="12" spans="1:4" x14ac:dyDescent="0.3">
      <c r="A12" s="227" t="s">
        <v>6825</v>
      </c>
      <c r="B12">
        <v>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52808-DE18-491D-A90E-F5687FC0E7AF}">
  <sheetPr codeName="Sheet3">
    <tabColor rgb="FF92D050"/>
  </sheetPr>
  <dimension ref="A1:CI485"/>
  <sheetViews>
    <sheetView tabSelected="1" topLeftCell="A4" zoomScale="103" zoomScaleNormal="120" workbookViewId="0">
      <pane xSplit="4" ySplit="1" topLeftCell="E426" activePane="bottomRight" state="frozen"/>
      <selection activeCell="A4" sqref="A4"/>
      <selection pane="topRight" activeCell="E4" sqref="E4"/>
      <selection pane="bottomLeft" activeCell="A5" sqref="A5"/>
      <selection pane="bottomRight" activeCell="L443" sqref="L443"/>
    </sheetView>
  </sheetViews>
  <sheetFormatPr defaultColWidth="14.44140625" defaultRowHeight="15" customHeight="1" x14ac:dyDescent="0.2"/>
  <cols>
    <col min="1" max="1" width="1.21875" style="86" customWidth="1"/>
    <col min="2" max="2" width="9.21875" style="86" customWidth="1"/>
    <col min="3" max="3" width="10.21875" style="86" hidden="1" customWidth="1"/>
    <col min="4" max="4" width="18.77734375" style="325" customWidth="1"/>
    <col min="5" max="5" width="12.77734375" style="86" customWidth="1"/>
    <col min="6" max="6" width="13.5546875" style="86" customWidth="1"/>
    <col min="7" max="7" width="12.77734375" style="86" customWidth="1"/>
    <col min="8" max="8" width="12.44140625" style="86" customWidth="1"/>
    <col min="9" max="9" width="9.21875" style="86" customWidth="1"/>
    <col min="10" max="10" width="26" style="86" customWidth="1"/>
    <col min="11" max="11" width="15.21875" style="86" customWidth="1"/>
    <col min="12" max="12" width="14.77734375" style="86" customWidth="1"/>
    <col min="13" max="13" width="18.21875" style="86" customWidth="1"/>
    <col min="14" max="14" width="10" style="86" customWidth="1"/>
    <col min="15" max="15" width="27.44140625" style="86" customWidth="1"/>
    <col min="16" max="16" width="24.21875" style="88" customWidth="1"/>
    <col min="17" max="17" width="15.44140625" style="86" customWidth="1"/>
    <col min="18" max="19" width="13.44140625" style="86" customWidth="1"/>
    <col min="20" max="20" width="16" style="86" customWidth="1"/>
    <col min="21" max="21" width="17.44140625" style="86" customWidth="1"/>
    <col min="22" max="22" width="19.21875" style="86" customWidth="1"/>
    <col min="23" max="23" width="31.77734375" style="86" customWidth="1"/>
    <col min="24" max="24" width="31.21875" style="86" customWidth="1"/>
    <col min="25" max="25" width="21.77734375" style="86" customWidth="1"/>
    <col min="26" max="26" width="23.5546875" style="86" customWidth="1"/>
    <col min="27" max="27" width="19" style="86" customWidth="1"/>
    <col min="28" max="28" width="21.44140625" style="86" customWidth="1"/>
    <col min="29" max="29" width="13.44140625" style="86" customWidth="1"/>
    <col min="30" max="30" width="11.5546875" style="86" customWidth="1"/>
    <col min="31" max="31" width="15" style="86" customWidth="1"/>
    <col min="32" max="32" width="15.77734375" style="120" customWidth="1"/>
    <col min="33" max="33" width="15.44140625" style="86" customWidth="1"/>
    <col min="34" max="34" width="21.44140625" style="120" customWidth="1"/>
    <col min="35" max="35" width="11.77734375" style="86" customWidth="1"/>
    <col min="36" max="36" width="12.21875" style="120" customWidth="1"/>
    <col min="37" max="37" width="16.77734375" style="86" customWidth="1"/>
    <col min="38" max="38" width="12.5546875" style="120" customWidth="1"/>
    <col min="39" max="39" width="19.21875" style="86" customWidth="1"/>
    <col min="40" max="40" width="22.77734375" style="86" customWidth="1"/>
    <col min="41" max="41" width="17.21875" style="86" customWidth="1"/>
    <col min="42" max="45" width="11.77734375" style="86" customWidth="1"/>
    <col min="46" max="46" width="12.21875" style="86" customWidth="1"/>
    <col min="47" max="49" width="11.77734375" style="86" customWidth="1"/>
    <col min="50" max="50" width="15.5546875" style="86" customWidth="1"/>
    <col min="51" max="51" width="18.44140625" style="86" customWidth="1"/>
    <col min="52" max="52" width="14.5546875" style="86" customWidth="1"/>
    <col min="53" max="53" width="15.44140625" style="86" customWidth="1"/>
    <col min="54" max="55" width="10.44140625" style="86" customWidth="1"/>
    <col min="56" max="56" width="41.44140625" style="86" customWidth="1"/>
    <col min="57" max="57" width="39.21875" style="86" customWidth="1"/>
    <col min="58" max="58" width="13.77734375" style="86" customWidth="1"/>
    <col min="59" max="59" width="12.5546875" style="86" customWidth="1"/>
    <col min="60" max="60" width="14.21875" style="86" customWidth="1"/>
    <col min="61" max="61" width="25.77734375" style="86" customWidth="1"/>
    <col min="62" max="62" width="14.5546875" style="86" customWidth="1"/>
    <col min="63" max="63" width="12.5546875" style="86" customWidth="1"/>
    <col min="64" max="64" width="10" style="86" customWidth="1"/>
    <col min="65" max="65" width="21.77734375" style="86" customWidth="1"/>
    <col min="66" max="66" width="17.77734375" style="86" customWidth="1"/>
    <col min="67" max="67" width="19.21875" style="86" customWidth="1"/>
    <col min="68" max="68" width="19.77734375" style="86" customWidth="1"/>
    <col min="69" max="69" width="10" style="86" customWidth="1"/>
    <col min="70" max="70" width="10.21875" style="86" customWidth="1"/>
    <col min="71" max="71" width="10.5546875" style="86" customWidth="1"/>
    <col min="72" max="72" width="12.44140625" style="86" customWidth="1"/>
    <col min="73" max="74" width="10" style="86" customWidth="1"/>
    <col min="75" max="75" width="10.77734375" style="86" customWidth="1"/>
    <col min="76" max="76" width="13.21875" style="86" customWidth="1"/>
    <col min="77" max="77" width="12.21875" style="86" customWidth="1"/>
    <col min="78" max="78" width="12.77734375" style="86" customWidth="1"/>
    <col min="79" max="79" width="11.21875" style="86" customWidth="1"/>
    <col min="80" max="80" width="13.21875" style="86" customWidth="1"/>
    <col min="81" max="82" width="10" style="86" customWidth="1"/>
    <col min="83" max="83" width="11.77734375" style="86" customWidth="1"/>
    <col min="84" max="16384" width="14.44140625" style="86"/>
  </cols>
  <sheetData>
    <row r="1" spans="1:87" ht="11.25" customHeight="1" x14ac:dyDescent="0.2">
      <c r="A1" s="13"/>
      <c r="B1" s="13"/>
      <c r="C1" s="13"/>
      <c r="D1" s="112"/>
      <c r="E1" s="115"/>
      <c r="F1" s="109"/>
      <c r="G1" s="110"/>
      <c r="H1" s="117"/>
      <c r="I1" s="13"/>
      <c r="J1" s="13"/>
      <c r="K1" s="118"/>
      <c r="L1" s="13"/>
      <c r="M1" s="13"/>
      <c r="N1" s="13"/>
      <c r="O1" s="13"/>
      <c r="P1" s="121"/>
      <c r="Q1" s="1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14"/>
      <c r="AG1" s="114"/>
      <c r="AH1" s="114"/>
      <c r="AI1" s="117"/>
      <c r="AJ1" s="117"/>
      <c r="AK1" s="117"/>
      <c r="AL1" s="114"/>
      <c r="AM1" s="114"/>
      <c r="AN1" s="114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10"/>
      <c r="BC1" s="13"/>
      <c r="BD1" s="13"/>
      <c r="BE1" s="13"/>
      <c r="BF1" s="13"/>
      <c r="BG1" s="13"/>
      <c r="BH1" s="13"/>
      <c r="BI1" s="13"/>
      <c r="BJ1" s="13"/>
      <c r="BK1" s="13"/>
      <c r="BL1" s="116"/>
      <c r="BM1" s="116"/>
      <c r="BN1" s="13"/>
      <c r="BO1" s="13"/>
      <c r="BP1" s="13"/>
      <c r="BQ1" s="111"/>
      <c r="BR1" s="111"/>
      <c r="BS1" s="111"/>
      <c r="BT1" s="111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</row>
    <row r="2" spans="1:87" ht="11.25" customHeight="1" x14ac:dyDescent="0.2">
      <c r="A2" s="13"/>
      <c r="B2" s="13"/>
      <c r="C2" s="13"/>
      <c r="D2" s="112"/>
      <c r="E2" s="115"/>
      <c r="F2" s="109"/>
      <c r="G2" s="110"/>
      <c r="H2" s="117"/>
      <c r="I2" s="13"/>
      <c r="J2" s="13"/>
      <c r="K2" s="118"/>
      <c r="L2" s="13"/>
      <c r="M2" s="13"/>
      <c r="N2" s="13"/>
      <c r="O2" s="13"/>
      <c r="P2" s="121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14"/>
      <c r="AG2" s="114"/>
      <c r="AH2" s="114"/>
      <c r="AI2" s="117"/>
      <c r="AJ2" s="117"/>
      <c r="AK2" s="117"/>
      <c r="AL2" s="114"/>
      <c r="AM2" s="114"/>
      <c r="AN2" s="114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10"/>
      <c r="BC2" s="13"/>
      <c r="BD2" s="13"/>
      <c r="BE2" s="13"/>
      <c r="BF2" s="13"/>
      <c r="BG2" s="13"/>
      <c r="BH2" s="13"/>
      <c r="BI2" s="13"/>
      <c r="BJ2" s="13"/>
      <c r="BK2" s="13"/>
      <c r="BL2" s="116"/>
      <c r="BM2" s="116"/>
      <c r="BN2" s="13"/>
      <c r="BO2" s="13"/>
      <c r="BP2" s="13"/>
      <c r="BQ2" s="111"/>
      <c r="BR2" s="111"/>
      <c r="BS2" s="111"/>
      <c r="BT2" s="111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</row>
    <row r="3" spans="1:87" ht="11.25" customHeight="1" x14ac:dyDescent="0.2">
      <c r="A3" s="13"/>
      <c r="B3" s="151"/>
      <c r="C3" s="152"/>
      <c r="D3" s="324"/>
      <c r="E3" s="153">
        <f ca="1">TODAY()</f>
        <v>45930</v>
      </c>
      <c r="F3" s="154"/>
      <c r="G3" s="155"/>
      <c r="H3" s="156"/>
      <c r="I3" s="152"/>
      <c r="J3" s="152"/>
      <c r="K3" s="157"/>
      <c r="L3" s="152"/>
      <c r="M3" s="152"/>
      <c r="N3" s="152"/>
      <c r="O3" s="152"/>
      <c r="P3" s="158"/>
      <c r="Q3" s="159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52"/>
      <c r="AF3" s="160"/>
      <c r="AG3" s="160"/>
      <c r="AH3" s="160"/>
      <c r="AI3" s="156"/>
      <c r="AJ3" s="156"/>
      <c r="AK3" s="156"/>
      <c r="AL3" s="160"/>
      <c r="AM3" s="160"/>
      <c r="AN3" s="160"/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5"/>
      <c r="BC3" s="152"/>
      <c r="BD3" s="152"/>
      <c r="BE3" s="152"/>
      <c r="BF3" s="152"/>
      <c r="BG3" s="152"/>
      <c r="BH3" s="152"/>
      <c r="BI3" s="152"/>
      <c r="BJ3" s="152"/>
      <c r="BK3" s="152"/>
      <c r="BL3" s="161"/>
      <c r="BM3" s="161"/>
      <c r="BN3" s="152"/>
      <c r="BO3" s="152"/>
      <c r="BP3" s="152"/>
      <c r="BQ3" s="162"/>
      <c r="BR3" s="162"/>
      <c r="BS3" s="162"/>
      <c r="BT3" s="163" t="s">
        <v>218</v>
      </c>
      <c r="BU3" s="152"/>
      <c r="BV3" s="152"/>
      <c r="BW3" s="152"/>
      <c r="BX3" s="163" t="s">
        <v>219</v>
      </c>
      <c r="BY3" s="152"/>
      <c r="BZ3" s="152"/>
      <c r="CA3" s="152"/>
      <c r="CB3" s="163" t="s">
        <v>220</v>
      </c>
      <c r="CC3" s="152"/>
      <c r="CD3" s="152"/>
      <c r="CE3" s="152"/>
      <c r="CF3" s="164"/>
      <c r="CG3" s="13"/>
      <c r="CH3" s="13"/>
      <c r="CI3" s="13"/>
    </row>
    <row r="4" spans="1:87" ht="14.1" customHeight="1" x14ac:dyDescent="0.2">
      <c r="A4" s="165"/>
      <c r="B4" s="167" t="s">
        <v>7</v>
      </c>
      <c r="C4" s="168" t="s">
        <v>221</v>
      </c>
      <c r="D4" s="170" t="s">
        <v>60</v>
      </c>
      <c r="E4" s="169" t="s">
        <v>61</v>
      </c>
      <c r="F4" s="170" t="s">
        <v>222</v>
      </c>
      <c r="G4" s="171" t="s">
        <v>223</v>
      </c>
      <c r="H4" s="169" t="s">
        <v>224</v>
      </c>
      <c r="I4" s="169" t="s">
        <v>225</v>
      </c>
      <c r="J4" s="168" t="s">
        <v>226</v>
      </c>
      <c r="K4" s="169" t="s">
        <v>227</v>
      </c>
      <c r="L4" s="169" t="s">
        <v>228</v>
      </c>
      <c r="M4" s="169" t="s">
        <v>182</v>
      </c>
      <c r="N4" s="169" t="s">
        <v>229</v>
      </c>
      <c r="O4" s="169" t="s">
        <v>230</v>
      </c>
      <c r="P4" s="172" t="s">
        <v>231</v>
      </c>
      <c r="Q4" s="173" t="s">
        <v>232</v>
      </c>
      <c r="R4" s="169" t="s">
        <v>233</v>
      </c>
      <c r="S4" s="169" t="s">
        <v>6858</v>
      </c>
      <c r="T4" s="169" t="s">
        <v>234</v>
      </c>
      <c r="U4" s="169" t="s">
        <v>235</v>
      </c>
      <c r="V4" s="169" t="s">
        <v>236</v>
      </c>
      <c r="W4" s="169" t="s">
        <v>237</v>
      </c>
      <c r="X4" s="169" t="s">
        <v>183</v>
      </c>
      <c r="Y4" s="169" t="s">
        <v>238</v>
      </c>
      <c r="Z4" s="169" t="s">
        <v>239</v>
      </c>
      <c r="AA4" s="169" t="s">
        <v>240</v>
      </c>
      <c r="AB4" s="169" t="s">
        <v>212</v>
      </c>
      <c r="AC4" s="169" t="s">
        <v>241</v>
      </c>
      <c r="AD4" s="172" t="s">
        <v>242</v>
      </c>
      <c r="AE4" s="169" t="s">
        <v>243</v>
      </c>
      <c r="AF4" s="171" t="s">
        <v>244</v>
      </c>
      <c r="AG4" s="169" t="s">
        <v>245</v>
      </c>
      <c r="AH4" s="171" t="s">
        <v>246</v>
      </c>
      <c r="AI4" s="171" t="s">
        <v>247</v>
      </c>
      <c r="AJ4" s="171" t="s">
        <v>248</v>
      </c>
      <c r="AK4" s="169" t="s">
        <v>249</v>
      </c>
      <c r="AL4" s="171" t="s">
        <v>250</v>
      </c>
      <c r="AM4" s="171" t="s">
        <v>251</v>
      </c>
      <c r="AN4" s="169" t="s">
        <v>214</v>
      </c>
      <c r="AO4" s="169" t="s">
        <v>252</v>
      </c>
      <c r="AP4" s="169" t="s">
        <v>253</v>
      </c>
      <c r="AQ4" s="169" t="s">
        <v>254</v>
      </c>
      <c r="AR4" s="169" t="s">
        <v>255</v>
      </c>
      <c r="AS4" s="169" t="s">
        <v>256</v>
      </c>
      <c r="AT4" s="169" t="s">
        <v>257</v>
      </c>
      <c r="AU4" s="169" t="s">
        <v>258</v>
      </c>
      <c r="AV4" s="169" t="s">
        <v>259</v>
      </c>
      <c r="AW4" s="169" t="s">
        <v>260</v>
      </c>
      <c r="AX4" s="169" t="s">
        <v>261</v>
      </c>
      <c r="AY4" s="169" t="s">
        <v>262</v>
      </c>
      <c r="AZ4" s="169" t="s">
        <v>263</v>
      </c>
      <c r="BA4" s="170" t="s">
        <v>264</v>
      </c>
      <c r="BB4" s="169" t="s">
        <v>265</v>
      </c>
      <c r="BC4" s="169" t="s">
        <v>62</v>
      </c>
      <c r="BD4" s="169" t="s">
        <v>63</v>
      </c>
      <c r="BE4" s="169" t="s">
        <v>64</v>
      </c>
      <c r="BF4" s="169" t="s">
        <v>266</v>
      </c>
      <c r="BG4" s="169" t="s">
        <v>267</v>
      </c>
      <c r="BH4" s="169" t="s">
        <v>268</v>
      </c>
      <c r="BI4" s="169" t="s">
        <v>269</v>
      </c>
      <c r="BJ4" s="169" t="s">
        <v>270</v>
      </c>
      <c r="BK4" s="173" t="s">
        <v>271</v>
      </c>
      <c r="BL4" s="173" t="s">
        <v>272</v>
      </c>
      <c r="BM4" s="169" t="s">
        <v>273</v>
      </c>
      <c r="BN4" s="169" t="s">
        <v>274</v>
      </c>
      <c r="BO4" s="169" t="s">
        <v>275</v>
      </c>
      <c r="BP4" s="173" t="s">
        <v>276</v>
      </c>
      <c r="BQ4" s="173" t="s">
        <v>277</v>
      </c>
      <c r="BR4" s="173" t="s">
        <v>278</v>
      </c>
      <c r="BS4" s="169" t="s">
        <v>279</v>
      </c>
      <c r="BT4" s="169" t="s">
        <v>280</v>
      </c>
      <c r="BU4" s="169" t="s">
        <v>281</v>
      </c>
      <c r="BV4" s="169" t="s">
        <v>282</v>
      </c>
      <c r="BW4" s="169" t="s">
        <v>283</v>
      </c>
      <c r="BX4" s="169" t="s">
        <v>284</v>
      </c>
      <c r="BY4" s="169" t="s">
        <v>285</v>
      </c>
      <c r="BZ4" s="169" t="s">
        <v>286</v>
      </c>
      <c r="CA4" s="169" t="s">
        <v>287</v>
      </c>
      <c r="CB4" s="169" t="s">
        <v>288</v>
      </c>
      <c r="CC4" s="169" t="s">
        <v>289</v>
      </c>
      <c r="CD4" s="169" t="s">
        <v>290</v>
      </c>
      <c r="CE4" s="169" t="s">
        <v>291</v>
      </c>
      <c r="CF4" s="166"/>
      <c r="CG4" s="166"/>
      <c r="CH4" s="166"/>
    </row>
    <row r="5" spans="1:87" ht="11.25" customHeight="1" x14ac:dyDescent="0.2">
      <c r="A5" s="13"/>
      <c r="B5" s="238">
        <v>1</v>
      </c>
      <c r="C5" s="248" t="s">
        <v>292</v>
      </c>
      <c r="D5" s="237" t="s">
        <v>380</v>
      </c>
      <c r="E5" s="239">
        <v>971500002</v>
      </c>
      <c r="F5" s="237">
        <v>1710003919928</v>
      </c>
      <c r="G5" s="240"/>
      <c r="H5" s="249" t="s">
        <v>217</v>
      </c>
      <c r="I5" s="241" t="s">
        <v>217</v>
      </c>
      <c r="J5" s="242">
        <v>41884</v>
      </c>
      <c r="K5" s="241"/>
      <c r="L5" s="241"/>
      <c r="M5" s="241" t="str">
        <f t="shared" ref="M5:M23" si="0">IF(LEFT(E5,2)="99","ORGANIK INKA",IF(LEFT(E5,2)="97","ORGANIK IMSS",IF(LEFT(E5,2)="75","Capeg",IF(LEFT(E5,2)="64","PKWT","Resign"))))</f>
        <v>ORGANIK IMSS</v>
      </c>
      <c r="N5" s="241" t="s">
        <v>187</v>
      </c>
      <c r="O5" s="241" t="s">
        <v>381</v>
      </c>
      <c r="P5" s="243">
        <v>42491</v>
      </c>
      <c r="Q5" s="244"/>
      <c r="R5" s="284" t="s">
        <v>137</v>
      </c>
      <c r="S5" s="241" t="s">
        <v>6862</v>
      </c>
      <c r="T5" s="241" t="s">
        <v>296</v>
      </c>
      <c r="U5" s="241" t="s">
        <v>204</v>
      </c>
      <c r="V5" s="241" t="s">
        <v>6012</v>
      </c>
      <c r="W5" s="241" t="s">
        <v>6908</v>
      </c>
      <c r="X5" s="241" t="s">
        <v>18</v>
      </c>
      <c r="Y5" s="241" t="s">
        <v>313</v>
      </c>
      <c r="Z5" s="241" t="s">
        <v>382</v>
      </c>
      <c r="AA5" s="241"/>
      <c r="AB5" s="241" t="s">
        <v>132</v>
      </c>
      <c r="AC5" s="241" t="s">
        <v>311</v>
      </c>
      <c r="AD5" s="245">
        <v>27206</v>
      </c>
      <c r="AE5" s="241">
        <f t="shared" ref="AE5:AE68" ca="1" si="1">DATEDIF(AD5,$E$3,"y")</f>
        <v>51</v>
      </c>
      <c r="AF5" s="246" t="s">
        <v>383</v>
      </c>
      <c r="AG5" s="241" t="s">
        <v>384</v>
      </c>
      <c r="AH5" s="240" t="s">
        <v>385</v>
      </c>
      <c r="AI5" s="240"/>
      <c r="AJ5" s="240"/>
      <c r="AK5" s="250" t="s">
        <v>386</v>
      </c>
      <c r="AL5" s="246" t="s">
        <v>387</v>
      </c>
      <c r="AM5" s="246">
        <v>13001911588</v>
      </c>
      <c r="AN5" s="241" t="s">
        <v>4733</v>
      </c>
      <c r="AO5" s="241" t="s">
        <v>388</v>
      </c>
      <c r="AP5" s="241" t="s">
        <v>389</v>
      </c>
      <c r="AQ5" s="241"/>
      <c r="AR5" s="241"/>
      <c r="AS5" s="241"/>
      <c r="AT5" s="241" t="s">
        <v>306</v>
      </c>
      <c r="AU5" s="241" t="s">
        <v>306</v>
      </c>
      <c r="AV5" s="241" t="s">
        <v>306</v>
      </c>
      <c r="AW5" s="241" t="s">
        <v>306</v>
      </c>
      <c r="AX5" s="241">
        <f t="shared" ref="AX5:AX68" si="2">COUNTA(AP5:AS5)</f>
        <v>1</v>
      </c>
      <c r="AY5" s="241" t="str">
        <f t="shared" ref="AY5:AY68" si="3">IF(AN5="Menikah","K","TK")&amp;"/"&amp;AX5</f>
        <v>K/1</v>
      </c>
      <c r="AZ5" s="241"/>
      <c r="BA5" s="237">
        <v>712677376621000</v>
      </c>
      <c r="BB5" s="249" t="s">
        <v>161</v>
      </c>
      <c r="BC5" s="241" t="s">
        <v>75</v>
      </c>
      <c r="BD5" s="241" t="s">
        <v>4323</v>
      </c>
      <c r="BE5" s="241" t="s">
        <v>390</v>
      </c>
      <c r="BF5" s="241">
        <v>2009</v>
      </c>
      <c r="BG5" s="241" t="s">
        <v>75</v>
      </c>
      <c r="BH5" s="241" t="s">
        <v>4323</v>
      </c>
      <c r="BI5" s="241" t="s">
        <v>390</v>
      </c>
      <c r="BJ5" s="241">
        <v>2009</v>
      </c>
      <c r="BK5" s="247">
        <v>47604</v>
      </c>
      <c r="BL5" s="247">
        <v>47969</v>
      </c>
      <c r="BM5" s="242"/>
      <c r="BN5" s="241"/>
      <c r="BO5" s="241">
        <v>42</v>
      </c>
      <c r="BP5" s="244">
        <v>44293</v>
      </c>
      <c r="BQ5" s="244">
        <v>44322</v>
      </c>
      <c r="BR5" s="244">
        <v>44585</v>
      </c>
      <c r="BS5" s="244"/>
      <c r="BT5" s="241"/>
      <c r="BU5" s="241"/>
      <c r="BV5" s="241"/>
      <c r="BW5" s="241"/>
      <c r="BX5" s="241"/>
      <c r="BY5" s="241"/>
      <c r="BZ5" s="241"/>
      <c r="CA5" s="241"/>
      <c r="CB5" s="241"/>
      <c r="CC5" s="241"/>
      <c r="CD5" s="241"/>
      <c r="CE5" s="241" t="e">
        <f>VLOOKUP(D5,[1]Sertifikasi!$B$4:$I$19,8,0)</f>
        <v>#N/A</v>
      </c>
      <c r="CF5" s="13"/>
      <c r="CG5" s="13"/>
      <c r="CH5" s="13"/>
    </row>
    <row r="6" spans="1:87" ht="11.25" customHeight="1" x14ac:dyDescent="0.2">
      <c r="A6" s="13"/>
      <c r="B6" s="238">
        <v>2</v>
      </c>
      <c r="C6" s="241" t="e">
        <f ca="1">DATEDIF($E$3,P6,"D")</f>
        <v>#NUM!</v>
      </c>
      <c r="D6" s="237" t="s">
        <v>3891</v>
      </c>
      <c r="E6" s="239">
        <v>642401160</v>
      </c>
      <c r="F6" s="237"/>
      <c r="G6" s="240">
        <v>7261353363</v>
      </c>
      <c r="H6" s="241" t="s">
        <v>217</v>
      </c>
      <c r="I6" s="241" t="s">
        <v>3892</v>
      </c>
      <c r="J6" s="242">
        <v>45292</v>
      </c>
      <c r="K6" s="241"/>
      <c r="L6" s="241"/>
      <c r="M6" s="241" t="str">
        <f t="shared" si="0"/>
        <v>PKWT</v>
      </c>
      <c r="N6" s="241" t="s">
        <v>187</v>
      </c>
      <c r="O6" s="241"/>
      <c r="P6" s="243">
        <v>45657</v>
      </c>
      <c r="Q6" s="241"/>
      <c r="R6" s="241" t="s">
        <v>206</v>
      </c>
      <c r="S6" s="241" t="s">
        <v>6863</v>
      </c>
      <c r="T6" s="241" t="s">
        <v>312</v>
      </c>
      <c r="U6" s="241" t="s">
        <v>23</v>
      </c>
      <c r="V6" s="241" t="s">
        <v>443</v>
      </c>
      <c r="W6" s="241" t="s">
        <v>51</v>
      </c>
      <c r="X6" s="241" t="s">
        <v>121</v>
      </c>
      <c r="Y6" s="241" t="s">
        <v>313</v>
      </c>
      <c r="Z6" s="241"/>
      <c r="AA6" s="241"/>
      <c r="AB6" s="241" t="s">
        <v>314</v>
      </c>
      <c r="AC6" s="241" t="s">
        <v>3892</v>
      </c>
      <c r="AD6" s="245">
        <v>36506</v>
      </c>
      <c r="AE6" s="241">
        <f t="shared" ca="1" si="1"/>
        <v>25</v>
      </c>
      <c r="AF6" s="246" t="s">
        <v>3893</v>
      </c>
      <c r="AG6" s="241" t="s">
        <v>3894</v>
      </c>
      <c r="AH6" s="240" t="s">
        <v>3895</v>
      </c>
      <c r="AI6" s="240" t="s">
        <v>3896</v>
      </c>
      <c r="AJ6" s="240"/>
      <c r="AK6" s="241" t="s">
        <v>3897</v>
      </c>
      <c r="AL6" s="246" t="s">
        <v>3898</v>
      </c>
      <c r="AM6" s="246">
        <v>24009885336</v>
      </c>
      <c r="AN6" s="241" t="s">
        <v>4716</v>
      </c>
      <c r="AO6" s="241"/>
      <c r="AP6" s="241"/>
      <c r="AQ6" s="241"/>
      <c r="AR6" s="241"/>
      <c r="AS6" s="241"/>
      <c r="AT6" s="241" t="s">
        <v>306</v>
      </c>
      <c r="AU6" s="241" t="s">
        <v>306</v>
      </c>
      <c r="AV6" s="241" t="s">
        <v>306</v>
      </c>
      <c r="AW6" s="241" t="s">
        <v>306</v>
      </c>
      <c r="AX6" s="241">
        <f t="shared" si="2"/>
        <v>0</v>
      </c>
      <c r="AY6" s="241" t="str">
        <f t="shared" si="3"/>
        <v>TK/0</v>
      </c>
      <c r="AZ6" s="241"/>
      <c r="BA6" s="249"/>
      <c r="BB6" s="241" t="s">
        <v>161</v>
      </c>
      <c r="BC6" s="241" t="s">
        <v>349</v>
      </c>
      <c r="BD6" s="241" t="s">
        <v>515</v>
      </c>
      <c r="BE6" s="241" t="s">
        <v>3899</v>
      </c>
      <c r="BF6" s="241">
        <v>2017</v>
      </c>
      <c r="BG6" s="241" t="s">
        <v>349</v>
      </c>
      <c r="BH6" s="241" t="s">
        <v>515</v>
      </c>
      <c r="BI6" s="241" t="s">
        <v>3899</v>
      </c>
      <c r="BJ6" s="241">
        <v>2017</v>
      </c>
      <c r="BK6" s="241"/>
      <c r="BL6" s="241"/>
      <c r="BM6" s="241"/>
      <c r="BN6" s="241"/>
      <c r="BO6" s="241"/>
      <c r="BP6" s="241"/>
      <c r="BQ6" s="241"/>
      <c r="BR6" s="241"/>
      <c r="BS6" s="241"/>
      <c r="BT6" s="241"/>
      <c r="BU6" s="241"/>
      <c r="BV6" s="241"/>
      <c r="BW6" s="241"/>
      <c r="BX6" s="241"/>
      <c r="BY6" s="241"/>
      <c r="BZ6" s="241"/>
      <c r="CA6" s="241"/>
      <c r="CB6" s="241"/>
      <c r="CC6" s="241"/>
      <c r="CD6" s="241"/>
      <c r="CE6" s="241"/>
      <c r="CF6" s="13"/>
      <c r="CG6" s="13"/>
      <c r="CH6" s="13"/>
    </row>
    <row r="7" spans="1:87" ht="11.25" customHeight="1" x14ac:dyDescent="0.2">
      <c r="A7" s="13"/>
      <c r="B7" s="238">
        <v>3</v>
      </c>
      <c r="C7" s="285" t="s">
        <v>292</v>
      </c>
      <c r="D7" s="237" t="s">
        <v>391</v>
      </c>
      <c r="E7" s="239">
        <v>971500003</v>
      </c>
      <c r="F7" s="237">
        <v>1710003919779</v>
      </c>
      <c r="G7" s="240">
        <v>7174445669</v>
      </c>
      <c r="H7" s="249" t="s">
        <v>217</v>
      </c>
      <c r="I7" s="241" t="s">
        <v>217</v>
      </c>
      <c r="J7" s="242">
        <v>42005</v>
      </c>
      <c r="K7" s="241"/>
      <c r="L7" s="241"/>
      <c r="M7" s="241" t="str">
        <f t="shared" si="0"/>
        <v>ORGANIK IMSS</v>
      </c>
      <c r="N7" s="241" t="s">
        <v>187</v>
      </c>
      <c r="O7" s="241" t="s">
        <v>392</v>
      </c>
      <c r="P7" s="243">
        <v>42491</v>
      </c>
      <c r="Q7" s="244"/>
      <c r="R7" s="284" t="s">
        <v>137</v>
      </c>
      <c r="S7" s="241" t="s">
        <v>6862</v>
      </c>
      <c r="T7" s="241" t="s">
        <v>296</v>
      </c>
      <c r="U7" s="241" t="s">
        <v>187</v>
      </c>
      <c r="V7" s="241" t="s">
        <v>65</v>
      </c>
      <c r="W7" s="241" t="s">
        <v>65</v>
      </c>
      <c r="X7" s="241" t="s">
        <v>121</v>
      </c>
      <c r="Y7" s="241" t="s">
        <v>313</v>
      </c>
      <c r="Z7" s="241"/>
      <c r="AA7" s="241"/>
      <c r="AB7" s="241" t="s">
        <v>133</v>
      </c>
      <c r="AC7" s="241" t="s">
        <v>217</v>
      </c>
      <c r="AD7" s="245">
        <v>32330</v>
      </c>
      <c r="AE7" s="241">
        <f t="shared" ca="1" si="1"/>
        <v>37</v>
      </c>
      <c r="AF7" s="246" t="s">
        <v>393</v>
      </c>
      <c r="AG7" s="241" t="s">
        <v>394</v>
      </c>
      <c r="AH7" s="240" t="s">
        <v>395</v>
      </c>
      <c r="AI7" s="240"/>
      <c r="AJ7" s="240"/>
      <c r="AK7" s="250" t="s">
        <v>396</v>
      </c>
      <c r="AL7" s="246" t="s">
        <v>397</v>
      </c>
      <c r="AM7" s="246">
        <v>12008405867</v>
      </c>
      <c r="AN7" s="241" t="s">
        <v>4733</v>
      </c>
      <c r="AO7" s="241" t="s">
        <v>398</v>
      </c>
      <c r="AP7" s="241" t="s">
        <v>399</v>
      </c>
      <c r="AQ7" s="241" t="s">
        <v>400</v>
      </c>
      <c r="AR7" s="241"/>
      <c r="AS7" s="241"/>
      <c r="AT7" s="241" t="s">
        <v>306</v>
      </c>
      <c r="AU7" s="241" t="s">
        <v>306</v>
      </c>
      <c r="AV7" s="241" t="s">
        <v>306</v>
      </c>
      <c r="AW7" s="241" t="s">
        <v>306</v>
      </c>
      <c r="AX7" s="241">
        <f t="shared" si="2"/>
        <v>2</v>
      </c>
      <c r="AY7" s="241" t="str">
        <f t="shared" si="3"/>
        <v>K/2</v>
      </c>
      <c r="AZ7" s="241"/>
      <c r="BA7" s="237" t="s">
        <v>401</v>
      </c>
      <c r="BB7" s="249" t="s">
        <v>161</v>
      </c>
      <c r="BC7" s="241" t="s">
        <v>70</v>
      </c>
      <c r="BD7" s="241" t="s">
        <v>87</v>
      </c>
      <c r="BE7" s="241" t="s">
        <v>402</v>
      </c>
      <c r="BF7" s="241">
        <v>2010</v>
      </c>
      <c r="BG7" s="241" t="s">
        <v>70</v>
      </c>
      <c r="BH7" s="241" t="s">
        <v>87</v>
      </c>
      <c r="BI7" s="241" t="s">
        <v>402</v>
      </c>
      <c r="BJ7" s="241">
        <v>2010</v>
      </c>
      <c r="BK7" s="247">
        <v>52718</v>
      </c>
      <c r="BL7" s="247">
        <v>53083</v>
      </c>
      <c r="BM7" s="249"/>
      <c r="BN7" s="241"/>
      <c r="BO7" s="241"/>
      <c r="BP7" s="244">
        <v>44294</v>
      </c>
      <c r="BQ7" s="244">
        <v>44322</v>
      </c>
      <c r="BR7" s="244">
        <v>44585</v>
      </c>
      <c r="BS7" s="244"/>
      <c r="BT7" s="241"/>
      <c r="BU7" s="241"/>
      <c r="BV7" s="241"/>
      <c r="BW7" s="241"/>
      <c r="BX7" s="241"/>
      <c r="BY7" s="241"/>
      <c r="BZ7" s="241"/>
      <c r="CA7" s="241"/>
      <c r="CB7" s="241"/>
      <c r="CC7" s="241"/>
      <c r="CD7" s="241"/>
      <c r="CE7" s="241" t="e">
        <f>VLOOKUP(D7,[1]Sertifikasi!$B$4:$I$19,8,0)</f>
        <v>#N/A</v>
      </c>
      <c r="CF7" s="13"/>
      <c r="CG7" s="13"/>
      <c r="CH7" s="13"/>
    </row>
    <row r="8" spans="1:87" ht="11.25" customHeight="1" x14ac:dyDescent="0.2">
      <c r="A8" s="13"/>
      <c r="B8" s="238">
        <v>4</v>
      </c>
      <c r="C8" s="241" t="e">
        <f ca="1">DATEDIF($E$3,P8,"D")</f>
        <v>#NUM!</v>
      </c>
      <c r="D8" s="237" t="s">
        <v>403</v>
      </c>
      <c r="E8" s="239">
        <v>642001016</v>
      </c>
      <c r="F8" s="237">
        <v>1710003988097</v>
      </c>
      <c r="G8" s="240"/>
      <c r="H8" s="241" t="s">
        <v>217</v>
      </c>
      <c r="I8" s="241" t="s">
        <v>217</v>
      </c>
      <c r="J8" s="242">
        <v>42005</v>
      </c>
      <c r="K8" s="241"/>
      <c r="L8" s="241"/>
      <c r="M8" s="241" t="str">
        <f t="shared" si="0"/>
        <v>PKWT</v>
      </c>
      <c r="N8" s="241" t="s">
        <v>187</v>
      </c>
      <c r="O8" s="241"/>
      <c r="P8" s="243">
        <v>45657</v>
      </c>
      <c r="Q8" s="241"/>
      <c r="R8" s="241" t="s">
        <v>206</v>
      </c>
      <c r="S8" s="241" t="s">
        <v>6863</v>
      </c>
      <c r="T8" s="241" t="s">
        <v>312</v>
      </c>
      <c r="U8" s="241" t="s">
        <v>204</v>
      </c>
      <c r="V8" s="241" t="s">
        <v>7142</v>
      </c>
      <c r="W8" s="241" t="s">
        <v>6908</v>
      </c>
      <c r="X8" s="241" t="s">
        <v>7143</v>
      </c>
      <c r="Y8" s="241" t="s">
        <v>313</v>
      </c>
      <c r="Z8" s="241"/>
      <c r="AA8" s="241" t="s">
        <v>337</v>
      </c>
      <c r="AB8" s="241" t="s">
        <v>314</v>
      </c>
      <c r="AC8" s="241" t="s">
        <v>217</v>
      </c>
      <c r="AD8" s="245">
        <v>33093</v>
      </c>
      <c r="AE8" s="241">
        <f t="shared" ca="1" si="1"/>
        <v>35</v>
      </c>
      <c r="AF8" s="246" t="s">
        <v>405</v>
      </c>
      <c r="AG8" s="241" t="s">
        <v>406</v>
      </c>
      <c r="AH8" s="240" t="s">
        <v>407</v>
      </c>
      <c r="AI8" s="240"/>
      <c r="AJ8" s="240"/>
      <c r="AK8" s="251" t="s">
        <v>408</v>
      </c>
      <c r="AL8" s="246" t="s">
        <v>409</v>
      </c>
      <c r="AM8" s="246">
        <v>16013068701</v>
      </c>
      <c r="AN8" s="241" t="s">
        <v>4733</v>
      </c>
      <c r="AO8" s="241" t="s">
        <v>403</v>
      </c>
      <c r="AP8" s="241" t="s">
        <v>410</v>
      </c>
      <c r="AQ8" s="241"/>
      <c r="AR8" s="241"/>
      <c r="AS8" s="241"/>
      <c r="AT8" s="241" t="s">
        <v>411</v>
      </c>
      <c r="AU8" s="241" t="s">
        <v>412</v>
      </c>
      <c r="AV8" s="241" t="s">
        <v>413</v>
      </c>
      <c r="AW8" s="241" t="s">
        <v>414</v>
      </c>
      <c r="AX8" s="241">
        <f t="shared" si="2"/>
        <v>1</v>
      </c>
      <c r="AY8" s="241" t="str">
        <f t="shared" si="3"/>
        <v>K/1</v>
      </c>
      <c r="AZ8" s="241" t="s">
        <v>415</v>
      </c>
      <c r="BA8" s="237" t="s">
        <v>415</v>
      </c>
      <c r="BB8" s="241" t="s">
        <v>161</v>
      </c>
      <c r="BC8" s="241" t="s">
        <v>349</v>
      </c>
      <c r="BD8" s="241" t="s">
        <v>91</v>
      </c>
      <c r="BE8" s="241" t="s">
        <v>416</v>
      </c>
      <c r="BF8" s="241">
        <v>2007</v>
      </c>
      <c r="BG8" s="241" t="s">
        <v>153</v>
      </c>
      <c r="BH8" s="241" t="s">
        <v>91</v>
      </c>
      <c r="BI8" s="241" t="s">
        <v>416</v>
      </c>
      <c r="BJ8" s="241">
        <v>2007</v>
      </c>
      <c r="BK8" s="247"/>
      <c r="BL8" s="247"/>
      <c r="BM8" s="241" t="s">
        <v>339</v>
      </c>
      <c r="BN8" s="241">
        <v>34</v>
      </c>
      <c r="BO8" s="241">
        <v>42</v>
      </c>
      <c r="BP8" s="244">
        <v>44308</v>
      </c>
      <c r="BQ8" s="244">
        <v>44336</v>
      </c>
      <c r="BR8" s="244"/>
      <c r="BS8" s="244"/>
      <c r="BT8" s="241">
        <v>43467</v>
      </c>
      <c r="BU8" s="241">
        <v>43830</v>
      </c>
      <c r="BV8" s="241" t="s">
        <v>417</v>
      </c>
      <c r="BW8" s="241" t="s">
        <v>418</v>
      </c>
      <c r="BX8" s="241"/>
      <c r="BY8" s="241"/>
      <c r="BZ8" s="241"/>
      <c r="CA8" s="241"/>
      <c r="CB8" s="241"/>
      <c r="CC8" s="241"/>
      <c r="CD8" s="241"/>
      <c r="CE8" s="241" t="e">
        <f>VLOOKUP(D8,[1]Sertifikasi!$B$4:$I$19,8,0)</f>
        <v>#N/A</v>
      </c>
      <c r="CF8" s="13"/>
      <c r="CG8" s="13"/>
      <c r="CH8" s="13"/>
    </row>
    <row r="9" spans="1:87" ht="11.25" customHeight="1" x14ac:dyDescent="0.2">
      <c r="A9" s="13"/>
      <c r="B9" s="238">
        <v>5</v>
      </c>
      <c r="C9" s="241" t="e">
        <f ca="1">DATEDIF($E$3,P9,"D")</f>
        <v>#NUM!</v>
      </c>
      <c r="D9" s="237" t="s">
        <v>419</v>
      </c>
      <c r="E9" s="239">
        <v>642001017</v>
      </c>
      <c r="F9" s="237">
        <v>1710003988279</v>
      </c>
      <c r="G9" s="240"/>
      <c r="H9" s="241" t="s">
        <v>217</v>
      </c>
      <c r="I9" s="241" t="s">
        <v>217</v>
      </c>
      <c r="J9" s="242">
        <v>42005</v>
      </c>
      <c r="K9" s="241"/>
      <c r="L9" s="241"/>
      <c r="M9" s="241" t="str">
        <f t="shared" si="0"/>
        <v>PKWT</v>
      </c>
      <c r="N9" s="241" t="s">
        <v>187</v>
      </c>
      <c r="O9" s="241"/>
      <c r="P9" s="243">
        <v>45657</v>
      </c>
      <c r="Q9" s="241"/>
      <c r="R9" s="241" t="s">
        <v>206</v>
      </c>
      <c r="S9" s="241" t="s">
        <v>6863</v>
      </c>
      <c r="T9" s="241" t="s">
        <v>312</v>
      </c>
      <c r="U9" s="241" t="s">
        <v>33</v>
      </c>
      <c r="V9" s="241" t="s">
        <v>7135</v>
      </c>
      <c r="W9" s="241" t="s">
        <v>51</v>
      </c>
      <c r="X9" s="241" t="s">
        <v>121</v>
      </c>
      <c r="Y9" s="241" t="s">
        <v>313</v>
      </c>
      <c r="Z9" s="241"/>
      <c r="AA9" s="241" t="s">
        <v>337</v>
      </c>
      <c r="AB9" s="241" t="s">
        <v>314</v>
      </c>
      <c r="AC9" s="241" t="s">
        <v>217</v>
      </c>
      <c r="AD9" s="245">
        <v>26892</v>
      </c>
      <c r="AE9" s="241">
        <f t="shared" ca="1" si="1"/>
        <v>52</v>
      </c>
      <c r="AF9" s="246" t="s">
        <v>421</v>
      </c>
      <c r="AG9" s="241" t="s">
        <v>422</v>
      </c>
      <c r="AH9" s="240" t="s">
        <v>423</v>
      </c>
      <c r="AI9" s="240" t="s">
        <v>424</v>
      </c>
      <c r="AJ9" s="240"/>
      <c r="AK9" s="241" t="s">
        <v>425</v>
      </c>
      <c r="AL9" s="246" t="s">
        <v>426</v>
      </c>
      <c r="AM9" s="246">
        <v>16013068669</v>
      </c>
      <c r="AN9" s="241" t="s">
        <v>4733</v>
      </c>
      <c r="AO9" s="241" t="s">
        <v>427</v>
      </c>
      <c r="AP9" s="241" t="s">
        <v>428</v>
      </c>
      <c r="AQ9" s="241"/>
      <c r="AR9" s="241"/>
      <c r="AS9" s="241"/>
      <c r="AT9" s="241" t="s">
        <v>306</v>
      </c>
      <c r="AU9" s="241" t="s">
        <v>306</v>
      </c>
      <c r="AV9" s="241" t="s">
        <v>306</v>
      </c>
      <c r="AW9" s="241" t="s">
        <v>306</v>
      </c>
      <c r="AX9" s="241">
        <f t="shared" si="2"/>
        <v>1</v>
      </c>
      <c r="AY9" s="241" t="str">
        <f t="shared" si="3"/>
        <v>K/1</v>
      </c>
      <c r="AZ9" s="241"/>
      <c r="BA9" s="237"/>
      <c r="BB9" s="241" t="s">
        <v>161</v>
      </c>
      <c r="BC9" s="241" t="s">
        <v>153</v>
      </c>
      <c r="BD9" s="241" t="s">
        <v>308</v>
      </c>
      <c r="BE9" s="241" t="s">
        <v>6844</v>
      </c>
      <c r="BF9" s="241"/>
      <c r="BG9" s="241" t="s">
        <v>153</v>
      </c>
      <c r="BH9" s="241"/>
      <c r="BI9" s="241"/>
      <c r="BJ9" s="241"/>
      <c r="BK9" s="247"/>
      <c r="BL9" s="247"/>
      <c r="BM9" s="241" t="s">
        <v>360</v>
      </c>
      <c r="BN9" s="241">
        <v>28</v>
      </c>
      <c r="BO9" s="241">
        <v>40</v>
      </c>
      <c r="BP9" s="244">
        <v>44308</v>
      </c>
      <c r="BQ9" s="244">
        <v>44336</v>
      </c>
      <c r="BR9" s="244">
        <v>44601</v>
      </c>
      <c r="BS9" s="244"/>
      <c r="BT9" s="241">
        <v>43467</v>
      </c>
      <c r="BU9" s="241">
        <v>43830</v>
      </c>
      <c r="BV9" s="241" t="s">
        <v>429</v>
      </c>
      <c r="BW9" s="241" t="s">
        <v>430</v>
      </c>
      <c r="BX9" s="241"/>
      <c r="BY9" s="241"/>
      <c r="BZ9" s="241"/>
      <c r="CA9" s="241"/>
      <c r="CB9" s="241"/>
      <c r="CC9" s="241"/>
      <c r="CD9" s="241"/>
      <c r="CE9" s="241" t="e">
        <f>VLOOKUP(D9,[1]Sertifikasi!$B$4:$I$19,8,0)</f>
        <v>#N/A</v>
      </c>
      <c r="CF9" s="13"/>
      <c r="CG9" s="13"/>
      <c r="CH9" s="13"/>
    </row>
    <row r="10" spans="1:87" ht="11.25" customHeight="1" x14ac:dyDescent="0.2">
      <c r="A10" s="13"/>
      <c r="B10" s="238">
        <v>6</v>
      </c>
      <c r="C10" s="248" t="s">
        <v>292</v>
      </c>
      <c r="D10" s="237" t="s">
        <v>431</v>
      </c>
      <c r="E10" s="239">
        <v>971600004</v>
      </c>
      <c r="F10" s="237">
        <v>1710003919894</v>
      </c>
      <c r="G10" s="240"/>
      <c r="H10" s="249" t="s">
        <v>217</v>
      </c>
      <c r="I10" s="241" t="s">
        <v>432</v>
      </c>
      <c r="J10" s="242">
        <v>42065</v>
      </c>
      <c r="K10" s="241"/>
      <c r="L10" s="241"/>
      <c r="M10" s="241" t="str">
        <f t="shared" si="0"/>
        <v>ORGANIK IMSS</v>
      </c>
      <c r="N10" s="241" t="s">
        <v>187</v>
      </c>
      <c r="O10" s="241" t="s">
        <v>433</v>
      </c>
      <c r="P10" s="243">
        <v>42552</v>
      </c>
      <c r="Q10" s="244"/>
      <c r="R10" s="284" t="s">
        <v>137</v>
      </c>
      <c r="S10" s="241" t="s">
        <v>6862</v>
      </c>
      <c r="T10" s="241" t="s">
        <v>296</v>
      </c>
      <c r="U10" s="241" t="s">
        <v>187</v>
      </c>
      <c r="V10" s="241" t="s">
        <v>107</v>
      </c>
      <c r="W10" s="241" t="s">
        <v>107</v>
      </c>
      <c r="X10" s="241" t="s">
        <v>107</v>
      </c>
      <c r="Y10" s="241" t="s">
        <v>298</v>
      </c>
      <c r="Z10" s="241" t="s">
        <v>434</v>
      </c>
      <c r="AA10" s="241"/>
      <c r="AB10" s="241" t="s">
        <v>133</v>
      </c>
      <c r="AC10" s="241" t="s">
        <v>311</v>
      </c>
      <c r="AD10" s="245">
        <v>33618</v>
      </c>
      <c r="AE10" s="241">
        <f t="shared" ca="1" si="1"/>
        <v>33</v>
      </c>
      <c r="AF10" s="246" t="s">
        <v>435</v>
      </c>
      <c r="AG10" s="241" t="s">
        <v>436</v>
      </c>
      <c r="AH10" s="240" t="s">
        <v>437</v>
      </c>
      <c r="AI10" s="240"/>
      <c r="AJ10" s="240"/>
      <c r="AK10" s="250" t="s">
        <v>438</v>
      </c>
      <c r="AL10" s="246" t="s">
        <v>439</v>
      </c>
      <c r="AM10" s="246">
        <v>16009192440</v>
      </c>
      <c r="AN10" s="241" t="s">
        <v>4716</v>
      </c>
      <c r="AO10" s="241"/>
      <c r="AP10" s="241"/>
      <c r="AQ10" s="241"/>
      <c r="AR10" s="241"/>
      <c r="AS10" s="241"/>
      <c r="AT10" s="241" t="s">
        <v>306</v>
      </c>
      <c r="AU10" s="241" t="s">
        <v>306</v>
      </c>
      <c r="AV10" s="241" t="s">
        <v>306</v>
      </c>
      <c r="AW10" s="241" t="s">
        <v>306</v>
      </c>
      <c r="AX10" s="241">
        <f t="shared" si="2"/>
        <v>0</v>
      </c>
      <c r="AY10" s="241" t="str">
        <f t="shared" si="3"/>
        <v>TK/0</v>
      </c>
      <c r="AZ10" s="241"/>
      <c r="BA10" s="237">
        <v>841787989646000</v>
      </c>
      <c r="BB10" s="249" t="s">
        <v>161</v>
      </c>
      <c r="BC10" s="241" t="s">
        <v>109</v>
      </c>
      <c r="BD10" s="241" t="s">
        <v>80</v>
      </c>
      <c r="BE10" s="241" t="s">
        <v>114</v>
      </c>
      <c r="BF10" s="241">
        <v>2019</v>
      </c>
      <c r="BG10" s="241" t="s">
        <v>109</v>
      </c>
      <c r="BH10" s="241" t="s">
        <v>80</v>
      </c>
      <c r="BI10" s="241" t="s">
        <v>114</v>
      </c>
      <c r="BJ10" s="241">
        <v>2019</v>
      </c>
      <c r="BK10" s="247">
        <v>53874</v>
      </c>
      <c r="BL10" s="247">
        <v>54239</v>
      </c>
      <c r="BM10" s="242"/>
      <c r="BN10" s="241"/>
      <c r="BO10" s="241"/>
      <c r="BP10" s="244">
        <v>44294</v>
      </c>
      <c r="BQ10" s="244">
        <v>44322</v>
      </c>
      <c r="BR10" s="244">
        <v>44585</v>
      </c>
      <c r="BS10" s="244"/>
      <c r="BT10" s="241"/>
      <c r="BU10" s="241"/>
      <c r="BV10" s="241"/>
      <c r="BW10" s="241"/>
      <c r="BX10" s="241"/>
      <c r="BY10" s="241"/>
      <c r="BZ10" s="241"/>
      <c r="CA10" s="241"/>
      <c r="CB10" s="241"/>
      <c r="CC10" s="241"/>
      <c r="CD10" s="241"/>
      <c r="CE10" s="241" t="e">
        <f>VLOOKUP(D10,[1]Sertifikasi!$B$4:$I$19,8,0)</f>
        <v>#N/A</v>
      </c>
      <c r="CF10" s="13"/>
      <c r="CG10" s="13"/>
      <c r="CH10" s="13"/>
    </row>
    <row r="11" spans="1:87" ht="11.25" customHeight="1" x14ac:dyDescent="0.2">
      <c r="A11" s="13"/>
      <c r="B11" s="238">
        <v>7</v>
      </c>
      <c r="C11" s="248" t="s">
        <v>292</v>
      </c>
      <c r="D11" s="237" t="s">
        <v>440</v>
      </c>
      <c r="E11" s="239">
        <v>971800022</v>
      </c>
      <c r="F11" s="237">
        <v>1710003919845</v>
      </c>
      <c r="G11" s="240"/>
      <c r="H11" s="249" t="s">
        <v>217</v>
      </c>
      <c r="I11" s="241" t="s">
        <v>441</v>
      </c>
      <c r="J11" s="242">
        <v>42072</v>
      </c>
      <c r="K11" s="241"/>
      <c r="L11" s="241"/>
      <c r="M11" s="241" t="str">
        <f t="shared" si="0"/>
        <v>ORGANIK IMSS</v>
      </c>
      <c r="N11" s="241" t="s">
        <v>187</v>
      </c>
      <c r="O11" s="241" t="s">
        <v>442</v>
      </c>
      <c r="P11" s="243">
        <v>43116</v>
      </c>
      <c r="Q11" s="244"/>
      <c r="R11" s="241" t="s">
        <v>206</v>
      </c>
      <c r="S11" s="241" t="s">
        <v>6863</v>
      </c>
      <c r="T11" s="241" t="s">
        <v>296</v>
      </c>
      <c r="U11" s="241" t="s">
        <v>24</v>
      </c>
      <c r="V11" s="241" t="s">
        <v>443</v>
      </c>
      <c r="W11" s="241" t="s">
        <v>175</v>
      </c>
      <c r="X11" s="241" t="s">
        <v>121</v>
      </c>
      <c r="Y11" s="241" t="s">
        <v>313</v>
      </c>
      <c r="Z11" s="241" t="s">
        <v>445</v>
      </c>
      <c r="AA11" s="241"/>
      <c r="AB11" s="241" t="s">
        <v>132</v>
      </c>
      <c r="AC11" s="241" t="s">
        <v>441</v>
      </c>
      <c r="AD11" s="245">
        <v>33818</v>
      </c>
      <c r="AE11" s="241">
        <f t="shared" ca="1" si="1"/>
        <v>33</v>
      </c>
      <c r="AF11" s="246" t="s">
        <v>446</v>
      </c>
      <c r="AG11" s="241" t="s">
        <v>447</v>
      </c>
      <c r="AH11" s="240" t="s">
        <v>448</v>
      </c>
      <c r="AI11" s="240"/>
      <c r="AJ11" s="240"/>
      <c r="AK11" s="250" t="s">
        <v>449</v>
      </c>
      <c r="AL11" s="246" t="s">
        <v>450</v>
      </c>
      <c r="AM11" s="246">
        <v>16006272369</v>
      </c>
      <c r="AN11" s="241" t="s">
        <v>4733</v>
      </c>
      <c r="AO11" s="241" t="s">
        <v>451</v>
      </c>
      <c r="AP11" s="241"/>
      <c r="AQ11" s="241"/>
      <c r="AR11" s="241"/>
      <c r="AS11" s="241"/>
      <c r="AT11" s="241" t="s">
        <v>452</v>
      </c>
      <c r="AU11" s="241" t="s">
        <v>453</v>
      </c>
      <c r="AV11" s="241" t="s">
        <v>454</v>
      </c>
      <c r="AW11" s="241" t="s">
        <v>455</v>
      </c>
      <c r="AX11" s="241">
        <f t="shared" si="2"/>
        <v>0</v>
      </c>
      <c r="AY11" s="241" t="str">
        <f t="shared" si="3"/>
        <v>K/0</v>
      </c>
      <c r="AZ11" s="241" t="s">
        <v>456</v>
      </c>
      <c r="BA11" s="237" t="s">
        <v>456</v>
      </c>
      <c r="BB11" s="249" t="s">
        <v>161</v>
      </c>
      <c r="BC11" s="241" t="s">
        <v>75</v>
      </c>
      <c r="BD11" s="241" t="s">
        <v>91</v>
      </c>
      <c r="BE11" s="241" t="s">
        <v>457</v>
      </c>
      <c r="BF11" s="241">
        <v>2017</v>
      </c>
      <c r="BG11" s="241" t="s">
        <v>75</v>
      </c>
      <c r="BH11" s="241" t="s">
        <v>91</v>
      </c>
      <c r="BI11" s="241" t="s">
        <v>457</v>
      </c>
      <c r="BJ11" s="241">
        <v>2017</v>
      </c>
      <c r="BK11" s="247">
        <v>54073</v>
      </c>
      <c r="BL11" s="247">
        <v>54438</v>
      </c>
      <c r="BM11" s="242"/>
      <c r="BN11" s="241"/>
      <c r="BO11" s="241">
        <v>40</v>
      </c>
      <c r="BP11" s="244"/>
      <c r="BQ11" s="244"/>
      <c r="BR11" s="244">
        <v>44757</v>
      </c>
      <c r="BS11" s="244"/>
      <c r="BT11" s="241"/>
      <c r="BU11" s="241"/>
      <c r="BV11" s="241"/>
      <c r="BW11" s="241"/>
      <c r="BX11" s="241"/>
      <c r="BY11" s="241"/>
      <c r="BZ11" s="241"/>
      <c r="CA11" s="241"/>
      <c r="CB11" s="241"/>
      <c r="CC11" s="241"/>
      <c r="CD11" s="241"/>
      <c r="CE11" s="241" t="e">
        <f>VLOOKUP(D11,[1]Sertifikasi!$B$4:$I$19,8,0)</f>
        <v>#N/A</v>
      </c>
      <c r="CF11" s="13"/>
      <c r="CG11" s="13"/>
      <c r="CH11" s="13"/>
    </row>
    <row r="12" spans="1:87" ht="11.25" customHeight="1" x14ac:dyDescent="0.2">
      <c r="A12" s="13"/>
      <c r="B12" s="238">
        <v>8</v>
      </c>
      <c r="C12" s="248" t="s">
        <v>292</v>
      </c>
      <c r="D12" s="237" t="s">
        <v>458</v>
      </c>
      <c r="E12" s="239">
        <v>971800026</v>
      </c>
      <c r="F12" s="237">
        <v>1710003987677</v>
      </c>
      <c r="G12" s="240">
        <v>2758116070</v>
      </c>
      <c r="H12" s="241" t="s">
        <v>217</v>
      </c>
      <c r="I12" s="241" t="s">
        <v>311</v>
      </c>
      <c r="J12" s="242">
        <v>42095</v>
      </c>
      <c r="K12" s="241"/>
      <c r="L12" s="241"/>
      <c r="M12" s="241" t="str">
        <f t="shared" si="0"/>
        <v>ORGANIK IMSS</v>
      </c>
      <c r="N12" s="241" t="s">
        <v>187</v>
      </c>
      <c r="O12" s="241" t="s">
        <v>459</v>
      </c>
      <c r="P12" s="243">
        <v>43497</v>
      </c>
      <c r="Q12" s="241"/>
      <c r="R12" s="241" t="s">
        <v>460</v>
      </c>
      <c r="S12" s="241" t="s">
        <v>6863</v>
      </c>
      <c r="T12" s="241" t="s">
        <v>312</v>
      </c>
      <c r="U12" s="241" t="s">
        <v>24</v>
      </c>
      <c r="V12" s="241" t="s">
        <v>6997</v>
      </c>
      <c r="W12" s="241" t="s">
        <v>54</v>
      </c>
      <c r="X12" s="241" t="s">
        <v>120</v>
      </c>
      <c r="Y12" s="241" t="s">
        <v>313</v>
      </c>
      <c r="Z12" s="241" t="s">
        <v>462</v>
      </c>
      <c r="AA12" s="241" t="s">
        <v>337</v>
      </c>
      <c r="AB12" s="241" t="s">
        <v>314</v>
      </c>
      <c r="AC12" s="241" t="s">
        <v>311</v>
      </c>
      <c r="AD12" s="245">
        <v>32048</v>
      </c>
      <c r="AE12" s="241">
        <f t="shared" ca="1" si="1"/>
        <v>38</v>
      </c>
      <c r="AF12" s="246" t="s">
        <v>463</v>
      </c>
      <c r="AG12" s="241" t="s">
        <v>464</v>
      </c>
      <c r="AH12" s="240" t="s">
        <v>465</v>
      </c>
      <c r="AI12" s="240"/>
      <c r="AJ12" s="240"/>
      <c r="AK12" s="241" t="s">
        <v>466</v>
      </c>
      <c r="AL12" s="246" t="s">
        <v>467</v>
      </c>
      <c r="AM12" s="246">
        <v>12038496688</v>
      </c>
      <c r="AN12" s="241" t="s">
        <v>4733</v>
      </c>
      <c r="AO12" s="241" t="s">
        <v>468</v>
      </c>
      <c r="AP12" s="241" t="s">
        <v>469</v>
      </c>
      <c r="AQ12" s="241"/>
      <c r="AR12" s="241"/>
      <c r="AS12" s="241"/>
      <c r="AT12" s="241" t="s">
        <v>470</v>
      </c>
      <c r="AU12" s="241" t="s">
        <v>471</v>
      </c>
      <c r="AV12" s="241" t="s">
        <v>472</v>
      </c>
      <c r="AW12" s="241" t="s">
        <v>473</v>
      </c>
      <c r="AX12" s="241">
        <f t="shared" si="2"/>
        <v>1</v>
      </c>
      <c r="AY12" s="241" t="str">
        <f t="shared" si="3"/>
        <v>K/1</v>
      </c>
      <c r="AZ12" s="241" t="s">
        <v>474</v>
      </c>
      <c r="BA12" s="237" t="s">
        <v>474</v>
      </c>
      <c r="BB12" s="241" t="s">
        <v>161</v>
      </c>
      <c r="BC12" s="241" t="s">
        <v>349</v>
      </c>
      <c r="BD12" s="241" t="s">
        <v>4502</v>
      </c>
      <c r="BE12" s="241" t="s">
        <v>350</v>
      </c>
      <c r="BF12" s="241">
        <v>2006</v>
      </c>
      <c r="BG12" s="241" t="s">
        <v>475</v>
      </c>
      <c r="BH12" s="241" t="s">
        <v>4502</v>
      </c>
      <c r="BI12" s="241" t="s">
        <v>350</v>
      </c>
      <c r="BJ12" s="241">
        <v>2006</v>
      </c>
      <c r="BK12" s="247">
        <v>52263</v>
      </c>
      <c r="BL12" s="247">
        <v>52628</v>
      </c>
      <c r="BM12" s="241" t="s">
        <v>339</v>
      </c>
      <c r="BN12" s="241">
        <v>32</v>
      </c>
      <c r="BO12" s="241">
        <v>43</v>
      </c>
      <c r="BP12" s="244"/>
      <c r="BQ12" s="244"/>
      <c r="BR12" s="244">
        <v>44649</v>
      </c>
      <c r="BS12" s="244"/>
      <c r="BT12" s="241"/>
      <c r="BU12" s="241"/>
      <c r="BV12" s="241"/>
      <c r="BW12" s="241"/>
      <c r="BX12" s="241"/>
      <c r="BY12" s="241"/>
      <c r="BZ12" s="241"/>
      <c r="CA12" s="241"/>
      <c r="CB12" s="241"/>
      <c r="CC12" s="241"/>
      <c r="CD12" s="241"/>
      <c r="CE12" s="241" t="e">
        <f>VLOOKUP(D12,[1]Sertifikasi!$B$4:$I$19,8,0)</f>
        <v>#N/A</v>
      </c>
      <c r="CF12" s="13"/>
      <c r="CG12" s="13"/>
      <c r="CH12" s="13"/>
    </row>
    <row r="13" spans="1:87" ht="11.25" customHeight="1" x14ac:dyDescent="0.2">
      <c r="A13" s="13"/>
      <c r="B13" s="238">
        <v>9</v>
      </c>
      <c r="C13" s="248" t="s">
        <v>292</v>
      </c>
      <c r="D13" s="237" t="s">
        <v>476</v>
      </c>
      <c r="E13" s="239">
        <v>971700006</v>
      </c>
      <c r="F13" s="237">
        <v>1710004029057</v>
      </c>
      <c r="G13" s="240">
        <v>2507231480</v>
      </c>
      <c r="H13" s="241" t="s">
        <v>217</v>
      </c>
      <c r="I13" s="241" t="s">
        <v>311</v>
      </c>
      <c r="J13" s="242">
        <v>42095</v>
      </c>
      <c r="K13" s="241"/>
      <c r="L13" s="241"/>
      <c r="M13" s="241" t="str">
        <f t="shared" si="0"/>
        <v>ORGANIK IMSS</v>
      </c>
      <c r="N13" s="241" t="s">
        <v>187</v>
      </c>
      <c r="O13" s="241" t="s">
        <v>477</v>
      </c>
      <c r="P13" s="243">
        <v>42767</v>
      </c>
      <c r="Q13" s="241"/>
      <c r="R13" s="241" t="s">
        <v>460</v>
      </c>
      <c r="S13" s="241" t="s">
        <v>6863</v>
      </c>
      <c r="T13" s="241" t="s">
        <v>312</v>
      </c>
      <c r="U13" s="241" t="s">
        <v>33</v>
      </c>
      <c r="V13" s="241" t="s">
        <v>7135</v>
      </c>
      <c r="W13" s="241" t="s">
        <v>51</v>
      </c>
      <c r="X13" s="241" t="s">
        <v>121</v>
      </c>
      <c r="Y13" s="241" t="s">
        <v>313</v>
      </c>
      <c r="Z13" s="241" t="s">
        <v>462</v>
      </c>
      <c r="AA13" s="241" t="s">
        <v>337</v>
      </c>
      <c r="AB13" s="241" t="s">
        <v>314</v>
      </c>
      <c r="AC13" s="241" t="s">
        <v>217</v>
      </c>
      <c r="AD13" s="245">
        <v>27630</v>
      </c>
      <c r="AE13" s="241">
        <f t="shared" ca="1" si="1"/>
        <v>50</v>
      </c>
      <c r="AF13" s="246" t="s">
        <v>478</v>
      </c>
      <c r="AG13" s="241" t="s">
        <v>479</v>
      </c>
      <c r="AH13" s="240" t="s">
        <v>480</v>
      </c>
      <c r="AI13" s="240"/>
      <c r="AJ13" s="240"/>
      <c r="AK13" s="241" t="s">
        <v>481</v>
      </c>
      <c r="AL13" s="246" t="s">
        <v>482</v>
      </c>
      <c r="AM13" s="246">
        <v>16006272351</v>
      </c>
      <c r="AN13" s="241" t="s">
        <v>4733</v>
      </c>
      <c r="AO13" s="241" t="s">
        <v>483</v>
      </c>
      <c r="AP13" s="241" t="s">
        <v>484</v>
      </c>
      <c r="AQ13" s="241" t="s">
        <v>485</v>
      </c>
      <c r="AR13" s="241" t="s">
        <v>486</v>
      </c>
      <c r="AS13" s="241"/>
      <c r="AT13" s="241" t="s">
        <v>306</v>
      </c>
      <c r="AU13" s="241" t="s">
        <v>306</v>
      </c>
      <c r="AV13" s="241" t="s">
        <v>306</v>
      </c>
      <c r="AW13" s="241" t="s">
        <v>306</v>
      </c>
      <c r="AX13" s="241">
        <f t="shared" si="2"/>
        <v>3</v>
      </c>
      <c r="AY13" s="241" t="str">
        <f t="shared" si="3"/>
        <v>K/3</v>
      </c>
      <c r="AZ13" s="241"/>
      <c r="BA13" s="237"/>
      <c r="BB13" s="241" t="s">
        <v>161</v>
      </c>
      <c r="BC13" s="241" t="s">
        <v>349</v>
      </c>
      <c r="BD13" s="241" t="s">
        <v>4502</v>
      </c>
      <c r="BE13" s="241" t="s">
        <v>487</v>
      </c>
      <c r="BF13" s="241">
        <v>1994</v>
      </c>
      <c r="BG13" s="241" t="s">
        <v>475</v>
      </c>
      <c r="BH13" s="241" t="s">
        <v>4502</v>
      </c>
      <c r="BI13" s="241" t="s">
        <v>487</v>
      </c>
      <c r="BJ13" s="241">
        <v>1994</v>
      </c>
      <c r="BK13" s="247">
        <v>47880</v>
      </c>
      <c r="BL13" s="247">
        <v>48245</v>
      </c>
      <c r="BM13" s="241" t="s">
        <v>351</v>
      </c>
      <c r="BN13" s="241">
        <v>30</v>
      </c>
      <c r="BO13" s="241">
        <v>41</v>
      </c>
      <c r="BP13" s="244">
        <v>44293</v>
      </c>
      <c r="BQ13" s="244">
        <v>44322</v>
      </c>
      <c r="BR13" s="244"/>
      <c r="BS13" s="244"/>
      <c r="BT13" s="241"/>
      <c r="BU13" s="241"/>
      <c r="BV13" s="241"/>
      <c r="BW13" s="241"/>
      <c r="BX13" s="241"/>
      <c r="BY13" s="241"/>
      <c r="BZ13" s="241"/>
      <c r="CA13" s="241"/>
      <c r="CB13" s="241"/>
      <c r="CC13" s="241"/>
      <c r="CD13" s="241"/>
      <c r="CE13" s="241" t="e">
        <f>VLOOKUP(D13,[1]Sertifikasi!$B$4:$I$19,8,0)</f>
        <v>#N/A</v>
      </c>
      <c r="CF13" s="13"/>
      <c r="CG13" s="13"/>
      <c r="CH13" s="13"/>
    </row>
    <row r="14" spans="1:87" ht="11.25" customHeight="1" x14ac:dyDescent="0.2">
      <c r="A14" s="13"/>
      <c r="B14" s="238">
        <v>10</v>
      </c>
      <c r="C14" s="248" t="s">
        <v>292</v>
      </c>
      <c r="D14" s="237" t="s">
        <v>488</v>
      </c>
      <c r="E14" s="239">
        <v>971700007</v>
      </c>
      <c r="F14" s="237">
        <v>1710004029032</v>
      </c>
      <c r="G14" s="240"/>
      <c r="H14" s="241" t="s">
        <v>217</v>
      </c>
      <c r="I14" s="241" t="s">
        <v>217</v>
      </c>
      <c r="J14" s="242">
        <v>42095</v>
      </c>
      <c r="K14" s="241"/>
      <c r="L14" s="241"/>
      <c r="M14" s="241" t="str">
        <f t="shared" si="0"/>
        <v>ORGANIK IMSS</v>
      </c>
      <c r="N14" s="241" t="s">
        <v>187</v>
      </c>
      <c r="O14" s="241" t="s">
        <v>489</v>
      </c>
      <c r="P14" s="243">
        <v>42767</v>
      </c>
      <c r="Q14" s="241"/>
      <c r="R14" s="241" t="s">
        <v>460</v>
      </c>
      <c r="S14" s="241" t="s">
        <v>6863</v>
      </c>
      <c r="T14" s="241" t="s">
        <v>312</v>
      </c>
      <c r="U14" s="241" t="s">
        <v>33</v>
      </c>
      <c r="V14" s="241" t="s">
        <v>7135</v>
      </c>
      <c r="W14" s="241" t="s">
        <v>51</v>
      </c>
      <c r="X14" s="241" t="s">
        <v>121</v>
      </c>
      <c r="Y14" s="241" t="s">
        <v>313</v>
      </c>
      <c r="Z14" s="241" t="s">
        <v>462</v>
      </c>
      <c r="AA14" s="241" t="s">
        <v>337</v>
      </c>
      <c r="AB14" s="241" t="s">
        <v>314</v>
      </c>
      <c r="AC14" s="241" t="s">
        <v>217</v>
      </c>
      <c r="AD14" s="245">
        <v>27917</v>
      </c>
      <c r="AE14" s="241">
        <f t="shared" ca="1" si="1"/>
        <v>49</v>
      </c>
      <c r="AF14" s="246" t="s">
        <v>490</v>
      </c>
      <c r="AG14" s="241" t="s">
        <v>491</v>
      </c>
      <c r="AH14" s="240" t="s">
        <v>492</v>
      </c>
      <c r="AI14" s="240"/>
      <c r="AJ14" s="240"/>
      <c r="AK14" s="241" t="s">
        <v>493</v>
      </c>
      <c r="AL14" s="246" t="s">
        <v>494</v>
      </c>
      <c r="AM14" s="246">
        <v>16006272260</v>
      </c>
      <c r="AN14" s="241" t="s">
        <v>4733</v>
      </c>
      <c r="AO14" s="241" t="s">
        <v>495</v>
      </c>
      <c r="AP14" s="241" t="s">
        <v>496</v>
      </c>
      <c r="AQ14" s="241" t="s">
        <v>497</v>
      </c>
      <c r="AR14" s="241" t="s">
        <v>498</v>
      </c>
      <c r="AS14" s="241"/>
      <c r="AT14" s="241" t="s">
        <v>306</v>
      </c>
      <c r="AU14" s="241" t="s">
        <v>306</v>
      </c>
      <c r="AV14" s="241" t="s">
        <v>306</v>
      </c>
      <c r="AW14" s="241" t="s">
        <v>306</v>
      </c>
      <c r="AX14" s="241">
        <f t="shared" si="2"/>
        <v>3</v>
      </c>
      <c r="AY14" s="241" t="str">
        <f t="shared" si="3"/>
        <v>K/3</v>
      </c>
      <c r="AZ14" s="241"/>
      <c r="BA14" s="237"/>
      <c r="BB14" s="241" t="s">
        <v>161</v>
      </c>
      <c r="BC14" s="241" t="s">
        <v>349</v>
      </c>
      <c r="BD14" s="241" t="s">
        <v>91</v>
      </c>
      <c r="BE14" s="241" t="s">
        <v>499</v>
      </c>
      <c r="BF14" s="241">
        <v>1994</v>
      </c>
      <c r="BG14" s="241" t="s">
        <v>475</v>
      </c>
      <c r="BH14" s="241" t="s">
        <v>91</v>
      </c>
      <c r="BI14" s="241" t="s">
        <v>499</v>
      </c>
      <c r="BJ14" s="241">
        <v>1994</v>
      </c>
      <c r="BK14" s="247">
        <v>47880</v>
      </c>
      <c r="BL14" s="247">
        <v>48245</v>
      </c>
      <c r="BM14" s="241" t="s">
        <v>360</v>
      </c>
      <c r="BN14" s="241">
        <v>33</v>
      </c>
      <c r="BO14" s="241">
        <v>41</v>
      </c>
      <c r="BP14" s="244">
        <v>44293</v>
      </c>
      <c r="BQ14" s="244">
        <v>44322</v>
      </c>
      <c r="BR14" s="244">
        <v>44601</v>
      </c>
      <c r="BS14" s="244"/>
      <c r="BT14" s="241"/>
      <c r="BU14" s="241"/>
      <c r="BV14" s="241"/>
      <c r="BW14" s="241"/>
      <c r="BX14" s="241"/>
      <c r="BY14" s="241"/>
      <c r="BZ14" s="241"/>
      <c r="CA14" s="241"/>
      <c r="CB14" s="241"/>
      <c r="CC14" s="241"/>
      <c r="CD14" s="241"/>
      <c r="CE14" s="241" t="e">
        <f>VLOOKUP(D14,[1]Sertifikasi!$B$4:$I$19,8,0)</f>
        <v>#N/A</v>
      </c>
      <c r="CF14" s="13"/>
      <c r="CG14" s="13"/>
      <c r="CH14" s="13"/>
    </row>
    <row r="15" spans="1:87" ht="11.25" customHeight="1" x14ac:dyDescent="0.2">
      <c r="A15" s="13"/>
      <c r="B15" s="238">
        <v>11</v>
      </c>
      <c r="C15" s="248" t="s">
        <v>292</v>
      </c>
      <c r="D15" s="237" t="s">
        <v>500</v>
      </c>
      <c r="E15" s="239">
        <v>971700005</v>
      </c>
      <c r="F15" s="237">
        <v>1710003987289</v>
      </c>
      <c r="G15" s="240"/>
      <c r="H15" s="241" t="s">
        <v>217</v>
      </c>
      <c r="I15" s="241" t="s">
        <v>217</v>
      </c>
      <c r="J15" s="242">
        <v>42095</v>
      </c>
      <c r="K15" s="241"/>
      <c r="L15" s="241"/>
      <c r="M15" s="241" t="str">
        <f t="shared" si="0"/>
        <v>ORGANIK IMSS</v>
      </c>
      <c r="N15" s="241" t="s">
        <v>187</v>
      </c>
      <c r="O15" s="241" t="s">
        <v>501</v>
      </c>
      <c r="P15" s="243">
        <v>42767</v>
      </c>
      <c r="Q15" s="241"/>
      <c r="R15" s="241" t="s">
        <v>460</v>
      </c>
      <c r="S15" s="241" t="s">
        <v>6863</v>
      </c>
      <c r="T15" s="241" t="s">
        <v>312</v>
      </c>
      <c r="U15" s="241" t="s">
        <v>30</v>
      </c>
      <c r="V15" s="241" t="s">
        <v>6998</v>
      </c>
      <c r="W15" s="241" t="s">
        <v>7136</v>
      </c>
      <c r="X15" s="241" t="s">
        <v>7136</v>
      </c>
      <c r="Y15" s="241" t="s">
        <v>298</v>
      </c>
      <c r="Z15" s="241" t="s">
        <v>462</v>
      </c>
      <c r="AA15" s="241" t="s">
        <v>337</v>
      </c>
      <c r="AB15" s="241" t="s">
        <v>314</v>
      </c>
      <c r="AC15" s="241" t="s">
        <v>217</v>
      </c>
      <c r="AD15" s="245">
        <v>29051</v>
      </c>
      <c r="AE15" s="241">
        <f t="shared" ca="1" si="1"/>
        <v>46</v>
      </c>
      <c r="AF15" s="246" t="s">
        <v>502</v>
      </c>
      <c r="AG15" s="241" t="s">
        <v>503</v>
      </c>
      <c r="AH15" s="240" t="s">
        <v>504</v>
      </c>
      <c r="AI15" s="240"/>
      <c r="AJ15" s="240"/>
      <c r="AK15" s="241" t="s">
        <v>505</v>
      </c>
      <c r="AL15" s="246" t="s">
        <v>506</v>
      </c>
      <c r="AM15" s="246">
        <v>16006272252</v>
      </c>
      <c r="AN15" s="241" t="s">
        <v>4733</v>
      </c>
      <c r="AO15" s="241" t="s">
        <v>507</v>
      </c>
      <c r="AP15" s="241" t="s">
        <v>508</v>
      </c>
      <c r="AQ15" s="241" t="s">
        <v>509</v>
      </c>
      <c r="AR15" s="241"/>
      <c r="AS15" s="241"/>
      <c r="AT15" s="241" t="s">
        <v>510</v>
      </c>
      <c r="AU15" s="241" t="s">
        <v>511</v>
      </c>
      <c r="AV15" s="241" t="s">
        <v>512</v>
      </c>
      <c r="AW15" s="241" t="s">
        <v>513</v>
      </c>
      <c r="AX15" s="241">
        <f t="shared" si="2"/>
        <v>2</v>
      </c>
      <c r="AY15" s="241" t="str">
        <f t="shared" si="3"/>
        <v>K/2</v>
      </c>
      <c r="AZ15" s="241" t="s">
        <v>514</v>
      </c>
      <c r="BA15" s="237" t="s">
        <v>514</v>
      </c>
      <c r="BB15" s="241" t="s">
        <v>161</v>
      </c>
      <c r="BC15" s="241" t="s">
        <v>349</v>
      </c>
      <c r="BD15" s="241" t="s">
        <v>515</v>
      </c>
      <c r="BE15" s="241" t="s">
        <v>516</v>
      </c>
      <c r="BF15" s="241">
        <v>1998</v>
      </c>
      <c r="BG15" s="241" t="s">
        <v>475</v>
      </c>
      <c r="BH15" s="241" t="s">
        <v>515</v>
      </c>
      <c r="BI15" s="241" t="s">
        <v>516</v>
      </c>
      <c r="BJ15" s="241">
        <v>1998</v>
      </c>
      <c r="BK15" s="247">
        <v>49341</v>
      </c>
      <c r="BL15" s="247">
        <v>49706</v>
      </c>
      <c r="BM15" s="241" t="s">
        <v>339</v>
      </c>
      <c r="BN15" s="241">
        <v>37</v>
      </c>
      <c r="BO15" s="241">
        <v>41</v>
      </c>
      <c r="BP15" s="244">
        <v>44293</v>
      </c>
      <c r="BQ15" s="244">
        <v>44322</v>
      </c>
      <c r="BR15" s="244">
        <v>44673</v>
      </c>
      <c r="BS15" s="244"/>
      <c r="BT15" s="241"/>
      <c r="BU15" s="241"/>
      <c r="BV15" s="241"/>
      <c r="BW15" s="241"/>
      <c r="BX15" s="241"/>
      <c r="BY15" s="241"/>
      <c r="BZ15" s="241"/>
      <c r="CA15" s="241"/>
      <c r="CB15" s="241"/>
      <c r="CC15" s="241"/>
      <c r="CD15" s="241"/>
      <c r="CE15" s="241" t="e">
        <f>VLOOKUP(D15,[1]Sertifikasi!$B$4:$I$19,8,0)</f>
        <v>#N/A</v>
      </c>
      <c r="CF15" s="13"/>
      <c r="CG15" s="13"/>
      <c r="CH15" s="13"/>
    </row>
    <row r="16" spans="1:87" ht="11.25" customHeight="1" x14ac:dyDescent="0.2">
      <c r="A16" s="13"/>
      <c r="B16" s="238">
        <v>12</v>
      </c>
      <c r="C16" s="241" t="e">
        <f ca="1">DATEDIF($E$3,P16,"D")</f>
        <v>#NUM!</v>
      </c>
      <c r="D16" s="237" t="s">
        <v>517</v>
      </c>
      <c r="E16" s="239">
        <v>642001013</v>
      </c>
      <c r="F16" s="237">
        <v>1710003987008</v>
      </c>
      <c r="G16" s="240"/>
      <c r="H16" s="241" t="s">
        <v>217</v>
      </c>
      <c r="I16" s="241" t="s">
        <v>217</v>
      </c>
      <c r="J16" s="242">
        <v>42095</v>
      </c>
      <c r="K16" s="241"/>
      <c r="L16" s="241"/>
      <c r="M16" s="241" t="str">
        <f t="shared" si="0"/>
        <v>PKWT</v>
      </c>
      <c r="N16" s="241" t="s">
        <v>187</v>
      </c>
      <c r="O16" s="241"/>
      <c r="P16" s="243">
        <v>45657</v>
      </c>
      <c r="Q16" s="241"/>
      <c r="R16" s="241" t="s">
        <v>206</v>
      </c>
      <c r="S16" s="241" t="s">
        <v>6863</v>
      </c>
      <c r="T16" s="241" t="s">
        <v>312</v>
      </c>
      <c r="U16" s="241" t="s">
        <v>204</v>
      </c>
      <c r="V16" s="241" t="s">
        <v>208</v>
      </c>
      <c r="W16" s="241" t="s">
        <v>6908</v>
      </c>
      <c r="X16" s="241" t="s">
        <v>18</v>
      </c>
      <c r="Y16" s="241" t="s">
        <v>313</v>
      </c>
      <c r="Z16" s="241" t="s">
        <v>462</v>
      </c>
      <c r="AA16" s="241" t="s">
        <v>337</v>
      </c>
      <c r="AB16" s="241" t="s">
        <v>314</v>
      </c>
      <c r="AC16" s="241" t="s">
        <v>217</v>
      </c>
      <c r="AD16" s="245">
        <v>27574</v>
      </c>
      <c r="AE16" s="241">
        <f t="shared" ca="1" si="1"/>
        <v>50</v>
      </c>
      <c r="AF16" s="246" t="s">
        <v>519</v>
      </c>
      <c r="AG16" s="241" t="s">
        <v>520</v>
      </c>
      <c r="AH16" s="240" t="s">
        <v>521</v>
      </c>
      <c r="AI16" s="240"/>
      <c r="AJ16" s="240"/>
      <c r="AK16" s="241" t="s">
        <v>522</v>
      </c>
      <c r="AL16" s="246" t="s">
        <v>523</v>
      </c>
      <c r="AM16" s="246">
        <v>16006272385</v>
      </c>
      <c r="AN16" s="241" t="s">
        <v>4716</v>
      </c>
      <c r="AO16" s="241"/>
      <c r="AP16" s="241"/>
      <c r="AQ16" s="241"/>
      <c r="AR16" s="241"/>
      <c r="AS16" s="241"/>
      <c r="AT16" s="241" t="s">
        <v>524</v>
      </c>
      <c r="AU16" s="241" t="s">
        <v>525</v>
      </c>
      <c r="AV16" s="241" t="s">
        <v>306</v>
      </c>
      <c r="AW16" s="241" t="s">
        <v>306</v>
      </c>
      <c r="AX16" s="241">
        <f t="shared" si="2"/>
        <v>0</v>
      </c>
      <c r="AY16" s="241" t="str">
        <f t="shared" si="3"/>
        <v>TK/0</v>
      </c>
      <c r="AZ16" s="241" t="s">
        <v>526</v>
      </c>
      <c r="BA16" s="237" t="s">
        <v>526</v>
      </c>
      <c r="BB16" s="241" t="s">
        <v>161</v>
      </c>
      <c r="BC16" s="241" t="s">
        <v>349</v>
      </c>
      <c r="BD16" s="241" t="s">
        <v>527</v>
      </c>
      <c r="BE16" s="241" t="s">
        <v>516</v>
      </c>
      <c r="BF16" s="241"/>
      <c r="BG16" s="241" t="s">
        <v>475</v>
      </c>
      <c r="BH16" s="241" t="s">
        <v>527</v>
      </c>
      <c r="BI16" s="241" t="s">
        <v>516</v>
      </c>
      <c r="BJ16" s="241"/>
      <c r="BK16" s="247"/>
      <c r="BL16" s="247"/>
      <c r="BM16" s="241" t="s">
        <v>360</v>
      </c>
      <c r="BN16" s="241">
        <v>32</v>
      </c>
      <c r="BO16" s="241">
        <v>39</v>
      </c>
      <c r="BP16" s="244">
        <v>44293</v>
      </c>
      <c r="BQ16" s="244">
        <v>44322</v>
      </c>
      <c r="BR16" s="244"/>
      <c r="BS16" s="244"/>
      <c r="BT16" s="241">
        <v>43467</v>
      </c>
      <c r="BU16" s="241">
        <v>43830</v>
      </c>
      <c r="BV16" s="241" t="s">
        <v>528</v>
      </c>
      <c r="BW16" s="241" t="s">
        <v>529</v>
      </c>
      <c r="BX16" s="241"/>
      <c r="BY16" s="241"/>
      <c r="BZ16" s="241"/>
      <c r="CA16" s="241"/>
      <c r="CB16" s="241"/>
      <c r="CC16" s="241"/>
      <c r="CD16" s="241"/>
      <c r="CE16" s="241" t="e">
        <f>VLOOKUP(D16,[1]Sertifikasi!$B$4:$I$19,8,0)</f>
        <v>#N/A</v>
      </c>
      <c r="CF16" s="13"/>
      <c r="CG16" s="13"/>
      <c r="CH16" s="13"/>
    </row>
    <row r="17" spans="1:86" ht="11.25" customHeight="1" x14ac:dyDescent="0.2">
      <c r="A17" s="13"/>
      <c r="B17" s="238">
        <v>13</v>
      </c>
      <c r="C17" s="248" t="s">
        <v>292</v>
      </c>
      <c r="D17" s="237" t="s">
        <v>530</v>
      </c>
      <c r="E17" s="239">
        <v>971900047</v>
      </c>
      <c r="F17" s="237">
        <v>1710003987651</v>
      </c>
      <c r="G17" s="240">
        <v>7177540034</v>
      </c>
      <c r="H17" s="241" t="s">
        <v>217</v>
      </c>
      <c r="I17" s="241" t="s">
        <v>315</v>
      </c>
      <c r="J17" s="242">
        <v>42095</v>
      </c>
      <c r="K17" s="241"/>
      <c r="L17" s="241"/>
      <c r="M17" s="241" t="str">
        <f t="shared" si="0"/>
        <v>ORGANIK IMSS</v>
      </c>
      <c r="N17" s="241" t="s">
        <v>187</v>
      </c>
      <c r="O17" s="241" t="s">
        <v>531</v>
      </c>
      <c r="P17" s="243">
        <v>43789</v>
      </c>
      <c r="Q17" s="241"/>
      <c r="R17" s="241" t="s">
        <v>206</v>
      </c>
      <c r="S17" s="241" t="s">
        <v>6863</v>
      </c>
      <c r="T17" s="241" t="s">
        <v>312</v>
      </c>
      <c r="U17" s="241" t="s">
        <v>24</v>
      </c>
      <c r="V17" s="241" t="s">
        <v>204</v>
      </c>
      <c r="W17" s="241" t="s">
        <v>706</v>
      </c>
      <c r="X17" s="241" t="s">
        <v>121</v>
      </c>
      <c r="Y17" s="241" t="s">
        <v>313</v>
      </c>
      <c r="Z17" s="241" t="s">
        <v>462</v>
      </c>
      <c r="AA17" s="241" t="s">
        <v>337</v>
      </c>
      <c r="AB17" s="241" t="s">
        <v>314</v>
      </c>
      <c r="AC17" s="241" t="s">
        <v>217</v>
      </c>
      <c r="AD17" s="245">
        <v>32609</v>
      </c>
      <c r="AE17" s="241">
        <f t="shared" ca="1" si="1"/>
        <v>36</v>
      </c>
      <c r="AF17" s="246" t="s">
        <v>532</v>
      </c>
      <c r="AG17" s="241" t="s">
        <v>533</v>
      </c>
      <c r="AH17" s="240" t="s">
        <v>534</v>
      </c>
      <c r="AI17" s="240" t="s">
        <v>534</v>
      </c>
      <c r="AJ17" s="240"/>
      <c r="AK17" s="241" t="s">
        <v>535</v>
      </c>
      <c r="AL17" s="246" t="s">
        <v>536</v>
      </c>
      <c r="AM17" s="246">
        <v>13017429666</v>
      </c>
      <c r="AN17" s="241" t="s">
        <v>4733</v>
      </c>
      <c r="AO17" s="241" t="s">
        <v>537</v>
      </c>
      <c r="AP17" s="241" t="s">
        <v>538</v>
      </c>
      <c r="AQ17" s="241"/>
      <c r="AR17" s="241"/>
      <c r="AS17" s="241"/>
      <c r="AT17" s="241" t="s">
        <v>539</v>
      </c>
      <c r="AU17" s="241" t="s">
        <v>540</v>
      </c>
      <c r="AV17" s="241" t="s">
        <v>541</v>
      </c>
      <c r="AW17" s="241" t="s">
        <v>542</v>
      </c>
      <c r="AX17" s="241">
        <f t="shared" si="2"/>
        <v>1</v>
      </c>
      <c r="AY17" s="241" t="str">
        <f t="shared" si="3"/>
        <v>K/1</v>
      </c>
      <c r="AZ17" s="241" t="s">
        <v>543</v>
      </c>
      <c r="BA17" s="237" t="s">
        <v>543</v>
      </c>
      <c r="BB17" s="241" t="s">
        <v>161</v>
      </c>
      <c r="BC17" s="241" t="s">
        <v>349</v>
      </c>
      <c r="BD17" s="241" t="s">
        <v>544</v>
      </c>
      <c r="BE17" s="241" t="s">
        <v>545</v>
      </c>
      <c r="BF17" s="241">
        <v>2018</v>
      </c>
      <c r="BG17" s="241" t="s">
        <v>307</v>
      </c>
      <c r="BH17" s="241" t="s">
        <v>544</v>
      </c>
      <c r="BI17" s="241" t="s">
        <v>545</v>
      </c>
      <c r="BJ17" s="241">
        <v>2018</v>
      </c>
      <c r="BK17" s="247">
        <v>52921</v>
      </c>
      <c r="BL17" s="247">
        <v>53286</v>
      </c>
      <c r="BM17" s="241" t="s">
        <v>339</v>
      </c>
      <c r="BN17" s="241">
        <v>36</v>
      </c>
      <c r="BO17" s="241">
        <v>42</v>
      </c>
      <c r="BP17" s="244"/>
      <c r="BQ17" s="244"/>
      <c r="BR17" s="244">
        <v>44650</v>
      </c>
      <c r="BS17" s="244"/>
      <c r="BT17" s="241"/>
      <c r="BU17" s="241"/>
      <c r="BV17" s="241"/>
      <c r="BW17" s="241"/>
      <c r="BX17" s="241"/>
      <c r="BY17" s="241"/>
      <c r="BZ17" s="241"/>
      <c r="CA17" s="241"/>
      <c r="CB17" s="241"/>
      <c r="CC17" s="241"/>
      <c r="CD17" s="241"/>
      <c r="CE17" s="241" t="e">
        <f>VLOOKUP(D17,[1]Sertifikasi!$B$4:$I$19,8,0)</f>
        <v>#N/A</v>
      </c>
      <c r="CF17" s="13"/>
      <c r="CG17" s="13"/>
      <c r="CH17" s="13"/>
    </row>
    <row r="18" spans="1:86" ht="11.25" customHeight="1" x14ac:dyDescent="0.2">
      <c r="A18" s="13"/>
      <c r="B18" s="238">
        <v>14</v>
      </c>
      <c r="C18" s="248" t="s">
        <v>292</v>
      </c>
      <c r="D18" s="237" t="s">
        <v>546</v>
      </c>
      <c r="E18" s="239">
        <v>971900046</v>
      </c>
      <c r="F18" s="237">
        <v>1440010154794</v>
      </c>
      <c r="G18" s="240"/>
      <c r="H18" s="241" t="s">
        <v>217</v>
      </c>
      <c r="I18" s="241" t="s">
        <v>217</v>
      </c>
      <c r="J18" s="242">
        <v>42095</v>
      </c>
      <c r="K18" s="241"/>
      <c r="L18" s="241"/>
      <c r="M18" s="241" t="str">
        <f t="shared" si="0"/>
        <v>ORGANIK IMSS</v>
      </c>
      <c r="N18" s="241" t="s">
        <v>187</v>
      </c>
      <c r="O18" s="241" t="s">
        <v>531</v>
      </c>
      <c r="P18" s="243">
        <v>43789</v>
      </c>
      <c r="Q18" s="241"/>
      <c r="R18" s="241" t="s">
        <v>206</v>
      </c>
      <c r="S18" s="241" t="s">
        <v>6863</v>
      </c>
      <c r="T18" s="241" t="s">
        <v>312</v>
      </c>
      <c r="U18" s="241" t="s">
        <v>187</v>
      </c>
      <c r="V18" s="241" t="s">
        <v>7144</v>
      </c>
      <c r="W18" s="241" t="s">
        <v>73</v>
      </c>
      <c r="X18" s="241" t="s">
        <v>122</v>
      </c>
      <c r="Y18" s="241" t="s">
        <v>313</v>
      </c>
      <c r="Z18" s="241" t="s">
        <v>462</v>
      </c>
      <c r="AA18" s="241" t="s">
        <v>337</v>
      </c>
      <c r="AB18" s="241" t="s">
        <v>314</v>
      </c>
      <c r="AC18" s="241" t="s">
        <v>311</v>
      </c>
      <c r="AD18" s="245">
        <v>32137</v>
      </c>
      <c r="AE18" s="241">
        <f t="shared" ca="1" si="1"/>
        <v>37</v>
      </c>
      <c r="AF18" s="246" t="s">
        <v>548</v>
      </c>
      <c r="AG18" s="241" t="s">
        <v>549</v>
      </c>
      <c r="AH18" s="240" t="s">
        <v>550</v>
      </c>
      <c r="AI18" s="240"/>
      <c r="AJ18" s="240"/>
      <c r="AK18" s="241" t="s">
        <v>551</v>
      </c>
      <c r="AL18" s="246" t="s">
        <v>552</v>
      </c>
      <c r="AM18" s="246">
        <v>16006272146</v>
      </c>
      <c r="AN18" s="241" t="s">
        <v>4733</v>
      </c>
      <c r="AO18" s="241" t="s">
        <v>553</v>
      </c>
      <c r="AP18" s="241" t="s">
        <v>554</v>
      </c>
      <c r="AQ18" s="241"/>
      <c r="AR18" s="241"/>
      <c r="AS18" s="241"/>
      <c r="AT18" s="241" t="s">
        <v>555</v>
      </c>
      <c r="AU18" s="241" t="s">
        <v>556</v>
      </c>
      <c r="AV18" s="241" t="s">
        <v>557</v>
      </c>
      <c r="AW18" s="241" t="s">
        <v>558</v>
      </c>
      <c r="AX18" s="241">
        <f t="shared" si="2"/>
        <v>1</v>
      </c>
      <c r="AY18" s="241" t="str">
        <f t="shared" si="3"/>
        <v>K/1</v>
      </c>
      <c r="AZ18" s="241" t="s">
        <v>559</v>
      </c>
      <c r="BA18" s="237">
        <v>962156006429000</v>
      </c>
      <c r="BB18" s="241" t="s">
        <v>161</v>
      </c>
      <c r="BC18" s="241" t="s">
        <v>349</v>
      </c>
      <c r="BD18" s="241" t="s">
        <v>4502</v>
      </c>
      <c r="BE18" s="241" t="s">
        <v>560</v>
      </c>
      <c r="BF18" s="241">
        <v>2006</v>
      </c>
      <c r="BG18" s="241" t="s">
        <v>475</v>
      </c>
      <c r="BH18" s="241" t="s">
        <v>4502</v>
      </c>
      <c r="BI18" s="241" t="s">
        <v>560</v>
      </c>
      <c r="BJ18" s="241">
        <v>2006</v>
      </c>
      <c r="BK18" s="247">
        <v>52555</v>
      </c>
      <c r="BL18" s="247">
        <v>52920</v>
      </c>
      <c r="BM18" s="241" t="s">
        <v>360</v>
      </c>
      <c r="BN18" s="241">
        <v>28</v>
      </c>
      <c r="BO18" s="241">
        <v>41</v>
      </c>
      <c r="BP18" s="244">
        <v>44294</v>
      </c>
      <c r="BQ18" s="244">
        <v>44322</v>
      </c>
      <c r="BR18" s="244">
        <v>44632</v>
      </c>
      <c r="BS18" s="244"/>
      <c r="BT18" s="241"/>
      <c r="BU18" s="241"/>
      <c r="BV18" s="241"/>
      <c r="BW18" s="241"/>
      <c r="BX18" s="241"/>
      <c r="BY18" s="241"/>
      <c r="BZ18" s="241"/>
      <c r="CA18" s="241"/>
      <c r="CB18" s="241"/>
      <c r="CC18" s="241"/>
      <c r="CD18" s="241"/>
      <c r="CE18" s="241" t="e">
        <f>VLOOKUP(D18,[1]Sertifikasi!$B$4:$I$19,8,0)</f>
        <v>#N/A</v>
      </c>
      <c r="CF18" s="13"/>
      <c r="CG18" s="13"/>
      <c r="CH18" s="13"/>
    </row>
    <row r="19" spans="1:86" ht="11.25" customHeight="1" x14ac:dyDescent="0.2">
      <c r="A19" s="13"/>
      <c r="B19" s="238">
        <v>15</v>
      </c>
      <c r="C19" s="248" t="s">
        <v>292</v>
      </c>
      <c r="D19" s="237" t="s">
        <v>561</v>
      </c>
      <c r="E19" s="239">
        <v>971800023</v>
      </c>
      <c r="F19" s="237">
        <v>1710003919829</v>
      </c>
      <c r="G19" s="240">
        <v>4185707720</v>
      </c>
      <c r="H19" s="249" t="s">
        <v>217</v>
      </c>
      <c r="I19" s="241" t="s">
        <v>217</v>
      </c>
      <c r="J19" s="242">
        <v>42096</v>
      </c>
      <c r="K19" s="241"/>
      <c r="L19" s="241"/>
      <c r="M19" s="241" t="str">
        <f t="shared" si="0"/>
        <v>ORGANIK IMSS</v>
      </c>
      <c r="N19" s="241" t="s">
        <v>187</v>
      </c>
      <c r="O19" s="241" t="s">
        <v>562</v>
      </c>
      <c r="P19" s="243">
        <v>43116</v>
      </c>
      <c r="Q19" s="244"/>
      <c r="R19" s="241" t="s">
        <v>139</v>
      </c>
      <c r="S19" s="241" t="s">
        <v>6863</v>
      </c>
      <c r="T19" s="241" t="s">
        <v>296</v>
      </c>
      <c r="U19" s="241" t="s">
        <v>187</v>
      </c>
      <c r="V19" s="241" t="s">
        <v>443</v>
      </c>
      <c r="W19" s="241" t="s">
        <v>175</v>
      </c>
      <c r="X19" s="241" t="s">
        <v>121</v>
      </c>
      <c r="Y19" s="241" t="s">
        <v>313</v>
      </c>
      <c r="Z19" s="241"/>
      <c r="AA19" s="241"/>
      <c r="AB19" s="241" t="s">
        <v>132</v>
      </c>
      <c r="AC19" s="241" t="s">
        <v>564</v>
      </c>
      <c r="AD19" s="245">
        <v>30982</v>
      </c>
      <c r="AE19" s="241">
        <f t="shared" ca="1" si="1"/>
        <v>40</v>
      </c>
      <c r="AF19" s="246" t="s">
        <v>565</v>
      </c>
      <c r="AG19" s="241" t="s">
        <v>566</v>
      </c>
      <c r="AH19" s="240" t="s">
        <v>567</v>
      </c>
      <c r="AI19" s="240"/>
      <c r="AJ19" s="240"/>
      <c r="AK19" s="250" t="s">
        <v>568</v>
      </c>
      <c r="AL19" s="246" t="s">
        <v>569</v>
      </c>
      <c r="AM19" s="246" t="s">
        <v>6724</v>
      </c>
      <c r="AN19" s="241" t="s">
        <v>4733</v>
      </c>
      <c r="AO19" s="241" t="s">
        <v>570</v>
      </c>
      <c r="AP19" s="241" t="s">
        <v>571</v>
      </c>
      <c r="AQ19" s="241" t="s">
        <v>572</v>
      </c>
      <c r="AR19" s="241"/>
      <c r="AS19" s="241"/>
      <c r="AT19" s="241" t="s">
        <v>306</v>
      </c>
      <c r="AU19" s="241" t="s">
        <v>306</v>
      </c>
      <c r="AV19" s="241" t="s">
        <v>306</v>
      </c>
      <c r="AW19" s="241" t="s">
        <v>306</v>
      </c>
      <c r="AX19" s="241">
        <f t="shared" si="2"/>
        <v>2</v>
      </c>
      <c r="AY19" s="241" t="str">
        <f t="shared" si="3"/>
        <v>K/2</v>
      </c>
      <c r="AZ19" s="241"/>
      <c r="BA19" s="237">
        <v>856640420621000</v>
      </c>
      <c r="BB19" s="249" t="s">
        <v>161</v>
      </c>
      <c r="BC19" s="241" t="s">
        <v>75</v>
      </c>
      <c r="BD19" s="241" t="s">
        <v>573</v>
      </c>
      <c r="BE19" s="241" t="s">
        <v>574</v>
      </c>
      <c r="BF19" s="241">
        <v>2013</v>
      </c>
      <c r="BG19" s="241" t="s">
        <v>75</v>
      </c>
      <c r="BH19" s="241" t="s">
        <v>573</v>
      </c>
      <c r="BI19" s="241" t="s">
        <v>574</v>
      </c>
      <c r="BJ19" s="241">
        <v>2013</v>
      </c>
      <c r="BK19" s="247">
        <v>51151</v>
      </c>
      <c r="BL19" s="247">
        <v>51516</v>
      </c>
      <c r="BM19" s="242"/>
      <c r="BN19" s="241"/>
      <c r="BO19" s="241">
        <v>42</v>
      </c>
      <c r="BP19" s="244">
        <v>44294</v>
      </c>
      <c r="BQ19" s="244">
        <v>44322</v>
      </c>
      <c r="BR19" s="244">
        <v>44585</v>
      </c>
      <c r="BS19" s="244"/>
      <c r="BT19" s="241"/>
      <c r="BU19" s="241"/>
      <c r="BV19" s="241"/>
      <c r="BW19" s="241"/>
      <c r="BX19" s="241"/>
      <c r="BY19" s="241"/>
      <c r="BZ19" s="241"/>
      <c r="CA19" s="241"/>
      <c r="CB19" s="241"/>
      <c r="CC19" s="241"/>
      <c r="CD19" s="241"/>
      <c r="CE19" s="241" t="e">
        <f>VLOOKUP(D19,[1]Sertifikasi!$B$4:$I$19,8,0)</f>
        <v>#N/A</v>
      </c>
      <c r="CF19" s="13"/>
      <c r="CG19" s="13"/>
      <c r="CH19" s="13"/>
    </row>
    <row r="20" spans="1:86" ht="11.25" customHeight="1" x14ac:dyDescent="0.2">
      <c r="A20" s="13"/>
      <c r="B20" s="238">
        <v>16</v>
      </c>
      <c r="C20" s="248" t="s">
        <v>292</v>
      </c>
      <c r="D20" s="237" t="s">
        <v>575</v>
      </c>
      <c r="E20" s="239">
        <v>971900031</v>
      </c>
      <c r="F20" s="237">
        <v>1710003987842</v>
      </c>
      <c r="G20" s="240"/>
      <c r="H20" s="241" t="s">
        <v>217</v>
      </c>
      <c r="I20" s="241" t="s">
        <v>27</v>
      </c>
      <c r="J20" s="242">
        <v>42125</v>
      </c>
      <c r="K20" s="241"/>
      <c r="L20" s="241"/>
      <c r="M20" s="241" t="str">
        <f t="shared" si="0"/>
        <v>ORGANIK IMSS</v>
      </c>
      <c r="N20" s="241" t="s">
        <v>187</v>
      </c>
      <c r="O20" s="241" t="s">
        <v>576</v>
      </c>
      <c r="P20" s="243">
        <v>43647</v>
      </c>
      <c r="Q20" s="241"/>
      <c r="R20" s="241" t="s">
        <v>460</v>
      </c>
      <c r="S20" s="241" t="s">
        <v>6863</v>
      </c>
      <c r="T20" s="241" t="s">
        <v>312</v>
      </c>
      <c r="U20" s="241" t="s">
        <v>33</v>
      </c>
      <c r="V20" s="241" t="s">
        <v>7135</v>
      </c>
      <c r="W20" s="241" t="s">
        <v>51</v>
      </c>
      <c r="X20" s="241" t="s">
        <v>121</v>
      </c>
      <c r="Y20" s="241" t="s">
        <v>313</v>
      </c>
      <c r="Z20" s="241" t="s">
        <v>462</v>
      </c>
      <c r="AA20" s="241" t="s">
        <v>337</v>
      </c>
      <c r="AB20" s="241" t="s">
        <v>314</v>
      </c>
      <c r="AC20" s="241" t="s">
        <v>577</v>
      </c>
      <c r="AD20" s="245">
        <v>32896</v>
      </c>
      <c r="AE20" s="241">
        <f t="shared" ca="1" si="1"/>
        <v>35</v>
      </c>
      <c r="AF20" s="246" t="s">
        <v>578</v>
      </c>
      <c r="AG20" s="241" t="s">
        <v>579</v>
      </c>
      <c r="AH20" s="240" t="s">
        <v>580</v>
      </c>
      <c r="AI20" s="240"/>
      <c r="AJ20" s="240"/>
      <c r="AK20" s="241" t="s">
        <v>581</v>
      </c>
      <c r="AL20" s="246" t="s">
        <v>582</v>
      </c>
      <c r="AM20" s="246">
        <v>16006272138</v>
      </c>
      <c r="AN20" s="241" t="s">
        <v>4733</v>
      </c>
      <c r="AO20" s="241"/>
      <c r="AP20" s="241"/>
      <c r="AQ20" s="241"/>
      <c r="AR20" s="241"/>
      <c r="AS20" s="241"/>
      <c r="AT20" s="241" t="s">
        <v>306</v>
      </c>
      <c r="AU20" s="241" t="s">
        <v>306</v>
      </c>
      <c r="AV20" s="241" t="s">
        <v>306</v>
      </c>
      <c r="AW20" s="241" t="s">
        <v>306</v>
      </c>
      <c r="AX20" s="241">
        <f t="shared" si="2"/>
        <v>0</v>
      </c>
      <c r="AY20" s="241" t="str">
        <f t="shared" si="3"/>
        <v>K/0</v>
      </c>
      <c r="AZ20" s="241"/>
      <c r="BA20" s="237"/>
      <c r="BB20" s="241" t="s">
        <v>161</v>
      </c>
      <c r="BC20" s="241" t="s">
        <v>307</v>
      </c>
      <c r="BD20" s="241" t="s">
        <v>308</v>
      </c>
      <c r="BE20" s="241" t="s">
        <v>545</v>
      </c>
      <c r="BF20" s="241"/>
      <c r="BG20" s="241" t="s">
        <v>307</v>
      </c>
      <c r="BH20" s="241" t="s">
        <v>308</v>
      </c>
      <c r="BI20" s="241" t="s">
        <v>545</v>
      </c>
      <c r="BJ20" s="241"/>
      <c r="BK20" s="247">
        <v>53144</v>
      </c>
      <c r="BL20" s="247">
        <v>53509</v>
      </c>
      <c r="BM20" s="241" t="s">
        <v>339</v>
      </c>
      <c r="BN20" s="241">
        <v>36</v>
      </c>
      <c r="BO20" s="241">
        <v>41</v>
      </c>
      <c r="BP20" s="244">
        <v>44436</v>
      </c>
      <c r="BQ20" s="244"/>
      <c r="BR20" s="244">
        <v>44701</v>
      </c>
      <c r="BS20" s="244"/>
      <c r="BT20" s="241"/>
      <c r="BU20" s="241"/>
      <c r="BV20" s="241"/>
      <c r="BW20" s="241"/>
      <c r="BX20" s="241"/>
      <c r="BY20" s="241"/>
      <c r="BZ20" s="241"/>
      <c r="CA20" s="241"/>
      <c r="CB20" s="241"/>
      <c r="CC20" s="241"/>
      <c r="CD20" s="241"/>
      <c r="CE20" s="241" t="e">
        <f>VLOOKUP(D20,[1]Sertifikasi!$B$4:$I$19,8,0)</f>
        <v>#N/A</v>
      </c>
      <c r="CF20" s="13"/>
      <c r="CG20" s="13"/>
      <c r="CH20" s="13"/>
    </row>
    <row r="21" spans="1:86" ht="11.25" customHeight="1" x14ac:dyDescent="0.2">
      <c r="A21" s="13"/>
      <c r="B21" s="238">
        <v>17</v>
      </c>
      <c r="C21" s="248" t="s">
        <v>292</v>
      </c>
      <c r="D21" s="237" t="s">
        <v>583</v>
      </c>
      <c r="E21" s="239">
        <v>971700010</v>
      </c>
      <c r="F21" s="237">
        <v>1710003988329</v>
      </c>
      <c r="G21" s="240"/>
      <c r="H21" s="241" t="s">
        <v>217</v>
      </c>
      <c r="I21" s="241" t="s">
        <v>217</v>
      </c>
      <c r="J21" s="242">
        <v>42125</v>
      </c>
      <c r="K21" s="241"/>
      <c r="L21" s="241"/>
      <c r="M21" s="241" t="str">
        <f t="shared" si="0"/>
        <v>ORGANIK IMSS</v>
      </c>
      <c r="N21" s="241" t="s">
        <v>187</v>
      </c>
      <c r="O21" s="241" t="s">
        <v>584</v>
      </c>
      <c r="P21" s="243">
        <v>42767</v>
      </c>
      <c r="Q21" s="241"/>
      <c r="R21" s="241" t="s">
        <v>460</v>
      </c>
      <c r="S21" s="241" t="s">
        <v>6863</v>
      </c>
      <c r="T21" s="241" t="s">
        <v>312</v>
      </c>
      <c r="U21" s="241" t="s">
        <v>204</v>
      </c>
      <c r="V21" s="241" t="s">
        <v>208</v>
      </c>
      <c r="W21" s="241" t="s">
        <v>6908</v>
      </c>
      <c r="X21" s="241" t="s">
        <v>18</v>
      </c>
      <c r="Y21" s="241" t="s">
        <v>313</v>
      </c>
      <c r="Z21" s="241"/>
      <c r="AA21" s="241" t="s">
        <v>337</v>
      </c>
      <c r="AB21" s="241" t="s">
        <v>314</v>
      </c>
      <c r="AC21" s="241" t="s">
        <v>217</v>
      </c>
      <c r="AD21" s="245">
        <v>27211</v>
      </c>
      <c r="AE21" s="241">
        <f t="shared" ca="1" si="1"/>
        <v>51</v>
      </c>
      <c r="AF21" s="246" t="s">
        <v>585</v>
      </c>
      <c r="AG21" s="241" t="s">
        <v>586</v>
      </c>
      <c r="AH21" s="240" t="s">
        <v>587</v>
      </c>
      <c r="AI21" s="240"/>
      <c r="AJ21" s="240"/>
      <c r="AK21" s="241" t="s">
        <v>588</v>
      </c>
      <c r="AL21" s="246" t="s">
        <v>589</v>
      </c>
      <c r="AM21" s="246">
        <v>12007010650</v>
      </c>
      <c r="AN21" s="241" t="s">
        <v>4733</v>
      </c>
      <c r="AO21" s="241" t="s">
        <v>590</v>
      </c>
      <c r="AP21" s="241" t="s">
        <v>591</v>
      </c>
      <c r="AQ21" s="241"/>
      <c r="AR21" s="241"/>
      <c r="AS21" s="241"/>
      <c r="AT21" s="241" t="s">
        <v>306</v>
      </c>
      <c r="AU21" s="241" t="s">
        <v>306</v>
      </c>
      <c r="AV21" s="241" t="s">
        <v>306</v>
      </c>
      <c r="AW21" s="241" t="s">
        <v>306</v>
      </c>
      <c r="AX21" s="241">
        <f t="shared" si="2"/>
        <v>1</v>
      </c>
      <c r="AY21" s="241" t="str">
        <f t="shared" si="3"/>
        <v>K/1</v>
      </c>
      <c r="AZ21" s="241"/>
      <c r="BA21" s="237"/>
      <c r="BB21" s="241" t="s">
        <v>161</v>
      </c>
      <c r="BC21" s="241" t="s">
        <v>349</v>
      </c>
      <c r="BD21" s="241" t="s">
        <v>4502</v>
      </c>
      <c r="BE21" s="241" t="s">
        <v>516</v>
      </c>
      <c r="BF21" s="241"/>
      <c r="BG21" s="241" t="s">
        <v>475</v>
      </c>
      <c r="BH21" s="241" t="s">
        <v>4502</v>
      </c>
      <c r="BI21" s="241" t="s">
        <v>516</v>
      </c>
      <c r="BJ21" s="241"/>
      <c r="BK21" s="247">
        <v>47515</v>
      </c>
      <c r="BL21" s="247">
        <v>47880</v>
      </c>
      <c r="BM21" s="241" t="s">
        <v>339</v>
      </c>
      <c r="BN21" s="241">
        <v>35</v>
      </c>
      <c r="BO21" s="241">
        <v>42</v>
      </c>
      <c r="BP21" s="244">
        <v>44294</v>
      </c>
      <c r="BQ21" s="244">
        <v>44322</v>
      </c>
      <c r="BR21" s="244">
        <v>44585</v>
      </c>
      <c r="BS21" s="244"/>
      <c r="BT21" s="241"/>
      <c r="BU21" s="241"/>
      <c r="BV21" s="241"/>
      <c r="BW21" s="241"/>
      <c r="BX21" s="241"/>
      <c r="BY21" s="241"/>
      <c r="BZ21" s="241"/>
      <c r="CA21" s="241"/>
      <c r="CB21" s="241"/>
      <c r="CC21" s="241"/>
      <c r="CD21" s="241"/>
      <c r="CE21" s="241" t="e">
        <f>VLOOKUP(D21,[1]Sertifikasi!$B$4:$I$19,8,0)</f>
        <v>#N/A</v>
      </c>
      <c r="CF21" s="13"/>
      <c r="CG21" s="13"/>
      <c r="CH21" s="13"/>
    </row>
    <row r="22" spans="1:86" ht="11.25" customHeight="1" x14ac:dyDescent="0.2">
      <c r="A22" s="13"/>
      <c r="B22" s="238">
        <v>18</v>
      </c>
      <c r="C22" s="248" t="s">
        <v>292</v>
      </c>
      <c r="D22" s="237" t="s">
        <v>592</v>
      </c>
      <c r="E22" s="239">
        <v>971700008</v>
      </c>
      <c r="F22" s="237">
        <v>1710004040955</v>
      </c>
      <c r="G22" s="240"/>
      <c r="H22" s="241" t="s">
        <v>217</v>
      </c>
      <c r="I22" s="241" t="s">
        <v>27</v>
      </c>
      <c r="J22" s="242">
        <v>42125</v>
      </c>
      <c r="K22" s="241"/>
      <c r="L22" s="241"/>
      <c r="M22" s="241" t="str">
        <f t="shared" si="0"/>
        <v>ORGANIK IMSS</v>
      </c>
      <c r="N22" s="241" t="s">
        <v>187</v>
      </c>
      <c r="O22" s="241" t="s">
        <v>593</v>
      </c>
      <c r="P22" s="243">
        <v>42767</v>
      </c>
      <c r="Q22" s="241"/>
      <c r="R22" s="241" t="s">
        <v>460</v>
      </c>
      <c r="S22" s="241" t="s">
        <v>6863</v>
      </c>
      <c r="T22" s="241" t="s">
        <v>312</v>
      </c>
      <c r="U22" s="241" t="s">
        <v>23</v>
      </c>
      <c r="V22" s="241" t="s">
        <v>443</v>
      </c>
      <c r="W22" s="241" t="s">
        <v>51</v>
      </c>
      <c r="X22" s="241" t="s">
        <v>121</v>
      </c>
      <c r="Y22" s="241" t="s">
        <v>313</v>
      </c>
      <c r="Z22" s="241" t="s">
        <v>462</v>
      </c>
      <c r="AA22" s="241" t="s">
        <v>337</v>
      </c>
      <c r="AB22" s="241" t="s">
        <v>314</v>
      </c>
      <c r="AC22" s="241" t="s">
        <v>23</v>
      </c>
      <c r="AD22" s="245">
        <v>32407</v>
      </c>
      <c r="AE22" s="241">
        <f t="shared" ca="1" si="1"/>
        <v>37</v>
      </c>
      <c r="AF22" s="246" t="s">
        <v>594</v>
      </c>
      <c r="AG22" s="241" t="s">
        <v>595</v>
      </c>
      <c r="AH22" s="240" t="s">
        <v>596</v>
      </c>
      <c r="AI22" s="240"/>
      <c r="AJ22" s="240"/>
      <c r="AK22" s="250" t="s">
        <v>597</v>
      </c>
      <c r="AL22" s="246" t="s">
        <v>598</v>
      </c>
      <c r="AM22" s="246">
        <v>12008405842</v>
      </c>
      <c r="AN22" s="241" t="s">
        <v>4733</v>
      </c>
      <c r="AO22" s="241" t="s">
        <v>599</v>
      </c>
      <c r="AP22" s="241" t="s">
        <v>600</v>
      </c>
      <c r="AQ22" s="241"/>
      <c r="AR22" s="241"/>
      <c r="AS22" s="241"/>
      <c r="AT22" s="241" t="s">
        <v>306</v>
      </c>
      <c r="AU22" s="241" t="s">
        <v>306</v>
      </c>
      <c r="AV22" s="241" t="s">
        <v>306</v>
      </c>
      <c r="AW22" s="241" t="s">
        <v>306</v>
      </c>
      <c r="AX22" s="241">
        <f t="shared" si="2"/>
        <v>1</v>
      </c>
      <c r="AY22" s="241" t="str">
        <f t="shared" si="3"/>
        <v>K/1</v>
      </c>
      <c r="AZ22" s="241"/>
      <c r="BA22" s="237">
        <v>901350165525000</v>
      </c>
      <c r="BB22" s="241" t="s">
        <v>161</v>
      </c>
      <c r="BC22" s="241" t="s">
        <v>70</v>
      </c>
      <c r="BD22" s="241" t="s">
        <v>91</v>
      </c>
      <c r="BE22" s="241" t="s">
        <v>402</v>
      </c>
      <c r="BF22" s="241">
        <v>2011</v>
      </c>
      <c r="BG22" s="241" t="s">
        <v>70</v>
      </c>
      <c r="BH22" s="241" t="s">
        <v>91</v>
      </c>
      <c r="BI22" s="241" t="s">
        <v>402</v>
      </c>
      <c r="BJ22" s="241">
        <v>2011</v>
      </c>
      <c r="BK22" s="247">
        <v>52628</v>
      </c>
      <c r="BL22" s="247">
        <v>52993</v>
      </c>
      <c r="BM22" s="241" t="s">
        <v>360</v>
      </c>
      <c r="BN22" s="241">
        <v>30</v>
      </c>
      <c r="BO22" s="241">
        <v>42</v>
      </c>
      <c r="BP22" s="244">
        <v>44294</v>
      </c>
      <c r="BQ22" s="244">
        <v>44322</v>
      </c>
      <c r="BR22" s="244"/>
      <c r="BS22" s="244"/>
      <c r="BT22" s="241"/>
      <c r="BU22" s="241"/>
      <c r="BV22" s="241"/>
      <c r="BW22" s="241"/>
      <c r="BX22" s="241"/>
      <c r="BY22" s="241"/>
      <c r="BZ22" s="241"/>
      <c r="CA22" s="241"/>
      <c r="CB22" s="241"/>
      <c r="CC22" s="241"/>
      <c r="CD22" s="241"/>
      <c r="CE22" s="241" t="e">
        <f>VLOOKUP(D22,[1]Sertifikasi!$B$4:$I$19,8,0)</f>
        <v>#N/A</v>
      </c>
      <c r="CF22" s="13"/>
      <c r="CG22" s="13"/>
      <c r="CH22" s="13"/>
    </row>
    <row r="23" spans="1:86" ht="11.25" customHeight="1" x14ac:dyDescent="0.2">
      <c r="A23" s="13"/>
      <c r="B23" s="238">
        <v>19</v>
      </c>
      <c r="C23" s="248" t="s">
        <v>292</v>
      </c>
      <c r="D23" s="237" t="s">
        <v>601</v>
      </c>
      <c r="E23" s="239">
        <v>971900032</v>
      </c>
      <c r="F23" s="237">
        <v>1710003988055</v>
      </c>
      <c r="G23" s="240"/>
      <c r="H23" s="241" t="s">
        <v>217</v>
      </c>
      <c r="I23" s="241" t="s">
        <v>602</v>
      </c>
      <c r="J23" s="242">
        <v>42125</v>
      </c>
      <c r="K23" s="241"/>
      <c r="L23" s="241"/>
      <c r="M23" s="241" t="str">
        <f t="shared" si="0"/>
        <v>ORGANIK IMSS</v>
      </c>
      <c r="N23" s="241" t="s">
        <v>187</v>
      </c>
      <c r="O23" s="241" t="s">
        <v>576</v>
      </c>
      <c r="P23" s="243">
        <v>43647</v>
      </c>
      <c r="Q23" s="241"/>
      <c r="R23" s="241" t="s">
        <v>460</v>
      </c>
      <c r="S23" s="241" t="s">
        <v>6863</v>
      </c>
      <c r="T23" s="241" t="s">
        <v>312</v>
      </c>
      <c r="U23" s="241" t="s">
        <v>23</v>
      </c>
      <c r="V23" s="241" t="s">
        <v>443</v>
      </c>
      <c r="W23" s="241" t="s">
        <v>51</v>
      </c>
      <c r="X23" s="241" t="s">
        <v>121</v>
      </c>
      <c r="Y23" s="241" t="s">
        <v>313</v>
      </c>
      <c r="Z23" s="241" t="s">
        <v>462</v>
      </c>
      <c r="AA23" s="241" t="s">
        <v>337</v>
      </c>
      <c r="AB23" s="241" t="s">
        <v>314</v>
      </c>
      <c r="AC23" s="241" t="s">
        <v>603</v>
      </c>
      <c r="AD23" s="245">
        <v>34277</v>
      </c>
      <c r="AE23" s="241">
        <f t="shared" ca="1" si="1"/>
        <v>31</v>
      </c>
      <c r="AF23" s="246" t="s">
        <v>604</v>
      </c>
      <c r="AG23" s="241" t="s">
        <v>605</v>
      </c>
      <c r="AH23" s="240" t="s">
        <v>606</v>
      </c>
      <c r="AI23" s="240"/>
      <c r="AJ23" s="240"/>
      <c r="AK23" s="241" t="s">
        <v>607</v>
      </c>
      <c r="AL23" s="246" t="s">
        <v>608</v>
      </c>
      <c r="AM23" s="246">
        <v>16006272302</v>
      </c>
      <c r="AN23" s="241" t="s">
        <v>4733</v>
      </c>
      <c r="AO23" s="241" t="s">
        <v>609</v>
      </c>
      <c r="AP23" s="241" t="s">
        <v>610</v>
      </c>
      <c r="AQ23" s="241"/>
      <c r="AR23" s="241"/>
      <c r="AS23" s="241"/>
      <c r="AT23" s="241" t="s">
        <v>611</v>
      </c>
      <c r="AU23" s="241" t="s">
        <v>612</v>
      </c>
      <c r="AV23" s="241" t="s">
        <v>613</v>
      </c>
      <c r="AW23" s="241" t="s">
        <v>614</v>
      </c>
      <c r="AX23" s="241">
        <f t="shared" si="2"/>
        <v>1</v>
      </c>
      <c r="AY23" s="241" t="str">
        <f t="shared" si="3"/>
        <v>K/1</v>
      </c>
      <c r="AZ23" s="241" t="s">
        <v>615</v>
      </c>
      <c r="BA23" s="241" t="s">
        <v>615</v>
      </c>
      <c r="BB23" s="241" t="s">
        <v>161</v>
      </c>
      <c r="BC23" s="241" t="s">
        <v>349</v>
      </c>
      <c r="BD23" s="241" t="s">
        <v>515</v>
      </c>
      <c r="BE23" s="241" t="s">
        <v>616</v>
      </c>
      <c r="BF23" s="241">
        <v>2012</v>
      </c>
      <c r="BG23" s="241" t="s">
        <v>75</v>
      </c>
      <c r="BH23" s="241" t="s">
        <v>91</v>
      </c>
      <c r="BI23" s="241" t="s">
        <v>92</v>
      </c>
      <c r="BJ23" s="241">
        <v>2012</v>
      </c>
      <c r="BK23" s="247">
        <v>54605</v>
      </c>
      <c r="BL23" s="247">
        <v>54970</v>
      </c>
      <c r="BM23" s="241" t="s">
        <v>617</v>
      </c>
      <c r="BN23" s="241">
        <v>30</v>
      </c>
      <c r="BO23" s="241">
        <v>40</v>
      </c>
      <c r="BP23" s="244"/>
      <c r="BQ23" s="244"/>
      <c r="BR23" s="244">
        <v>44674</v>
      </c>
      <c r="BS23" s="244"/>
      <c r="BT23" s="241"/>
      <c r="BU23" s="241"/>
      <c r="BV23" s="241"/>
      <c r="BW23" s="241"/>
      <c r="BX23" s="241"/>
      <c r="BY23" s="241"/>
      <c r="BZ23" s="241"/>
      <c r="CA23" s="241"/>
      <c r="CB23" s="241"/>
      <c r="CC23" s="241" t="s">
        <v>306</v>
      </c>
      <c r="CD23" s="241"/>
      <c r="CE23" s="241" t="e">
        <f>VLOOKUP(D23,[1]Sertifikasi!$B$4:$I$19,8,0)</f>
        <v>#N/A</v>
      </c>
      <c r="CF23" s="13"/>
      <c r="CG23" s="13"/>
      <c r="CH23" s="13"/>
    </row>
    <row r="24" spans="1:86" ht="11.25" customHeight="1" x14ac:dyDescent="0.2">
      <c r="A24" s="13"/>
      <c r="B24" s="238">
        <v>20</v>
      </c>
      <c r="C24" s="241" t="s">
        <v>292</v>
      </c>
      <c r="D24" s="237" t="s">
        <v>618</v>
      </c>
      <c r="E24" s="261">
        <v>972400063</v>
      </c>
      <c r="F24" s="237">
        <v>1710004040864</v>
      </c>
      <c r="G24" s="240"/>
      <c r="H24" s="241" t="s">
        <v>217</v>
      </c>
      <c r="I24" s="241" t="s">
        <v>217</v>
      </c>
      <c r="J24" s="242">
        <v>42125</v>
      </c>
      <c r="K24" s="241"/>
      <c r="L24" s="241"/>
      <c r="M24" s="241" t="s">
        <v>6856</v>
      </c>
      <c r="N24" s="241" t="s">
        <v>187</v>
      </c>
      <c r="O24" s="241" t="s">
        <v>6813</v>
      </c>
      <c r="P24" s="243">
        <v>45352</v>
      </c>
      <c r="Q24" s="241"/>
      <c r="R24" s="241" t="s">
        <v>206</v>
      </c>
      <c r="S24" s="241" t="s">
        <v>6863</v>
      </c>
      <c r="T24" s="241" t="s">
        <v>312</v>
      </c>
      <c r="U24" s="241" t="s">
        <v>204</v>
      </c>
      <c r="V24" s="241" t="s">
        <v>7142</v>
      </c>
      <c r="W24" s="241" t="s">
        <v>6908</v>
      </c>
      <c r="X24" s="241" t="s">
        <v>18</v>
      </c>
      <c r="Y24" s="241" t="s">
        <v>313</v>
      </c>
      <c r="Z24" s="241"/>
      <c r="AA24" s="241" t="s">
        <v>337</v>
      </c>
      <c r="AB24" s="241" t="s">
        <v>314</v>
      </c>
      <c r="AC24" s="241" t="s">
        <v>217</v>
      </c>
      <c r="AD24" s="245">
        <v>33417</v>
      </c>
      <c r="AE24" s="241">
        <f t="shared" ca="1" si="1"/>
        <v>34</v>
      </c>
      <c r="AF24" s="246" t="s">
        <v>619</v>
      </c>
      <c r="AG24" s="241" t="s">
        <v>620</v>
      </c>
      <c r="AH24" s="240" t="s">
        <v>621</v>
      </c>
      <c r="AI24" s="240"/>
      <c r="AJ24" s="240"/>
      <c r="AK24" s="241" t="s">
        <v>622</v>
      </c>
      <c r="AL24" s="246" t="s">
        <v>623</v>
      </c>
      <c r="AM24" s="246">
        <v>12008406162</v>
      </c>
      <c r="AN24" s="241" t="s">
        <v>4733</v>
      </c>
      <c r="AO24" s="241" t="s">
        <v>624</v>
      </c>
      <c r="AP24" s="241"/>
      <c r="AQ24" s="241"/>
      <c r="AR24" s="241"/>
      <c r="AS24" s="241"/>
      <c r="AT24" s="241" t="s">
        <v>306</v>
      </c>
      <c r="AU24" s="241" t="s">
        <v>306</v>
      </c>
      <c r="AV24" s="241" t="s">
        <v>306</v>
      </c>
      <c r="AW24" s="241" t="s">
        <v>306</v>
      </c>
      <c r="AX24" s="241">
        <f t="shared" si="2"/>
        <v>0</v>
      </c>
      <c r="AY24" s="241" t="str">
        <f t="shared" si="3"/>
        <v>K/0</v>
      </c>
      <c r="AZ24" s="241"/>
      <c r="BA24" s="237"/>
      <c r="BB24" s="241" t="s">
        <v>161</v>
      </c>
      <c r="BC24" s="241" t="s">
        <v>307</v>
      </c>
      <c r="BD24" s="241" t="s">
        <v>544</v>
      </c>
      <c r="BE24" s="241" t="s">
        <v>625</v>
      </c>
      <c r="BF24" s="241"/>
      <c r="BG24" s="241" t="s">
        <v>307</v>
      </c>
      <c r="BH24" s="241" t="s">
        <v>544</v>
      </c>
      <c r="BI24" s="241" t="s">
        <v>625</v>
      </c>
      <c r="BJ24" s="241"/>
      <c r="BK24" s="247">
        <v>49369</v>
      </c>
      <c r="BL24" s="247">
        <v>49735</v>
      </c>
      <c r="BM24" s="241" t="s">
        <v>369</v>
      </c>
      <c r="BN24" s="241">
        <v>38</v>
      </c>
      <c r="BO24" s="241">
        <v>43</v>
      </c>
      <c r="BP24" s="244">
        <v>44294</v>
      </c>
      <c r="BQ24" s="244">
        <v>44322</v>
      </c>
      <c r="BR24" s="244">
        <v>44601</v>
      </c>
      <c r="BS24" s="244"/>
      <c r="BT24" s="241">
        <v>43467</v>
      </c>
      <c r="BU24" s="241">
        <v>43830</v>
      </c>
      <c r="BV24" s="241" t="s">
        <v>626</v>
      </c>
      <c r="BW24" s="241" t="s">
        <v>627</v>
      </c>
      <c r="BX24" s="241"/>
      <c r="BY24" s="241"/>
      <c r="BZ24" s="241"/>
      <c r="CA24" s="241"/>
      <c r="CB24" s="241"/>
      <c r="CC24" s="241"/>
      <c r="CD24" s="241"/>
      <c r="CE24" s="241" t="e">
        <f>VLOOKUP(D24,[1]Sertifikasi!$B$4:$I$19,8,0)</f>
        <v>#N/A</v>
      </c>
      <c r="CF24" s="13"/>
      <c r="CG24" s="13"/>
      <c r="CH24" s="13"/>
    </row>
    <row r="25" spans="1:86" ht="11.25" customHeight="1" x14ac:dyDescent="0.2">
      <c r="A25" s="13"/>
      <c r="B25" s="238">
        <v>21</v>
      </c>
      <c r="C25" s="241" t="e">
        <f ca="1">DATEDIF($E$3,P25,"D")</f>
        <v>#NUM!</v>
      </c>
      <c r="D25" s="237" t="s">
        <v>628</v>
      </c>
      <c r="E25" s="239">
        <v>642001004</v>
      </c>
      <c r="F25" s="237">
        <v>1710004034461</v>
      </c>
      <c r="G25" s="240"/>
      <c r="H25" s="241" t="s">
        <v>217</v>
      </c>
      <c r="I25" s="241" t="s">
        <v>432</v>
      </c>
      <c r="J25" s="242">
        <v>42125</v>
      </c>
      <c r="K25" s="241"/>
      <c r="L25" s="241"/>
      <c r="M25" s="241" t="str">
        <f t="shared" ref="M25:M30" si="4">IF(LEFT(E25,2)="99","ORGANIK INKA",IF(LEFT(E25,2)="97","ORGANIK IMSS",IF(LEFT(E25,2)="75","Capeg",IF(LEFT(E25,2)="64","PKWT","Resign"))))</f>
        <v>PKWT</v>
      </c>
      <c r="N25" s="241" t="s">
        <v>187</v>
      </c>
      <c r="O25" s="241"/>
      <c r="P25" s="243">
        <v>45657</v>
      </c>
      <c r="Q25" s="241"/>
      <c r="R25" s="241" t="s">
        <v>206</v>
      </c>
      <c r="S25" s="241" t="s">
        <v>6863</v>
      </c>
      <c r="T25" s="241" t="s">
        <v>312</v>
      </c>
      <c r="U25" s="241" t="s">
        <v>24</v>
      </c>
      <c r="V25" s="241" t="s">
        <v>443</v>
      </c>
      <c r="W25" s="241" t="s">
        <v>175</v>
      </c>
      <c r="X25" s="241" t="s">
        <v>121</v>
      </c>
      <c r="Y25" s="241" t="s">
        <v>313</v>
      </c>
      <c r="Z25" s="241" t="s">
        <v>462</v>
      </c>
      <c r="AA25" s="241" t="s">
        <v>337</v>
      </c>
      <c r="AB25" s="241" t="s">
        <v>314</v>
      </c>
      <c r="AC25" s="241" t="s">
        <v>432</v>
      </c>
      <c r="AD25" s="245">
        <v>34621</v>
      </c>
      <c r="AE25" s="241">
        <f t="shared" ca="1" si="1"/>
        <v>30</v>
      </c>
      <c r="AF25" s="246" t="s">
        <v>630</v>
      </c>
      <c r="AG25" s="241" t="s">
        <v>631</v>
      </c>
      <c r="AH25" s="240" t="s">
        <v>632</v>
      </c>
      <c r="AI25" s="240"/>
      <c r="AJ25" s="240"/>
      <c r="AK25" s="241" t="s">
        <v>633</v>
      </c>
      <c r="AL25" s="246" t="s">
        <v>634</v>
      </c>
      <c r="AM25" s="246">
        <v>16006272286</v>
      </c>
      <c r="AN25" s="241" t="s">
        <v>4733</v>
      </c>
      <c r="AO25" s="241" t="s">
        <v>635</v>
      </c>
      <c r="AP25" s="241"/>
      <c r="AQ25" s="241"/>
      <c r="AR25" s="241"/>
      <c r="AS25" s="241"/>
      <c r="AT25" s="241" t="s">
        <v>306</v>
      </c>
      <c r="AU25" s="241" t="s">
        <v>306</v>
      </c>
      <c r="AV25" s="241" t="s">
        <v>306</v>
      </c>
      <c r="AW25" s="241" t="s">
        <v>306</v>
      </c>
      <c r="AX25" s="241">
        <f t="shared" si="2"/>
        <v>0</v>
      </c>
      <c r="AY25" s="241" t="str">
        <f t="shared" si="3"/>
        <v>K/0</v>
      </c>
      <c r="AZ25" s="241"/>
      <c r="BA25" s="237"/>
      <c r="BB25" s="241" t="s">
        <v>161</v>
      </c>
      <c r="BC25" s="241" t="s">
        <v>75</v>
      </c>
      <c r="BD25" s="241" t="s">
        <v>91</v>
      </c>
      <c r="BE25" s="241" t="s">
        <v>457</v>
      </c>
      <c r="BF25" s="241">
        <v>2017</v>
      </c>
      <c r="BG25" s="241" t="s">
        <v>75</v>
      </c>
      <c r="BH25" s="241" t="s">
        <v>91</v>
      </c>
      <c r="BI25" s="241" t="s">
        <v>457</v>
      </c>
      <c r="BJ25" s="241">
        <v>2017</v>
      </c>
      <c r="BK25" s="247"/>
      <c r="BL25" s="247"/>
      <c r="BM25" s="241" t="s">
        <v>351</v>
      </c>
      <c r="BN25" s="241">
        <v>33</v>
      </c>
      <c r="BO25" s="241">
        <v>42</v>
      </c>
      <c r="BP25" s="244">
        <v>44293</v>
      </c>
      <c r="BQ25" s="244">
        <v>44322</v>
      </c>
      <c r="BR25" s="244"/>
      <c r="BS25" s="244"/>
      <c r="BT25" s="241">
        <v>43467</v>
      </c>
      <c r="BU25" s="241">
        <v>43830</v>
      </c>
      <c r="BV25" s="241" t="s">
        <v>636</v>
      </c>
      <c r="BW25" s="241" t="s">
        <v>637</v>
      </c>
      <c r="BX25" s="241"/>
      <c r="BY25" s="241"/>
      <c r="BZ25" s="241"/>
      <c r="CA25" s="241"/>
      <c r="CB25" s="241"/>
      <c r="CC25" s="241"/>
      <c r="CD25" s="241"/>
      <c r="CE25" s="241" t="e">
        <f>VLOOKUP(D25,[1]Sertifikasi!$B$4:$I$19,8,0)</f>
        <v>#N/A</v>
      </c>
      <c r="CF25" s="13"/>
      <c r="CG25" s="13"/>
      <c r="CH25" s="13"/>
    </row>
    <row r="26" spans="1:86" ht="11.25" customHeight="1" x14ac:dyDescent="0.2">
      <c r="A26" s="13"/>
      <c r="B26" s="238">
        <v>22</v>
      </c>
      <c r="C26" s="241" t="e">
        <f ca="1">DATEDIF($E$3,P26,"D")</f>
        <v>#NUM!</v>
      </c>
      <c r="D26" s="237" t="s">
        <v>638</v>
      </c>
      <c r="E26" s="239">
        <v>642001005</v>
      </c>
      <c r="F26" s="237">
        <v>1710003987818</v>
      </c>
      <c r="G26" s="240"/>
      <c r="H26" s="241" t="s">
        <v>217</v>
      </c>
      <c r="I26" s="241" t="s">
        <v>217</v>
      </c>
      <c r="J26" s="242">
        <v>42125</v>
      </c>
      <c r="K26" s="241"/>
      <c r="L26" s="241"/>
      <c r="M26" s="241" t="str">
        <f t="shared" si="4"/>
        <v>PKWT</v>
      </c>
      <c r="N26" s="241" t="s">
        <v>187</v>
      </c>
      <c r="O26" s="241"/>
      <c r="P26" s="243">
        <v>45657</v>
      </c>
      <c r="Q26" s="241"/>
      <c r="R26" s="241" t="s">
        <v>206</v>
      </c>
      <c r="S26" s="241" t="s">
        <v>6863</v>
      </c>
      <c r="T26" s="241" t="s">
        <v>312</v>
      </c>
      <c r="U26" s="241" t="s">
        <v>33</v>
      </c>
      <c r="V26" s="241" t="s">
        <v>7135</v>
      </c>
      <c r="W26" s="241" t="s">
        <v>51</v>
      </c>
      <c r="X26" s="241" t="s">
        <v>121</v>
      </c>
      <c r="Y26" s="241" t="s">
        <v>313</v>
      </c>
      <c r="Z26" s="241" t="s">
        <v>462</v>
      </c>
      <c r="AA26" s="241" t="s">
        <v>337</v>
      </c>
      <c r="AB26" s="241" t="s">
        <v>314</v>
      </c>
      <c r="AC26" s="241" t="s">
        <v>217</v>
      </c>
      <c r="AD26" s="245">
        <v>29616</v>
      </c>
      <c r="AE26" s="241">
        <f t="shared" ca="1" si="1"/>
        <v>44</v>
      </c>
      <c r="AF26" s="246" t="s">
        <v>640</v>
      </c>
      <c r="AG26" s="241" t="s">
        <v>641</v>
      </c>
      <c r="AH26" s="240" t="s">
        <v>642</v>
      </c>
      <c r="AI26" s="240"/>
      <c r="AJ26" s="240"/>
      <c r="AK26" s="241" t="s">
        <v>643</v>
      </c>
      <c r="AL26" s="246" t="s">
        <v>644</v>
      </c>
      <c r="AM26" s="246">
        <v>16006271981</v>
      </c>
      <c r="AN26" s="241" t="s">
        <v>4733</v>
      </c>
      <c r="AO26" s="241" t="s">
        <v>645</v>
      </c>
      <c r="AP26" s="241" t="s">
        <v>646</v>
      </c>
      <c r="AQ26" s="241"/>
      <c r="AR26" s="241"/>
      <c r="AS26" s="241"/>
      <c r="AT26" s="241" t="s">
        <v>647</v>
      </c>
      <c r="AU26" s="241" t="s">
        <v>648</v>
      </c>
      <c r="AV26" s="241" t="s">
        <v>649</v>
      </c>
      <c r="AW26" s="241" t="s">
        <v>650</v>
      </c>
      <c r="AX26" s="241">
        <f t="shared" si="2"/>
        <v>1</v>
      </c>
      <c r="AY26" s="241" t="str">
        <f t="shared" si="3"/>
        <v>K/1</v>
      </c>
      <c r="AZ26" s="241" t="s">
        <v>651</v>
      </c>
      <c r="BA26" s="237" t="s">
        <v>651</v>
      </c>
      <c r="BB26" s="241" t="s">
        <v>161</v>
      </c>
      <c r="BC26" s="241" t="s">
        <v>349</v>
      </c>
      <c r="BD26" s="241" t="s">
        <v>515</v>
      </c>
      <c r="BE26" s="241" t="s">
        <v>560</v>
      </c>
      <c r="BF26" s="241">
        <v>2001</v>
      </c>
      <c r="BG26" s="241" t="s">
        <v>475</v>
      </c>
      <c r="BH26" s="241" t="s">
        <v>515</v>
      </c>
      <c r="BI26" s="241" t="s">
        <v>560</v>
      </c>
      <c r="BJ26" s="241">
        <v>2001</v>
      </c>
      <c r="BK26" s="247"/>
      <c r="BL26" s="247"/>
      <c r="BM26" s="241" t="s">
        <v>360</v>
      </c>
      <c r="BN26" s="241">
        <v>28</v>
      </c>
      <c r="BO26" s="241">
        <v>39</v>
      </c>
      <c r="BP26" s="244"/>
      <c r="BQ26" s="244"/>
      <c r="BR26" s="244">
        <v>44711</v>
      </c>
      <c r="BS26" s="244"/>
      <c r="BT26" s="241">
        <v>43467</v>
      </c>
      <c r="BU26" s="241">
        <v>43830</v>
      </c>
      <c r="BV26" s="241" t="s">
        <v>652</v>
      </c>
      <c r="BW26" s="241" t="s">
        <v>653</v>
      </c>
      <c r="BX26" s="241"/>
      <c r="BY26" s="241"/>
      <c r="BZ26" s="241"/>
      <c r="CA26" s="241"/>
      <c r="CB26" s="241"/>
      <c r="CC26" s="241"/>
      <c r="CD26" s="241"/>
      <c r="CE26" s="241" t="e">
        <f>VLOOKUP(D26,[1]Sertifikasi!$B$4:$I$19,8,0)</f>
        <v>#N/A</v>
      </c>
      <c r="CF26" s="13"/>
      <c r="CG26" s="13"/>
      <c r="CH26" s="13"/>
    </row>
    <row r="27" spans="1:86" ht="11.25" customHeight="1" x14ac:dyDescent="0.2">
      <c r="A27" s="13"/>
      <c r="B27" s="238">
        <v>23</v>
      </c>
      <c r="C27" s="241" t="e">
        <f ca="1">DATEDIF($E$3,P27,"D")</f>
        <v>#NUM!</v>
      </c>
      <c r="D27" s="237" t="s">
        <v>654</v>
      </c>
      <c r="E27" s="239">
        <v>642001015</v>
      </c>
      <c r="F27" s="237">
        <v>1710003987974</v>
      </c>
      <c r="G27" s="240"/>
      <c r="H27" s="241" t="s">
        <v>217</v>
      </c>
      <c r="I27" s="241" t="s">
        <v>217</v>
      </c>
      <c r="J27" s="242">
        <v>42125</v>
      </c>
      <c r="K27" s="241"/>
      <c r="L27" s="241"/>
      <c r="M27" s="241" t="str">
        <f t="shared" si="4"/>
        <v>PKWT</v>
      </c>
      <c r="N27" s="241" t="s">
        <v>187</v>
      </c>
      <c r="O27" s="241"/>
      <c r="P27" s="243">
        <v>45657</v>
      </c>
      <c r="Q27" s="241"/>
      <c r="R27" s="241" t="s">
        <v>206</v>
      </c>
      <c r="S27" s="241" t="s">
        <v>6863</v>
      </c>
      <c r="T27" s="241" t="s">
        <v>312</v>
      </c>
      <c r="U27" s="241" t="s">
        <v>204</v>
      </c>
      <c r="V27" s="241" t="s">
        <v>208</v>
      </c>
      <c r="W27" s="241" t="s">
        <v>6908</v>
      </c>
      <c r="X27" s="241" t="s">
        <v>18</v>
      </c>
      <c r="Y27" s="241" t="s">
        <v>313</v>
      </c>
      <c r="Z27" s="241" t="s">
        <v>173</v>
      </c>
      <c r="AA27" s="241" t="s">
        <v>337</v>
      </c>
      <c r="AB27" s="241" t="s">
        <v>314</v>
      </c>
      <c r="AC27" s="241" t="s">
        <v>217</v>
      </c>
      <c r="AD27" s="245">
        <v>34010</v>
      </c>
      <c r="AE27" s="241">
        <f t="shared" ca="1" si="1"/>
        <v>32</v>
      </c>
      <c r="AF27" s="246" t="s">
        <v>656</v>
      </c>
      <c r="AG27" s="241" t="s">
        <v>657</v>
      </c>
      <c r="AH27" s="240" t="s">
        <v>658</v>
      </c>
      <c r="AI27" s="240"/>
      <c r="AJ27" s="240"/>
      <c r="AK27" s="241" t="s">
        <v>659</v>
      </c>
      <c r="AL27" s="246" t="s">
        <v>660</v>
      </c>
      <c r="AM27" s="246">
        <v>16006272005</v>
      </c>
      <c r="AN27" s="241" t="s">
        <v>4733</v>
      </c>
      <c r="AO27" s="241" t="s">
        <v>661</v>
      </c>
      <c r="AP27" s="241" t="s">
        <v>662</v>
      </c>
      <c r="AQ27" s="241"/>
      <c r="AR27" s="241"/>
      <c r="AS27" s="241"/>
      <c r="AT27" s="241" t="s">
        <v>306</v>
      </c>
      <c r="AU27" s="241" t="s">
        <v>306</v>
      </c>
      <c r="AV27" s="241" t="s">
        <v>306</v>
      </c>
      <c r="AW27" s="241" t="s">
        <v>306</v>
      </c>
      <c r="AX27" s="241">
        <f t="shared" si="2"/>
        <v>1</v>
      </c>
      <c r="AY27" s="241" t="str">
        <f t="shared" si="3"/>
        <v>K/1</v>
      </c>
      <c r="AZ27" s="241"/>
      <c r="BA27" s="237"/>
      <c r="BB27" s="241" t="s">
        <v>161</v>
      </c>
      <c r="BC27" s="241" t="s">
        <v>349</v>
      </c>
      <c r="BD27" s="241" t="s">
        <v>515</v>
      </c>
      <c r="BE27" s="241" t="s">
        <v>663</v>
      </c>
      <c r="BF27" s="241">
        <v>2011</v>
      </c>
      <c r="BG27" s="241" t="s">
        <v>475</v>
      </c>
      <c r="BH27" s="241" t="s">
        <v>515</v>
      </c>
      <c r="BI27" s="241" t="s">
        <v>663</v>
      </c>
      <c r="BJ27" s="241">
        <v>2011</v>
      </c>
      <c r="BK27" s="247"/>
      <c r="BL27" s="247"/>
      <c r="BM27" s="241" t="s">
        <v>360</v>
      </c>
      <c r="BN27" s="241">
        <v>29</v>
      </c>
      <c r="BO27" s="241">
        <v>40</v>
      </c>
      <c r="BP27" s="244">
        <v>44308</v>
      </c>
      <c r="BQ27" s="244">
        <v>44336</v>
      </c>
      <c r="BR27" s="244"/>
      <c r="BS27" s="244"/>
      <c r="BT27" s="241">
        <v>43467</v>
      </c>
      <c r="BU27" s="241">
        <v>43830</v>
      </c>
      <c r="BV27" s="241" t="s">
        <v>664</v>
      </c>
      <c r="BW27" s="241" t="s">
        <v>665</v>
      </c>
      <c r="BX27" s="241"/>
      <c r="BY27" s="241"/>
      <c r="BZ27" s="241"/>
      <c r="CA27" s="241"/>
      <c r="CB27" s="241"/>
      <c r="CC27" s="241"/>
      <c r="CD27" s="241"/>
      <c r="CE27" s="241" t="e">
        <f>VLOOKUP(D27,[1]Sertifikasi!$B$4:$I$19,8,0)</f>
        <v>#N/A</v>
      </c>
      <c r="CF27" s="13"/>
      <c r="CG27" s="13"/>
      <c r="CH27" s="13"/>
    </row>
    <row r="28" spans="1:86" ht="11.25" customHeight="1" x14ac:dyDescent="0.2">
      <c r="A28" s="13"/>
      <c r="B28" s="238">
        <v>24</v>
      </c>
      <c r="C28" s="241" t="e">
        <f ca="1">DATEDIF($E$3,P28,"D")</f>
        <v>#NUM!</v>
      </c>
      <c r="D28" s="237" t="s">
        <v>666</v>
      </c>
      <c r="E28" s="239">
        <v>642001011</v>
      </c>
      <c r="F28" s="237">
        <v>1710003988089</v>
      </c>
      <c r="G28" s="240"/>
      <c r="H28" s="241" t="s">
        <v>217</v>
      </c>
      <c r="I28" s="241" t="s">
        <v>667</v>
      </c>
      <c r="J28" s="242">
        <v>42217</v>
      </c>
      <c r="K28" s="241"/>
      <c r="L28" s="241"/>
      <c r="M28" s="241" t="str">
        <f t="shared" si="4"/>
        <v>PKWT</v>
      </c>
      <c r="N28" s="241" t="s">
        <v>187</v>
      </c>
      <c r="O28" s="241"/>
      <c r="P28" s="243">
        <v>45657</v>
      </c>
      <c r="Q28" s="241"/>
      <c r="R28" s="241" t="s">
        <v>206</v>
      </c>
      <c r="S28" s="241" t="s">
        <v>6863</v>
      </c>
      <c r="T28" s="241" t="s">
        <v>312</v>
      </c>
      <c r="U28" s="241" t="s">
        <v>187</v>
      </c>
      <c r="V28" s="241" t="s">
        <v>49</v>
      </c>
      <c r="W28" s="241" t="s">
        <v>54</v>
      </c>
      <c r="X28" s="241" t="s">
        <v>120</v>
      </c>
      <c r="Y28" s="241" t="s">
        <v>313</v>
      </c>
      <c r="Z28" s="241"/>
      <c r="AA28" s="241" t="s">
        <v>337</v>
      </c>
      <c r="AB28" s="241" t="s">
        <v>314</v>
      </c>
      <c r="AC28" s="241" t="s">
        <v>217</v>
      </c>
      <c r="AD28" s="245">
        <v>27959</v>
      </c>
      <c r="AE28" s="241">
        <f t="shared" ca="1" si="1"/>
        <v>49</v>
      </c>
      <c r="AF28" s="246" t="s">
        <v>669</v>
      </c>
      <c r="AG28" s="241" t="s">
        <v>670</v>
      </c>
      <c r="AH28" s="240" t="s">
        <v>671</v>
      </c>
      <c r="AI28" s="240"/>
      <c r="AJ28" s="240"/>
      <c r="AK28" s="241" t="s">
        <v>672</v>
      </c>
      <c r="AL28" s="246" t="s">
        <v>673</v>
      </c>
      <c r="AM28" s="246">
        <v>16006272096</v>
      </c>
      <c r="AN28" s="241" t="s">
        <v>4733</v>
      </c>
      <c r="AO28" s="241" t="s">
        <v>674</v>
      </c>
      <c r="AP28" s="241" t="s">
        <v>675</v>
      </c>
      <c r="AQ28" s="241" t="s">
        <v>676</v>
      </c>
      <c r="AR28" s="241"/>
      <c r="AS28" s="241"/>
      <c r="AT28" s="241" t="s">
        <v>306</v>
      </c>
      <c r="AU28" s="241" t="s">
        <v>306</v>
      </c>
      <c r="AV28" s="241" t="s">
        <v>306</v>
      </c>
      <c r="AW28" s="241" t="s">
        <v>306</v>
      </c>
      <c r="AX28" s="241">
        <f t="shared" si="2"/>
        <v>2</v>
      </c>
      <c r="AY28" s="241" t="str">
        <f t="shared" si="3"/>
        <v>K/2</v>
      </c>
      <c r="AZ28" s="241"/>
      <c r="BA28" s="237"/>
      <c r="BB28" s="241" t="s">
        <v>161</v>
      </c>
      <c r="BC28" s="241" t="s">
        <v>349</v>
      </c>
      <c r="BD28" s="241" t="s">
        <v>91</v>
      </c>
      <c r="BE28" s="241" t="s">
        <v>677</v>
      </c>
      <c r="BF28" s="241">
        <v>1995</v>
      </c>
      <c r="BG28" s="241" t="s">
        <v>475</v>
      </c>
      <c r="BH28" s="241" t="s">
        <v>91</v>
      </c>
      <c r="BI28" s="241" t="s">
        <v>677</v>
      </c>
      <c r="BJ28" s="241">
        <v>1995</v>
      </c>
      <c r="BK28" s="247"/>
      <c r="BL28" s="247"/>
      <c r="BM28" s="241" t="s">
        <v>360</v>
      </c>
      <c r="BN28" s="241">
        <v>28</v>
      </c>
      <c r="BO28" s="241">
        <v>40</v>
      </c>
      <c r="BP28" s="244"/>
      <c r="BQ28" s="244"/>
      <c r="BR28" s="244">
        <v>44601</v>
      </c>
      <c r="BS28" s="244"/>
      <c r="BT28" s="241">
        <v>43467</v>
      </c>
      <c r="BU28" s="241">
        <v>43830</v>
      </c>
      <c r="BV28" s="241" t="s">
        <v>678</v>
      </c>
      <c r="BW28" s="241" t="s">
        <v>679</v>
      </c>
      <c r="BX28" s="241"/>
      <c r="BY28" s="241"/>
      <c r="BZ28" s="241"/>
      <c r="CA28" s="241"/>
      <c r="CB28" s="241"/>
      <c r="CC28" s="241"/>
      <c r="CD28" s="241"/>
      <c r="CE28" s="241" t="e">
        <f>VLOOKUP(D28,[1]Sertifikasi!$B$4:$I$19,8,0)</f>
        <v>#N/A</v>
      </c>
      <c r="CF28" s="13"/>
      <c r="CG28" s="13"/>
      <c r="CH28" s="13"/>
    </row>
    <row r="29" spans="1:86" ht="11.25" customHeight="1" x14ac:dyDescent="0.2">
      <c r="A29" s="13"/>
      <c r="B29" s="238">
        <v>25</v>
      </c>
      <c r="C29" s="241" t="e">
        <f ca="1">DATEDIF($E$3,P29,"D")</f>
        <v>#NUM!</v>
      </c>
      <c r="D29" s="237" t="s">
        <v>680</v>
      </c>
      <c r="E29" s="239">
        <v>642001012</v>
      </c>
      <c r="F29" s="237">
        <v>1710003988030</v>
      </c>
      <c r="G29" s="240"/>
      <c r="H29" s="241" t="s">
        <v>217</v>
      </c>
      <c r="I29" s="241" t="s">
        <v>217</v>
      </c>
      <c r="J29" s="242">
        <v>42217</v>
      </c>
      <c r="K29" s="241"/>
      <c r="L29" s="241"/>
      <c r="M29" s="241" t="str">
        <f t="shared" si="4"/>
        <v>PKWT</v>
      </c>
      <c r="N29" s="241" t="s">
        <v>187</v>
      </c>
      <c r="O29" s="241"/>
      <c r="P29" s="243">
        <v>45657</v>
      </c>
      <c r="Q29" s="241"/>
      <c r="R29" s="241" t="s">
        <v>206</v>
      </c>
      <c r="S29" s="241" t="s">
        <v>6863</v>
      </c>
      <c r="T29" s="241" t="s">
        <v>296</v>
      </c>
      <c r="U29" s="241" t="s">
        <v>28</v>
      </c>
      <c r="V29" s="241" t="s">
        <v>461</v>
      </c>
      <c r="W29" s="241" t="s">
        <v>129</v>
      </c>
      <c r="X29" s="241" t="s">
        <v>122</v>
      </c>
      <c r="Y29" s="241" t="s">
        <v>313</v>
      </c>
      <c r="Z29" s="241" t="s">
        <v>462</v>
      </c>
      <c r="AA29" s="241" t="s">
        <v>337</v>
      </c>
      <c r="AB29" s="241" t="s">
        <v>314</v>
      </c>
      <c r="AC29" s="241" t="s">
        <v>217</v>
      </c>
      <c r="AD29" s="245">
        <v>33907</v>
      </c>
      <c r="AE29" s="241">
        <f t="shared" ca="1" si="1"/>
        <v>32</v>
      </c>
      <c r="AF29" s="246" t="s">
        <v>681</v>
      </c>
      <c r="AG29" s="241" t="s">
        <v>682</v>
      </c>
      <c r="AH29" s="240" t="s">
        <v>683</v>
      </c>
      <c r="AI29" s="240"/>
      <c r="AJ29" s="240"/>
      <c r="AK29" s="241" t="s">
        <v>684</v>
      </c>
      <c r="AL29" s="246" t="s">
        <v>685</v>
      </c>
      <c r="AM29" s="246">
        <v>16006272344</v>
      </c>
      <c r="AN29" s="241" t="s">
        <v>4733</v>
      </c>
      <c r="AO29" s="241" t="s">
        <v>686</v>
      </c>
      <c r="AP29" s="241"/>
      <c r="AQ29" s="241"/>
      <c r="AR29" s="241"/>
      <c r="AS29" s="241"/>
      <c r="AT29" s="241" t="s">
        <v>687</v>
      </c>
      <c r="AU29" s="241" t="s">
        <v>688</v>
      </c>
      <c r="AV29" s="241" t="s">
        <v>689</v>
      </c>
      <c r="AW29" s="241" t="s">
        <v>690</v>
      </c>
      <c r="AX29" s="241">
        <f t="shared" si="2"/>
        <v>0</v>
      </c>
      <c r="AY29" s="241" t="str">
        <f t="shared" si="3"/>
        <v>K/0</v>
      </c>
      <c r="AZ29" s="241" t="s">
        <v>691</v>
      </c>
      <c r="BA29" s="237" t="s">
        <v>691</v>
      </c>
      <c r="BB29" s="241" t="s">
        <v>162</v>
      </c>
      <c r="BC29" s="241" t="s">
        <v>70</v>
      </c>
      <c r="BD29" s="241" t="s">
        <v>515</v>
      </c>
      <c r="BE29" s="241" t="s">
        <v>72</v>
      </c>
      <c r="BF29" s="241">
        <v>2011</v>
      </c>
      <c r="BG29" s="241" t="s">
        <v>70</v>
      </c>
      <c r="BH29" s="241" t="s">
        <v>515</v>
      </c>
      <c r="BI29" s="241" t="s">
        <v>72</v>
      </c>
      <c r="BJ29" s="241">
        <v>2011</v>
      </c>
      <c r="BK29" s="247"/>
      <c r="BL29" s="247"/>
      <c r="BM29" s="241" t="s">
        <v>351</v>
      </c>
      <c r="BN29" s="241">
        <v>31</v>
      </c>
      <c r="BO29" s="241">
        <v>41</v>
      </c>
      <c r="BP29" s="244">
        <v>44294</v>
      </c>
      <c r="BQ29" s="244">
        <v>44322</v>
      </c>
      <c r="BR29" s="244">
        <v>44672</v>
      </c>
      <c r="BS29" s="244"/>
      <c r="BT29" s="241">
        <v>43467</v>
      </c>
      <c r="BU29" s="241">
        <v>43830</v>
      </c>
      <c r="BV29" s="241" t="s">
        <v>692</v>
      </c>
      <c r="BW29" s="241" t="s">
        <v>693</v>
      </c>
      <c r="BX29" s="241"/>
      <c r="BY29" s="241"/>
      <c r="BZ29" s="241"/>
      <c r="CA29" s="241"/>
      <c r="CB29" s="241"/>
      <c r="CC29" s="241"/>
      <c r="CD29" s="241"/>
      <c r="CE29" s="241" t="e">
        <f>VLOOKUP(D29,[1]Sertifikasi!$B$4:$I$19,8,0)</f>
        <v>#N/A</v>
      </c>
      <c r="CF29" s="13"/>
      <c r="CG29" s="13"/>
      <c r="CH29" s="13"/>
    </row>
    <row r="30" spans="1:86" ht="11.25" customHeight="1" x14ac:dyDescent="0.2">
      <c r="A30" s="13"/>
      <c r="B30" s="238">
        <v>26</v>
      </c>
      <c r="C30" s="248" t="s">
        <v>292</v>
      </c>
      <c r="D30" s="237" t="s">
        <v>694</v>
      </c>
      <c r="E30" s="239">
        <v>971900028</v>
      </c>
      <c r="F30" s="237">
        <v>1710004029065</v>
      </c>
      <c r="G30" s="240"/>
      <c r="H30" s="241" t="s">
        <v>217</v>
      </c>
      <c r="I30" s="241" t="s">
        <v>695</v>
      </c>
      <c r="J30" s="242">
        <v>42248</v>
      </c>
      <c r="K30" s="241"/>
      <c r="L30" s="241"/>
      <c r="M30" s="241" t="str">
        <f t="shared" si="4"/>
        <v>ORGANIK IMSS</v>
      </c>
      <c r="N30" s="241" t="s">
        <v>187</v>
      </c>
      <c r="O30" s="241" t="s">
        <v>576</v>
      </c>
      <c r="P30" s="243">
        <v>43647</v>
      </c>
      <c r="Q30" s="241"/>
      <c r="R30" s="241" t="s">
        <v>460</v>
      </c>
      <c r="S30" s="241" t="s">
        <v>6863</v>
      </c>
      <c r="T30" s="241" t="s">
        <v>312</v>
      </c>
      <c r="U30" s="241" t="s">
        <v>21</v>
      </c>
      <c r="V30" s="241" t="s">
        <v>547</v>
      </c>
      <c r="W30" s="241" t="s">
        <v>696</v>
      </c>
      <c r="X30" s="241" t="s">
        <v>122</v>
      </c>
      <c r="Y30" s="241" t="s">
        <v>313</v>
      </c>
      <c r="Z30" s="241"/>
      <c r="AA30" s="241" t="s">
        <v>337</v>
      </c>
      <c r="AB30" s="241" t="s">
        <v>314</v>
      </c>
      <c r="AC30" s="241" t="s">
        <v>695</v>
      </c>
      <c r="AD30" s="245">
        <v>31048</v>
      </c>
      <c r="AE30" s="241">
        <f t="shared" ca="1" si="1"/>
        <v>40</v>
      </c>
      <c r="AF30" s="246" t="s">
        <v>697</v>
      </c>
      <c r="AG30" s="241" t="s">
        <v>698</v>
      </c>
      <c r="AH30" s="240" t="s">
        <v>699</v>
      </c>
      <c r="AI30" s="240"/>
      <c r="AJ30" s="240"/>
      <c r="AK30" s="241" t="s">
        <v>700</v>
      </c>
      <c r="AL30" s="246" t="s">
        <v>701</v>
      </c>
      <c r="AM30" s="246">
        <v>16006272047</v>
      </c>
      <c r="AN30" s="241" t="s">
        <v>4733</v>
      </c>
      <c r="AO30" s="241"/>
      <c r="AP30" s="241" t="s">
        <v>702</v>
      </c>
      <c r="AQ30" s="241" t="s">
        <v>703</v>
      </c>
      <c r="AR30" s="241"/>
      <c r="AS30" s="241"/>
      <c r="AT30" s="241" t="s">
        <v>306</v>
      </c>
      <c r="AU30" s="241" t="s">
        <v>306</v>
      </c>
      <c r="AV30" s="241" t="s">
        <v>306</v>
      </c>
      <c r="AW30" s="241" t="s">
        <v>306</v>
      </c>
      <c r="AX30" s="241">
        <f t="shared" si="2"/>
        <v>2</v>
      </c>
      <c r="AY30" s="241" t="str">
        <f t="shared" si="3"/>
        <v>K/2</v>
      </c>
      <c r="AZ30" s="241"/>
      <c r="BA30" s="237">
        <v>862806585649000</v>
      </c>
      <c r="BB30" s="241" t="s">
        <v>161</v>
      </c>
      <c r="BC30" s="241" t="s">
        <v>307</v>
      </c>
      <c r="BD30" s="241" t="s">
        <v>308</v>
      </c>
      <c r="BE30" s="241" t="s">
        <v>704</v>
      </c>
      <c r="BF30" s="241"/>
      <c r="BG30" s="241" t="s">
        <v>307</v>
      </c>
      <c r="BH30" s="241" t="s">
        <v>308</v>
      </c>
      <c r="BI30" s="241" t="s">
        <v>704</v>
      </c>
      <c r="BJ30" s="241"/>
      <c r="BK30" s="247">
        <v>51318</v>
      </c>
      <c r="BL30" s="247">
        <v>51683</v>
      </c>
      <c r="BM30" s="241" t="s">
        <v>351</v>
      </c>
      <c r="BN30" s="241">
        <v>32</v>
      </c>
      <c r="BO30" s="241">
        <v>42</v>
      </c>
      <c r="BP30" s="244"/>
      <c r="BQ30" s="244"/>
      <c r="BR30" s="244">
        <v>44715</v>
      </c>
      <c r="BS30" s="244"/>
      <c r="BT30" s="241"/>
      <c r="BU30" s="241"/>
      <c r="BV30" s="241"/>
      <c r="BW30" s="241"/>
      <c r="BX30" s="241"/>
      <c r="BY30" s="241"/>
      <c r="BZ30" s="241"/>
      <c r="CA30" s="241"/>
      <c r="CB30" s="241"/>
      <c r="CC30" s="241"/>
      <c r="CD30" s="241"/>
      <c r="CE30" s="241" t="e">
        <f>VLOOKUP(D30,[1]Sertifikasi!$B$4:$I$19,8,0)</f>
        <v>#N/A</v>
      </c>
      <c r="CF30" s="13"/>
      <c r="CG30" s="13"/>
      <c r="CH30" s="13"/>
    </row>
    <row r="31" spans="1:86" ht="11.25" customHeight="1" x14ac:dyDescent="0.2">
      <c r="A31" s="13"/>
      <c r="B31" s="238">
        <v>27</v>
      </c>
      <c r="C31" s="241" t="s">
        <v>292</v>
      </c>
      <c r="D31" s="237" t="s">
        <v>705</v>
      </c>
      <c r="E31" s="261">
        <v>972400066</v>
      </c>
      <c r="F31" s="237">
        <v>1710004029602</v>
      </c>
      <c r="G31" s="240"/>
      <c r="H31" s="241" t="s">
        <v>217</v>
      </c>
      <c r="I31" s="241" t="s">
        <v>217</v>
      </c>
      <c r="J31" s="242">
        <v>42248</v>
      </c>
      <c r="K31" s="241"/>
      <c r="L31" s="241"/>
      <c r="M31" s="241" t="s">
        <v>6856</v>
      </c>
      <c r="N31" s="241" t="s">
        <v>187</v>
      </c>
      <c r="O31" s="241" t="s">
        <v>6818</v>
      </c>
      <c r="P31" s="243">
        <v>45474</v>
      </c>
      <c r="Q31" s="241"/>
      <c r="R31" s="241" t="s">
        <v>206</v>
      </c>
      <c r="S31" s="241" t="s">
        <v>6863</v>
      </c>
      <c r="T31" s="241" t="s">
        <v>312</v>
      </c>
      <c r="U31" s="241" t="s">
        <v>24</v>
      </c>
      <c r="V31" s="241" t="s">
        <v>443</v>
      </c>
      <c r="W31" s="241" t="s">
        <v>175</v>
      </c>
      <c r="X31" s="241" t="s">
        <v>121</v>
      </c>
      <c r="Y31" s="241" t="s">
        <v>313</v>
      </c>
      <c r="Z31" s="241" t="s">
        <v>445</v>
      </c>
      <c r="AA31" s="241" t="s">
        <v>337</v>
      </c>
      <c r="AB31" s="241" t="s">
        <v>314</v>
      </c>
      <c r="AC31" s="241" t="s">
        <v>217</v>
      </c>
      <c r="AD31" s="245">
        <v>30317</v>
      </c>
      <c r="AE31" s="241">
        <f t="shared" ca="1" si="1"/>
        <v>42</v>
      </c>
      <c r="AF31" s="246" t="s">
        <v>707</v>
      </c>
      <c r="AG31" s="241" t="s">
        <v>708</v>
      </c>
      <c r="AH31" s="240" t="s">
        <v>709</v>
      </c>
      <c r="AI31" s="240"/>
      <c r="AJ31" s="240"/>
      <c r="AK31" s="241" t="s">
        <v>710</v>
      </c>
      <c r="AL31" s="246" t="s">
        <v>711</v>
      </c>
      <c r="AM31" s="246">
        <v>16006272229</v>
      </c>
      <c r="AN31" s="241" t="s">
        <v>4733</v>
      </c>
      <c r="AO31" s="241" t="s">
        <v>712</v>
      </c>
      <c r="AP31" s="241" t="s">
        <v>713</v>
      </c>
      <c r="AQ31" s="241" t="s">
        <v>714</v>
      </c>
      <c r="AR31" s="241" t="s">
        <v>715</v>
      </c>
      <c r="AS31" s="241"/>
      <c r="AT31" s="241" t="s">
        <v>716</v>
      </c>
      <c r="AU31" s="241" t="s">
        <v>717</v>
      </c>
      <c r="AV31" s="241" t="s">
        <v>718</v>
      </c>
      <c r="AW31" s="241" t="s">
        <v>719</v>
      </c>
      <c r="AX31" s="241">
        <f t="shared" si="2"/>
        <v>3</v>
      </c>
      <c r="AY31" s="241" t="str">
        <f t="shared" si="3"/>
        <v>K/3</v>
      </c>
      <c r="AZ31" s="241" t="s">
        <v>720</v>
      </c>
      <c r="BA31" s="237" t="s">
        <v>720</v>
      </c>
      <c r="BB31" s="241" t="s">
        <v>161</v>
      </c>
      <c r="BC31" s="241" t="s">
        <v>349</v>
      </c>
      <c r="BD31" s="241" t="s">
        <v>87</v>
      </c>
      <c r="BE31" s="241" t="s">
        <v>560</v>
      </c>
      <c r="BF31" s="241">
        <v>2002</v>
      </c>
      <c r="BG31" s="241" t="s">
        <v>475</v>
      </c>
      <c r="BH31" s="241" t="s">
        <v>87</v>
      </c>
      <c r="BI31" s="241" t="s">
        <v>560</v>
      </c>
      <c r="BJ31" s="241">
        <v>2002</v>
      </c>
      <c r="BK31" s="247">
        <v>46569</v>
      </c>
      <c r="BL31" s="247">
        <v>46935</v>
      </c>
      <c r="BM31" s="241" t="s">
        <v>351</v>
      </c>
      <c r="BN31" s="241">
        <v>32</v>
      </c>
      <c r="BO31" s="241">
        <v>42</v>
      </c>
      <c r="BP31" s="244"/>
      <c r="BQ31" s="244"/>
      <c r="BR31" s="244">
        <v>44674</v>
      </c>
      <c r="BS31" s="244"/>
      <c r="BT31" s="241">
        <v>43467</v>
      </c>
      <c r="BU31" s="241">
        <v>43830</v>
      </c>
      <c r="BV31" s="241" t="s">
        <v>721</v>
      </c>
      <c r="BW31" s="241" t="s">
        <v>722</v>
      </c>
      <c r="BX31" s="241"/>
      <c r="BY31" s="241"/>
      <c r="BZ31" s="241"/>
      <c r="CA31" s="241"/>
      <c r="CB31" s="241"/>
      <c r="CC31" s="241"/>
      <c r="CD31" s="241"/>
      <c r="CE31" s="241" t="e">
        <f>VLOOKUP(D31,[1]Sertifikasi!$B$4:$I$19,8,0)</f>
        <v>#N/A</v>
      </c>
      <c r="CF31" s="13"/>
      <c r="CG31" s="13"/>
      <c r="CH31" s="13"/>
    </row>
    <row r="32" spans="1:86" ht="11.25" customHeight="1" x14ac:dyDescent="0.2">
      <c r="A32" s="13"/>
      <c r="B32" s="238">
        <v>28</v>
      </c>
      <c r="C32" s="248" t="s">
        <v>292</v>
      </c>
      <c r="D32" s="237" t="s">
        <v>723</v>
      </c>
      <c r="E32" s="239">
        <v>971900049</v>
      </c>
      <c r="F32" s="237">
        <v>1710004040807</v>
      </c>
      <c r="G32" s="240"/>
      <c r="H32" s="241" t="s">
        <v>217</v>
      </c>
      <c r="I32" s="241" t="s">
        <v>217</v>
      </c>
      <c r="J32" s="242">
        <v>42248</v>
      </c>
      <c r="K32" s="241"/>
      <c r="L32" s="241"/>
      <c r="M32" s="241" t="str">
        <f t="shared" ref="M32:M38" si="5">IF(LEFT(E32,2)="99","ORGANIK INKA",IF(LEFT(E32,2)="97","ORGANIK IMSS",IF(LEFT(E32,2)="75","Capeg",IF(LEFT(E32,2)="64","PKWT","Resign"))))</f>
        <v>ORGANIK IMSS</v>
      </c>
      <c r="N32" s="241" t="s">
        <v>187</v>
      </c>
      <c r="O32" s="241" t="s">
        <v>531</v>
      </c>
      <c r="P32" s="243">
        <v>43789</v>
      </c>
      <c r="Q32" s="241"/>
      <c r="R32" s="241" t="s">
        <v>206</v>
      </c>
      <c r="S32" s="241" t="s">
        <v>6863</v>
      </c>
      <c r="T32" s="241" t="s">
        <v>312</v>
      </c>
      <c r="U32" s="241" t="s">
        <v>33</v>
      </c>
      <c r="V32" s="241" t="s">
        <v>7135</v>
      </c>
      <c r="W32" s="241" t="s">
        <v>51</v>
      </c>
      <c r="X32" s="241" t="s">
        <v>121</v>
      </c>
      <c r="Y32" s="241" t="s">
        <v>313</v>
      </c>
      <c r="Z32" s="241" t="s">
        <v>462</v>
      </c>
      <c r="AA32" s="241" t="s">
        <v>337</v>
      </c>
      <c r="AB32" s="241" t="s">
        <v>314</v>
      </c>
      <c r="AC32" s="241" t="s">
        <v>23</v>
      </c>
      <c r="AD32" s="245">
        <v>31670</v>
      </c>
      <c r="AE32" s="241">
        <f t="shared" ca="1" si="1"/>
        <v>39</v>
      </c>
      <c r="AF32" s="246" t="s">
        <v>724</v>
      </c>
      <c r="AG32" s="241" t="s">
        <v>725</v>
      </c>
      <c r="AH32" s="240" t="s">
        <v>726</v>
      </c>
      <c r="AI32" s="240"/>
      <c r="AJ32" s="240"/>
      <c r="AK32" s="241" t="s">
        <v>727</v>
      </c>
      <c r="AL32" s="246" t="s">
        <v>728</v>
      </c>
      <c r="AM32" s="246">
        <v>16006271965</v>
      </c>
      <c r="AN32" s="241" t="s">
        <v>4733</v>
      </c>
      <c r="AO32" s="241" t="s">
        <v>729</v>
      </c>
      <c r="AP32" s="241" t="s">
        <v>730</v>
      </c>
      <c r="AQ32" s="241" t="s">
        <v>731</v>
      </c>
      <c r="AR32" s="241"/>
      <c r="AS32" s="241"/>
      <c r="AT32" s="241" t="s">
        <v>306</v>
      </c>
      <c r="AU32" s="241" t="s">
        <v>306</v>
      </c>
      <c r="AV32" s="241" t="s">
        <v>306</v>
      </c>
      <c r="AW32" s="241" t="s">
        <v>306</v>
      </c>
      <c r="AX32" s="241">
        <f t="shared" si="2"/>
        <v>2</v>
      </c>
      <c r="AY32" s="241" t="str">
        <f t="shared" si="3"/>
        <v>K/2</v>
      </c>
      <c r="AZ32" s="241"/>
      <c r="BA32" s="237"/>
      <c r="BB32" s="241" t="s">
        <v>161</v>
      </c>
      <c r="BC32" s="241" t="s">
        <v>349</v>
      </c>
      <c r="BD32" s="241" t="s">
        <v>515</v>
      </c>
      <c r="BE32" s="241" t="s">
        <v>663</v>
      </c>
      <c r="BF32" s="241">
        <v>2006</v>
      </c>
      <c r="BG32" s="241" t="s">
        <v>475</v>
      </c>
      <c r="BH32" s="241" t="s">
        <v>515</v>
      </c>
      <c r="BI32" s="241" t="s">
        <v>663</v>
      </c>
      <c r="BJ32" s="241">
        <v>2006</v>
      </c>
      <c r="BK32" s="247">
        <v>52190</v>
      </c>
      <c r="BL32" s="247">
        <v>52555</v>
      </c>
      <c r="BM32" s="241" t="s">
        <v>351</v>
      </c>
      <c r="BN32" s="241">
        <v>30</v>
      </c>
      <c r="BO32" s="241">
        <v>42</v>
      </c>
      <c r="BP32" s="244"/>
      <c r="BQ32" s="244">
        <v>44434</v>
      </c>
      <c r="BR32" s="244"/>
      <c r="BS32" s="244"/>
      <c r="BT32" s="241"/>
      <c r="BU32" s="241"/>
      <c r="BV32" s="241"/>
      <c r="BW32" s="241"/>
      <c r="BX32" s="241"/>
      <c r="BY32" s="241"/>
      <c r="BZ32" s="241"/>
      <c r="CA32" s="241"/>
      <c r="CB32" s="241"/>
      <c r="CC32" s="241"/>
      <c r="CD32" s="241"/>
      <c r="CE32" s="241" t="e">
        <f>VLOOKUP(D32,[1]Sertifikasi!$B$4:$I$19,8,0)</f>
        <v>#N/A</v>
      </c>
      <c r="CF32" s="13"/>
      <c r="CG32" s="13"/>
      <c r="CH32" s="13"/>
    </row>
    <row r="33" spans="1:86" ht="11.25" customHeight="1" x14ac:dyDescent="0.2">
      <c r="A33" s="13"/>
      <c r="B33" s="238">
        <v>29</v>
      </c>
      <c r="C33" s="241" t="e">
        <f ca="1">DATEDIF($E$3,P33,"D")</f>
        <v>#NUM!</v>
      </c>
      <c r="D33" s="237" t="s">
        <v>732</v>
      </c>
      <c r="E33" s="239">
        <v>642001009</v>
      </c>
      <c r="F33" s="237">
        <v>1710004045129</v>
      </c>
      <c r="G33" s="240"/>
      <c r="H33" s="241" t="s">
        <v>217</v>
      </c>
      <c r="I33" s="241" t="s">
        <v>217</v>
      </c>
      <c r="J33" s="242">
        <v>42278</v>
      </c>
      <c r="K33" s="241"/>
      <c r="L33" s="241"/>
      <c r="M33" s="241" t="str">
        <f t="shared" si="5"/>
        <v>PKWT</v>
      </c>
      <c r="N33" s="241" t="s">
        <v>187</v>
      </c>
      <c r="O33" s="241"/>
      <c r="P33" s="243">
        <v>45657</v>
      </c>
      <c r="Q33" s="241"/>
      <c r="R33" s="241" t="s">
        <v>206</v>
      </c>
      <c r="S33" s="241" t="s">
        <v>6863</v>
      </c>
      <c r="T33" s="241" t="s">
        <v>312</v>
      </c>
      <c r="U33" s="241" t="s">
        <v>24</v>
      </c>
      <c r="V33" s="241" t="s">
        <v>204</v>
      </c>
      <c r="W33" s="241" t="s">
        <v>629</v>
      </c>
      <c r="X33" s="241" t="s">
        <v>121</v>
      </c>
      <c r="Y33" s="241" t="s">
        <v>313</v>
      </c>
      <c r="Z33" s="241" t="s">
        <v>462</v>
      </c>
      <c r="AA33" s="241" t="s">
        <v>337</v>
      </c>
      <c r="AB33" s="241" t="s">
        <v>314</v>
      </c>
      <c r="AC33" s="241" t="s">
        <v>217</v>
      </c>
      <c r="AD33" s="245">
        <v>35130</v>
      </c>
      <c r="AE33" s="241">
        <f t="shared" ca="1" si="1"/>
        <v>29</v>
      </c>
      <c r="AF33" s="246" t="s">
        <v>733</v>
      </c>
      <c r="AG33" s="241" t="s">
        <v>734</v>
      </c>
      <c r="AH33" s="240" t="s">
        <v>735</v>
      </c>
      <c r="AI33" s="240"/>
      <c r="AJ33" s="240"/>
      <c r="AK33" s="241" t="s">
        <v>736</v>
      </c>
      <c r="AL33" s="246" t="s">
        <v>737</v>
      </c>
      <c r="AM33" s="246">
        <v>16006272153</v>
      </c>
      <c r="AN33" s="241" t="s">
        <v>4733</v>
      </c>
      <c r="AO33" s="241" t="s">
        <v>738</v>
      </c>
      <c r="AP33" s="241" t="s">
        <v>739</v>
      </c>
      <c r="AQ33" s="241"/>
      <c r="AR33" s="241"/>
      <c r="AS33" s="241"/>
      <c r="AT33" s="241" t="s">
        <v>740</v>
      </c>
      <c r="AU33" s="241" t="s">
        <v>741</v>
      </c>
      <c r="AV33" s="241" t="s">
        <v>742</v>
      </c>
      <c r="AW33" s="241" t="s">
        <v>743</v>
      </c>
      <c r="AX33" s="241">
        <f t="shared" si="2"/>
        <v>1</v>
      </c>
      <c r="AY33" s="241" t="str">
        <f t="shared" si="3"/>
        <v>K/1</v>
      </c>
      <c r="AZ33" s="241" t="s">
        <v>744</v>
      </c>
      <c r="BA33" s="237" t="s">
        <v>744</v>
      </c>
      <c r="BB33" s="241" t="s">
        <v>161</v>
      </c>
      <c r="BC33" s="241" t="s">
        <v>349</v>
      </c>
      <c r="BD33" s="241" t="s">
        <v>515</v>
      </c>
      <c r="BE33" s="241" t="s">
        <v>516</v>
      </c>
      <c r="BF33" s="241">
        <v>2015</v>
      </c>
      <c r="BG33" s="241" t="s">
        <v>475</v>
      </c>
      <c r="BH33" s="241" t="s">
        <v>515</v>
      </c>
      <c r="BI33" s="241" t="s">
        <v>516</v>
      </c>
      <c r="BJ33" s="241">
        <v>2015</v>
      </c>
      <c r="BK33" s="247"/>
      <c r="BL33" s="247"/>
      <c r="BM33" s="241" t="s">
        <v>339</v>
      </c>
      <c r="BN33" s="241">
        <v>36</v>
      </c>
      <c r="BO33" s="241">
        <v>43</v>
      </c>
      <c r="BP33" s="244"/>
      <c r="BQ33" s="244"/>
      <c r="BR33" s="244">
        <v>44864</v>
      </c>
      <c r="BS33" s="244"/>
      <c r="BT33" s="241">
        <v>43467</v>
      </c>
      <c r="BU33" s="241">
        <v>43830</v>
      </c>
      <c r="BV33" s="241" t="s">
        <v>745</v>
      </c>
      <c r="BW33" s="241" t="s">
        <v>746</v>
      </c>
      <c r="BX33" s="241"/>
      <c r="BY33" s="241"/>
      <c r="BZ33" s="241"/>
      <c r="CA33" s="241"/>
      <c r="CB33" s="241"/>
      <c r="CC33" s="241"/>
      <c r="CD33" s="241"/>
      <c r="CE33" s="241" t="e">
        <f>VLOOKUP(D33,[1]Sertifikasi!$B$4:$I$19,8,0)</f>
        <v>#N/A</v>
      </c>
      <c r="CF33" s="13"/>
      <c r="CG33" s="13"/>
      <c r="CH33" s="13"/>
    </row>
    <row r="34" spans="1:86" ht="11.25" customHeight="1" x14ac:dyDescent="0.2">
      <c r="A34" s="13"/>
      <c r="B34" s="238">
        <v>30</v>
      </c>
      <c r="C34" s="248" t="s">
        <v>292</v>
      </c>
      <c r="D34" s="237" t="s">
        <v>747</v>
      </c>
      <c r="E34" s="239">
        <v>971900030</v>
      </c>
      <c r="F34" s="237">
        <v>1710003987594</v>
      </c>
      <c r="G34" s="240"/>
      <c r="H34" s="241" t="s">
        <v>217</v>
      </c>
      <c r="I34" s="241" t="s">
        <v>217</v>
      </c>
      <c r="J34" s="242">
        <v>42401</v>
      </c>
      <c r="K34" s="241"/>
      <c r="L34" s="241"/>
      <c r="M34" s="241" t="str">
        <f t="shared" si="5"/>
        <v>ORGANIK IMSS</v>
      </c>
      <c r="N34" s="241" t="s">
        <v>187</v>
      </c>
      <c r="O34" s="241" t="s">
        <v>576</v>
      </c>
      <c r="P34" s="243">
        <v>43647</v>
      </c>
      <c r="Q34" s="241"/>
      <c r="R34" s="241" t="s">
        <v>460</v>
      </c>
      <c r="S34" s="241" t="s">
        <v>6863</v>
      </c>
      <c r="T34" s="241" t="s">
        <v>312</v>
      </c>
      <c r="U34" s="241" t="s">
        <v>25</v>
      </c>
      <c r="V34" s="241" t="s">
        <v>443</v>
      </c>
      <c r="W34" s="241" t="s">
        <v>748</v>
      </c>
      <c r="X34" s="241" t="s">
        <v>121</v>
      </c>
      <c r="Y34" s="241" t="s">
        <v>313</v>
      </c>
      <c r="Z34" s="241" t="s">
        <v>462</v>
      </c>
      <c r="AA34" s="241" t="s">
        <v>337</v>
      </c>
      <c r="AB34" s="241" t="s">
        <v>314</v>
      </c>
      <c r="AC34" s="241" t="s">
        <v>217</v>
      </c>
      <c r="AD34" s="245">
        <v>33934</v>
      </c>
      <c r="AE34" s="241">
        <f t="shared" ca="1" si="1"/>
        <v>32</v>
      </c>
      <c r="AF34" s="246" t="s">
        <v>749</v>
      </c>
      <c r="AG34" s="241" t="s">
        <v>750</v>
      </c>
      <c r="AH34" s="240" t="s">
        <v>751</v>
      </c>
      <c r="AI34" s="240"/>
      <c r="AJ34" s="240"/>
      <c r="AK34" s="241" t="s">
        <v>752</v>
      </c>
      <c r="AL34" s="246" t="s">
        <v>753</v>
      </c>
      <c r="AM34" s="246">
        <v>16006272237</v>
      </c>
      <c r="AN34" s="241" t="s">
        <v>4733</v>
      </c>
      <c r="AO34" s="241" t="s">
        <v>754</v>
      </c>
      <c r="AP34" s="241" t="s">
        <v>755</v>
      </c>
      <c r="AQ34" s="241" t="s">
        <v>756</v>
      </c>
      <c r="AR34" s="241"/>
      <c r="AS34" s="241"/>
      <c r="AT34" s="241" t="s">
        <v>757</v>
      </c>
      <c r="AU34" s="241" t="s">
        <v>758</v>
      </c>
      <c r="AV34" s="241" t="s">
        <v>759</v>
      </c>
      <c r="AW34" s="241" t="s">
        <v>760</v>
      </c>
      <c r="AX34" s="241">
        <f t="shared" si="2"/>
        <v>2</v>
      </c>
      <c r="AY34" s="241" t="str">
        <f t="shared" si="3"/>
        <v>K/2</v>
      </c>
      <c r="AZ34" s="241" t="s">
        <v>761</v>
      </c>
      <c r="BA34" s="237" t="s">
        <v>761</v>
      </c>
      <c r="BB34" s="241" t="s">
        <v>161</v>
      </c>
      <c r="BC34" s="241" t="s">
        <v>349</v>
      </c>
      <c r="BD34" s="241" t="s">
        <v>91</v>
      </c>
      <c r="BE34" s="241" t="s">
        <v>516</v>
      </c>
      <c r="BF34" s="241">
        <v>2010</v>
      </c>
      <c r="BG34" s="241" t="s">
        <v>475</v>
      </c>
      <c r="BH34" s="241" t="s">
        <v>91</v>
      </c>
      <c r="BI34" s="241" t="s">
        <v>516</v>
      </c>
      <c r="BJ34" s="241">
        <v>2010</v>
      </c>
      <c r="BK34" s="247">
        <v>54240</v>
      </c>
      <c r="BL34" s="247">
        <v>54605</v>
      </c>
      <c r="BM34" s="241" t="s">
        <v>351</v>
      </c>
      <c r="BN34" s="241">
        <v>31</v>
      </c>
      <c r="BO34" s="241">
        <v>42</v>
      </c>
      <c r="BP34" s="244">
        <v>44356</v>
      </c>
      <c r="BQ34" s="244">
        <v>44403</v>
      </c>
      <c r="BR34" s="244">
        <v>44765</v>
      </c>
      <c r="BS34" s="244"/>
      <c r="BT34" s="241"/>
      <c r="BU34" s="241"/>
      <c r="BV34" s="241"/>
      <c r="BW34" s="241"/>
      <c r="BX34" s="241"/>
      <c r="BY34" s="241"/>
      <c r="BZ34" s="241"/>
      <c r="CA34" s="241"/>
      <c r="CB34" s="241"/>
      <c r="CC34" s="241"/>
      <c r="CD34" s="241"/>
      <c r="CE34" s="241" t="e">
        <f>VLOOKUP(D34,[1]Sertifikasi!$B$4:$I$19,8,0)</f>
        <v>#N/A</v>
      </c>
      <c r="CF34" s="13"/>
      <c r="CG34" s="13"/>
      <c r="CH34" s="13"/>
    </row>
    <row r="35" spans="1:86" ht="11.25" customHeight="1" x14ac:dyDescent="0.2">
      <c r="A35" s="13"/>
      <c r="B35" s="238">
        <v>31</v>
      </c>
      <c r="C35" s="248" t="s">
        <v>292</v>
      </c>
      <c r="D35" s="237" t="s">
        <v>762</v>
      </c>
      <c r="E35" s="239">
        <v>971900033</v>
      </c>
      <c r="F35" s="237">
        <v>1710003986927</v>
      </c>
      <c r="G35" s="240"/>
      <c r="H35" s="241" t="s">
        <v>217</v>
      </c>
      <c r="I35" s="241" t="s">
        <v>432</v>
      </c>
      <c r="J35" s="242">
        <v>42401</v>
      </c>
      <c r="K35" s="241"/>
      <c r="L35" s="241"/>
      <c r="M35" s="241" t="str">
        <f t="shared" si="5"/>
        <v>ORGANIK IMSS</v>
      </c>
      <c r="N35" s="241" t="s">
        <v>187</v>
      </c>
      <c r="O35" s="241" t="s">
        <v>576</v>
      </c>
      <c r="P35" s="243">
        <v>43647</v>
      </c>
      <c r="Q35" s="241"/>
      <c r="R35" s="241" t="s">
        <v>460</v>
      </c>
      <c r="S35" s="241" t="s">
        <v>6863</v>
      </c>
      <c r="T35" s="241" t="s">
        <v>312</v>
      </c>
      <c r="U35" s="241" t="s">
        <v>187</v>
      </c>
      <c r="V35" s="241" t="s">
        <v>1115</v>
      </c>
      <c r="W35" s="241" t="s">
        <v>119</v>
      </c>
      <c r="X35" s="241" t="s">
        <v>120</v>
      </c>
      <c r="Y35" s="241" t="s">
        <v>313</v>
      </c>
      <c r="Z35" s="241" t="s">
        <v>462</v>
      </c>
      <c r="AA35" s="241" t="s">
        <v>337</v>
      </c>
      <c r="AB35" s="241" t="s">
        <v>314</v>
      </c>
      <c r="AC35" s="241" t="s">
        <v>432</v>
      </c>
      <c r="AD35" s="245">
        <v>33963</v>
      </c>
      <c r="AE35" s="241">
        <f t="shared" ca="1" si="1"/>
        <v>32</v>
      </c>
      <c r="AF35" s="246" t="s">
        <v>763</v>
      </c>
      <c r="AG35" s="241" t="s">
        <v>764</v>
      </c>
      <c r="AH35" s="240" t="s">
        <v>765</v>
      </c>
      <c r="AI35" s="240" t="s">
        <v>766</v>
      </c>
      <c r="AJ35" s="240"/>
      <c r="AK35" s="241" t="s">
        <v>767</v>
      </c>
      <c r="AL35" s="246" t="s">
        <v>768</v>
      </c>
      <c r="AM35" s="246">
        <v>16006272203</v>
      </c>
      <c r="AN35" s="241" t="s">
        <v>4733</v>
      </c>
      <c r="AO35" s="241" t="s">
        <v>769</v>
      </c>
      <c r="AP35" s="241"/>
      <c r="AQ35" s="241"/>
      <c r="AR35" s="241"/>
      <c r="AS35" s="241"/>
      <c r="AT35" s="241" t="s">
        <v>770</v>
      </c>
      <c r="AU35" s="241" t="s">
        <v>771</v>
      </c>
      <c r="AV35" s="241" t="s">
        <v>772</v>
      </c>
      <c r="AW35" s="241" t="s">
        <v>773</v>
      </c>
      <c r="AX35" s="241">
        <f t="shared" si="2"/>
        <v>0</v>
      </c>
      <c r="AY35" s="241" t="str">
        <f t="shared" si="3"/>
        <v>K/0</v>
      </c>
      <c r="AZ35" s="241" t="s">
        <v>774</v>
      </c>
      <c r="BA35" s="237">
        <v>965581903646000</v>
      </c>
      <c r="BB35" s="241" t="s">
        <v>161</v>
      </c>
      <c r="BC35" s="241" t="s">
        <v>349</v>
      </c>
      <c r="BD35" s="241" t="s">
        <v>515</v>
      </c>
      <c r="BE35" s="241" t="s">
        <v>775</v>
      </c>
      <c r="BF35" s="241">
        <v>2011</v>
      </c>
      <c r="BG35" s="241" t="s">
        <v>475</v>
      </c>
      <c r="BH35" s="241" t="s">
        <v>515</v>
      </c>
      <c r="BI35" s="241" t="s">
        <v>775</v>
      </c>
      <c r="BJ35" s="241">
        <v>2011</v>
      </c>
      <c r="BK35" s="247">
        <v>54240</v>
      </c>
      <c r="BL35" s="247">
        <v>54605</v>
      </c>
      <c r="BM35" s="241" t="s">
        <v>351</v>
      </c>
      <c r="BN35" s="241">
        <v>32</v>
      </c>
      <c r="BO35" s="241">
        <v>40</v>
      </c>
      <c r="BP35" s="244">
        <v>44365</v>
      </c>
      <c r="BQ35" s="244">
        <v>44403</v>
      </c>
      <c r="BR35" s="244">
        <v>44672</v>
      </c>
      <c r="BS35" s="244"/>
      <c r="BT35" s="241"/>
      <c r="BU35" s="241"/>
      <c r="BV35" s="241"/>
      <c r="BW35" s="241"/>
      <c r="BX35" s="241"/>
      <c r="BY35" s="241"/>
      <c r="BZ35" s="241"/>
      <c r="CA35" s="241"/>
      <c r="CB35" s="241"/>
      <c r="CC35" s="241"/>
      <c r="CD35" s="241"/>
      <c r="CE35" s="241" t="e">
        <f>VLOOKUP(D35,[1]Sertifikasi!$B$4:$I$19,8,0)</f>
        <v>#N/A</v>
      </c>
      <c r="CF35" s="13"/>
      <c r="CG35" s="13"/>
      <c r="CH35" s="13"/>
    </row>
    <row r="36" spans="1:86" ht="11.25" customHeight="1" x14ac:dyDescent="0.2">
      <c r="A36" s="13"/>
      <c r="B36" s="238">
        <v>32</v>
      </c>
      <c r="C36" s="248" t="s">
        <v>292</v>
      </c>
      <c r="D36" s="237" t="s">
        <v>776</v>
      </c>
      <c r="E36" s="239">
        <v>972000056</v>
      </c>
      <c r="F36" s="237">
        <v>1710003988014</v>
      </c>
      <c r="G36" s="240">
        <v>7258155698</v>
      </c>
      <c r="H36" s="241" t="s">
        <v>217</v>
      </c>
      <c r="I36" s="241" t="s">
        <v>217</v>
      </c>
      <c r="J36" s="242">
        <v>42401</v>
      </c>
      <c r="K36" s="241"/>
      <c r="L36" s="241"/>
      <c r="M36" s="241" t="str">
        <f t="shared" si="5"/>
        <v>ORGANIK IMSS</v>
      </c>
      <c r="N36" s="241" t="s">
        <v>187</v>
      </c>
      <c r="O36" s="241" t="s">
        <v>777</v>
      </c>
      <c r="P36" s="243">
        <v>43899</v>
      </c>
      <c r="Q36" s="241"/>
      <c r="R36" s="241" t="s">
        <v>206</v>
      </c>
      <c r="S36" s="241" t="s">
        <v>6863</v>
      </c>
      <c r="T36" s="241" t="s">
        <v>312</v>
      </c>
      <c r="U36" s="241" t="s">
        <v>25</v>
      </c>
      <c r="V36" s="241" t="s">
        <v>668</v>
      </c>
      <c r="W36" s="241" t="s">
        <v>119</v>
      </c>
      <c r="X36" s="241" t="s">
        <v>120</v>
      </c>
      <c r="Y36" s="241" t="s">
        <v>313</v>
      </c>
      <c r="Z36" s="241" t="s">
        <v>462</v>
      </c>
      <c r="AA36" s="241" t="s">
        <v>337</v>
      </c>
      <c r="AB36" s="241" t="s">
        <v>314</v>
      </c>
      <c r="AC36" s="241" t="s">
        <v>217</v>
      </c>
      <c r="AD36" s="245">
        <v>32689</v>
      </c>
      <c r="AE36" s="241">
        <f t="shared" ca="1" si="1"/>
        <v>36</v>
      </c>
      <c r="AF36" s="246" t="s">
        <v>778</v>
      </c>
      <c r="AG36" s="241" t="s">
        <v>779</v>
      </c>
      <c r="AH36" s="240" t="s">
        <v>780</v>
      </c>
      <c r="AI36" s="240"/>
      <c r="AJ36" s="240"/>
      <c r="AK36" s="241" t="s">
        <v>781</v>
      </c>
      <c r="AL36" s="246" t="s">
        <v>782</v>
      </c>
      <c r="AM36" s="246">
        <v>16006272195</v>
      </c>
      <c r="AN36" s="241" t="s">
        <v>4733</v>
      </c>
      <c r="AO36" s="241" t="s">
        <v>783</v>
      </c>
      <c r="AP36" s="241" t="s">
        <v>784</v>
      </c>
      <c r="AQ36" s="241"/>
      <c r="AR36" s="241"/>
      <c r="AS36" s="241"/>
      <c r="AT36" s="241" t="s">
        <v>785</v>
      </c>
      <c r="AU36" s="241" t="s">
        <v>786</v>
      </c>
      <c r="AV36" s="241" t="s">
        <v>787</v>
      </c>
      <c r="AW36" s="241" t="s">
        <v>788</v>
      </c>
      <c r="AX36" s="241">
        <f t="shared" si="2"/>
        <v>1</v>
      </c>
      <c r="AY36" s="241" t="str">
        <f t="shared" si="3"/>
        <v>K/1</v>
      </c>
      <c r="AZ36" s="241" t="s">
        <v>789</v>
      </c>
      <c r="BA36" s="241" t="s">
        <v>789</v>
      </c>
      <c r="BB36" s="241" t="s">
        <v>161</v>
      </c>
      <c r="BC36" s="241" t="s">
        <v>349</v>
      </c>
      <c r="BD36" s="241" t="s">
        <v>91</v>
      </c>
      <c r="BE36" s="241" t="s">
        <v>790</v>
      </c>
      <c r="BF36" s="241">
        <v>2008</v>
      </c>
      <c r="BG36" s="241" t="s">
        <v>475</v>
      </c>
      <c r="BH36" s="241" t="s">
        <v>91</v>
      </c>
      <c r="BI36" s="241" t="s">
        <v>790</v>
      </c>
      <c r="BJ36" s="241">
        <v>2008</v>
      </c>
      <c r="BK36" s="247">
        <v>53030</v>
      </c>
      <c r="BL36" s="247">
        <v>53395</v>
      </c>
      <c r="BM36" s="241" t="s">
        <v>351</v>
      </c>
      <c r="BN36" s="241">
        <v>34</v>
      </c>
      <c r="BO36" s="241">
        <v>42</v>
      </c>
      <c r="BP36" s="244">
        <v>44377</v>
      </c>
      <c r="BQ36" s="244"/>
      <c r="BR36" s="244">
        <v>44663</v>
      </c>
      <c r="BS36" s="244"/>
      <c r="BT36" s="241">
        <v>43467</v>
      </c>
      <c r="BU36" s="241">
        <v>43830</v>
      </c>
      <c r="BV36" s="241" t="s">
        <v>791</v>
      </c>
      <c r="BW36" s="241" t="s">
        <v>792</v>
      </c>
      <c r="BX36" s="241"/>
      <c r="BY36" s="241"/>
      <c r="BZ36" s="241"/>
      <c r="CA36" s="241"/>
      <c r="CB36" s="241"/>
      <c r="CC36" s="241"/>
      <c r="CD36" s="241"/>
      <c r="CE36" s="241" t="e">
        <f>VLOOKUP(D36,[1]Sertifikasi!$B$4:$I$19,8,0)</f>
        <v>#N/A</v>
      </c>
      <c r="CF36" s="13"/>
      <c r="CG36" s="13"/>
      <c r="CH36" s="13"/>
    </row>
    <row r="37" spans="1:86" ht="11.25" customHeight="1" x14ac:dyDescent="0.2">
      <c r="A37" s="13"/>
      <c r="B37" s="238">
        <v>33</v>
      </c>
      <c r="C37" s="241" t="e">
        <f ca="1">DATEDIF($E$3,P37,"D")</f>
        <v>#NUM!</v>
      </c>
      <c r="D37" s="237" t="s">
        <v>793</v>
      </c>
      <c r="E37" s="239">
        <v>642001008</v>
      </c>
      <c r="F37" s="237">
        <v>1710003988105</v>
      </c>
      <c r="G37" s="240"/>
      <c r="H37" s="241" t="s">
        <v>217</v>
      </c>
      <c r="I37" s="241" t="s">
        <v>217</v>
      </c>
      <c r="J37" s="242">
        <v>42401</v>
      </c>
      <c r="K37" s="241"/>
      <c r="L37" s="241"/>
      <c r="M37" s="241" t="str">
        <f t="shared" si="5"/>
        <v>PKWT</v>
      </c>
      <c r="N37" s="241" t="s">
        <v>187</v>
      </c>
      <c r="O37" s="241"/>
      <c r="P37" s="243">
        <v>45657</v>
      </c>
      <c r="Q37" s="241"/>
      <c r="R37" s="241" t="s">
        <v>206</v>
      </c>
      <c r="S37" s="241" t="s">
        <v>6863</v>
      </c>
      <c r="T37" s="241" t="s">
        <v>296</v>
      </c>
      <c r="U37" s="241" t="s">
        <v>187</v>
      </c>
      <c r="V37" s="241" t="s">
        <v>49</v>
      </c>
      <c r="W37" s="241" t="s">
        <v>54</v>
      </c>
      <c r="X37" s="241" t="s">
        <v>120</v>
      </c>
      <c r="Y37" s="241" t="s">
        <v>313</v>
      </c>
      <c r="Z37" s="241"/>
      <c r="AA37" s="241" t="s">
        <v>337</v>
      </c>
      <c r="AB37" s="241" t="s">
        <v>314</v>
      </c>
      <c r="AC37" s="241" t="s">
        <v>217</v>
      </c>
      <c r="AD37" s="245">
        <v>29699</v>
      </c>
      <c r="AE37" s="241">
        <f t="shared" ca="1" si="1"/>
        <v>44</v>
      </c>
      <c r="AF37" s="246" t="s">
        <v>794</v>
      </c>
      <c r="AG37" s="241" t="s">
        <v>795</v>
      </c>
      <c r="AH37" s="240" t="s">
        <v>796</v>
      </c>
      <c r="AI37" s="240"/>
      <c r="AJ37" s="240"/>
      <c r="AK37" s="241" t="s">
        <v>797</v>
      </c>
      <c r="AL37" s="246" t="s">
        <v>798</v>
      </c>
      <c r="AM37" s="246">
        <v>16006272377</v>
      </c>
      <c r="AN37" s="241" t="s">
        <v>4733</v>
      </c>
      <c r="AO37" s="241" t="s">
        <v>799</v>
      </c>
      <c r="AP37" s="241" t="s">
        <v>800</v>
      </c>
      <c r="AQ37" s="241" t="s">
        <v>801</v>
      </c>
      <c r="AR37" s="241" t="s">
        <v>802</v>
      </c>
      <c r="AS37" s="241"/>
      <c r="AT37" s="241" t="s">
        <v>306</v>
      </c>
      <c r="AU37" s="241" t="s">
        <v>306</v>
      </c>
      <c r="AV37" s="241" t="s">
        <v>306</v>
      </c>
      <c r="AW37" s="241" t="s">
        <v>306</v>
      </c>
      <c r="AX37" s="241">
        <f t="shared" si="2"/>
        <v>3</v>
      </c>
      <c r="AY37" s="241" t="str">
        <f t="shared" si="3"/>
        <v>K/3</v>
      </c>
      <c r="AZ37" s="241"/>
      <c r="BA37" s="237"/>
      <c r="BB37" s="241" t="s">
        <v>161</v>
      </c>
      <c r="BC37" s="241" t="s">
        <v>349</v>
      </c>
      <c r="BD37" s="241" t="s">
        <v>91</v>
      </c>
      <c r="BE37" s="241" t="s">
        <v>350</v>
      </c>
      <c r="BF37" s="241">
        <v>1999</v>
      </c>
      <c r="BG37" s="241" t="s">
        <v>475</v>
      </c>
      <c r="BH37" s="241" t="s">
        <v>91</v>
      </c>
      <c r="BI37" s="241" t="s">
        <v>350</v>
      </c>
      <c r="BJ37" s="241">
        <v>1999</v>
      </c>
      <c r="BK37" s="247"/>
      <c r="BL37" s="247"/>
      <c r="BM37" s="241" t="s">
        <v>351</v>
      </c>
      <c r="BN37" s="241">
        <v>32</v>
      </c>
      <c r="BO37" s="241">
        <v>40</v>
      </c>
      <c r="BP37" s="244">
        <v>44294</v>
      </c>
      <c r="BQ37" s="244">
        <v>44322</v>
      </c>
      <c r="BR37" s="244">
        <v>44601</v>
      </c>
      <c r="BS37" s="244"/>
      <c r="BT37" s="241">
        <v>43467</v>
      </c>
      <c r="BU37" s="241">
        <v>43830</v>
      </c>
      <c r="BV37" s="241" t="s">
        <v>803</v>
      </c>
      <c r="BW37" s="241" t="s">
        <v>804</v>
      </c>
      <c r="BX37" s="241"/>
      <c r="BY37" s="241"/>
      <c r="BZ37" s="241"/>
      <c r="CA37" s="241"/>
      <c r="CB37" s="241"/>
      <c r="CC37" s="241"/>
      <c r="CD37" s="241"/>
      <c r="CE37" s="241" t="e">
        <f>VLOOKUP(D37,[1]Sertifikasi!$B$4:$I$19,8,0)</f>
        <v>#N/A</v>
      </c>
      <c r="CF37" s="13"/>
      <c r="CG37" s="13"/>
      <c r="CH37" s="13"/>
    </row>
    <row r="38" spans="1:86" ht="11.25" customHeight="1" x14ac:dyDescent="0.2">
      <c r="A38" s="13"/>
      <c r="B38" s="238">
        <v>34</v>
      </c>
      <c r="C38" s="241" t="e">
        <f ca="1">DATEDIF($E$3,P38,"D")</f>
        <v>#NUM!</v>
      </c>
      <c r="D38" s="237" t="s">
        <v>805</v>
      </c>
      <c r="E38" s="239">
        <v>642001019</v>
      </c>
      <c r="F38" s="237">
        <v>1710003987891</v>
      </c>
      <c r="G38" s="240"/>
      <c r="H38" s="241" t="s">
        <v>217</v>
      </c>
      <c r="I38" s="241" t="s">
        <v>217</v>
      </c>
      <c r="J38" s="242">
        <v>42401</v>
      </c>
      <c r="K38" s="241"/>
      <c r="L38" s="241"/>
      <c r="M38" s="241" t="str">
        <f t="shared" si="5"/>
        <v>PKWT</v>
      </c>
      <c r="N38" s="241" t="s">
        <v>187</v>
      </c>
      <c r="O38" s="241"/>
      <c r="P38" s="243">
        <v>45657</v>
      </c>
      <c r="Q38" s="241"/>
      <c r="R38" s="241" t="s">
        <v>206</v>
      </c>
      <c r="S38" s="241" t="s">
        <v>6863</v>
      </c>
      <c r="T38" s="241" t="s">
        <v>312</v>
      </c>
      <c r="U38" s="241" t="s">
        <v>33</v>
      </c>
      <c r="V38" s="241" t="s">
        <v>7135</v>
      </c>
      <c r="W38" s="241" t="s">
        <v>51</v>
      </c>
      <c r="X38" s="241" t="s">
        <v>121</v>
      </c>
      <c r="Y38" s="241" t="s">
        <v>313</v>
      </c>
      <c r="Z38" s="241" t="s">
        <v>462</v>
      </c>
      <c r="AA38" s="241" t="s">
        <v>337</v>
      </c>
      <c r="AB38" s="241" t="s">
        <v>314</v>
      </c>
      <c r="AC38" s="241" t="s">
        <v>217</v>
      </c>
      <c r="AD38" s="245">
        <v>31203</v>
      </c>
      <c r="AE38" s="241">
        <f t="shared" ca="1" si="1"/>
        <v>40</v>
      </c>
      <c r="AF38" s="246" t="s">
        <v>806</v>
      </c>
      <c r="AG38" s="241" t="s">
        <v>807</v>
      </c>
      <c r="AH38" s="240" t="s">
        <v>808</v>
      </c>
      <c r="AI38" s="240"/>
      <c r="AJ38" s="240"/>
      <c r="AK38" s="241" t="s">
        <v>809</v>
      </c>
      <c r="AL38" s="246" t="s">
        <v>810</v>
      </c>
      <c r="AM38" s="246">
        <v>16013068677</v>
      </c>
      <c r="AN38" s="241" t="s">
        <v>4733</v>
      </c>
      <c r="AO38" s="241" t="s">
        <v>811</v>
      </c>
      <c r="AP38" s="241" t="s">
        <v>812</v>
      </c>
      <c r="AQ38" s="241" t="s">
        <v>813</v>
      </c>
      <c r="AR38" s="241"/>
      <c r="AS38" s="241"/>
      <c r="AT38" s="241" t="s">
        <v>814</v>
      </c>
      <c r="AU38" s="241" t="s">
        <v>815</v>
      </c>
      <c r="AV38" s="241" t="s">
        <v>816</v>
      </c>
      <c r="AW38" s="241" t="s">
        <v>817</v>
      </c>
      <c r="AX38" s="241">
        <f t="shared" si="2"/>
        <v>2</v>
      </c>
      <c r="AY38" s="241" t="str">
        <f t="shared" si="3"/>
        <v>K/2</v>
      </c>
      <c r="AZ38" s="241" t="s">
        <v>818</v>
      </c>
      <c r="BA38" s="237" t="s">
        <v>818</v>
      </c>
      <c r="BB38" s="241" t="s">
        <v>161</v>
      </c>
      <c r="BC38" s="241" t="s">
        <v>349</v>
      </c>
      <c r="BD38" s="241" t="s">
        <v>515</v>
      </c>
      <c r="BE38" s="241" t="s">
        <v>663</v>
      </c>
      <c r="BF38" s="241">
        <v>2003</v>
      </c>
      <c r="BG38" s="241" t="s">
        <v>475</v>
      </c>
      <c r="BH38" s="241" t="s">
        <v>515</v>
      </c>
      <c r="BI38" s="241" t="s">
        <v>663</v>
      </c>
      <c r="BJ38" s="241">
        <v>2003</v>
      </c>
      <c r="BK38" s="247"/>
      <c r="BL38" s="247"/>
      <c r="BM38" s="241" t="s">
        <v>360</v>
      </c>
      <c r="BN38" s="241">
        <v>29</v>
      </c>
      <c r="BO38" s="241">
        <v>38</v>
      </c>
      <c r="BP38" s="244"/>
      <c r="BQ38" s="244"/>
      <c r="BR38" s="244"/>
      <c r="BS38" s="244"/>
      <c r="BT38" s="241">
        <v>43467</v>
      </c>
      <c r="BU38" s="241">
        <v>43830</v>
      </c>
      <c r="BV38" s="241" t="s">
        <v>819</v>
      </c>
      <c r="BW38" s="241" t="s">
        <v>820</v>
      </c>
      <c r="BX38" s="241"/>
      <c r="BY38" s="241"/>
      <c r="BZ38" s="241"/>
      <c r="CA38" s="241"/>
      <c r="CB38" s="241"/>
      <c r="CC38" s="241"/>
      <c r="CD38" s="241"/>
      <c r="CE38" s="241" t="e">
        <f>VLOOKUP(D38,[1]Sertifikasi!$B$4:$I$19,8,0)</f>
        <v>#N/A</v>
      </c>
      <c r="CF38" s="13"/>
      <c r="CG38" s="13"/>
      <c r="CH38" s="13"/>
    </row>
    <row r="39" spans="1:86" ht="11.25" customHeight="1" x14ac:dyDescent="0.2">
      <c r="A39" s="13"/>
      <c r="B39" s="238">
        <v>35</v>
      </c>
      <c r="C39" s="241" t="s">
        <v>292</v>
      </c>
      <c r="D39" s="237" t="s">
        <v>821</v>
      </c>
      <c r="E39" s="261">
        <v>972400067</v>
      </c>
      <c r="F39" s="237">
        <v>1710004029107</v>
      </c>
      <c r="G39" s="240"/>
      <c r="H39" s="241" t="s">
        <v>217</v>
      </c>
      <c r="I39" s="241" t="s">
        <v>311</v>
      </c>
      <c r="J39" s="242">
        <v>42401</v>
      </c>
      <c r="K39" s="241"/>
      <c r="L39" s="241"/>
      <c r="M39" s="241" t="s">
        <v>6856</v>
      </c>
      <c r="N39" s="241" t="s">
        <v>187</v>
      </c>
      <c r="O39" s="241" t="s">
        <v>6819</v>
      </c>
      <c r="P39" s="243">
        <v>45474</v>
      </c>
      <c r="Q39" s="241"/>
      <c r="R39" s="241" t="s">
        <v>206</v>
      </c>
      <c r="S39" s="241" t="s">
        <v>6863</v>
      </c>
      <c r="T39" s="241" t="s">
        <v>312</v>
      </c>
      <c r="U39" s="241" t="s">
        <v>24</v>
      </c>
      <c r="V39" s="241" t="s">
        <v>204</v>
      </c>
      <c r="W39" s="241" t="s">
        <v>629</v>
      </c>
      <c r="X39" s="241" t="s">
        <v>121</v>
      </c>
      <c r="Y39" s="241" t="s">
        <v>313</v>
      </c>
      <c r="Z39" s="241" t="s">
        <v>462</v>
      </c>
      <c r="AA39" s="241" t="s">
        <v>337</v>
      </c>
      <c r="AB39" s="241" t="s">
        <v>314</v>
      </c>
      <c r="AC39" s="241" t="s">
        <v>217</v>
      </c>
      <c r="AD39" s="245">
        <v>32368</v>
      </c>
      <c r="AE39" s="241">
        <f t="shared" ca="1" si="1"/>
        <v>37</v>
      </c>
      <c r="AF39" s="246" t="s">
        <v>822</v>
      </c>
      <c r="AG39" s="241" t="s">
        <v>823</v>
      </c>
      <c r="AH39" s="240" t="s">
        <v>824</v>
      </c>
      <c r="AI39" s="240"/>
      <c r="AJ39" s="240"/>
      <c r="AK39" s="241" t="s">
        <v>825</v>
      </c>
      <c r="AL39" s="246" t="s">
        <v>826</v>
      </c>
      <c r="AM39" s="246">
        <v>16006272088</v>
      </c>
      <c r="AN39" s="241" t="s">
        <v>4733</v>
      </c>
      <c r="AO39" s="241" t="s">
        <v>827</v>
      </c>
      <c r="AP39" s="241" t="s">
        <v>828</v>
      </c>
      <c r="AQ39" s="241"/>
      <c r="AR39" s="241"/>
      <c r="AS39" s="241"/>
      <c r="AT39" s="241" t="s">
        <v>306</v>
      </c>
      <c r="AU39" s="241" t="s">
        <v>306</v>
      </c>
      <c r="AV39" s="241" t="s">
        <v>306</v>
      </c>
      <c r="AW39" s="241" t="s">
        <v>306</v>
      </c>
      <c r="AX39" s="241">
        <f t="shared" si="2"/>
        <v>1</v>
      </c>
      <c r="AY39" s="241" t="str">
        <f t="shared" si="3"/>
        <v>K/1</v>
      </c>
      <c r="AZ39" s="241"/>
      <c r="BA39" s="237"/>
      <c r="BB39" s="241" t="s">
        <v>161</v>
      </c>
      <c r="BC39" s="241" t="s">
        <v>349</v>
      </c>
      <c r="BD39" s="241" t="s">
        <v>515</v>
      </c>
      <c r="BE39" s="241" t="s">
        <v>616</v>
      </c>
      <c r="BF39" s="241">
        <v>2007</v>
      </c>
      <c r="BG39" s="241" t="s">
        <v>475</v>
      </c>
      <c r="BH39" s="241" t="s">
        <v>515</v>
      </c>
      <c r="BI39" s="241" t="s">
        <v>616</v>
      </c>
      <c r="BJ39" s="241">
        <v>2007</v>
      </c>
      <c r="BK39" s="247">
        <v>48396</v>
      </c>
      <c r="BL39" s="247">
        <v>48761</v>
      </c>
      <c r="BM39" s="241" t="s">
        <v>360</v>
      </c>
      <c r="BN39" s="241">
        <v>31</v>
      </c>
      <c r="BO39" s="241">
        <v>41</v>
      </c>
      <c r="BP39" s="244"/>
      <c r="BQ39" s="244"/>
      <c r="BR39" s="244">
        <v>44797</v>
      </c>
      <c r="BS39" s="244"/>
      <c r="BT39" s="241">
        <v>43467</v>
      </c>
      <c r="BU39" s="241">
        <v>43830</v>
      </c>
      <c r="BV39" s="241" t="s">
        <v>829</v>
      </c>
      <c r="BW39" s="241" t="s">
        <v>830</v>
      </c>
      <c r="BX39" s="241"/>
      <c r="BY39" s="241"/>
      <c r="BZ39" s="241"/>
      <c r="CA39" s="241"/>
      <c r="CB39" s="241"/>
      <c r="CC39" s="241"/>
      <c r="CD39" s="241"/>
      <c r="CE39" s="241" t="e">
        <f>VLOOKUP(D39,[1]Sertifikasi!$B$4:$I$19,8,0)</f>
        <v>#N/A</v>
      </c>
      <c r="CF39" s="13"/>
      <c r="CG39" s="13"/>
      <c r="CH39" s="13"/>
    </row>
    <row r="40" spans="1:86" ht="11.25" customHeight="1" x14ac:dyDescent="0.2">
      <c r="A40" s="13"/>
      <c r="B40" s="238">
        <v>36</v>
      </c>
      <c r="C40" s="241" t="e">
        <f ca="1">DATEDIF($E$3,P40,"D")</f>
        <v>#NUM!</v>
      </c>
      <c r="D40" s="237" t="s">
        <v>831</v>
      </c>
      <c r="E40" s="239">
        <v>642001014</v>
      </c>
      <c r="F40" s="237">
        <v>1710003987925</v>
      </c>
      <c r="G40" s="240"/>
      <c r="H40" s="241" t="s">
        <v>217</v>
      </c>
      <c r="I40" s="241" t="s">
        <v>311</v>
      </c>
      <c r="J40" s="242">
        <v>42401</v>
      </c>
      <c r="K40" s="241"/>
      <c r="L40" s="241"/>
      <c r="M40" s="241" t="str">
        <f t="shared" ref="M40:M56" si="6">IF(LEFT(E40,2)="99","ORGANIK INKA",IF(LEFT(E40,2)="97","ORGANIK IMSS",IF(LEFT(E40,2)="75","Capeg",IF(LEFT(E40,2)="64","PKWT","Resign"))))</f>
        <v>PKWT</v>
      </c>
      <c r="N40" s="241" t="s">
        <v>187</v>
      </c>
      <c r="O40" s="241"/>
      <c r="P40" s="243">
        <v>45657</v>
      </c>
      <c r="Q40" s="241"/>
      <c r="R40" s="241" t="s">
        <v>206</v>
      </c>
      <c r="S40" s="241" t="s">
        <v>6863</v>
      </c>
      <c r="T40" s="241" t="s">
        <v>312</v>
      </c>
      <c r="U40" s="241" t="s">
        <v>204</v>
      </c>
      <c r="V40" s="241" t="s">
        <v>832</v>
      </c>
      <c r="W40" s="241" t="s">
        <v>6908</v>
      </c>
      <c r="X40" s="241" t="s">
        <v>18</v>
      </c>
      <c r="Y40" s="241" t="s">
        <v>313</v>
      </c>
      <c r="Z40" s="241" t="s">
        <v>173</v>
      </c>
      <c r="AA40" s="241" t="s">
        <v>337</v>
      </c>
      <c r="AB40" s="241" t="s">
        <v>314</v>
      </c>
      <c r="AC40" s="241" t="s">
        <v>432</v>
      </c>
      <c r="AD40" s="245">
        <v>34890</v>
      </c>
      <c r="AE40" s="241">
        <f t="shared" ca="1" si="1"/>
        <v>30</v>
      </c>
      <c r="AF40" s="246" t="s">
        <v>833</v>
      </c>
      <c r="AG40" s="241" t="s">
        <v>834</v>
      </c>
      <c r="AH40" s="240" t="s">
        <v>835</v>
      </c>
      <c r="AI40" s="240"/>
      <c r="AJ40" s="240"/>
      <c r="AK40" s="241" t="s">
        <v>836</v>
      </c>
      <c r="AL40" s="246" t="s">
        <v>837</v>
      </c>
      <c r="AM40" s="246">
        <v>16006271973</v>
      </c>
      <c r="AN40" s="241" t="s">
        <v>4716</v>
      </c>
      <c r="AO40" s="241"/>
      <c r="AP40" s="241"/>
      <c r="AQ40" s="241"/>
      <c r="AR40" s="241"/>
      <c r="AS40" s="241"/>
      <c r="AT40" s="241" t="s">
        <v>601</v>
      </c>
      <c r="AU40" s="241" t="s">
        <v>306</v>
      </c>
      <c r="AV40" s="241" t="s">
        <v>306</v>
      </c>
      <c r="AW40" s="241" t="s">
        <v>306</v>
      </c>
      <c r="AX40" s="241">
        <f t="shared" si="2"/>
        <v>0</v>
      </c>
      <c r="AY40" s="241" t="str">
        <f t="shared" si="3"/>
        <v>TK/0</v>
      </c>
      <c r="AZ40" s="241"/>
      <c r="BA40" s="237"/>
      <c r="BB40" s="241" t="s">
        <v>161</v>
      </c>
      <c r="BC40" s="241" t="s">
        <v>349</v>
      </c>
      <c r="BD40" s="241" t="s">
        <v>838</v>
      </c>
      <c r="BE40" s="241" t="s">
        <v>839</v>
      </c>
      <c r="BF40" s="241">
        <v>2014</v>
      </c>
      <c r="BG40" s="241" t="s">
        <v>475</v>
      </c>
      <c r="BH40" s="241" t="s">
        <v>838</v>
      </c>
      <c r="BI40" s="241" t="s">
        <v>839</v>
      </c>
      <c r="BJ40" s="241">
        <v>2014</v>
      </c>
      <c r="BK40" s="247"/>
      <c r="BL40" s="247"/>
      <c r="BM40" s="241" t="s">
        <v>339</v>
      </c>
      <c r="BN40" s="241">
        <v>32</v>
      </c>
      <c r="BO40" s="241">
        <v>40</v>
      </c>
      <c r="BP40" s="244">
        <v>44293</v>
      </c>
      <c r="BQ40" s="244">
        <v>44322</v>
      </c>
      <c r="BR40" s="244"/>
      <c r="BS40" s="244"/>
      <c r="BT40" s="241">
        <v>43467</v>
      </c>
      <c r="BU40" s="241">
        <v>43830</v>
      </c>
      <c r="BV40" s="241" t="s">
        <v>840</v>
      </c>
      <c r="BW40" s="241" t="s">
        <v>841</v>
      </c>
      <c r="BX40" s="241"/>
      <c r="BY40" s="241"/>
      <c r="BZ40" s="241"/>
      <c r="CA40" s="241"/>
      <c r="CB40" s="241"/>
      <c r="CC40" s="241"/>
      <c r="CD40" s="241"/>
      <c r="CE40" s="241" t="e">
        <f>VLOOKUP(D40,[1]Sertifikasi!$B$4:$I$19,8,0)</f>
        <v>#N/A</v>
      </c>
      <c r="CF40" s="13"/>
      <c r="CG40" s="13"/>
      <c r="CH40" s="13"/>
    </row>
    <row r="41" spans="1:86" ht="11.25" customHeight="1" x14ac:dyDescent="0.2">
      <c r="A41" s="13"/>
      <c r="B41" s="238">
        <v>37</v>
      </c>
      <c r="C41" s="248" t="s">
        <v>292</v>
      </c>
      <c r="D41" s="237" t="s">
        <v>842</v>
      </c>
      <c r="E41" s="239">
        <v>971700011</v>
      </c>
      <c r="F41" s="237">
        <v>1710003919886</v>
      </c>
      <c r="G41" s="240">
        <v>7206019314</v>
      </c>
      <c r="H41" s="249" t="s">
        <v>217</v>
      </c>
      <c r="I41" s="241" t="s">
        <v>311</v>
      </c>
      <c r="J41" s="242">
        <v>42401</v>
      </c>
      <c r="K41" s="241"/>
      <c r="L41" s="241"/>
      <c r="M41" s="241" t="str">
        <f t="shared" si="6"/>
        <v>ORGANIK IMSS</v>
      </c>
      <c r="N41" s="241" t="s">
        <v>187</v>
      </c>
      <c r="O41" s="241"/>
      <c r="P41" s="243">
        <v>42767</v>
      </c>
      <c r="Q41" s="244"/>
      <c r="R41" s="241" t="s">
        <v>139</v>
      </c>
      <c r="S41" s="241" t="s">
        <v>6863</v>
      </c>
      <c r="T41" s="241" t="s">
        <v>296</v>
      </c>
      <c r="U41" s="241" t="s">
        <v>187</v>
      </c>
      <c r="V41" s="241" t="s">
        <v>563</v>
      </c>
      <c r="W41" s="241" t="s">
        <v>54</v>
      </c>
      <c r="X41" s="241" t="s">
        <v>120</v>
      </c>
      <c r="Y41" s="241" t="s">
        <v>313</v>
      </c>
      <c r="Z41" s="241"/>
      <c r="AA41" s="241"/>
      <c r="AB41" s="241" t="s">
        <v>133</v>
      </c>
      <c r="AC41" s="241" t="s">
        <v>311</v>
      </c>
      <c r="AD41" s="245">
        <v>33140</v>
      </c>
      <c r="AE41" s="241">
        <f t="shared" ca="1" si="1"/>
        <v>35</v>
      </c>
      <c r="AF41" s="246" t="s">
        <v>843</v>
      </c>
      <c r="AG41" s="241" t="s">
        <v>844</v>
      </c>
      <c r="AH41" s="240" t="s">
        <v>845</v>
      </c>
      <c r="AI41" s="240"/>
      <c r="AJ41" s="240"/>
      <c r="AK41" s="250" t="s">
        <v>846</v>
      </c>
      <c r="AL41" s="246" t="s">
        <v>847</v>
      </c>
      <c r="AM41" s="246">
        <v>16043229588</v>
      </c>
      <c r="AN41" s="241" t="s">
        <v>4733</v>
      </c>
      <c r="AO41" s="241" t="s">
        <v>848</v>
      </c>
      <c r="AP41" s="241" t="s">
        <v>849</v>
      </c>
      <c r="AQ41" s="241"/>
      <c r="AR41" s="241"/>
      <c r="AS41" s="241"/>
      <c r="AT41" s="241" t="s">
        <v>306</v>
      </c>
      <c r="AU41" s="241" t="s">
        <v>306</v>
      </c>
      <c r="AV41" s="241" t="s">
        <v>306</v>
      </c>
      <c r="AW41" s="241" t="s">
        <v>306</v>
      </c>
      <c r="AX41" s="241">
        <f t="shared" si="2"/>
        <v>1</v>
      </c>
      <c r="AY41" s="241" t="str">
        <f t="shared" si="3"/>
        <v>K/1</v>
      </c>
      <c r="AZ41" s="241"/>
      <c r="BA41" s="237" t="s">
        <v>850</v>
      </c>
      <c r="BB41" s="249" t="s">
        <v>161</v>
      </c>
      <c r="BC41" s="241" t="s">
        <v>349</v>
      </c>
      <c r="BD41" s="241" t="s">
        <v>851</v>
      </c>
      <c r="BE41" s="241" t="s">
        <v>852</v>
      </c>
      <c r="BF41" s="241"/>
      <c r="BG41" s="241" t="s">
        <v>349</v>
      </c>
      <c r="BH41" s="241" t="s">
        <v>851</v>
      </c>
      <c r="BI41" s="241" t="s">
        <v>852</v>
      </c>
      <c r="BJ41" s="241"/>
      <c r="BK41" s="247">
        <v>53359</v>
      </c>
      <c r="BL41" s="247">
        <v>17199</v>
      </c>
      <c r="BM41" s="249"/>
      <c r="BN41" s="241"/>
      <c r="BO41" s="241"/>
      <c r="BP41" s="244"/>
      <c r="BQ41" s="244">
        <v>44475</v>
      </c>
      <c r="BR41" s="244"/>
      <c r="BS41" s="244"/>
      <c r="BT41" s="241"/>
      <c r="BU41" s="241"/>
      <c r="BV41" s="241"/>
      <c r="BW41" s="241"/>
      <c r="BX41" s="241"/>
      <c r="BY41" s="241"/>
      <c r="BZ41" s="241"/>
      <c r="CA41" s="241"/>
      <c r="CB41" s="241"/>
      <c r="CC41" s="241"/>
      <c r="CD41" s="241"/>
      <c r="CE41" s="241" t="e">
        <f>VLOOKUP(D41,[1]Sertifikasi!$B$4:$I$19,8,0)</f>
        <v>#N/A</v>
      </c>
      <c r="CF41" s="13"/>
      <c r="CG41" s="13"/>
      <c r="CH41" s="13"/>
    </row>
    <row r="42" spans="1:86" ht="11.25" customHeight="1" x14ac:dyDescent="0.2">
      <c r="A42" s="13"/>
      <c r="B42" s="238">
        <v>38</v>
      </c>
      <c r="C42" s="241" t="e">
        <f t="shared" ref="C42:C47" ca="1" si="7">DATEDIF($E$3,P42,"D")</f>
        <v>#NUM!</v>
      </c>
      <c r="D42" s="237" t="s">
        <v>853</v>
      </c>
      <c r="E42" s="239">
        <v>642001068</v>
      </c>
      <c r="F42" s="237">
        <v>1710003987552</v>
      </c>
      <c r="G42" s="240"/>
      <c r="H42" s="241" t="s">
        <v>217</v>
      </c>
      <c r="I42" s="241" t="s">
        <v>217</v>
      </c>
      <c r="J42" s="242">
        <v>42430</v>
      </c>
      <c r="K42" s="241"/>
      <c r="L42" s="241"/>
      <c r="M42" s="241" t="str">
        <f t="shared" si="6"/>
        <v>PKWT</v>
      </c>
      <c r="N42" s="241" t="s">
        <v>187</v>
      </c>
      <c r="O42" s="241"/>
      <c r="P42" s="243">
        <v>45657</v>
      </c>
      <c r="Q42" s="241"/>
      <c r="R42" s="241" t="s">
        <v>206</v>
      </c>
      <c r="S42" s="241" t="s">
        <v>6863</v>
      </c>
      <c r="T42" s="241" t="s">
        <v>312</v>
      </c>
      <c r="U42" s="241" t="s">
        <v>204</v>
      </c>
      <c r="V42" s="241" t="s">
        <v>6012</v>
      </c>
      <c r="W42" s="241" t="s">
        <v>6908</v>
      </c>
      <c r="X42" s="241" t="s">
        <v>18</v>
      </c>
      <c r="Y42" s="241" t="s">
        <v>313</v>
      </c>
      <c r="Z42" s="241" t="s">
        <v>854</v>
      </c>
      <c r="AA42" s="241" t="s">
        <v>337</v>
      </c>
      <c r="AB42" s="241" t="s">
        <v>314</v>
      </c>
      <c r="AC42" s="241" t="s">
        <v>217</v>
      </c>
      <c r="AD42" s="245">
        <v>31940</v>
      </c>
      <c r="AE42" s="241">
        <f t="shared" ca="1" si="1"/>
        <v>38</v>
      </c>
      <c r="AF42" s="246" t="s">
        <v>855</v>
      </c>
      <c r="AG42" s="241" t="s">
        <v>856</v>
      </c>
      <c r="AH42" s="240" t="s">
        <v>857</v>
      </c>
      <c r="AI42" s="240" t="s">
        <v>858</v>
      </c>
      <c r="AJ42" s="240"/>
      <c r="AK42" s="250" t="s">
        <v>859</v>
      </c>
      <c r="AL42" s="246" t="s">
        <v>860</v>
      </c>
      <c r="AM42" s="246">
        <v>16006272054</v>
      </c>
      <c r="AN42" s="241" t="s">
        <v>4733</v>
      </c>
      <c r="AO42" s="241" t="s">
        <v>861</v>
      </c>
      <c r="AP42" s="241" t="s">
        <v>862</v>
      </c>
      <c r="AQ42" s="241"/>
      <c r="AR42" s="241"/>
      <c r="AS42" s="241"/>
      <c r="AT42" s="241" t="s">
        <v>306</v>
      </c>
      <c r="AU42" s="241" t="s">
        <v>306</v>
      </c>
      <c r="AV42" s="241" t="s">
        <v>306</v>
      </c>
      <c r="AW42" s="241" t="s">
        <v>306</v>
      </c>
      <c r="AX42" s="241">
        <f t="shared" si="2"/>
        <v>1</v>
      </c>
      <c r="AY42" s="241" t="str">
        <f t="shared" si="3"/>
        <v>K/1</v>
      </c>
      <c r="AZ42" s="241"/>
      <c r="BA42" s="237"/>
      <c r="BB42" s="241" t="s">
        <v>161</v>
      </c>
      <c r="BC42" s="241" t="s">
        <v>307</v>
      </c>
      <c r="BD42" s="241" t="s">
        <v>308</v>
      </c>
      <c r="BE42" s="241" t="s">
        <v>863</v>
      </c>
      <c r="BF42" s="241">
        <v>2005</v>
      </c>
      <c r="BG42" s="241" t="s">
        <v>307</v>
      </c>
      <c r="BH42" s="241" t="s">
        <v>308</v>
      </c>
      <c r="BI42" s="241" t="s">
        <v>863</v>
      </c>
      <c r="BJ42" s="241">
        <v>2005</v>
      </c>
      <c r="BK42" s="247"/>
      <c r="BL42" s="247"/>
      <c r="BM42" s="241" t="s">
        <v>339</v>
      </c>
      <c r="BN42" s="241">
        <v>36</v>
      </c>
      <c r="BO42" s="241">
        <v>44</v>
      </c>
      <c r="BP42" s="244">
        <v>44308</v>
      </c>
      <c r="BQ42" s="244">
        <v>44336</v>
      </c>
      <c r="BR42" s="244">
        <v>44601</v>
      </c>
      <c r="BS42" s="244"/>
      <c r="BT42" s="241">
        <v>43467</v>
      </c>
      <c r="BU42" s="241">
        <v>43830</v>
      </c>
      <c r="BV42" s="241" t="s">
        <v>864</v>
      </c>
      <c r="BW42" s="241" t="s">
        <v>865</v>
      </c>
      <c r="BX42" s="241"/>
      <c r="BY42" s="241"/>
      <c r="BZ42" s="241"/>
      <c r="CA42" s="241"/>
      <c r="CB42" s="241"/>
      <c r="CC42" s="241"/>
      <c r="CD42" s="241"/>
      <c r="CE42" s="241" t="e">
        <f>VLOOKUP(D42,[1]Sertifikasi!$B$4:$I$19,8,0)</f>
        <v>#N/A</v>
      </c>
      <c r="CF42" s="13"/>
      <c r="CG42" s="13"/>
      <c r="CH42" s="13"/>
    </row>
    <row r="43" spans="1:86" ht="11.25" customHeight="1" x14ac:dyDescent="0.2">
      <c r="A43" s="13"/>
      <c r="B43" s="238">
        <v>39</v>
      </c>
      <c r="C43" s="241" t="e">
        <f t="shared" ca="1" si="7"/>
        <v>#NUM!</v>
      </c>
      <c r="D43" s="237" t="s">
        <v>866</v>
      </c>
      <c r="E43" s="239">
        <v>642001069</v>
      </c>
      <c r="F43" s="237">
        <v>1710004034404</v>
      </c>
      <c r="G43" s="240"/>
      <c r="H43" s="241" t="s">
        <v>217</v>
      </c>
      <c r="I43" s="241" t="s">
        <v>867</v>
      </c>
      <c r="J43" s="242">
        <v>42430</v>
      </c>
      <c r="K43" s="241"/>
      <c r="L43" s="241"/>
      <c r="M43" s="241" t="str">
        <f t="shared" si="6"/>
        <v>PKWT</v>
      </c>
      <c r="N43" s="241" t="s">
        <v>187</v>
      </c>
      <c r="O43" s="241"/>
      <c r="P43" s="243">
        <v>45657</v>
      </c>
      <c r="Q43" s="241"/>
      <c r="R43" s="241" t="s">
        <v>206</v>
      </c>
      <c r="S43" s="241" t="s">
        <v>6863</v>
      </c>
      <c r="T43" s="241" t="s">
        <v>312</v>
      </c>
      <c r="U43" s="241" t="s">
        <v>24</v>
      </c>
      <c r="V43" s="241" t="s">
        <v>443</v>
      </c>
      <c r="W43" s="241" t="s">
        <v>175</v>
      </c>
      <c r="X43" s="241" t="s">
        <v>121</v>
      </c>
      <c r="Y43" s="241" t="s">
        <v>313</v>
      </c>
      <c r="Z43" s="241" t="s">
        <v>462</v>
      </c>
      <c r="AA43" s="241" t="s">
        <v>337</v>
      </c>
      <c r="AB43" s="241" t="s">
        <v>314</v>
      </c>
      <c r="AC43" s="241" t="s">
        <v>867</v>
      </c>
      <c r="AD43" s="245">
        <v>35648</v>
      </c>
      <c r="AE43" s="241">
        <f t="shared" ca="1" si="1"/>
        <v>28</v>
      </c>
      <c r="AF43" s="246" t="s">
        <v>868</v>
      </c>
      <c r="AG43" s="241" t="s">
        <v>869</v>
      </c>
      <c r="AH43" s="240" t="s">
        <v>870</v>
      </c>
      <c r="AI43" s="240"/>
      <c r="AJ43" s="240"/>
      <c r="AK43" s="241" t="s">
        <v>871</v>
      </c>
      <c r="AL43" s="246" t="s">
        <v>872</v>
      </c>
      <c r="AM43" s="246">
        <v>16013068693</v>
      </c>
      <c r="AN43" s="241" t="s">
        <v>4716</v>
      </c>
      <c r="AO43" s="241"/>
      <c r="AP43" s="241"/>
      <c r="AQ43" s="241"/>
      <c r="AR43" s="241"/>
      <c r="AS43" s="241"/>
      <c r="AT43" s="241" t="s">
        <v>873</v>
      </c>
      <c r="AU43" s="241" t="s">
        <v>874</v>
      </c>
      <c r="AV43" s="241" t="s">
        <v>306</v>
      </c>
      <c r="AW43" s="241" t="s">
        <v>306</v>
      </c>
      <c r="AX43" s="241">
        <f t="shared" si="2"/>
        <v>0</v>
      </c>
      <c r="AY43" s="241" t="str">
        <f t="shared" si="3"/>
        <v>TK/0</v>
      </c>
      <c r="AZ43" s="241" t="s">
        <v>875</v>
      </c>
      <c r="BA43" s="237" t="s">
        <v>875</v>
      </c>
      <c r="BB43" s="241" t="s">
        <v>161</v>
      </c>
      <c r="BC43" s="241" t="s">
        <v>349</v>
      </c>
      <c r="BD43" s="241" t="s">
        <v>527</v>
      </c>
      <c r="BE43" s="241" t="s">
        <v>876</v>
      </c>
      <c r="BF43" s="241">
        <v>2015</v>
      </c>
      <c r="BG43" s="241" t="s">
        <v>475</v>
      </c>
      <c r="BH43" s="241" t="s">
        <v>527</v>
      </c>
      <c r="BI43" s="241" t="s">
        <v>876</v>
      </c>
      <c r="BJ43" s="241">
        <v>2015</v>
      </c>
      <c r="BK43" s="247"/>
      <c r="BL43" s="247"/>
      <c r="BM43" s="241" t="s">
        <v>360</v>
      </c>
      <c r="BN43" s="241">
        <v>29</v>
      </c>
      <c r="BO43" s="241">
        <v>42</v>
      </c>
      <c r="BP43" s="244"/>
      <c r="BQ43" s="244"/>
      <c r="BR43" s="244"/>
      <c r="BS43" s="244"/>
      <c r="BT43" s="241">
        <v>43467</v>
      </c>
      <c r="BU43" s="241">
        <v>43830</v>
      </c>
      <c r="BV43" s="241" t="s">
        <v>877</v>
      </c>
      <c r="BW43" s="241" t="s">
        <v>878</v>
      </c>
      <c r="BX43" s="241"/>
      <c r="BY43" s="241"/>
      <c r="BZ43" s="241"/>
      <c r="CA43" s="241"/>
      <c r="CB43" s="241"/>
      <c r="CC43" s="241"/>
      <c r="CD43" s="241"/>
      <c r="CE43" s="241" t="e">
        <f>VLOOKUP(D43,[1]Sertifikasi!$B$4:$I$19,8,0)</f>
        <v>#N/A</v>
      </c>
      <c r="CF43" s="13"/>
      <c r="CG43" s="13"/>
      <c r="CH43" s="13"/>
    </row>
    <row r="44" spans="1:86" ht="11.25" customHeight="1" x14ac:dyDescent="0.2">
      <c r="A44" s="13"/>
      <c r="B44" s="238">
        <v>40</v>
      </c>
      <c r="C44" s="241" t="e">
        <f t="shared" ca="1" si="7"/>
        <v>#NUM!</v>
      </c>
      <c r="D44" s="237" t="s">
        <v>879</v>
      </c>
      <c r="E44" s="239">
        <v>642001067</v>
      </c>
      <c r="F44" s="237">
        <v>1710003988436</v>
      </c>
      <c r="G44" s="240"/>
      <c r="H44" s="241" t="s">
        <v>217</v>
      </c>
      <c r="I44" s="241" t="s">
        <v>217</v>
      </c>
      <c r="J44" s="242">
        <v>42430</v>
      </c>
      <c r="K44" s="241"/>
      <c r="L44" s="241"/>
      <c r="M44" s="241" t="str">
        <f t="shared" si="6"/>
        <v>PKWT</v>
      </c>
      <c r="N44" s="241" t="s">
        <v>187</v>
      </c>
      <c r="O44" s="241"/>
      <c r="P44" s="243">
        <v>45657</v>
      </c>
      <c r="Q44" s="241"/>
      <c r="R44" s="241" t="s">
        <v>206</v>
      </c>
      <c r="S44" s="241" t="s">
        <v>6863</v>
      </c>
      <c r="T44" s="241" t="s">
        <v>296</v>
      </c>
      <c r="U44" s="241" t="s">
        <v>49</v>
      </c>
      <c r="V44" s="241" t="s">
        <v>668</v>
      </c>
      <c r="W44" s="241" t="s">
        <v>119</v>
      </c>
      <c r="X44" s="241" t="s">
        <v>120</v>
      </c>
      <c r="Y44" s="241" t="s">
        <v>313</v>
      </c>
      <c r="Z44" s="241"/>
      <c r="AA44" s="241" t="s">
        <v>337</v>
      </c>
      <c r="AB44" s="241" t="s">
        <v>314</v>
      </c>
      <c r="AC44" s="241" t="s">
        <v>217</v>
      </c>
      <c r="AD44" s="245">
        <v>33941</v>
      </c>
      <c r="AE44" s="241">
        <f t="shared" ca="1" si="1"/>
        <v>32</v>
      </c>
      <c r="AF44" s="246" t="s">
        <v>880</v>
      </c>
      <c r="AG44" s="241" t="s">
        <v>881</v>
      </c>
      <c r="AH44" s="240" t="s">
        <v>882</v>
      </c>
      <c r="AI44" s="240"/>
      <c r="AJ44" s="240"/>
      <c r="AK44" s="241" t="s">
        <v>883</v>
      </c>
      <c r="AL44" s="246" t="s">
        <v>884</v>
      </c>
      <c r="AM44" s="246">
        <v>16006272070</v>
      </c>
      <c r="AN44" s="241" t="s">
        <v>6821</v>
      </c>
      <c r="AO44" s="241"/>
      <c r="AP44" s="241"/>
      <c r="AQ44" s="241"/>
      <c r="AR44" s="241"/>
      <c r="AS44" s="241"/>
      <c r="AT44" s="241" t="s">
        <v>306</v>
      </c>
      <c r="AU44" s="241" t="s">
        <v>306</v>
      </c>
      <c r="AV44" s="241" t="s">
        <v>306</v>
      </c>
      <c r="AW44" s="241" t="s">
        <v>306</v>
      </c>
      <c r="AX44" s="241">
        <f t="shared" si="2"/>
        <v>0</v>
      </c>
      <c r="AY44" s="241" t="str">
        <f t="shared" si="3"/>
        <v>TK/0</v>
      </c>
      <c r="AZ44" s="241" t="s">
        <v>885</v>
      </c>
      <c r="BA44" s="237" t="s">
        <v>885</v>
      </c>
      <c r="BB44" s="241" t="s">
        <v>161</v>
      </c>
      <c r="BC44" s="241" t="s">
        <v>349</v>
      </c>
      <c r="BD44" s="241" t="s">
        <v>515</v>
      </c>
      <c r="BE44" s="241" t="s">
        <v>350</v>
      </c>
      <c r="BF44" s="241">
        <v>2012</v>
      </c>
      <c r="BG44" s="241" t="s">
        <v>475</v>
      </c>
      <c r="BH44" s="241" t="s">
        <v>515</v>
      </c>
      <c r="BI44" s="241" t="s">
        <v>350</v>
      </c>
      <c r="BJ44" s="241">
        <v>2012</v>
      </c>
      <c r="BK44" s="247"/>
      <c r="BL44" s="247"/>
      <c r="BM44" s="241" t="s">
        <v>360</v>
      </c>
      <c r="BN44" s="241">
        <v>30</v>
      </c>
      <c r="BO44" s="241">
        <v>42</v>
      </c>
      <c r="BP44" s="244">
        <v>44294</v>
      </c>
      <c r="BQ44" s="244">
        <v>44322</v>
      </c>
      <c r="BR44" s="244">
        <v>44601</v>
      </c>
      <c r="BS44" s="244"/>
      <c r="BT44" s="241">
        <v>43467</v>
      </c>
      <c r="BU44" s="241">
        <v>43830</v>
      </c>
      <c r="BV44" s="241" t="s">
        <v>886</v>
      </c>
      <c r="BW44" s="241" t="s">
        <v>887</v>
      </c>
      <c r="BX44" s="241"/>
      <c r="BY44" s="241"/>
      <c r="BZ44" s="241"/>
      <c r="CA44" s="241"/>
      <c r="CB44" s="241"/>
      <c r="CC44" s="241"/>
      <c r="CD44" s="241"/>
      <c r="CE44" s="241" t="e">
        <f>VLOOKUP(D44,[1]Sertifikasi!$B$4:$I$19,8,0)</f>
        <v>#N/A</v>
      </c>
      <c r="CF44" s="13"/>
      <c r="CG44" s="13"/>
      <c r="CH44" s="13"/>
    </row>
    <row r="45" spans="1:86" ht="11.25" customHeight="1" x14ac:dyDescent="0.2">
      <c r="A45" s="13"/>
      <c r="B45" s="238">
        <v>41</v>
      </c>
      <c r="C45" s="241" t="e">
        <f t="shared" ca="1" si="7"/>
        <v>#NUM!</v>
      </c>
      <c r="D45" s="237" t="s">
        <v>888</v>
      </c>
      <c r="E45" s="239">
        <v>642001065</v>
      </c>
      <c r="F45" s="237">
        <v>1710003987339</v>
      </c>
      <c r="G45" s="240"/>
      <c r="H45" s="241" t="s">
        <v>217</v>
      </c>
      <c r="I45" s="241" t="s">
        <v>217</v>
      </c>
      <c r="J45" s="242">
        <v>42461</v>
      </c>
      <c r="K45" s="241"/>
      <c r="L45" s="241"/>
      <c r="M45" s="241" t="str">
        <f t="shared" si="6"/>
        <v>PKWT</v>
      </c>
      <c r="N45" s="241" t="s">
        <v>187</v>
      </c>
      <c r="O45" s="241"/>
      <c r="P45" s="243">
        <v>45657</v>
      </c>
      <c r="Q45" s="241"/>
      <c r="R45" s="241" t="s">
        <v>206</v>
      </c>
      <c r="S45" s="241" t="s">
        <v>6863</v>
      </c>
      <c r="T45" s="241" t="s">
        <v>312</v>
      </c>
      <c r="U45" s="241" t="s">
        <v>24</v>
      </c>
      <c r="V45" s="241" t="s">
        <v>443</v>
      </c>
      <c r="W45" s="241" t="s">
        <v>175</v>
      </c>
      <c r="X45" s="241" t="s">
        <v>121</v>
      </c>
      <c r="Y45" s="241" t="s">
        <v>313</v>
      </c>
      <c r="Z45" s="241" t="s">
        <v>462</v>
      </c>
      <c r="AA45" s="241" t="s">
        <v>337</v>
      </c>
      <c r="AB45" s="241" t="s">
        <v>314</v>
      </c>
      <c r="AC45" s="241" t="s">
        <v>217</v>
      </c>
      <c r="AD45" s="245">
        <v>35249</v>
      </c>
      <c r="AE45" s="241">
        <f t="shared" ca="1" si="1"/>
        <v>29</v>
      </c>
      <c r="AF45" s="246" t="s">
        <v>889</v>
      </c>
      <c r="AG45" s="241" t="s">
        <v>890</v>
      </c>
      <c r="AH45" s="240" t="s">
        <v>891</v>
      </c>
      <c r="AI45" s="240"/>
      <c r="AJ45" s="240"/>
      <c r="AK45" s="241" t="s">
        <v>892</v>
      </c>
      <c r="AL45" s="246" t="s">
        <v>893</v>
      </c>
      <c r="AM45" s="246">
        <v>16030084418</v>
      </c>
      <c r="AN45" s="241" t="s">
        <v>4733</v>
      </c>
      <c r="AO45" s="241" t="s">
        <v>894</v>
      </c>
      <c r="AP45" s="241" t="s">
        <v>895</v>
      </c>
      <c r="AQ45" s="241"/>
      <c r="AR45" s="241"/>
      <c r="AS45" s="241"/>
      <c r="AT45" s="241" t="s">
        <v>896</v>
      </c>
      <c r="AU45" s="241" t="s">
        <v>897</v>
      </c>
      <c r="AV45" s="241" t="s">
        <v>898</v>
      </c>
      <c r="AW45" s="241" t="s">
        <v>899</v>
      </c>
      <c r="AX45" s="241">
        <f t="shared" si="2"/>
        <v>1</v>
      </c>
      <c r="AY45" s="241" t="str">
        <f t="shared" si="3"/>
        <v>K/1</v>
      </c>
      <c r="AZ45" s="241" t="s">
        <v>900</v>
      </c>
      <c r="BA45" s="237" t="s">
        <v>901</v>
      </c>
      <c r="BB45" s="241" t="s">
        <v>161</v>
      </c>
      <c r="BC45" s="241" t="s">
        <v>349</v>
      </c>
      <c r="BD45" s="241" t="s">
        <v>91</v>
      </c>
      <c r="BE45" s="241" t="s">
        <v>350</v>
      </c>
      <c r="BF45" s="241">
        <v>2015</v>
      </c>
      <c r="BG45" s="241" t="s">
        <v>475</v>
      </c>
      <c r="BH45" s="241" t="s">
        <v>91</v>
      </c>
      <c r="BI45" s="241" t="s">
        <v>350</v>
      </c>
      <c r="BJ45" s="241">
        <v>2015</v>
      </c>
      <c r="BK45" s="247"/>
      <c r="BL45" s="247"/>
      <c r="BM45" s="241" t="s">
        <v>351</v>
      </c>
      <c r="BN45" s="241">
        <v>31</v>
      </c>
      <c r="BO45" s="241">
        <v>41</v>
      </c>
      <c r="BP45" s="244">
        <v>44293</v>
      </c>
      <c r="BQ45" s="244">
        <v>44322</v>
      </c>
      <c r="BR45" s="244"/>
      <c r="BS45" s="244"/>
      <c r="BT45" s="241">
        <v>43467</v>
      </c>
      <c r="BU45" s="241">
        <v>43830</v>
      </c>
      <c r="BV45" s="241" t="s">
        <v>902</v>
      </c>
      <c r="BW45" s="241" t="s">
        <v>903</v>
      </c>
      <c r="BX45" s="241"/>
      <c r="BY45" s="241"/>
      <c r="BZ45" s="241"/>
      <c r="CA45" s="241"/>
      <c r="CB45" s="241"/>
      <c r="CC45" s="241"/>
      <c r="CD45" s="241"/>
      <c r="CE45" s="241" t="e">
        <f>VLOOKUP(D45,[1]Sertifikasi!$B$4:$I$19,8,0)</f>
        <v>#N/A</v>
      </c>
      <c r="CF45" s="13"/>
      <c r="CG45" s="13"/>
      <c r="CH45" s="13"/>
    </row>
    <row r="46" spans="1:86" ht="11.25" customHeight="1" x14ac:dyDescent="0.2">
      <c r="A46" s="13"/>
      <c r="B46" s="238">
        <v>42</v>
      </c>
      <c r="C46" s="241" t="e">
        <f t="shared" ca="1" si="7"/>
        <v>#NUM!</v>
      </c>
      <c r="D46" s="237" t="s">
        <v>904</v>
      </c>
      <c r="E46" s="239">
        <v>642001062</v>
      </c>
      <c r="F46" s="237">
        <v>1710003988071</v>
      </c>
      <c r="G46" s="240"/>
      <c r="H46" s="241" t="s">
        <v>217</v>
      </c>
      <c r="I46" s="241" t="s">
        <v>217</v>
      </c>
      <c r="J46" s="242">
        <v>42491</v>
      </c>
      <c r="K46" s="241"/>
      <c r="L46" s="241"/>
      <c r="M46" s="241" t="str">
        <f t="shared" si="6"/>
        <v>PKWT</v>
      </c>
      <c r="N46" s="241" t="s">
        <v>187</v>
      </c>
      <c r="O46" s="241"/>
      <c r="P46" s="243">
        <v>45657</v>
      </c>
      <c r="Q46" s="241"/>
      <c r="R46" s="241" t="s">
        <v>206</v>
      </c>
      <c r="S46" s="241" t="s">
        <v>6863</v>
      </c>
      <c r="T46" s="241" t="s">
        <v>312</v>
      </c>
      <c r="U46" s="241" t="s">
        <v>204</v>
      </c>
      <c r="V46" s="241" t="s">
        <v>208</v>
      </c>
      <c r="W46" s="241" t="s">
        <v>6908</v>
      </c>
      <c r="X46" s="241" t="s">
        <v>18</v>
      </c>
      <c r="Y46" s="241" t="s">
        <v>313</v>
      </c>
      <c r="Z46" s="241" t="s">
        <v>173</v>
      </c>
      <c r="AA46" s="241" t="s">
        <v>337</v>
      </c>
      <c r="AB46" s="241" t="s">
        <v>314</v>
      </c>
      <c r="AC46" s="241" t="s">
        <v>217</v>
      </c>
      <c r="AD46" s="245">
        <v>35470</v>
      </c>
      <c r="AE46" s="241">
        <f t="shared" ca="1" si="1"/>
        <v>28</v>
      </c>
      <c r="AF46" s="246" t="s">
        <v>905</v>
      </c>
      <c r="AG46" s="241" t="s">
        <v>906</v>
      </c>
      <c r="AH46" s="240" t="s">
        <v>907</v>
      </c>
      <c r="AI46" s="240"/>
      <c r="AJ46" s="240"/>
      <c r="AK46" s="241" t="s">
        <v>908</v>
      </c>
      <c r="AL46" s="246" t="s">
        <v>909</v>
      </c>
      <c r="AM46" s="246">
        <v>16030084350</v>
      </c>
      <c r="AN46" s="241" t="s">
        <v>4716</v>
      </c>
      <c r="AO46" s="241"/>
      <c r="AP46" s="241"/>
      <c r="AQ46" s="241"/>
      <c r="AR46" s="241"/>
      <c r="AS46" s="241"/>
      <c r="AT46" s="241" t="s">
        <v>306</v>
      </c>
      <c r="AU46" s="241" t="s">
        <v>910</v>
      </c>
      <c r="AV46" s="241" t="s">
        <v>306</v>
      </c>
      <c r="AW46" s="241" t="s">
        <v>306</v>
      </c>
      <c r="AX46" s="241">
        <f t="shared" si="2"/>
        <v>0</v>
      </c>
      <c r="AY46" s="241" t="str">
        <f t="shared" si="3"/>
        <v>TK/0</v>
      </c>
      <c r="AZ46" s="241" t="s">
        <v>911</v>
      </c>
      <c r="BA46" s="237" t="s">
        <v>911</v>
      </c>
      <c r="BB46" s="241" t="s">
        <v>161</v>
      </c>
      <c r="BC46" s="241" t="s">
        <v>349</v>
      </c>
      <c r="BD46" s="241" t="s">
        <v>91</v>
      </c>
      <c r="BE46" s="241" t="s">
        <v>350</v>
      </c>
      <c r="BF46" s="241">
        <v>2016</v>
      </c>
      <c r="BG46" s="241" t="s">
        <v>475</v>
      </c>
      <c r="BH46" s="241" t="s">
        <v>91</v>
      </c>
      <c r="BI46" s="241" t="s">
        <v>350</v>
      </c>
      <c r="BJ46" s="241">
        <v>2016</v>
      </c>
      <c r="BK46" s="247"/>
      <c r="BL46" s="247"/>
      <c r="BM46" s="241" t="s">
        <v>351</v>
      </c>
      <c r="BN46" s="241">
        <v>33</v>
      </c>
      <c r="BO46" s="241">
        <v>42</v>
      </c>
      <c r="BP46" s="244">
        <v>44293</v>
      </c>
      <c r="BQ46" s="244">
        <v>44322</v>
      </c>
      <c r="BR46" s="244"/>
      <c r="BS46" s="244"/>
      <c r="BT46" s="241">
        <v>43467</v>
      </c>
      <c r="BU46" s="241">
        <v>43830</v>
      </c>
      <c r="BV46" s="241" t="s">
        <v>912</v>
      </c>
      <c r="BW46" s="241" t="e">
        <v>#REF!</v>
      </c>
      <c r="BX46" s="241"/>
      <c r="BY46" s="241"/>
      <c r="BZ46" s="241"/>
      <c r="CA46" s="241"/>
      <c r="CB46" s="241"/>
      <c r="CC46" s="241"/>
      <c r="CD46" s="241"/>
      <c r="CE46" s="241" t="e">
        <f>VLOOKUP(D46,[1]Sertifikasi!$B$4:$I$19,8,0)</f>
        <v>#N/A</v>
      </c>
      <c r="CF46" s="13"/>
      <c r="CG46" s="13"/>
      <c r="CH46" s="13"/>
    </row>
    <row r="47" spans="1:86" ht="11.25" customHeight="1" x14ac:dyDescent="0.2">
      <c r="A47" s="13"/>
      <c r="B47" s="238">
        <v>43</v>
      </c>
      <c r="C47" s="241" t="e">
        <f t="shared" ca="1" si="7"/>
        <v>#NUM!</v>
      </c>
      <c r="D47" s="237" t="s">
        <v>913</v>
      </c>
      <c r="E47" s="239">
        <v>642001061</v>
      </c>
      <c r="F47" s="237">
        <v>1710003987149</v>
      </c>
      <c r="G47" s="240"/>
      <c r="H47" s="241" t="s">
        <v>217</v>
      </c>
      <c r="I47" s="241" t="s">
        <v>217</v>
      </c>
      <c r="J47" s="242">
        <v>42491</v>
      </c>
      <c r="K47" s="241"/>
      <c r="L47" s="241"/>
      <c r="M47" s="241" t="str">
        <f t="shared" si="6"/>
        <v>PKWT</v>
      </c>
      <c r="N47" s="241" t="s">
        <v>187</v>
      </c>
      <c r="O47" s="241"/>
      <c r="P47" s="243">
        <v>45657</v>
      </c>
      <c r="Q47" s="241"/>
      <c r="R47" s="241" t="s">
        <v>206</v>
      </c>
      <c r="S47" s="241" t="s">
        <v>6863</v>
      </c>
      <c r="T47" s="241" t="s">
        <v>312</v>
      </c>
      <c r="U47" s="241" t="s">
        <v>29</v>
      </c>
      <c r="V47" s="241" t="s">
        <v>461</v>
      </c>
      <c r="W47" s="241" t="s">
        <v>127</v>
      </c>
      <c r="X47" s="241" t="s">
        <v>122</v>
      </c>
      <c r="Y47" s="241" t="s">
        <v>313</v>
      </c>
      <c r="Z47" s="241"/>
      <c r="AA47" s="241" t="s">
        <v>337</v>
      </c>
      <c r="AB47" s="241" t="s">
        <v>314</v>
      </c>
      <c r="AC47" s="241" t="s">
        <v>217</v>
      </c>
      <c r="AD47" s="245">
        <v>26241</v>
      </c>
      <c r="AE47" s="241">
        <f t="shared" ca="1" si="1"/>
        <v>53</v>
      </c>
      <c r="AF47" s="246" t="s">
        <v>914</v>
      </c>
      <c r="AG47" s="241" t="s">
        <v>915</v>
      </c>
      <c r="AH47" s="240" t="s">
        <v>916</v>
      </c>
      <c r="AI47" s="240"/>
      <c r="AJ47" s="240"/>
      <c r="AK47" s="241" t="s">
        <v>917</v>
      </c>
      <c r="AL47" s="246" t="s">
        <v>918</v>
      </c>
      <c r="AM47" s="246">
        <v>16030084392</v>
      </c>
      <c r="AN47" s="241" t="s">
        <v>4733</v>
      </c>
      <c r="AO47" s="241" t="s">
        <v>919</v>
      </c>
      <c r="AP47" s="241" t="s">
        <v>920</v>
      </c>
      <c r="AQ47" s="241"/>
      <c r="AR47" s="241"/>
      <c r="AS47" s="241"/>
      <c r="AT47" s="241" t="s">
        <v>921</v>
      </c>
      <c r="AU47" s="241" t="s">
        <v>922</v>
      </c>
      <c r="AV47" s="241" t="s">
        <v>923</v>
      </c>
      <c r="AW47" s="241" t="s">
        <v>924</v>
      </c>
      <c r="AX47" s="241">
        <f t="shared" si="2"/>
        <v>1</v>
      </c>
      <c r="AY47" s="241" t="str">
        <f t="shared" si="3"/>
        <v>K/1</v>
      </c>
      <c r="AZ47" s="241" t="s">
        <v>925</v>
      </c>
      <c r="BA47" s="237" t="s">
        <v>926</v>
      </c>
      <c r="BB47" s="241" t="s">
        <v>161</v>
      </c>
      <c r="BC47" s="241" t="s">
        <v>349</v>
      </c>
      <c r="BD47" s="241" t="s">
        <v>515</v>
      </c>
      <c r="BE47" s="241" t="s">
        <v>516</v>
      </c>
      <c r="BF47" s="241">
        <v>1999</v>
      </c>
      <c r="BG47" s="241" t="s">
        <v>475</v>
      </c>
      <c r="BH47" s="241" t="s">
        <v>515</v>
      </c>
      <c r="BI47" s="241" t="s">
        <v>516</v>
      </c>
      <c r="BJ47" s="241">
        <v>1999</v>
      </c>
      <c r="BK47" s="247"/>
      <c r="BL47" s="247"/>
      <c r="BM47" s="241" t="s">
        <v>339</v>
      </c>
      <c r="BN47" s="241">
        <v>36</v>
      </c>
      <c r="BO47" s="241">
        <v>43</v>
      </c>
      <c r="BP47" s="244"/>
      <c r="BQ47" s="244"/>
      <c r="BR47" s="244"/>
      <c r="BS47" s="244"/>
      <c r="BT47" s="241">
        <v>43467</v>
      </c>
      <c r="BU47" s="241">
        <v>43830</v>
      </c>
      <c r="BV47" s="241" t="s">
        <v>927</v>
      </c>
      <c r="BW47" s="241" t="e">
        <v>#REF!</v>
      </c>
      <c r="BX47" s="241"/>
      <c r="BY47" s="241"/>
      <c r="BZ47" s="241"/>
      <c r="CA47" s="241"/>
      <c r="CB47" s="241"/>
      <c r="CC47" s="241"/>
      <c r="CD47" s="241"/>
      <c r="CE47" s="241" t="e">
        <f>VLOOKUP(D47,[1]Sertifikasi!$B$4:$I$19,8,0)</f>
        <v>#N/A</v>
      </c>
      <c r="CF47" s="13"/>
      <c r="CG47" s="13"/>
      <c r="CH47" s="13"/>
    </row>
    <row r="48" spans="1:86" ht="11.25" customHeight="1" x14ac:dyDescent="0.2">
      <c r="A48" s="13"/>
      <c r="B48" s="238">
        <v>44</v>
      </c>
      <c r="C48" s="248" t="s">
        <v>292</v>
      </c>
      <c r="D48" s="237" t="s">
        <v>69</v>
      </c>
      <c r="E48" s="239">
        <v>972000054</v>
      </c>
      <c r="F48" s="237">
        <v>1710003987776</v>
      </c>
      <c r="G48" s="240"/>
      <c r="H48" s="249" t="s">
        <v>217</v>
      </c>
      <c r="I48" s="241" t="s">
        <v>432</v>
      </c>
      <c r="J48" s="242">
        <v>42491</v>
      </c>
      <c r="K48" s="241"/>
      <c r="L48" s="241"/>
      <c r="M48" s="241" t="str">
        <f t="shared" si="6"/>
        <v>ORGANIK IMSS</v>
      </c>
      <c r="N48" s="241" t="s">
        <v>187</v>
      </c>
      <c r="O48" s="241" t="s">
        <v>777</v>
      </c>
      <c r="P48" s="243">
        <v>43899</v>
      </c>
      <c r="Q48" s="244"/>
      <c r="R48" s="241" t="s">
        <v>139</v>
      </c>
      <c r="S48" s="241" t="s">
        <v>6863</v>
      </c>
      <c r="T48" s="241" t="s">
        <v>296</v>
      </c>
      <c r="U48" s="241" t="s">
        <v>187</v>
      </c>
      <c r="V48" s="241" t="s">
        <v>6996</v>
      </c>
      <c r="W48" s="241" t="s">
        <v>6996</v>
      </c>
      <c r="X48" s="241" t="s">
        <v>59</v>
      </c>
      <c r="Y48" s="241" t="s">
        <v>298</v>
      </c>
      <c r="Z48" s="241"/>
      <c r="AA48" s="241"/>
      <c r="AB48" s="241" t="s">
        <v>132</v>
      </c>
      <c r="AC48" s="241" t="s">
        <v>432</v>
      </c>
      <c r="AD48" s="245">
        <v>33588</v>
      </c>
      <c r="AE48" s="241">
        <f t="shared" ca="1" si="1"/>
        <v>33</v>
      </c>
      <c r="AF48" s="246" t="s">
        <v>928</v>
      </c>
      <c r="AG48" s="241" t="s">
        <v>929</v>
      </c>
      <c r="AH48" s="240" t="s">
        <v>930</v>
      </c>
      <c r="AI48" s="240"/>
      <c r="AJ48" s="240"/>
      <c r="AK48" s="250" t="s">
        <v>931</v>
      </c>
      <c r="AL48" s="246" t="s">
        <v>932</v>
      </c>
      <c r="AM48" s="246">
        <v>16030084376</v>
      </c>
      <c r="AN48" s="241" t="s">
        <v>4733</v>
      </c>
      <c r="AO48" s="241"/>
      <c r="AP48" s="241"/>
      <c r="AQ48" s="241"/>
      <c r="AR48" s="241"/>
      <c r="AS48" s="241"/>
      <c r="AT48" s="241" t="s">
        <v>306</v>
      </c>
      <c r="AU48" s="241" t="s">
        <v>306</v>
      </c>
      <c r="AV48" s="241" t="s">
        <v>306</v>
      </c>
      <c r="AW48" s="241" t="s">
        <v>306</v>
      </c>
      <c r="AX48" s="241">
        <f t="shared" si="2"/>
        <v>0</v>
      </c>
      <c r="AY48" s="241" t="str">
        <f t="shared" si="3"/>
        <v>K/0</v>
      </c>
      <c r="AZ48" s="241"/>
      <c r="BA48" s="237"/>
      <c r="BB48" s="249" t="s">
        <v>161</v>
      </c>
      <c r="BC48" s="241" t="s">
        <v>70</v>
      </c>
      <c r="BD48" s="241" t="s">
        <v>4502</v>
      </c>
      <c r="BE48" s="241" t="s">
        <v>72</v>
      </c>
      <c r="BF48" s="241">
        <v>2014</v>
      </c>
      <c r="BG48" s="241" t="s">
        <v>70</v>
      </c>
      <c r="BH48" s="241" t="s">
        <v>4502</v>
      </c>
      <c r="BI48" s="241" t="s">
        <v>72</v>
      </c>
      <c r="BJ48" s="241">
        <v>2014</v>
      </c>
      <c r="BK48" s="247">
        <v>53760</v>
      </c>
      <c r="BL48" s="247">
        <v>54125</v>
      </c>
      <c r="BM48" s="242"/>
      <c r="BN48" s="241"/>
      <c r="BO48" s="241"/>
      <c r="BP48" s="244"/>
      <c r="BQ48" s="244"/>
      <c r="BR48" s="244">
        <v>44793</v>
      </c>
      <c r="BS48" s="244"/>
      <c r="BT48" s="241"/>
      <c r="BU48" s="241"/>
      <c r="BV48" s="241"/>
      <c r="BW48" s="241"/>
      <c r="BX48" s="241"/>
      <c r="BY48" s="241"/>
      <c r="BZ48" s="241"/>
      <c r="CA48" s="241"/>
      <c r="CB48" s="241"/>
      <c r="CC48" s="241"/>
      <c r="CD48" s="241"/>
      <c r="CE48" s="241" t="e">
        <f>VLOOKUP(D48,[1]Sertifikasi!$B$4:$I$19,8,0)</f>
        <v>#N/A</v>
      </c>
      <c r="CF48" s="13"/>
      <c r="CG48" s="13"/>
      <c r="CH48" s="13"/>
    </row>
    <row r="49" spans="1:86" ht="11.25" customHeight="1" x14ac:dyDescent="0.2">
      <c r="A49" s="13"/>
      <c r="B49" s="238">
        <v>45</v>
      </c>
      <c r="C49" s="241" t="e">
        <f t="shared" ref="C49:C55" ca="1" si="8">DATEDIF($E$3,P49,"D")</f>
        <v>#NUM!</v>
      </c>
      <c r="D49" s="237" t="s">
        <v>933</v>
      </c>
      <c r="E49" s="239">
        <v>642001060</v>
      </c>
      <c r="F49" s="237">
        <v>1710003987560</v>
      </c>
      <c r="G49" s="240"/>
      <c r="H49" s="241" t="s">
        <v>217</v>
      </c>
      <c r="I49" s="241" t="s">
        <v>217</v>
      </c>
      <c r="J49" s="242">
        <v>42522</v>
      </c>
      <c r="K49" s="241"/>
      <c r="L49" s="241"/>
      <c r="M49" s="241" t="str">
        <f t="shared" si="6"/>
        <v>PKWT</v>
      </c>
      <c r="N49" s="241" t="s">
        <v>187</v>
      </c>
      <c r="O49" s="241"/>
      <c r="P49" s="243">
        <v>45657</v>
      </c>
      <c r="Q49" s="241"/>
      <c r="R49" s="241" t="s">
        <v>206</v>
      </c>
      <c r="S49" s="241" t="s">
        <v>6863</v>
      </c>
      <c r="T49" s="241" t="s">
        <v>312</v>
      </c>
      <c r="U49" s="241" t="s">
        <v>204</v>
      </c>
      <c r="V49" s="241" t="s">
        <v>208</v>
      </c>
      <c r="W49" s="241" t="s">
        <v>6908</v>
      </c>
      <c r="X49" s="241" t="s">
        <v>18</v>
      </c>
      <c r="Y49" s="241" t="s">
        <v>313</v>
      </c>
      <c r="Z49" s="241"/>
      <c r="AA49" s="241" t="s">
        <v>337</v>
      </c>
      <c r="AB49" s="241" t="s">
        <v>314</v>
      </c>
      <c r="AC49" s="241" t="s">
        <v>217</v>
      </c>
      <c r="AD49" s="245">
        <v>24603</v>
      </c>
      <c r="AE49" s="241">
        <f t="shared" ca="1" si="1"/>
        <v>58</v>
      </c>
      <c r="AF49" s="246" t="s">
        <v>934</v>
      </c>
      <c r="AG49" s="241" t="s">
        <v>935</v>
      </c>
      <c r="AH49" s="240" t="s">
        <v>936</v>
      </c>
      <c r="AI49" s="240"/>
      <c r="AJ49" s="240"/>
      <c r="AK49" s="241" t="s">
        <v>937</v>
      </c>
      <c r="AL49" s="246" t="s">
        <v>938</v>
      </c>
      <c r="AM49" s="246">
        <v>16040373561</v>
      </c>
      <c r="AN49" s="241" t="s">
        <v>4733</v>
      </c>
      <c r="AO49" s="241" t="s">
        <v>939</v>
      </c>
      <c r="AP49" s="241" t="s">
        <v>940</v>
      </c>
      <c r="AQ49" s="241" t="s">
        <v>941</v>
      </c>
      <c r="AR49" s="241"/>
      <c r="AS49" s="241"/>
      <c r="AT49" s="241" t="s">
        <v>942</v>
      </c>
      <c r="AU49" s="241" t="s">
        <v>943</v>
      </c>
      <c r="AV49" s="241" t="s">
        <v>944</v>
      </c>
      <c r="AW49" s="241" t="s">
        <v>945</v>
      </c>
      <c r="AX49" s="241">
        <f t="shared" si="2"/>
        <v>2</v>
      </c>
      <c r="AY49" s="241" t="str">
        <f t="shared" si="3"/>
        <v>K/2</v>
      </c>
      <c r="AZ49" s="241" t="s">
        <v>946</v>
      </c>
      <c r="BA49" s="241" t="s">
        <v>946</v>
      </c>
      <c r="BB49" s="241" t="s">
        <v>161</v>
      </c>
      <c r="BC49" s="241" t="s">
        <v>307</v>
      </c>
      <c r="BD49" s="241" t="s">
        <v>544</v>
      </c>
      <c r="BE49" s="241" t="s">
        <v>947</v>
      </c>
      <c r="BF49" s="241"/>
      <c r="BG49" s="241" t="s">
        <v>307</v>
      </c>
      <c r="BH49" s="241" t="s">
        <v>544</v>
      </c>
      <c r="BI49" s="241" t="s">
        <v>947</v>
      </c>
      <c r="BJ49" s="241"/>
      <c r="BK49" s="247"/>
      <c r="BL49" s="247"/>
      <c r="BM49" s="241" t="s">
        <v>351</v>
      </c>
      <c r="BN49" s="241">
        <v>32</v>
      </c>
      <c r="BO49" s="241">
        <v>41</v>
      </c>
      <c r="BP49" s="244">
        <v>44294</v>
      </c>
      <c r="BQ49" s="244">
        <v>44322</v>
      </c>
      <c r="BR49" s="244">
        <v>44601</v>
      </c>
      <c r="BS49" s="244"/>
      <c r="BT49" s="241">
        <v>43467</v>
      </c>
      <c r="BU49" s="241">
        <v>43830</v>
      </c>
      <c r="BV49" s="241" t="s">
        <v>948</v>
      </c>
      <c r="BW49" s="241" t="s">
        <v>949</v>
      </c>
      <c r="BX49" s="241"/>
      <c r="BY49" s="241"/>
      <c r="BZ49" s="241"/>
      <c r="CA49" s="241"/>
      <c r="CB49" s="241"/>
      <c r="CC49" s="241"/>
      <c r="CD49" s="241"/>
      <c r="CE49" s="241" t="e">
        <f>VLOOKUP(D49,[1]Sertifikasi!$B$4:$I$19,8,0)</f>
        <v>#N/A</v>
      </c>
      <c r="CF49" s="13"/>
      <c r="CG49" s="13"/>
      <c r="CH49" s="13"/>
    </row>
    <row r="50" spans="1:86" ht="11.25" customHeight="1" x14ac:dyDescent="0.2">
      <c r="A50" s="13"/>
      <c r="B50" s="238">
        <v>46</v>
      </c>
      <c r="C50" s="241" t="e">
        <f t="shared" ca="1" si="8"/>
        <v>#NUM!</v>
      </c>
      <c r="D50" s="237" t="s">
        <v>950</v>
      </c>
      <c r="E50" s="239">
        <v>642001057</v>
      </c>
      <c r="F50" s="237">
        <v>1710003987024</v>
      </c>
      <c r="G50" s="240"/>
      <c r="H50" s="241" t="s">
        <v>217</v>
      </c>
      <c r="I50" s="241" t="s">
        <v>311</v>
      </c>
      <c r="J50" s="242">
        <v>42522</v>
      </c>
      <c r="K50" s="241"/>
      <c r="L50" s="241"/>
      <c r="M50" s="241" t="str">
        <f t="shared" si="6"/>
        <v>PKWT</v>
      </c>
      <c r="N50" s="241" t="s">
        <v>187</v>
      </c>
      <c r="O50" s="241"/>
      <c r="P50" s="243">
        <v>45657</v>
      </c>
      <c r="Q50" s="241"/>
      <c r="R50" s="241" t="s">
        <v>206</v>
      </c>
      <c r="S50" s="241" t="s">
        <v>6863</v>
      </c>
      <c r="T50" s="241" t="s">
        <v>312</v>
      </c>
      <c r="U50" s="241" t="s">
        <v>204</v>
      </c>
      <c r="V50" s="241" t="s">
        <v>7145</v>
      </c>
      <c r="W50" s="241" t="s">
        <v>6908</v>
      </c>
      <c r="X50" s="241" t="s">
        <v>18</v>
      </c>
      <c r="Y50" s="241" t="s">
        <v>313</v>
      </c>
      <c r="Z50" s="241" t="s">
        <v>173</v>
      </c>
      <c r="AA50" s="241" t="s">
        <v>337</v>
      </c>
      <c r="AB50" s="241" t="s">
        <v>314</v>
      </c>
      <c r="AC50" s="241" t="s">
        <v>311</v>
      </c>
      <c r="AD50" s="245">
        <v>32214</v>
      </c>
      <c r="AE50" s="241">
        <f t="shared" ca="1" si="1"/>
        <v>37</v>
      </c>
      <c r="AF50" s="246" t="s">
        <v>951</v>
      </c>
      <c r="AG50" s="241" t="s">
        <v>952</v>
      </c>
      <c r="AH50" s="240" t="s">
        <v>953</v>
      </c>
      <c r="AI50" s="240"/>
      <c r="AJ50" s="240"/>
      <c r="AK50" s="241" t="s">
        <v>954</v>
      </c>
      <c r="AL50" s="246" t="s">
        <v>955</v>
      </c>
      <c r="AM50" s="246">
        <v>16030084434</v>
      </c>
      <c r="AN50" s="241" t="s">
        <v>4716</v>
      </c>
      <c r="AO50" s="241"/>
      <c r="AP50" s="241"/>
      <c r="AQ50" s="241"/>
      <c r="AR50" s="241"/>
      <c r="AS50" s="241"/>
      <c r="AT50" s="241" t="s">
        <v>956</v>
      </c>
      <c r="AU50" s="241" t="s">
        <v>957</v>
      </c>
      <c r="AV50" s="241" t="s">
        <v>306</v>
      </c>
      <c r="AW50" s="241" t="s">
        <v>306</v>
      </c>
      <c r="AX50" s="241">
        <f t="shared" si="2"/>
        <v>0</v>
      </c>
      <c r="AY50" s="241" t="str">
        <f t="shared" si="3"/>
        <v>TK/0</v>
      </c>
      <c r="AZ50" s="241" t="s">
        <v>958</v>
      </c>
      <c r="BA50" s="237" t="s">
        <v>958</v>
      </c>
      <c r="BB50" s="241" t="s">
        <v>161</v>
      </c>
      <c r="BC50" s="241" t="s">
        <v>349</v>
      </c>
      <c r="BD50" s="241" t="s">
        <v>91</v>
      </c>
      <c r="BE50" s="241" t="s">
        <v>959</v>
      </c>
      <c r="BF50" s="241">
        <v>2007</v>
      </c>
      <c r="BG50" s="241" t="s">
        <v>475</v>
      </c>
      <c r="BH50" s="241" t="s">
        <v>91</v>
      </c>
      <c r="BI50" s="241" t="s">
        <v>959</v>
      </c>
      <c r="BJ50" s="241">
        <v>2007</v>
      </c>
      <c r="BK50" s="247"/>
      <c r="BL50" s="247"/>
      <c r="BM50" s="241" t="s">
        <v>351</v>
      </c>
      <c r="BN50" s="241">
        <v>32</v>
      </c>
      <c r="BO50" s="241">
        <v>40</v>
      </c>
      <c r="BP50" s="244">
        <v>44293</v>
      </c>
      <c r="BQ50" s="244">
        <v>44322</v>
      </c>
      <c r="BR50" s="244">
        <v>44601</v>
      </c>
      <c r="BS50" s="244"/>
      <c r="BT50" s="241">
        <v>43467</v>
      </c>
      <c r="BU50" s="241">
        <v>43830</v>
      </c>
      <c r="BV50" s="241" t="s">
        <v>960</v>
      </c>
      <c r="BW50" s="241" t="s">
        <v>961</v>
      </c>
      <c r="BX50" s="241"/>
      <c r="BY50" s="241"/>
      <c r="BZ50" s="241"/>
      <c r="CA50" s="241"/>
      <c r="CB50" s="241"/>
      <c r="CC50" s="241"/>
      <c r="CD50" s="241"/>
      <c r="CE50" s="241" t="e">
        <f>VLOOKUP(D50,[1]Sertifikasi!$B$4:$I$19,8,0)</f>
        <v>#N/A</v>
      </c>
      <c r="CF50" s="13"/>
      <c r="CG50" s="13"/>
      <c r="CH50" s="13"/>
    </row>
    <row r="51" spans="1:86" ht="11.25" customHeight="1" x14ac:dyDescent="0.2">
      <c r="A51" s="13"/>
      <c r="B51" s="238">
        <v>47</v>
      </c>
      <c r="C51" s="241" t="e">
        <f t="shared" ca="1" si="8"/>
        <v>#NUM!</v>
      </c>
      <c r="D51" s="237" t="s">
        <v>962</v>
      </c>
      <c r="E51" s="239">
        <v>642001053</v>
      </c>
      <c r="F51" s="237">
        <v>1710003988303</v>
      </c>
      <c r="G51" s="240"/>
      <c r="H51" s="241" t="s">
        <v>217</v>
      </c>
      <c r="I51" s="241" t="s">
        <v>217</v>
      </c>
      <c r="J51" s="242">
        <v>42522</v>
      </c>
      <c r="K51" s="241"/>
      <c r="L51" s="241"/>
      <c r="M51" s="241" t="str">
        <f t="shared" si="6"/>
        <v>PKWT</v>
      </c>
      <c r="N51" s="241" t="s">
        <v>187</v>
      </c>
      <c r="O51" s="241"/>
      <c r="P51" s="243">
        <v>45657</v>
      </c>
      <c r="Q51" s="241"/>
      <c r="R51" s="241" t="s">
        <v>206</v>
      </c>
      <c r="S51" s="241" t="s">
        <v>6863</v>
      </c>
      <c r="T51" s="241" t="s">
        <v>312</v>
      </c>
      <c r="U51" s="241" t="s">
        <v>23</v>
      </c>
      <c r="V51" s="241" t="s">
        <v>443</v>
      </c>
      <c r="W51" s="241" t="s">
        <v>51</v>
      </c>
      <c r="X51" s="241" t="s">
        <v>121</v>
      </c>
      <c r="Y51" s="241" t="s">
        <v>313</v>
      </c>
      <c r="Z51" s="241"/>
      <c r="AA51" s="241" t="s">
        <v>337</v>
      </c>
      <c r="AB51" s="241" t="s">
        <v>314</v>
      </c>
      <c r="AC51" s="241" t="s">
        <v>217</v>
      </c>
      <c r="AD51" s="245">
        <v>34369</v>
      </c>
      <c r="AE51" s="241">
        <f t="shared" ca="1" si="1"/>
        <v>31</v>
      </c>
      <c r="AF51" s="246" t="s">
        <v>963</v>
      </c>
      <c r="AG51" s="241" t="s">
        <v>964</v>
      </c>
      <c r="AH51" s="240" t="s">
        <v>965</v>
      </c>
      <c r="AI51" s="240"/>
      <c r="AJ51" s="240"/>
      <c r="AK51" s="241" t="s">
        <v>966</v>
      </c>
      <c r="AL51" s="246" t="s">
        <v>967</v>
      </c>
      <c r="AM51" s="246">
        <v>16040373579</v>
      </c>
      <c r="AN51" s="241" t="s">
        <v>4733</v>
      </c>
      <c r="AO51" s="241" t="s">
        <v>968</v>
      </c>
      <c r="AP51" s="241" t="s">
        <v>969</v>
      </c>
      <c r="AQ51" s="241"/>
      <c r="AR51" s="241"/>
      <c r="AS51" s="241"/>
      <c r="AT51" s="241" t="s">
        <v>970</v>
      </c>
      <c r="AU51" s="241" t="s">
        <v>971</v>
      </c>
      <c r="AV51" s="241" t="s">
        <v>972</v>
      </c>
      <c r="AW51" s="241" t="s">
        <v>973</v>
      </c>
      <c r="AX51" s="241">
        <f t="shared" si="2"/>
        <v>1</v>
      </c>
      <c r="AY51" s="241" t="str">
        <f t="shared" si="3"/>
        <v>K/1</v>
      </c>
      <c r="AZ51" s="241" t="s">
        <v>974</v>
      </c>
      <c r="BA51" s="237" t="s">
        <v>975</v>
      </c>
      <c r="BB51" s="241" t="s">
        <v>161</v>
      </c>
      <c r="BC51" s="241" t="s">
        <v>349</v>
      </c>
      <c r="BD51" s="241" t="s">
        <v>91</v>
      </c>
      <c r="BE51" s="241" t="s">
        <v>976</v>
      </c>
      <c r="BF51" s="241">
        <v>2016</v>
      </c>
      <c r="BG51" s="241" t="s">
        <v>475</v>
      </c>
      <c r="BH51" s="241" t="s">
        <v>91</v>
      </c>
      <c r="BI51" s="241" t="s">
        <v>976</v>
      </c>
      <c r="BJ51" s="241">
        <v>2016</v>
      </c>
      <c r="BK51" s="247"/>
      <c r="BL51" s="247"/>
      <c r="BM51" s="241" t="s">
        <v>360</v>
      </c>
      <c r="BN51" s="241">
        <v>29</v>
      </c>
      <c r="BO51" s="241">
        <v>40</v>
      </c>
      <c r="BP51" s="244">
        <v>44294</v>
      </c>
      <c r="BQ51" s="244">
        <v>44322</v>
      </c>
      <c r="BR51" s="244">
        <v>44859</v>
      </c>
      <c r="BS51" s="244"/>
      <c r="BT51" s="241">
        <v>43467</v>
      </c>
      <c r="BU51" s="241">
        <v>43830</v>
      </c>
      <c r="BV51" s="241" t="s">
        <v>977</v>
      </c>
      <c r="BW51" s="241" t="s">
        <v>978</v>
      </c>
      <c r="BX51" s="241"/>
      <c r="BY51" s="241"/>
      <c r="BZ51" s="241"/>
      <c r="CA51" s="241"/>
      <c r="CB51" s="241"/>
      <c r="CC51" s="241"/>
      <c r="CD51" s="241"/>
      <c r="CE51" s="241" t="e">
        <f>VLOOKUP(D51,[1]Sertifikasi!$B$4:$I$19,8,0)</f>
        <v>#N/A</v>
      </c>
      <c r="CF51" s="13"/>
      <c r="CG51" s="13"/>
      <c r="CH51" s="13"/>
    </row>
    <row r="52" spans="1:86" ht="11.25" customHeight="1" x14ac:dyDescent="0.2">
      <c r="A52" s="13"/>
      <c r="B52" s="238">
        <v>48</v>
      </c>
      <c r="C52" s="241" t="e">
        <f t="shared" ca="1" si="8"/>
        <v>#NUM!</v>
      </c>
      <c r="D52" s="237" t="s">
        <v>979</v>
      </c>
      <c r="E52" s="239">
        <v>642001058</v>
      </c>
      <c r="F52" s="237">
        <v>1710003987461</v>
      </c>
      <c r="G52" s="240"/>
      <c r="H52" s="241" t="s">
        <v>217</v>
      </c>
      <c r="I52" s="241" t="s">
        <v>311</v>
      </c>
      <c r="J52" s="242">
        <v>42522</v>
      </c>
      <c r="K52" s="241"/>
      <c r="L52" s="241"/>
      <c r="M52" s="241" t="str">
        <f t="shared" si="6"/>
        <v>PKWT</v>
      </c>
      <c r="N52" s="241" t="s">
        <v>187</v>
      </c>
      <c r="O52" s="241"/>
      <c r="P52" s="243">
        <v>45657</v>
      </c>
      <c r="Q52" s="241"/>
      <c r="R52" s="241" t="s">
        <v>206</v>
      </c>
      <c r="S52" s="241" t="s">
        <v>6863</v>
      </c>
      <c r="T52" s="241" t="s">
        <v>312</v>
      </c>
      <c r="U52" s="241" t="s">
        <v>23</v>
      </c>
      <c r="V52" s="241" t="s">
        <v>443</v>
      </c>
      <c r="W52" s="241" t="s">
        <v>51</v>
      </c>
      <c r="X52" s="241" t="s">
        <v>121</v>
      </c>
      <c r="Y52" s="241" t="s">
        <v>313</v>
      </c>
      <c r="Z52" s="241"/>
      <c r="AA52" s="241" t="s">
        <v>337</v>
      </c>
      <c r="AB52" s="241" t="s">
        <v>314</v>
      </c>
      <c r="AC52" s="241" t="s">
        <v>311</v>
      </c>
      <c r="AD52" s="245">
        <v>32676</v>
      </c>
      <c r="AE52" s="241">
        <f t="shared" ca="1" si="1"/>
        <v>36</v>
      </c>
      <c r="AF52" s="246" t="s">
        <v>980</v>
      </c>
      <c r="AG52" s="241" t="s">
        <v>981</v>
      </c>
      <c r="AH52" s="240" t="s">
        <v>982</v>
      </c>
      <c r="AI52" s="240"/>
      <c r="AJ52" s="240"/>
      <c r="AK52" s="241" t="s">
        <v>983</v>
      </c>
      <c r="AL52" s="246" t="s">
        <v>984</v>
      </c>
      <c r="AM52" s="246">
        <v>16030084426</v>
      </c>
      <c r="AN52" s="241" t="s">
        <v>4733</v>
      </c>
      <c r="AO52" s="241" t="s">
        <v>985</v>
      </c>
      <c r="AP52" s="241" t="s">
        <v>986</v>
      </c>
      <c r="AQ52" s="241" t="s">
        <v>987</v>
      </c>
      <c r="AR52" s="241"/>
      <c r="AS52" s="241"/>
      <c r="AT52" s="241" t="s">
        <v>988</v>
      </c>
      <c r="AU52" s="241" t="s">
        <v>989</v>
      </c>
      <c r="AV52" s="241" t="s">
        <v>990</v>
      </c>
      <c r="AW52" s="241" t="s">
        <v>991</v>
      </c>
      <c r="AX52" s="241">
        <f t="shared" si="2"/>
        <v>2</v>
      </c>
      <c r="AY52" s="241" t="str">
        <f t="shared" si="3"/>
        <v>K/2</v>
      </c>
      <c r="AZ52" s="241" t="s">
        <v>992</v>
      </c>
      <c r="BA52" s="237" t="s">
        <v>993</v>
      </c>
      <c r="BB52" s="241" t="s">
        <v>161</v>
      </c>
      <c r="BC52" s="241" t="s">
        <v>349</v>
      </c>
      <c r="BD52" s="241" t="s">
        <v>515</v>
      </c>
      <c r="BE52" s="241" t="s">
        <v>994</v>
      </c>
      <c r="BF52" s="241">
        <v>2007</v>
      </c>
      <c r="BG52" s="241" t="s">
        <v>475</v>
      </c>
      <c r="BH52" s="241" t="s">
        <v>515</v>
      </c>
      <c r="BI52" s="241" t="s">
        <v>994</v>
      </c>
      <c r="BJ52" s="241">
        <v>2007</v>
      </c>
      <c r="BK52" s="247"/>
      <c r="BL52" s="247"/>
      <c r="BM52" s="241" t="s">
        <v>351</v>
      </c>
      <c r="BN52" s="241">
        <v>34</v>
      </c>
      <c r="BO52" s="241">
        <v>42</v>
      </c>
      <c r="BP52" s="244"/>
      <c r="BQ52" s="244"/>
      <c r="BR52" s="244"/>
      <c r="BS52" s="244"/>
      <c r="BT52" s="241">
        <v>43467</v>
      </c>
      <c r="BU52" s="241">
        <v>43830</v>
      </c>
      <c r="BV52" s="241" t="s">
        <v>995</v>
      </c>
      <c r="BW52" s="241" t="e">
        <v>#REF!</v>
      </c>
      <c r="BX52" s="241"/>
      <c r="BY52" s="241"/>
      <c r="BZ52" s="241"/>
      <c r="CA52" s="241"/>
      <c r="CB52" s="241"/>
      <c r="CC52" s="241"/>
      <c r="CD52" s="241"/>
      <c r="CE52" s="241" t="e">
        <f>VLOOKUP(D52,[1]Sertifikasi!$B$4:$I$19,8,0)</f>
        <v>#N/A</v>
      </c>
      <c r="CF52" s="13"/>
      <c r="CG52" s="13"/>
      <c r="CH52" s="13"/>
    </row>
    <row r="53" spans="1:86" ht="11.25" customHeight="1" x14ac:dyDescent="0.2">
      <c r="A53" s="13"/>
      <c r="B53" s="238">
        <v>49</v>
      </c>
      <c r="C53" s="241" t="e">
        <f t="shared" ca="1" si="8"/>
        <v>#NUM!</v>
      </c>
      <c r="D53" s="237" t="s">
        <v>996</v>
      </c>
      <c r="E53" s="239">
        <v>642001056</v>
      </c>
      <c r="F53" s="237">
        <v>1710003986901</v>
      </c>
      <c r="G53" s="240"/>
      <c r="H53" s="241" t="s">
        <v>217</v>
      </c>
      <c r="I53" s="241" t="s">
        <v>217</v>
      </c>
      <c r="J53" s="242">
        <v>42522</v>
      </c>
      <c r="K53" s="241"/>
      <c r="L53" s="241"/>
      <c r="M53" s="241" t="str">
        <f t="shared" si="6"/>
        <v>PKWT</v>
      </c>
      <c r="N53" s="241" t="s">
        <v>187</v>
      </c>
      <c r="O53" s="241"/>
      <c r="P53" s="243">
        <v>45657</v>
      </c>
      <c r="Q53" s="241"/>
      <c r="R53" s="241" t="s">
        <v>206</v>
      </c>
      <c r="S53" s="241" t="s">
        <v>6863</v>
      </c>
      <c r="T53" s="241" t="s">
        <v>312</v>
      </c>
      <c r="U53" s="241" t="s">
        <v>204</v>
      </c>
      <c r="V53" s="241" t="s">
        <v>208</v>
      </c>
      <c r="W53" s="241" t="s">
        <v>6908</v>
      </c>
      <c r="X53" s="241" t="s">
        <v>18</v>
      </c>
      <c r="Y53" s="241" t="s">
        <v>313</v>
      </c>
      <c r="Z53" s="241" t="s">
        <v>173</v>
      </c>
      <c r="AA53" s="241" t="s">
        <v>337</v>
      </c>
      <c r="AB53" s="241" t="s">
        <v>314</v>
      </c>
      <c r="AC53" s="241" t="s">
        <v>217</v>
      </c>
      <c r="AD53" s="245">
        <v>29391</v>
      </c>
      <c r="AE53" s="241">
        <f t="shared" ca="1" si="1"/>
        <v>45</v>
      </c>
      <c r="AF53" s="246" t="s">
        <v>997</v>
      </c>
      <c r="AG53" s="241" t="s">
        <v>998</v>
      </c>
      <c r="AH53" s="240" t="s">
        <v>999</v>
      </c>
      <c r="AI53" s="240"/>
      <c r="AJ53" s="240"/>
      <c r="AK53" s="241" t="s">
        <v>1000</v>
      </c>
      <c r="AL53" s="246" t="s">
        <v>1001</v>
      </c>
      <c r="AM53" s="246">
        <v>16040373553</v>
      </c>
      <c r="AN53" s="241" t="s">
        <v>6821</v>
      </c>
      <c r="AO53" s="241"/>
      <c r="AP53" s="241" t="s">
        <v>1002</v>
      </c>
      <c r="AQ53" s="241"/>
      <c r="AR53" s="241"/>
      <c r="AS53" s="241"/>
      <c r="AT53" s="241" t="s">
        <v>1003</v>
      </c>
      <c r="AU53" s="241" t="s">
        <v>1004</v>
      </c>
      <c r="AV53" s="241" t="s">
        <v>306</v>
      </c>
      <c r="AW53" s="241" t="s">
        <v>306</v>
      </c>
      <c r="AX53" s="241">
        <f t="shared" si="2"/>
        <v>1</v>
      </c>
      <c r="AY53" s="241" t="str">
        <f t="shared" si="3"/>
        <v>TK/1</v>
      </c>
      <c r="AZ53" s="241" t="s">
        <v>1005</v>
      </c>
      <c r="BA53" s="237" t="s">
        <v>1005</v>
      </c>
      <c r="BB53" s="241" t="s">
        <v>161</v>
      </c>
      <c r="BC53" s="241" t="s">
        <v>349</v>
      </c>
      <c r="BD53" s="241" t="s">
        <v>515</v>
      </c>
      <c r="BE53" s="241" t="s">
        <v>560</v>
      </c>
      <c r="BF53" s="241">
        <v>1998</v>
      </c>
      <c r="BG53" s="241" t="s">
        <v>475</v>
      </c>
      <c r="BH53" s="241" t="s">
        <v>515</v>
      </c>
      <c r="BI53" s="241" t="s">
        <v>560</v>
      </c>
      <c r="BJ53" s="241">
        <v>1998</v>
      </c>
      <c r="BK53" s="247"/>
      <c r="BL53" s="247"/>
      <c r="BM53" s="241" t="s">
        <v>360</v>
      </c>
      <c r="BN53" s="241">
        <v>29</v>
      </c>
      <c r="BO53" s="241">
        <v>39</v>
      </c>
      <c r="BP53" s="244"/>
      <c r="BQ53" s="244"/>
      <c r="BR53" s="244">
        <v>44601</v>
      </c>
      <c r="BS53" s="244"/>
      <c r="BT53" s="241">
        <v>43467</v>
      </c>
      <c r="BU53" s="241">
        <v>43830</v>
      </c>
      <c r="BV53" s="241" t="s">
        <v>1006</v>
      </c>
      <c r="BW53" s="241" t="s">
        <v>1007</v>
      </c>
      <c r="BX53" s="241"/>
      <c r="BY53" s="241"/>
      <c r="BZ53" s="241"/>
      <c r="CA53" s="241"/>
      <c r="CB53" s="241"/>
      <c r="CC53" s="241"/>
      <c r="CD53" s="241"/>
      <c r="CE53" s="241" t="e">
        <f>VLOOKUP(D53,[1]Sertifikasi!$B$4:$I$19,8,0)</f>
        <v>#N/A</v>
      </c>
      <c r="CF53" s="13"/>
      <c r="CG53" s="13"/>
      <c r="CH53" s="13"/>
    </row>
    <row r="54" spans="1:86" ht="11.25" customHeight="1" x14ac:dyDescent="0.2">
      <c r="A54" s="13"/>
      <c r="B54" s="238">
        <v>50</v>
      </c>
      <c r="C54" s="241" t="e">
        <f t="shared" ca="1" si="8"/>
        <v>#NUM!</v>
      </c>
      <c r="D54" s="237" t="s">
        <v>1008</v>
      </c>
      <c r="E54" s="239">
        <v>642001055</v>
      </c>
      <c r="F54" s="237">
        <v>1710004028984</v>
      </c>
      <c r="G54" s="240"/>
      <c r="H54" s="241" t="s">
        <v>217</v>
      </c>
      <c r="I54" s="241" t="s">
        <v>311</v>
      </c>
      <c r="J54" s="242">
        <v>42522</v>
      </c>
      <c r="K54" s="241"/>
      <c r="L54" s="241"/>
      <c r="M54" s="241" t="str">
        <f t="shared" si="6"/>
        <v>PKWT</v>
      </c>
      <c r="N54" s="241" t="s">
        <v>187</v>
      </c>
      <c r="O54" s="241"/>
      <c r="P54" s="243">
        <v>45657</v>
      </c>
      <c r="Q54" s="241"/>
      <c r="R54" s="241" t="s">
        <v>206</v>
      </c>
      <c r="S54" s="241" t="s">
        <v>6863</v>
      </c>
      <c r="T54" s="241" t="s">
        <v>312</v>
      </c>
      <c r="U54" s="241" t="s">
        <v>204</v>
      </c>
      <c r="V54" s="241" t="s">
        <v>7145</v>
      </c>
      <c r="W54" s="241" t="s">
        <v>6908</v>
      </c>
      <c r="X54" s="241" t="s">
        <v>18</v>
      </c>
      <c r="Y54" s="241" t="s">
        <v>313</v>
      </c>
      <c r="Z54" s="241"/>
      <c r="AA54" s="241" t="s">
        <v>337</v>
      </c>
      <c r="AB54" s="241" t="s">
        <v>314</v>
      </c>
      <c r="AC54" s="241" t="s">
        <v>311</v>
      </c>
      <c r="AD54" s="245">
        <v>30638</v>
      </c>
      <c r="AE54" s="241">
        <f t="shared" ca="1" si="1"/>
        <v>41</v>
      </c>
      <c r="AF54" s="246" t="s">
        <v>1009</v>
      </c>
      <c r="AG54" s="241" t="s">
        <v>952</v>
      </c>
      <c r="AH54" s="240" t="s">
        <v>1010</v>
      </c>
      <c r="AI54" s="240"/>
      <c r="AJ54" s="240"/>
      <c r="AK54" s="241" t="s">
        <v>1011</v>
      </c>
      <c r="AL54" s="246" t="s">
        <v>1012</v>
      </c>
      <c r="AM54" s="246">
        <v>16040373595</v>
      </c>
      <c r="AN54" s="241" t="s">
        <v>4733</v>
      </c>
      <c r="AO54" s="241" t="s">
        <v>1013</v>
      </c>
      <c r="AP54" s="241" t="s">
        <v>1014</v>
      </c>
      <c r="AQ54" s="241"/>
      <c r="AR54" s="241"/>
      <c r="AS54" s="241"/>
      <c r="AT54" s="241" t="s">
        <v>956</v>
      </c>
      <c r="AU54" s="241" t="s">
        <v>957</v>
      </c>
      <c r="AV54" s="241" t="s">
        <v>1015</v>
      </c>
      <c r="AW54" s="241" t="s">
        <v>1016</v>
      </c>
      <c r="AX54" s="241">
        <f t="shared" si="2"/>
        <v>1</v>
      </c>
      <c r="AY54" s="241" t="str">
        <f t="shared" si="3"/>
        <v>K/1</v>
      </c>
      <c r="AZ54" s="241" t="s">
        <v>1017</v>
      </c>
      <c r="BA54" s="241" t="s">
        <v>1017</v>
      </c>
      <c r="BB54" s="241" t="s">
        <v>161</v>
      </c>
      <c r="BC54" s="241" t="s">
        <v>153</v>
      </c>
      <c r="BD54" s="241" t="s">
        <v>308</v>
      </c>
      <c r="BE54" s="241" t="s">
        <v>1018</v>
      </c>
      <c r="BF54" s="241"/>
      <c r="BG54" s="241" t="s">
        <v>153</v>
      </c>
      <c r="BH54" s="241" t="s">
        <v>1018</v>
      </c>
      <c r="BI54" s="241" t="s">
        <v>1018</v>
      </c>
      <c r="BJ54" s="241"/>
      <c r="BK54" s="247"/>
      <c r="BL54" s="247"/>
      <c r="BM54" s="241" t="s">
        <v>351</v>
      </c>
      <c r="BN54" s="241">
        <v>32</v>
      </c>
      <c r="BO54" s="241">
        <v>39</v>
      </c>
      <c r="BP54" s="244">
        <v>44293</v>
      </c>
      <c r="BQ54" s="244">
        <v>44322</v>
      </c>
      <c r="BR54" s="244"/>
      <c r="BS54" s="244"/>
      <c r="BT54" s="241">
        <v>43467</v>
      </c>
      <c r="BU54" s="241">
        <v>43830</v>
      </c>
      <c r="BV54" s="241" t="s">
        <v>1019</v>
      </c>
      <c r="BW54" s="241" t="s">
        <v>1020</v>
      </c>
      <c r="BX54" s="241"/>
      <c r="BY54" s="241"/>
      <c r="BZ54" s="241"/>
      <c r="CA54" s="241"/>
      <c r="CB54" s="241"/>
      <c r="CC54" s="241"/>
      <c r="CD54" s="241"/>
      <c r="CE54" s="241" t="e">
        <f>VLOOKUP(D54,[1]Sertifikasi!$B$4:$I$19,8,0)</f>
        <v>#N/A</v>
      </c>
      <c r="CF54" s="13"/>
      <c r="CG54" s="13"/>
      <c r="CH54" s="13"/>
    </row>
    <row r="55" spans="1:86" ht="11.25" customHeight="1" x14ac:dyDescent="0.2">
      <c r="A55" s="13"/>
      <c r="B55" s="238">
        <v>51</v>
      </c>
      <c r="C55" s="241" t="e">
        <f t="shared" ca="1" si="8"/>
        <v>#NUM!</v>
      </c>
      <c r="D55" s="237" t="s">
        <v>1021</v>
      </c>
      <c r="E55" s="239">
        <v>642001059</v>
      </c>
      <c r="F55" s="237">
        <v>1710003987032</v>
      </c>
      <c r="G55" s="240"/>
      <c r="H55" s="241" t="s">
        <v>217</v>
      </c>
      <c r="I55" s="241" t="s">
        <v>311</v>
      </c>
      <c r="J55" s="242">
        <v>42522</v>
      </c>
      <c r="K55" s="241"/>
      <c r="L55" s="241"/>
      <c r="M55" s="241" t="str">
        <f t="shared" si="6"/>
        <v>PKWT</v>
      </c>
      <c r="N55" s="241" t="s">
        <v>187</v>
      </c>
      <c r="O55" s="241"/>
      <c r="P55" s="243">
        <v>45657</v>
      </c>
      <c r="Q55" s="241"/>
      <c r="R55" s="241" t="s">
        <v>206</v>
      </c>
      <c r="S55" s="241" t="s">
        <v>6863</v>
      </c>
      <c r="T55" s="241" t="s">
        <v>312</v>
      </c>
      <c r="U55" s="241" t="s">
        <v>204</v>
      </c>
      <c r="V55" s="241" t="s">
        <v>208</v>
      </c>
      <c r="W55" s="241" t="s">
        <v>6908</v>
      </c>
      <c r="X55" s="241" t="s">
        <v>18</v>
      </c>
      <c r="Y55" s="241" t="s">
        <v>313</v>
      </c>
      <c r="Z55" s="241"/>
      <c r="AA55" s="241" t="s">
        <v>337</v>
      </c>
      <c r="AB55" s="241" t="s">
        <v>314</v>
      </c>
      <c r="AC55" s="241" t="s">
        <v>311</v>
      </c>
      <c r="AD55" s="245">
        <v>32003</v>
      </c>
      <c r="AE55" s="241">
        <f t="shared" ca="1" si="1"/>
        <v>38</v>
      </c>
      <c r="AF55" s="246" t="s">
        <v>1022</v>
      </c>
      <c r="AG55" s="241" t="s">
        <v>1023</v>
      </c>
      <c r="AH55" s="240" t="s">
        <v>1024</v>
      </c>
      <c r="AI55" s="240"/>
      <c r="AJ55" s="240"/>
      <c r="AK55" s="241" t="s">
        <v>1025</v>
      </c>
      <c r="AL55" s="246" t="s">
        <v>1026</v>
      </c>
      <c r="AM55" s="246">
        <v>13000574908</v>
      </c>
      <c r="AN55" s="241" t="s">
        <v>4733</v>
      </c>
      <c r="AO55" s="241" t="s">
        <v>1027</v>
      </c>
      <c r="AP55" s="241" t="s">
        <v>1028</v>
      </c>
      <c r="AQ55" s="241" t="s">
        <v>1029</v>
      </c>
      <c r="AR55" s="241"/>
      <c r="AS55" s="241"/>
      <c r="AT55" s="241" t="s">
        <v>323</v>
      </c>
      <c r="AU55" s="241" t="s">
        <v>1030</v>
      </c>
      <c r="AV55" s="241" t="s">
        <v>1031</v>
      </c>
      <c r="AW55" s="241" t="s">
        <v>1032</v>
      </c>
      <c r="AX55" s="241">
        <f t="shared" si="2"/>
        <v>2</v>
      </c>
      <c r="AY55" s="241" t="str">
        <f t="shared" si="3"/>
        <v>K/2</v>
      </c>
      <c r="AZ55" s="241" t="s">
        <v>1033</v>
      </c>
      <c r="BA55" s="237" t="s">
        <v>1034</v>
      </c>
      <c r="BB55" s="241" t="s">
        <v>161</v>
      </c>
      <c r="BC55" s="241" t="s">
        <v>153</v>
      </c>
      <c r="BD55" s="241" t="s">
        <v>308</v>
      </c>
      <c r="BE55" s="241" t="s">
        <v>1018</v>
      </c>
      <c r="BF55" s="241">
        <v>2003</v>
      </c>
      <c r="BG55" s="241" t="s">
        <v>153</v>
      </c>
      <c r="BH55" s="241"/>
      <c r="BI55" s="241" t="s">
        <v>1018</v>
      </c>
      <c r="BJ55" s="241">
        <v>2003</v>
      </c>
      <c r="BK55" s="247"/>
      <c r="BL55" s="247"/>
      <c r="BM55" s="241" t="s">
        <v>351</v>
      </c>
      <c r="BN55" s="241">
        <v>32</v>
      </c>
      <c r="BO55" s="241">
        <v>41</v>
      </c>
      <c r="BP55" s="244">
        <v>44293</v>
      </c>
      <c r="BQ55" s="244">
        <v>44322</v>
      </c>
      <c r="BR55" s="244"/>
      <c r="BS55" s="244"/>
      <c r="BT55" s="241">
        <v>43467</v>
      </c>
      <c r="BU55" s="241">
        <v>43830</v>
      </c>
      <c r="BV55" s="241" t="s">
        <v>1035</v>
      </c>
      <c r="BW55" s="241" t="s">
        <v>1036</v>
      </c>
      <c r="BX55" s="241"/>
      <c r="BY55" s="241"/>
      <c r="BZ55" s="241"/>
      <c r="CA55" s="241"/>
      <c r="CB55" s="241"/>
      <c r="CC55" s="241"/>
      <c r="CD55" s="241"/>
      <c r="CE55" s="241" t="e">
        <f>VLOOKUP(D55,[1]Sertifikasi!$B$4:$I$19,8,0)</f>
        <v>#N/A</v>
      </c>
      <c r="CF55" s="13"/>
      <c r="CG55" s="13"/>
      <c r="CH55" s="13"/>
    </row>
    <row r="56" spans="1:86" ht="11.25" customHeight="1" x14ac:dyDescent="0.2">
      <c r="A56" s="13"/>
      <c r="B56" s="238">
        <v>52</v>
      </c>
      <c r="C56" s="248" t="s">
        <v>292</v>
      </c>
      <c r="D56" s="237" t="s">
        <v>1037</v>
      </c>
      <c r="E56" s="239">
        <v>971800014</v>
      </c>
      <c r="F56" s="237">
        <v>1710003919852</v>
      </c>
      <c r="G56" s="240"/>
      <c r="H56" s="249" t="s">
        <v>217</v>
      </c>
      <c r="I56" s="241" t="s">
        <v>23</v>
      </c>
      <c r="J56" s="242">
        <v>42559</v>
      </c>
      <c r="K56" s="241"/>
      <c r="L56" s="241"/>
      <c r="M56" s="241" t="str">
        <f t="shared" si="6"/>
        <v>ORGANIK IMSS</v>
      </c>
      <c r="N56" s="241" t="s">
        <v>187</v>
      </c>
      <c r="O56" s="241" t="s">
        <v>1038</v>
      </c>
      <c r="P56" s="243">
        <v>43116</v>
      </c>
      <c r="Q56" s="244"/>
      <c r="R56" s="241" t="s">
        <v>139</v>
      </c>
      <c r="S56" s="241" t="s">
        <v>6863</v>
      </c>
      <c r="T56" s="241" t="s">
        <v>312</v>
      </c>
      <c r="U56" s="241" t="s">
        <v>23</v>
      </c>
      <c r="V56" s="241" t="s">
        <v>443</v>
      </c>
      <c r="W56" s="241" t="s">
        <v>175</v>
      </c>
      <c r="X56" s="241" t="s">
        <v>121</v>
      </c>
      <c r="Y56" s="241" t="s">
        <v>313</v>
      </c>
      <c r="Z56" s="241" t="s">
        <v>1039</v>
      </c>
      <c r="AA56" s="241"/>
      <c r="AB56" s="241" t="s">
        <v>132</v>
      </c>
      <c r="AC56" s="241" t="s">
        <v>23</v>
      </c>
      <c r="AD56" s="245">
        <v>33813</v>
      </c>
      <c r="AE56" s="241">
        <f t="shared" ca="1" si="1"/>
        <v>33</v>
      </c>
      <c r="AF56" s="246" t="s">
        <v>1040</v>
      </c>
      <c r="AG56" s="241" t="s">
        <v>1041</v>
      </c>
      <c r="AH56" s="240" t="s">
        <v>1042</v>
      </c>
      <c r="AI56" s="240"/>
      <c r="AJ56" s="240"/>
      <c r="AK56" s="251" t="s">
        <v>1043</v>
      </c>
      <c r="AL56" s="246" t="s">
        <v>1044</v>
      </c>
      <c r="AM56" s="246">
        <v>15043555356</v>
      </c>
      <c r="AN56" s="241" t="s">
        <v>4733</v>
      </c>
      <c r="AO56" s="241" t="s">
        <v>1045</v>
      </c>
      <c r="AP56" s="241" t="s">
        <v>1046</v>
      </c>
      <c r="AQ56" s="241" t="s">
        <v>1047</v>
      </c>
      <c r="AR56" s="241"/>
      <c r="AS56" s="241"/>
      <c r="AT56" s="241" t="s">
        <v>1021</v>
      </c>
      <c r="AU56" s="241" t="s">
        <v>1048</v>
      </c>
      <c r="AV56" s="241" t="s">
        <v>1049</v>
      </c>
      <c r="AW56" s="241" t="s">
        <v>1050</v>
      </c>
      <c r="AX56" s="241">
        <f t="shared" si="2"/>
        <v>2</v>
      </c>
      <c r="AY56" s="241" t="str">
        <f t="shared" si="3"/>
        <v>K/2</v>
      </c>
      <c r="AZ56" s="241" t="s">
        <v>1051</v>
      </c>
      <c r="BA56" s="237" t="s">
        <v>1051</v>
      </c>
      <c r="BB56" s="249" t="s">
        <v>163</v>
      </c>
      <c r="BC56" s="241" t="s">
        <v>75</v>
      </c>
      <c r="BD56" s="241" t="s">
        <v>91</v>
      </c>
      <c r="BE56" s="241" t="s">
        <v>1052</v>
      </c>
      <c r="BF56" s="241">
        <v>2015</v>
      </c>
      <c r="BG56" s="241" t="s">
        <v>75</v>
      </c>
      <c r="BH56" s="241" t="s">
        <v>91</v>
      </c>
      <c r="BI56" s="241" t="s">
        <v>1052</v>
      </c>
      <c r="BJ56" s="241">
        <v>2015</v>
      </c>
      <c r="BK56" s="247">
        <v>54073</v>
      </c>
      <c r="BL56" s="247">
        <v>54438</v>
      </c>
      <c r="BM56" s="242"/>
      <c r="BN56" s="241"/>
      <c r="BO56" s="241">
        <v>40</v>
      </c>
      <c r="BP56" s="244">
        <v>44294</v>
      </c>
      <c r="BQ56" s="244">
        <v>44322</v>
      </c>
      <c r="BR56" s="244">
        <v>44659</v>
      </c>
      <c r="BS56" s="244"/>
      <c r="BT56" s="241"/>
      <c r="BU56" s="241"/>
      <c r="BV56" s="241"/>
      <c r="BW56" s="241"/>
      <c r="BX56" s="241"/>
      <c r="BY56" s="241"/>
      <c r="BZ56" s="241"/>
      <c r="CA56" s="241"/>
      <c r="CB56" s="241"/>
      <c r="CC56" s="241"/>
      <c r="CD56" s="241"/>
      <c r="CE56" s="241" t="e">
        <f>VLOOKUP(D56,[1]Sertifikasi!$B$4:$I$19,8,0)</f>
        <v>#N/A</v>
      </c>
      <c r="CF56" s="13"/>
      <c r="CG56" s="13"/>
      <c r="CH56" s="13"/>
    </row>
    <row r="57" spans="1:86" ht="11.25" customHeight="1" x14ac:dyDescent="0.2">
      <c r="A57" s="13"/>
      <c r="B57" s="238">
        <v>53</v>
      </c>
      <c r="C57" s="241" t="s">
        <v>292</v>
      </c>
      <c r="D57" s="237" t="s">
        <v>1053</v>
      </c>
      <c r="E57" s="261">
        <v>972400064</v>
      </c>
      <c r="F57" s="237">
        <v>1710003987206</v>
      </c>
      <c r="G57" s="240"/>
      <c r="H57" s="241" t="s">
        <v>217</v>
      </c>
      <c r="I57" s="241" t="s">
        <v>217</v>
      </c>
      <c r="J57" s="242">
        <v>42644</v>
      </c>
      <c r="K57" s="241"/>
      <c r="L57" s="241"/>
      <c r="M57" s="241" t="s">
        <v>6856</v>
      </c>
      <c r="N57" s="241" t="s">
        <v>187</v>
      </c>
      <c r="O57" s="241" t="s">
        <v>6814</v>
      </c>
      <c r="P57" s="243">
        <v>45352</v>
      </c>
      <c r="Q57" s="241"/>
      <c r="R57" s="241" t="s">
        <v>206</v>
      </c>
      <c r="S57" s="241" t="s">
        <v>6863</v>
      </c>
      <c r="T57" s="241" t="s">
        <v>312</v>
      </c>
      <c r="U57" s="241" t="s">
        <v>204</v>
      </c>
      <c r="V57" s="241" t="s">
        <v>208</v>
      </c>
      <c r="W57" s="241" t="s">
        <v>6908</v>
      </c>
      <c r="X57" s="241" t="s">
        <v>18</v>
      </c>
      <c r="Y57" s="241" t="s">
        <v>313</v>
      </c>
      <c r="Z57" s="241"/>
      <c r="AA57" s="241" t="s">
        <v>337</v>
      </c>
      <c r="AB57" s="241" t="s">
        <v>314</v>
      </c>
      <c r="AC57" s="241" t="s">
        <v>217</v>
      </c>
      <c r="AD57" s="245">
        <v>31106</v>
      </c>
      <c r="AE57" s="241">
        <f t="shared" ca="1" si="1"/>
        <v>40</v>
      </c>
      <c r="AF57" s="246" t="s">
        <v>1055</v>
      </c>
      <c r="AG57" s="241" t="s">
        <v>1056</v>
      </c>
      <c r="AH57" s="240" t="s">
        <v>1057</v>
      </c>
      <c r="AI57" s="240"/>
      <c r="AJ57" s="240"/>
      <c r="AK57" s="251" t="s">
        <v>1058</v>
      </c>
      <c r="AL57" s="246" t="s">
        <v>1059</v>
      </c>
      <c r="AM57" s="246">
        <v>14028080746</v>
      </c>
      <c r="AN57" s="241" t="s">
        <v>4733</v>
      </c>
      <c r="AO57" s="241"/>
      <c r="AP57" s="241"/>
      <c r="AQ57" s="241"/>
      <c r="AR57" s="241"/>
      <c r="AS57" s="241"/>
      <c r="AT57" s="241" t="s">
        <v>306</v>
      </c>
      <c r="AU57" s="241" t="s">
        <v>306</v>
      </c>
      <c r="AV57" s="241" t="s">
        <v>306</v>
      </c>
      <c r="AW57" s="241" t="s">
        <v>306</v>
      </c>
      <c r="AX57" s="241">
        <f t="shared" si="2"/>
        <v>0</v>
      </c>
      <c r="AY57" s="241" t="str">
        <f t="shared" si="3"/>
        <v>K/0</v>
      </c>
      <c r="AZ57" s="241"/>
      <c r="BA57" s="237"/>
      <c r="BB57" s="241" t="s">
        <v>161</v>
      </c>
      <c r="BC57" s="241" t="s">
        <v>349</v>
      </c>
      <c r="BD57" s="241" t="s">
        <v>91</v>
      </c>
      <c r="BE57" s="241" t="s">
        <v>1060</v>
      </c>
      <c r="BF57" s="241">
        <v>2005</v>
      </c>
      <c r="BG57" s="241" t="s">
        <v>475</v>
      </c>
      <c r="BH57" s="241" t="s">
        <v>91</v>
      </c>
      <c r="BI57" s="241" t="s">
        <v>1060</v>
      </c>
      <c r="BJ57" s="241">
        <v>2005</v>
      </c>
      <c r="BK57" s="247">
        <v>47178</v>
      </c>
      <c r="BL57" s="247">
        <v>47543</v>
      </c>
      <c r="BM57" s="241" t="s">
        <v>360</v>
      </c>
      <c r="BN57" s="241">
        <v>30</v>
      </c>
      <c r="BO57" s="241">
        <v>40</v>
      </c>
      <c r="BP57" s="244">
        <v>44293</v>
      </c>
      <c r="BQ57" s="244">
        <v>44322</v>
      </c>
      <c r="BR57" s="244">
        <v>44601</v>
      </c>
      <c r="BS57" s="244"/>
      <c r="BT57" s="241">
        <v>43467</v>
      </c>
      <c r="BU57" s="241">
        <v>43830</v>
      </c>
      <c r="BV57" s="241" t="s">
        <v>1061</v>
      </c>
      <c r="BW57" s="241" t="s">
        <v>1062</v>
      </c>
      <c r="BX57" s="241"/>
      <c r="BY57" s="241"/>
      <c r="BZ57" s="241"/>
      <c r="CA57" s="241"/>
      <c r="CB57" s="241"/>
      <c r="CC57" s="241"/>
      <c r="CD57" s="241"/>
      <c r="CE57" s="241" t="e">
        <f>VLOOKUP(D57,[1]Sertifikasi!$B$4:$I$19,8,0)</f>
        <v>#N/A</v>
      </c>
      <c r="CF57" s="13"/>
      <c r="CG57" s="13"/>
      <c r="CH57" s="13"/>
    </row>
    <row r="58" spans="1:86" ht="11.25" customHeight="1" x14ac:dyDescent="0.2">
      <c r="A58" s="13"/>
      <c r="B58" s="238">
        <v>54</v>
      </c>
      <c r="C58" s="248" t="s">
        <v>292</v>
      </c>
      <c r="D58" s="237" t="s">
        <v>1063</v>
      </c>
      <c r="E58" s="239">
        <v>971800015</v>
      </c>
      <c r="F58" s="237">
        <v>1710003929885</v>
      </c>
      <c r="G58" s="240">
        <v>6521489010</v>
      </c>
      <c r="H58" s="249" t="s">
        <v>217</v>
      </c>
      <c r="I58" s="241" t="s">
        <v>217</v>
      </c>
      <c r="J58" s="242">
        <v>42644</v>
      </c>
      <c r="K58" s="241"/>
      <c r="L58" s="241"/>
      <c r="M58" s="241" t="str">
        <f t="shared" ref="M58:M70" si="9">IF(LEFT(E58,2)="99","ORGANIK INKA",IF(LEFT(E58,2)="97","ORGANIK IMSS",IF(LEFT(E58,2)="75","Capeg",IF(LEFT(E58,2)="64","PKWT","Resign"))))</f>
        <v>ORGANIK IMSS</v>
      </c>
      <c r="N58" s="241" t="s">
        <v>187</v>
      </c>
      <c r="O58" s="241" t="s">
        <v>442</v>
      </c>
      <c r="P58" s="243">
        <v>43116</v>
      </c>
      <c r="Q58" s="244"/>
      <c r="R58" s="241" t="s">
        <v>139</v>
      </c>
      <c r="S58" s="241" t="s">
        <v>6863</v>
      </c>
      <c r="T58" s="241" t="s">
        <v>296</v>
      </c>
      <c r="U58" s="241" t="s">
        <v>19</v>
      </c>
      <c r="V58" s="241" t="s">
        <v>297</v>
      </c>
      <c r="W58" s="241" t="s">
        <v>297</v>
      </c>
      <c r="X58" s="241" t="s">
        <v>297</v>
      </c>
      <c r="Y58" s="241" t="s">
        <v>1064</v>
      </c>
      <c r="Z58" s="241"/>
      <c r="AA58" s="241"/>
      <c r="AB58" s="241" t="s">
        <v>133</v>
      </c>
      <c r="AC58" s="241" t="s">
        <v>25</v>
      </c>
      <c r="AD58" s="245">
        <v>33171</v>
      </c>
      <c r="AE58" s="241">
        <f t="shared" ca="1" si="1"/>
        <v>34</v>
      </c>
      <c r="AF58" s="246" t="s">
        <v>1065</v>
      </c>
      <c r="AG58" s="241" t="s">
        <v>1066</v>
      </c>
      <c r="AH58" s="240" t="s">
        <v>1067</v>
      </c>
      <c r="AI58" s="240"/>
      <c r="AJ58" s="240"/>
      <c r="AK58" s="250" t="s">
        <v>1068</v>
      </c>
      <c r="AL58" s="246" t="s">
        <v>1069</v>
      </c>
      <c r="AM58" s="246">
        <v>17028714172</v>
      </c>
      <c r="AN58" s="241" t="s">
        <v>4733</v>
      </c>
      <c r="AO58" s="241" t="s">
        <v>1070</v>
      </c>
      <c r="AP58" s="241"/>
      <c r="AQ58" s="241"/>
      <c r="AR58" s="241"/>
      <c r="AS58" s="241"/>
      <c r="AT58" s="241" t="s">
        <v>306</v>
      </c>
      <c r="AU58" s="241" t="s">
        <v>306</v>
      </c>
      <c r="AV58" s="241" t="s">
        <v>306</v>
      </c>
      <c r="AW58" s="241" t="s">
        <v>306</v>
      </c>
      <c r="AX58" s="241">
        <f t="shared" si="2"/>
        <v>0</v>
      </c>
      <c r="AY58" s="241" t="str">
        <f t="shared" si="3"/>
        <v>K/0</v>
      </c>
      <c r="AZ58" s="241"/>
      <c r="BA58" s="237">
        <v>848279196621000</v>
      </c>
      <c r="BB58" s="249" t="s">
        <v>161</v>
      </c>
      <c r="BC58" s="241" t="s">
        <v>75</v>
      </c>
      <c r="BD58" s="241" t="s">
        <v>43</v>
      </c>
      <c r="BE58" s="241" t="s">
        <v>1071</v>
      </c>
      <c r="BF58" s="241"/>
      <c r="BG58" s="241" t="s">
        <v>75</v>
      </c>
      <c r="BH58" s="241" t="s">
        <v>43</v>
      </c>
      <c r="BI58" s="241" t="s">
        <v>1071</v>
      </c>
      <c r="BJ58" s="241"/>
      <c r="BK58" s="247">
        <v>53343</v>
      </c>
      <c r="BL58" s="247">
        <v>53708</v>
      </c>
      <c r="BM58" s="242"/>
      <c r="BN58" s="241"/>
      <c r="BO58" s="241"/>
      <c r="BP58" s="244" t="s">
        <v>1072</v>
      </c>
      <c r="BQ58" s="244"/>
      <c r="BR58" s="244">
        <v>44835</v>
      </c>
      <c r="BS58" s="244"/>
      <c r="BT58" s="241"/>
      <c r="BU58" s="241"/>
      <c r="BV58" s="241"/>
      <c r="BW58" s="241"/>
      <c r="BX58" s="241"/>
      <c r="BY58" s="241"/>
      <c r="BZ58" s="241"/>
      <c r="CA58" s="241"/>
      <c r="CB58" s="241"/>
      <c r="CC58" s="241"/>
      <c r="CD58" s="241"/>
      <c r="CE58" s="241" t="e">
        <f>VLOOKUP(D58,[1]Sertifikasi!$B$4:$I$19,8,0)</f>
        <v>#N/A</v>
      </c>
      <c r="CF58" s="13"/>
      <c r="CG58" s="13"/>
      <c r="CH58" s="13"/>
    </row>
    <row r="59" spans="1:86" ht="11.25" customHeight="1" x14ac:dyDescent="0.2">
      <c r="A59" s="13"/>
      <c r="B59" s="238">
        <v>55</v>
      </c>
      <c r="C59" s="248" t="s">
        <v>292</v>
      </c>
      <c r="D59" s="237" t="s">
        <v>1073</v>
      </c>
      <c r="E59" s="239">
        <v>971800016</v>
      </c>
      <c r="F59" s="237">
        <v>1710003626655</v>
      </c>
      <c r="G59" s="240"/>
      <c r="H59" s="249" t="s">
        <v>217</v>
      </c>
      <c r="I59" s="241" t="s">
        <v>217</v>
      </c>
      <c r="J59" s="242">
        <v>42648</v>
      </c>
      <c r="K59" s="241"/>
      <c r="L59" s="241"/>
      <c r="M59" s="241" t="str">
        <f t="shared" si="9"/>
        <v>ORGANIK IMSS</v>
      </c>
      <c r="N59" s="241" t="s">
        <v>187</v>
      </c>
      <c r="O59" s="241" t="s">
        <v>442</v>
      </c>
      <c r="P59" s="243">
        <v>43116</v>
      </c>
      <c r="Q59" s="244"/>
      <c r="R59" s="241" t="s">
        <v>139</v>
      </c>
      <c r="S59" s="241" t="s">
        <v>6863</v>
      </c>
      <c r="T59" s="241" t="s">
        <v>296</v>
      </c>
      <c r="U59" s="241" t="s">
        <v>32</v>
      </c>
      <c r="V59" s="241" t="s">
        <v>6911</v>
      </c>
      <c r="W59" s="241" t="s">
        <v>6911</v>
      </c>
      <c r="X59" s="241" t="s">
        <v>18</v>
      </c>
      <c r="Y59" s="241" t="s">
        <v>313</v>
      </c>
      <c r="Z59" s="241"/>
      <c r="AA59" s="241"/>
      <c r="AB59" s="241" t="s">
        <v>132</v>
      </c>
      <c r="AC59" s="241" t="s">
        <v>217</v>
      </c>
      <c r="AD59" s="245">
        <v>33106</v>
      </c>
      <c r="AE59" s="241">
        <f t="shared" ca="1" si="1"/>
        <v>35</v>
      </c>
      <c r="AF59" s="246" t="s">
        <v>1075</v>
      </c>
      <c r="AG59" s="241" t="s">
        <v>1076</v>
      </c>
      <c r="AH59" s="240" t="s">
        <v>1077</v>
      </c>
      <c r="AI59" s="240"/>
      <c r="AJ59" s="240"/>
      <c r="AK59" s="250" t="s">
        <v>1078</v>
      </c>
      <c r="AL59" s="246" t="s">
        <v>1079</v>
      </c>
      <c r="AM59" s="246">
        <v>13006762168</v>
      </c>
      <c r="AN59" s="241" t="s">
        <v>4733</v>
      </c>
      <c r="AO59" s="241" t="s">
        <v>1080</v>
      </c>
      <c r="AP59" s="241"/>
      <c r="AQ59" s="241"/>
      <c r="AR59" s="241"/>
      <c r="AS59" s="241"/>
      <c r="AT59" s="241" t="s">
        <v>1081</v>
      </c>
      <c r="AU59" s="241" t="s">
        <v>1082</v>
      </c>
      <c r="AV59" s="241" t="s">
        <v>1083</v>
      </c>
      <c r="AW59" s="241" t="s">
        <v>1084</v>
      </c>
      <c r="AX59" s="241">
        <f t="shared" si="2"/>
        <v>0</v>
      </c>
      <c r="AY59" s="241" t="str">
        <f t="shared" si="3"/>
        <v>K/0</v>
      </c>
      <c r="AZ59" s="241" t="s">
        <v>1085</v>
      </c>
      <c r="BA59" s="237">
        <v>856762901621000</v>
      </c>
      <c r="BB59" s="249" t="s">
        <v>161</v>
      </c>
      <c r="BC59" s="241" t="s">
        <v>307</v>
      </c>
      <c r="BD59" s="241" t="s">
        <v>308</v>
      </c>
      <c r="BE59" s="241" t="s">
        <v>6780</v>
      </c>
      <c r="BF59" s="241">
        <v>2008</v>
      </c>
      <c r="BG59" s="241" t="s">
        <v>307</v>
      </c>
      <c r="BH59" s="241" t="s">
        <v>308</v>
      </c>
      <c r="BI59" s="241" t="s">
        <v>6780</v>
      </c>
      <c r="BJ59" s="241">
        <v>2008</v>
      </c>
      <c r="BK59" s="247">
        <v>53343</v>
      </c>
      <c r="BL59" s="247">
        <v>53708</v>
      </c>
      <c r="BM59" s="242"/>
      <c r="BN59" s="241"/>
      <c r="BO59" s="241">
        <v>40</v>
      </c>
      <c r="BP59" s="244">
        <v>44294</v>
      </c>
      <c r="BQ59" s="244">
        <v>44322</v>
      </c>
      <c r="BR59" s="244">
        <v>44585</v>
      </c>
      <c r="BS59" s="244"/>
      <c r="BT59" s="241"/>
      <c r="BU59" s="241"/>
      <c r="BV59" s="241"/>
      <c r="BW59" s="241"/>
      <c r="BX59" s="241"/>
      <c r="BY59" s="241"/>
      <c r="BZ59" s="241"/>
      <c r="CA59" s="241"/>
      <c r="CB59" s="241"/>
      <c r="CC59" s="241"/>
      <c r="CD59" s="241"/>
      <c r="CE59" s="241" t="e">
        <f>VLOOKUP(D59,[1]Sertifikasi!$B$4:$I$19,8,0)</f>
        <v>#N/A</v>
      </c>
      <c r="CF59" s="13"/>
      <c r="CG59" s="13"/>
      <c r="CH59" s="13"/>
    </row>
    <row r="60" spans="1:86" ht="11.25" customHeight="1" x14ac:dyDescent="0.2">
      <c r="A60" s="13"/>
      <c r="B60" s="238">
        <v>56</v>
      </c>
      <c r="C60" s="248" t="s">
        <v>292</v>
      </c>
      <c r="D60" s="237" t="s">
        <v>1086</v>
      </c>
      <c r="E60" s="239">
        <v>971800024</v>
      </c>
      <c r="F60" s="237">
        <v>1710005144392</v>
      </c>
      <c r="G60" s="240"/>
      <c r="H60" s="249" t="s">
        <v>217</v>
      </c>
      <c r="I60" s="241" t="s">
        <v>217</v>
      </c>
      <c r="J60" s="242">
        <v>42736</v>
      </c>
      <c r="K60" s="241"/>
      <c r="L60" s="241"/>
      <c r="M60" s="241" t="str">
        <f t="shared" si="9"/>
        <v>ORGANIK IMSS</v>
      </c>
      <c r="N60" s="241" t="s">
        <v>187</v>
      </c>
      <c r="O60" s="241"/>
      <c r="P60" s="243">
        <v>42767</v>
      </c>
      <c r="Q60" s="244"/>
      <c r="R60" s="284" t="s">
        <v>137</v>
      </c>
      <c r="S60" s="241" t="s">
        <v>6862</v>
      </c>
      <c r="T60" s="241" t="s">
        <v>296</v>
      </c>
      <c r="U60" s="241" t="s">
        <v>187</v>
      </c>
      <c r="V60" s="241" t="s">
        <v>54</v>
      </c>
      <c r="W60" s="241" t="s">
        <v>54</v>
      </c>
      <c r="X60" s="241" t="s">
        <v>120</v>
      </c>
      <c r="Y60" s="241" t="s">
        <v>313</v>
      </c>
      <c r="Z60" s="241"/>
      <c r="AA60" s="241"/>
      <c r="AB60" s="241" t="s">
        <v>132</v>
      </c>
      <c r="AC60" s="241" t="s">
        <v>1087</v>
      </c>
      <c r="AD60" s="245">
        <v>28123</v>
      </c>
      <c r="AE60" s="241">
        <f t="shared" ca="1" si="1"/>
        <v>48</v>
      </c>
      <c r="AF60" s="246" t="s">
        <v>1088</v>
      </c>
      <c r="AG60" s="241" t="s">
        <v>1089</v>
      </c>
      <c r="AH60" s="240" t="s">
        <v>1090</v>
      </c>
      <c r="AI60" s="240"/>
      <c r="AJ60" s="240"/>
      <c r="AK60" s="250" t="s">
        <v>1091</v>
      </c>
      <c r="AL60" s="246" t="s">
        <v>1092</v>
      </c>
      <c r="AM60" s="246">
        <v>15040043265</v>
      </c>
      <c r="AN60" s="241" t="s">
        <v>4733</v>
      </c>
      <c r="AO60" s="241" t="s">
        <v>1093</v>
      </c>
      <c r="AP60" s="241" t="s">
        <v>1094</v>
      </c>
      <c r="AQ60" s="241" t="s">
        <v>1095</v>
      </c>
      <c r="AR60" s="241"/>
      <c r="AS60" s="241"/>
      <c r="AT60" s="241" t="s">
        <v>306</v>
      </c>
      <c r="AU60" s="241" t="s">
        <v>306</v>
      </c>
      <c r="AV60" s="241" t="s">
        <v>306</v>
      </c>
      <c r="AW60" s="241" t="s">
        <v>306</v>
      </c>
      <c r="AX60" s="241">
        <f t="shared" si="2"/>
        <v>2</v>
      </c>
      <c r="AY60" s="241" t="str">
        <f t="shared" si="3"/>
        <v>K/2</v>
      </c>
      <c r="AZ60" s="241"/>
      <c r="BA60" s="237" t="s">
        <v>1096</v>
      </c>
      <c r="BB60" s="249" t="s">
        <v>163</v>
      </c>
      <c r="BC60" s="241" t="s">
        <v>109</v>
      </c>
      <c r="BD60" s="241" t="s">
        <v>91</v>
      </c>
      <c r="BE60" s="241" t="s">
        <v>1097</v>
      </c>
      <c r="BF60" s="241">
        <v>1999</v>
      </c>
      <c r="BG60" s="241" t="s">
        <v>109</v>
      </c>
      <c r="BH60" s="241" t="s">
        <v>91</v>
      </c>
      <c r="BI60" s="241" t="s">
        <v>1097</v>
      </c>
      <c r="BJ60" s="241">
        <v>1999</v>
      </c>
      <c r="BK60" s="247">
        <v>47880</v>
      </c>
      <c r="BL60" s="247">
        <v>48212</v>
      </c>
      <c r="BM60" s="249"/>
      <c r="BN60" s="241"/>
      <c r="BO60" s="241"/>
      <c r="BP60" s="244">
        <v>44294</v>
      </c>
      <c r="BQ60" s="244">
        <v>44322</v>
      </c>
      <c r="BR60" s="244">
        <v>44581</v>
      </c>
      <c r="BS60" s="244"/>
      <c r="BT60" s="241"/>
      <c r="BU60" s="241"/>
      <c r="BV60" s="241"/>
      <c r="BW60" s="241"/>
      <c r="BX60" s="241"/>
      <c r="BY60" s="241"/>
      <c r="BZ60" s="241"/>
      <c r="CA60" s="241"/>
      <c r="CB60" s="241"/>
      <c r="CC60" s="241"/>
      <c r="CD60" s="241"/>
      <c r="CE60" s="241" t="e">
        <f>VLOOKUP(D60,[1]Sertifikasi!$B$4:$I$19,8,0)</f>
        <v>#N/A</v>
      </c>
      <c r="CF60" s="13"/>
      <c r="CG60" s="13"/>
      <c r="CH60" s="13"/>
    </row>
    <row r="61" spans="1:86" ht="11.25" customHeight="1" x14ac:dyDescent="0.2">
      <c r="A61" s="13"/>
      <c r="B61" s="238">
        <v>57</v>
      </c>
      <c r="C61" s="241" t="e">
        <f ca="1">DATEDIF($E$3,P61,"D")</f>
        <v>#NUM!</v>
      </c>
      <c r="D61" s="237" t="s">
        <v>1098</v>
      </c>
      <c r="E61" s="239">
        <v>641702080</v>
      </c>
      <c r="F61" s="237">
        <v>1710004040377</v>
      </c>
      <c r="G61" s="240"/>
      <c r="H61" s="241" t="s">
        <v>21</v>
      </c>
      <c r="I61" s="241" t="s">
        <v>21</v>
      </c>
      <c r="J61" s="242">
        <v>42767</v>
      </c>
      <c r="K61" s="241"/>
      <c r="L61" s="241"/>
      <c r="M61" s="241" t="str">
        <f t="shared" si="9"/>
        <v>PKWT</v>
      </c>
      <c r="N61" s="241" t="s">
        <v>187</v>
      </c>
      <c r="O61" s="241"/>
      <c r="P61" s="243">
        <v>45657</v>
      </c>
      <c r="Q61" s="241"/>
      <c r="R61" s="241" t="s">
        <v>206</v>
      </c>
      <c r="S61" s="241" t="s">
        <v>6863</v>
      </c>
      <c r="T61" s="241" t="s">
        <v>312</v>
      </c>
      <c r="U61" s="241" t="s">
        <v>21</v>
      </c>
      <c r="V61" s="241" t="s">
        <v>547</v>
      </c>
      <c r="W61" s="241" t="s">
        <v>696</v>
      </c>
      <c r="X61" s="241" t="s">
        <v>122</v>
      </c>
      <c r="Y61" s="241" t="s">
        <v>313</v>
      </c>
      <c r="Z61" s="241"/>
      <c r="AA61" s="241" t="s">
        <v>337</v>
      </c>
      <c r="AB61" s="241" t="s">
        <v>314</v>
      </c>
      <c r="AC61" s="241" t="s">
        <v>1099</v>
      </c>
      <c r="AD61" s="245">
        <v>34249</v>
      </c>
      <c r="AE61" s="241">
        <f t="shared" ca="1" si="1"/>
        <v>31</v>
      </c>
      <c r="AF61" s="246" t="s">
        <v>1100</v>
      </c>
      <c r="AG61" s="241" t="s">
        <v>1101</v>
      </c>
      <c r="AH61" s="240" t="s">
        <v>1102</v>
      </c>
      <c r="AI61" s="240"/>
      <c r="AJ61" s="240"/>
      <c r="AK61" s="241" t="s">
        <v>1103</v>
      </c>
      <c r="AL61" s="246" t="s">
        <v>1104</v>
      </c>
      <c r="AM61" s="246">
        <v>16059487997</v>
      </c>
      <c r="AN61" s="241" t="s">
        <v>4716</v>
      </c>
      <c r="AO61" s="241"/>
      <c r="AP61" s="241"/>
      <c r="AQ61" s="241"/>
      <c r="AR61" s="241"/>
      <c r="AS61" s="241"/>
      <c r="AT61" s="241" t="s">
        <v>306</v>
      </c>
      <c r="AU61" s="241" t="s">
        <v>306</v>
      </c>
      <c r="AV61" s="241" t="s">
        <v>306</v>
      </c>
      <c r="AW61" s="241" t="s">
        <v>306</v>
      </c>
      <c r="AX61" s="241">
        <f t="shared" si="2"/>
        <v>0</v>
      </c>
      <c r="AY61" s="241" t="str">
        <f t="shared" si="3"/>
        <v>TK/0</v>
      </c>
      <c r="AZ61" s="241"/>
      <c r="BA61" s="237"/>
      <c r="BB61" s="241" t="s">
        <v>161</v>
      </c>
      <c r="BC61" s="241" t="s">
        <v>307</v>
      </c>
      <c r="BD61" s="241" t="s">
        <v>308</v>
      </c>
      <c r="BE61" s="241" t="s">
        <v>6993</v>
      </c>
      <c r="BF61" s="241">
        <v>2012</v>
      </c>
      <c r="BG61" s="241" t="s">
        <v>307</v>
      </c>
      <c r="BH61" s="241" t="s">
        <v>308</v>
      </c>
      <c r="BI61" s="241" t="s">
        <v>6993</v>
      </c>
      <c r="BJ61" s="241">
        <v>2012</v>
      </c>
      <c r="BK61" s="247"/>
      <c r="BL61" s="247"/>
      <c r="BM61" s="241" t="s">
        <v>351</v>
      </c>
      <c r="BN61" s="241">
        <v>32</v>
      </c>
      <c r="BO61" s="241">
        <v>40</v>
      </c>
      <c r="BP61" s="244"/>
      <c r="BQ61" s="244"/>
      <c r="BR61" s="244"/>
      <c r="BS61" s="244"/>
      <c r="BT61" s="241"/>
      <c r="BU61" s="241"/>
      <c r="BV61" s="241"/>
      <c r="BW61" s="241"/>
      <c r="BX61" s="241"/>
      <c r="BY61" s="241"/>
      <c r="BZ61" s="241"/>
      <c r="CA61" s="241"/>
      <c r="CB61" s="241"/>
      <c r="CC61" s="241"/>
      <c r="CD61" s="241"/>
      <c r="CE61" s="241" t="e">
        <f>VLOOKUP(D61,[1]Sertifikasi!$B$4:$I$19,8,0)</f>
        <v>#N/A</v>
      </c>
      <c r="CF61" s="13"/>
      <c r="CG61" s="13"/>
      <c r="CH61" s="13"/>
    </row>
    <row r="62" spans="1:86" ht="11.25" customHeight="1" x14ac:dyDescent="0.2">
      <c r="A62" s="13"/>
      <c r="B62" s="238">
        <v>58</v>
      </c>
      <c r="C62" s="241" t="e">
        <f ca="1">DATEDIF($E$3,P62,"D")</f>
        <v>#NUM!</v>
      </c>
      <c r="D62" s="237" t="s">
        <v>1106</v>
      </c>
      <c r="E62" s="239">
        <v>642001047</v>
      </c>
      <c r="F62" s="237">
        <v>1710003988394</v>
      </c>
      <c r="G62" s="240"/>
      <c r="H62" s="241" t="s">
        <v>217</v>
      </c>
      <c r="I62" s="241" t="s">
        <v>217</v>
      </c>
      <c r="J62" s="242">
        <v>42767</v>
      </c>
      <c r="K62" s="241"/>
      <c r="L62" s="241"/>
      <c r="M62" s="241" t="str">
        <f t="shared" si="9"/>
        <v>PKWT</v>
      </c>
      <c r="N62" s="241" t="s">
        <v>187</v>
      </c>
      <c r="O62" s="241"/>
      <c r="P62" s="243">
        <v>45657</v>
      </c>
      <c r="Q62" s="241"/>
      <c r="R62" s="241" t="s">
        <v>206</v>
      </c>
      <c r="S62" s="241" t="s">
        <v>6863</v>
      </c>
      <c r="T62" s="241" t="s">
        <v>312</v>
      </c>
      <c r="U62" s="241" t="s">
        <v>204</v>
      </c>
      <c r="V62" s="241" t="s">
        <v>832</v>
      </c>
      <c r="W62" s="241" t="s">
        <v>6908</v>
      </c>
      <c r="X62" s="241" t="s">
        <v>18</v>
      </c>
      <c r="Y62" s="241" t="s">
        <v>313</v>
      </c>
      <c r="Z62" s="241" t="s">
        <v>173</v>
      </c>
      <c r="AA62" s="241" t="s">
        <v>337</v>
      </c>
      <c r="AB62" s="241" t="s">
        <v>314</v>
      </c>
      <c r="AC62" s="241" t="s">
        <v>217</v>
      </c>
      <c r="AD62" s="245">
        <v>35284</v>
      </c>
      <c r="AE62" s="241">
        <f t="shared" ca="1" si="1"/>
        <v>29</v>
      </c>
      <c r="AF62" s="246" t="s">
        <v>1107</v>
      </c>
      <c r="AG62" s="241" t="s">
        <v>1108</v>
      </c>
      <c r="AH62" s="240" t="s">
        <v>1109</v>
      </c>
      <c r="AI62" s="240"/>
      <c r="AJ62" s="240"/>
      <c r="AK62" s="241" t="s">
        <v>1110</v>
      </c>
      <c r="AL62" s="246" t="s">
        <v>1111</v>
      </c>
      <c r="AM62" s="246">
        <v>17028637779</v>
      </c>
      <c r="AN62" s="241" t="s">
        <v>4716</v>
      </c>
      <c r="AO62" s="241"/>
      <c r="AP62" s="241"/>
      <c r="AQ62" s="241"/>
      <c r="AR62" s="241"/>
      <c r="AS62" s="241"/>
      <c r="AT62" s="241" t="s">
        <v>306</v>
      </c>
      <c r="AU62" s="241" t="s">
        <v>306</v>
      </c>
      <c r="AV62" s="241" t="s">
        <v>306</v>
      </c>
      <c r="AW62" s="241" t="s">
        <v>306</v>
      </c>
      <c r="AX62" s="241">
        <f t="shared" si="2"/>
        <v>0</v>
      </c>
      <c r="AY62" s="241" t="str">
        <f t="shared" si="3"/>
        <v>TK/0</v>
      </c>
      <c r="AZ62" s="241"/>
      <c r="BA62" s="237"/>
      <c r="BB62" s="241" t="s">
        <v>161</v>
      </c>
      <c r="BC62" s="241" t="s">
        <v>349</v>
      </c>
      <c r="BD62" s="241" t="s">
        <v>4502</v>
      </c>
      <c r="BE62" s="241" t="s">
        <v>663</v>
      </c>
      <c r="BF62" s="241">
        <v>2016</v>
      </c>
      <c r="BG62" s="241" t="s">
        <v>475</v>
      </c>
      <c r="BH62" s="241" t="s">
        <v>4502</v>
      </c>
      <c r="BI62" s="241" t="s">
        <v>663</v>
      </c>
      <c r="BJ62" s="241">
        <v>2016</v>
      </c>
      <c r="BK62" s="247"/>
      <c r="BL62" s="247"/>
      <c r="BM62" s="241" t="s">
        <v>369</v>
      </c>
      <c r="BN62" s="241">
        <v>42</v>
      </c>
      <c r="BO62" s="241">
        <v>43</v>
      </c>
      <c r="BP62" s="244">
        <v>44294</v>
      </c>
      <c r="BQ62" s="244">
        <v>44322</v>
      </c>
      <c r="BR62" s="244"/>
      <c r="BS62" s="244"/>
      <c r="BT62" s="241">
        <v>43467</v>
      </c>
      <c r="BU62" s="241">
        <v>43830</v>
      </c>
      <c r="BV62" s="241" t="s">
        <v>1112</v>
      </c>
      <c r="BW62" s="241" t="s">
        <v>1113</v>
      </c>
      <c r="BX62" s="241"/>
      <c r="BY62" s="241"/>
      <c r="BZ62" s="241"/>
      <c r="CA62" s="241"/>
      <c r="CB62" s="241"/>
      <c r="CC62" s="241"/>
      <c r="CD62" s="241"/>
      <c r="CE62" s="241" t="e">
        <f>VLOOKUP(D62,[1]Sertifikasi!$B$4:$I$19,8,0)</f>
        <v>#N/A</v>
      </c>
      <c r="CF62" s="13"/>
      <c r="CG62" s="13"/>
      <c r="CH62" s="13"/>
    </row>
    <row r="63" spans="1:86" ht="11.25" customHeight="1" x14ac:dyDescent="0.2">
      <c r="A63" s="13"/>
      <c r="B63" s="238">
        <v>59</v>
      </c>
      <c r="C63" s="241" t="e">
        <f ca="1">DATEDIF($E$3,P63,"D")</f>
        <v>#NUM!</v>
      </c>
      <c r="D63" s="237" t="s">
        <v>1114</v>
      </c>
      <c r="E63" s="239">
        <v>642001046</v>
      </c>
      <c r="F63" s="237">
        <v>1710003987917</v>
      </c>
      <c r="G63" s="240"/>
      <c r="H63" s="241" t="s">
        <v>217</v>
      </c>
      <c r="I63" s="241" t="s">
        <v>432</v>
      </c>
      <c r="J63" s="242">
        <v>42767</v>
      </c>
      <c r="K63" s="241"/>
      <c r="L63" s="241"/>
      <c r="M63" s="241" t="str">
        <f t="shared" si="9"/>
        <v>PKWT</v>
      </c>
      <c r="N63" s="241" t="s">
        <v>187</v>
      </c>
      <c r="O63" s="241"/>
      <c r="P63" s="243">
        <v>45657</v>
      </c>
      <c r="Q63" s="241"/>
      <c r="R63" s="241" t="s">
        <v>206</v>
      </c>
      <c r="S63" s="241" t="s">
        <v>6863</v>
      </c>
      <c r="T63" s="241" t="s">
        <v>296</v>
      </c>
      <c r="U63" s="241" t="s">
        <v>187</v>
      </c>
      <c r="V63" s="241" t="s">
        <v>1115</v>
      </c>
      <c r="W63" s="241" t="s">
        <v>119</v>
      </c>
      <c r="X63" s="241" t="s">
        <v>120</v>
      </c>
      <c r="Y63" s="241" t="s">
        <v>313</v>
      </c>
      <c r="Z63" s="241" t="s">
        <v>462</v>
      </c>
      <c r="AA63" s="241" t="s">
        <v>337</v>
      </c>
      <c r="AB63" s="241" t="s">
        <v>314</v>
      </c>
      <c r="AC63" s="241" t="s">
        <v>432</v>
      </c>
      <c r="AD63" s="245">
        <v>34484</v>
      </c>
      <c r="AE63" s="241">
        <f t="shared" ca="1" si="1"/>
        <v>31</v>
      </c>
      <c r="AF63" s="246" t="s">
        <v>1116</v>
      </c>
      <c r="AG63" s="241" t="s">
        <v>1117</v>
      </c>
      <c r="AH63" s="240" t="s">
        <v>1118</v>
      </c>
      <c r="AI63" s="240"/>
      <c r="AJ63" s="240"/>
      <c r="AK63" s="241" t="s">
        <v>1119</v>
      </c>
      <c r="AL63" s="246" t="s">
        <v>1120</v>
      </c>
      <c r="AM63" s="246">
        <v>16035177704</v>
      </c>
      <c r="AN63" s="241" t="s">
        <v>4733</v>
      </c>
      <c r="AO63" s="241" t="s">
        <v>1121</v>
      </c>
      <c r="AP63" s="241" t="s">
        <v>1122</v>
      </c>
      <c r="AQ63" s="241"/>
      <c r="AR63" s="241"/>
      <c r="AS63" s="241"/>
      <c r="AT63" s="241" t="s">
        <v>306</v>
      </c>
      <c r="AU63" s="241" t="s">
        <v>306</v>
      </c>
      <c r="AV63" s="241" t="s">
        <v>306</v>
      </c>
      <c r="AW63" s="241" t="s">
        <v>306</v>
      </c>
      <c r="AX63" s="241">
        <f t="shared" si="2"/>
        <v>1</v>
      </c>
      <c r="AY63" s="241" t="str">
        <f t="shared" si="3"/>
        <v>K/1</v>
      </c>
      <c r="AZ63" s="241"/>
      <c r="BA63" s="237"/>
      <c r="BB63" s="241" t="s">
        <v>161</v>
      </c>
      <c r="BC63" s="241" t="s">
        <v>75</v>
      </c>
      <c r="BD63" s="241" t="s">
        <v>91</v>
      </c>
      <c r="BE63" s="241" t="s">
        <v>457</v>
      </c>
      <c r="BF63" s="241">
        <v>2017</v>
      </c>
      <c r="BG63" s="241" t="s">
        <v>75</v>
      </c>
      <c r="BH63" s="241" t="s">
        <v>91</v>
      </c>
      <c r="BI63" s="241" t="s">
        <v>457</v>
      </c>
      <c r="BJ63" s="241">
        <v>2017</v>
      </c>
      <c r="BK63" s="247"/>
      <c r="BL63" s="247"/>
      <c r="BM63" s="241" t="s">
        <v>351</v>
      </c>
      <c r="BN63" s="241">
        <v>31</v>
      </c>
      <c r="BO63" s="241">
        <v>42</v>
      </c>
      <c r="BP63" s="244">
        <v>44293</v>
      </c>
      <c r="BQ63" s="244">
        <v>44322</v>
      </c>
      <c r="BR63" s="244"/>
      <c r="BS63" s="244"/>
      <c r="BT63" s="241">
        <v>43467</v>
      </c>
      <c r="BU63" s="241">
        <v>43830</v>
      </c>
      <c r="BV63" s="241" t="s">
        <v>1123</v>
      </c>
      <c r="BW63" s="241" t="s">
        <v>1124</v>
      </c>
      <c r="BX63" s="241"/>
      <c r="BY63" s="241"/>
      <c r="BZ63" s="241"/>
      <c r="CA63" s="241"/>
      <c r="CB63" s="241"/>
      <c r="CC63" s="241"/>
      <c r="CD63" s="241"/>
      <c r="CE63" s="241" t="e">
        <f>VLOOKUP(D63,[1]Sertifikasi!$B$4:$I$19,8,0)</f>
        <v>#N/A</v>
      </c>
      <c r="CF63" s="13"/>
      <c r="CG63" s="13"/>
      <c r="CH63" s="13"/>
    </row>
    <row r="64" spans="1:86" ht="11.25" customHeight="1" x14ac:dyDescent="0.2">
      <c r="A64" s="13"/>
      <c r="B64" s="238">
        <v>60</v>
      </c>
      <c r="C64" s="241" t="e">
        <f ca="1">DATEDIF($E$3,P64,"D")</f>
        <v>#NUM!</v>
      </c>
      <c r="D64" s="237" t="s">
        <v>1125</v>
      </c>
      <c r="E64" s="239">
        <v>642001048</v>
      </c>
      <c r="F64" s="237">
        <v>1710004028919</v>
      </c>
      <c r="G64" s="240"/>
      <c r="H64" s="241" t="s">
        <v>217</v>
      </c>
      <c r="I64" s="241" t="s">
        <v>217</v>
      </c>
      <c r="J64" s="242">
        <v>42767</v>
      </c>
      <c r="K64" s="241"/>
      <c r="L64" s="241"/>
      <c r="M64" s="241" t="str">
        <f t="shared" si="9"/>
        <v>PKWT</v>
      </c>
      <c r="N64" s="241" t="s">
        <v>187</v>
      </c>
      <c r="O64" s="241"/>
      <c r="P64" s="243">
        <v>45657</v>
      </c>
      <c r="Q64" s="241"/>
      <c r="R64" s="241" t="s">
        <v>206</v>
      </c>
      <c r="S64" s="241" t="s">
        <v>6863</v>
      </c>
      <c r="T64" s="241" t="s">
        <v>312</v>
      </c>
      <c r="U64" s="241" t="s">
        <v>22</v>
      </c>
      <c r="V64" s="241" t="s">
        <v>547</v>
      </c>
      <c r="W64" s="241" t="s">
        <v>78</v>
      </c>
      <c r="X64" s="241" t="s">
        <v>122</v>
      </c>
      <c r="Y64" s="241" t="s">
        <v>313</v>
      </c>
      <c r="Z64" s="241" t="s">
        <v>462</v>
      </c>
      <c r="AA64" s="241" t="s">
        <v>337</v>
      </c>
      <c r="AB64" s="241" t="s">
        <v>314</v>
      </c>
      <c r="AC64" s="241" t="s">
        <v>217</v>
      </c>
      <c r="AD64" s="245">
        <v>32695</v>
      </c>
      <c r="AE64" s="241">
        <f t="shared" ca="1" si="1"/>
        <v>36</v>
      </c>
      <c r="AF64" s="246" t="s">
        <v>1126</v>
      </c>
      <c r="AG64" s="241" t="s">
        <v>1127</v>
      </c>
      <c r="AH64" s="240" t="s">
        <v>1128</v>
      </c>
      <c r="AI64" s="240"/>
      <c r="AJ64" s="240"/>
      <c r="AK64" s="241" t="s">
        <v>1129</v>
      </c>
      <c r="AL64" s="246" t="s">
        <v>1130</v>
      </c>
      <c r="AM64" s="246">
        <v>17028637761</v>
      </c>
      <c r="AN64" s="241" t="s">
        <v>4716</v>
      </c>
      <c r="AO64" s="241"/>
      <c r="AP64" s="241"/>
      <c r="AQ64" s="241"/>
      <c r="AR64" s="241"/>
      <c r="AS64" s="241"/>
      <c r="AT64" s="241" t="s">
        <v>306</v>
      </c>
      <c r="AU64" s="241" t="s">
        <v>306</v>
      </c>
      <c r="AV64" s="241" t="s">
        <v>306</v>
      </c>
      <c r="AW64" s="241" t="s">
        <v>306</v>
      </c>
      <c r="AX64" s="241">
        <f t="shared" si="2"/>
        <v>0</v>
      </c>
      <c r="AY64" s="241" t="str">
        <f t="shared" si="3"/>
        <v>TK/0</v>
      </c>
      <c r="AZ64" s="241"/>
      <c r="BA64" s="237"/>
      <c r="BB64" s="241" t="s">
        <v>161</v>
      </c>
      <c r="BC64" s="241" t="s">
        <v>349</v>
      </c>
      <c r="BD64" s="241" t="s">
        <v>515</v>
      </c>
      <c r="BE64" s="241" t="s">
        <v>350</v>
      </c>
      <c r="BF64" s="241">
        <v>2007</v>
      </c>
      <c r="BG64" s="241" t="s">
        <v>475</v>
      </c>
      <c r="BH64" s="241" t="s">
        <v>515</v>
      </c>
      <c r="BI64" s="241" t="s">
        <v>350</v>
      </c>
      <c r="BJ64" s="241">
        <v>2007</v>
      </c>
      <c r="BK64" s="247"/>
      <c r="BL64" s="247"/>
      <c r="BM64" s="241" t="s">
        <v>351</v>
      </c>
      <c r="BN64" s="241">
        <v>36</v>
      </c>
      <c r="BO64" s="241">
        <v>45</v>
      </c>
      <c r="BP64" s="244">
        <v>44293</v>
      </c>
      <c r="BQ64" s="244"/>
      <c r="BR64" s="244">
        <v>44923</v>
      </c>
      <c r="BS64" s="244"/>
      <c r="BT64" s="241">
        <v>43467</v>
      </c>
      <c r="BU64" s="241">
        <v>43830</v>
      </c>
      <c r="BV64" s="241" t="s">
        <v>1131</v>
      </c>
      <c r="BW64" s="241" t="s">
        <v>1132</v>
      </c>
      <c r="BX64" s="241"/>
      <c r="BY64" s="241"/>
      <c r="BZ64" s="241"/>
      <c r="CA64" s="241"/>
      <c r="CB64" s="241"/>
      <c r="CC64" s="241"/>
      <c r="CD64" s="241"/>
      <c r="CE64" s="241" t="e">
        <f>VLOOKUP(D64,[1]Sertifikasi!$B$4:$I$19,8,0)</f>
        <v>#N/A</v>
      </c>
      <c r="CF64" s="13"/>
      <c r="CG64" s="13"/>
      <c r="CH64" s="13"/>
    </row>
    <row r="65" spans="1:86" ht="11.25" customHeight="1" x14ac:dyDescent="0.2">
      <c r="A65" s="13"/>
      <c r="B65" s="238">
        <v>61</v>
      </c>
      <c r="C65" s="241" t="e">
        <f ca="1">DATEDIF($E$3,P65,"D")</f>
        <v>#NUM!</v>
      </c>
      <c r="D65" s="237" t="s">
        <v>470</v>
      </c>
      <c r="E65" s="239">
        <v>642001050</v>
      </c>
      <c r="F65" s="237">
        <v>1710004034438</v>
      </c>
      <c r="G65" s="240"/>
      <c r="H65" s="241" t="s">
        <v>217</v>
      </c>
      <c r="I65" s="241" t="s">
        <v>311</v>
      </c>
      <c r="J65" s="242">
        <v>42767</v>
      </c>
      <c r="K65" s="241"/>
      <c r="L65" s="241"/>
      <c r="M65" s="241" t="str">
        <f t="shared" si="9"/>
        <v>PKWT</v>
      </c>
      <c r="N65" s="241" t="s">
        <v>187</v>
      </c>
      <c r="O65" s="241"/>
      <c r="P65" s="243">
        <v>45657</v>
      </c>
      <c r="Q65" s="241"/>
      <c r="R65" s="241" t="s">
        <v>206</v>
      </c>
      <c r="S65" s="241" t="s">
        <v>6863</v>
      </c>
      <c r="T65" s="241" t="s">
        <v>312</v>
      </c>
      <c r="U65" s="241" t="s">
        <v>24</v>
      </c>
      <c r="V65" s="241" t="s">
        <v>204</v>
      </c>
      <c r="W65" s="241" t="s">
        <v>706</v>
      </c>
      <c r="X65" s="241" t="s">
        <v>121</v>
      </c>
      <c r="Y65" s="241" t="s">
        <v>313</v>
      </c>
      <c r="Z65" s="241" t="s">
        <v>445</v>
      </c>
      <c r="AA65" s="241" t="s">
        <v>337</v>
      </c>
      <c r="AB65" s="241" t="s">
        <v>314</v>
      </c>
      <c r="AC65" s="241" t="s">
        <v>311</v>
      </c>
      <c r="AD65" s="245">
        <v>32852</v>
      </c>
      <c r="AE65" s="241">
        <f t="shared" ca="1" si="1"/>
        <v>35</v>
      </c>
      <c r="AF65" s="246" t="s">
        <v>1133</v>
      </c>
      <c r="AG65" s="241" t="s">
        <v>1134</v>
      </c>
      <c r="AH65" s="240" t="s">
        <v>1135</v>
      </c>
      <c r="AI65" s="240"/>
      <c r="AJ65" s="240"/>
      <c r="AK65" s="241" t="s">
        <v>1136</v>
      </c>
      <c r="AL65" s="246" t="s">
        <v>1137</v>
      </c>
      <c r="AM65" s="246">
        <v>17028637746</v>
      </c>
      <c r="AN65" s="241" t="s">
        <v>4733</v>
      </c>
      <c r="AO65" s="241" t="s">
        <v>1138</v>
      </c>
      <c r="AP65" s="241" t="s">
        <v>1139</v>
      </c>
      <c r="AQ65" s="241"/>
      <c r="AR65" s="241"/>
      <c r="AS65" s="241"/>
      <c r="AT65" s="241" t="s">
        <v>1140</v>
      </c>
      <c r="AU65" s="241" t="s">
        <v>1141</v>
      </c>
      <c r="AV65" s="241" t="s">
        <v>1142</v>
      </c>
      <c r="AW65" s="241" t="s">
        <v>1143</v>
      </c>
      <c r="AX65" s="241">
        <f t="shared" si="2"/>
        <v>1</v>
      </c>
      <c r="AY65" s="241" t="str">
        <f t="shared" si="3"/>
        <v>K/1</v>
      </c>
      <c r="AZ65" s="241" t="s">
        <v>1144</v>
      </c>
      <c r="BA65" s="237" t="s">
        <v>1145</v>
      </c>
      <c r="BB65" s="241" t="s">
        <v>161</v>
      </c>
      <c r="BC65" s="241" t="s">
        <v>349</v>
      </c>
      <c r="BD65" s="241" t="s">
        <v>515</v>
      </c>
      <c r="BE65" s="241" t="s">
        <v>1146</v>
      </c>
      <c r="BF65" s="241">
        <v>2008</v>
      </c>
      <c r="BG65" s="241" t="s">
        <v>475</v>
      </c>
      <c r="BH65" s="241" t="s">
        <v>515</v>
      </c>
      <c r="BI65" s="241" t="s">
        <v>1146</v>
      </c>
      <c r="BJ65" s="241">
        <v>2008</v>
      </c>
      <c r="BK65" s="247"/>
      <c r="BL65" s="247"/>
      <c r="BM65" s="241" t="s">
        <v>339</v>
      </c>
      <c r="BN65" s="241">
        <v>36</v>
      </c>
      <c r="BO65" s="241">
        <v>42</v>
      </c>
      <c r="BP65" s="244"/>
      <c r="BQ65" s="244"/>
      <c r="BR65" s="244">
        <v>44689</v>
      </c>
      <c r="BS65" s="244"/>
      <c r="BT65" s="241">
        <v>43467</v>
      </c>
      <c r="BU65" s="241">
        <v>43830</v>
      </c>
      <c r="BV65" s="241" t="s">
        <v>1147</v>
      </c>
      <c r="BW65" s="241" t="s">
        <v>1148</v>
      </c>
      <c r="BX65" s="241"/>
      <c r="BY65" s="241"/>
      <c r="BZ65" s="241"/>
      <c r="CA65" s="241"/>
      <c r="CB65" s="241"/>
      <c r="CC65" s="241"/>
      <c r="CD65" s="241"/>
      <c r="CE65" s="241" t="e">
        <f>VLOOKUP(D65,[1]Sertifikasi!$B$4:$I$19,8,0)</f>
        <v>#N/A</v>
      </c>
      <c r="CF65" s="13"/>
      <c r="CG65" s="13"/>
      <c r="CH65" s="13"/>
    </row>
    <row r="66" spans="1:86" ht="11.25" customHeight="1" x14ac:dyDescent="0.2">
      <c r="A66" s="13"/>
      <c r="B66" s="238">
        <v>62</v>
      </c>
      <c r="C66" s="248" t="s">
        <v>292</v>
      </c>
      <c r="D66" s="237" t="s">
        <v>1149</v>
      </c>
      <c r="E66" s="239">
        <v>971800019</v>
      </c>
      <c r="F66" s="237">
        <v>1710003929455</v>
      </c>
      <c r="G66" s="240">
        <v>5346366740</v>
      </c>
      <c r="H66" s="249" t="s">
        <v>217</v>
      </c>
      <c r="I66" s="241" t="s">
        <v>217</v>
      </c>
      <c r="J66" s="242">
        <v>42767</v>
      </c>
      <c r="K66" s="241"/>
      <c r="L66" s="241"/>
      <c r="M66" s="241" t="str">
        <f t="shared" si="9"/>
        <v>ORGANIK IMSS</v>
      </c>
      <c r="N66" s="241" t="s">
        <v>187</v>
      </c>
      <c r="O66" s="241" t="s">
        <v>442</v>
      </c>
      <c r="P66" s="243">
        <v>43116</v>
      </c>
      <c r="Q66" s="244"/>
      <c r="R66" s="241" t="s">
        <v>139</v>
      </c>
      <c r="S66" s="241" t="s">
        <v>6863</v>
      </c>
      <c r="T66" s="241" t="s">
        <v>296</v>
      </c>
      <c r="U66" s="241" t="s">
        <v>187</v>
      </c>
      <c r="V66" s="241" t="s">
        <v>7148</v>
      </c>
      <c r="W66" s="241" t="s">
        <v>107</v>
      </c>
      <c r="X66" s="241" t="s">
        <v>107</v>
      </c>
      <c r="Y66" s="241" t="s">
        <v>298</v>
      </c>
      <c r="Z66" s="241"/>
      <c r="AA66" s="241"/>
      <c r="AB66" s="241" t="s">
        <v>132</v>
      </c>
      <c r="AC66" s="241" t="s">
        <v>31</v>
      </c>
      <c r="AD66" s="245">
        <v>33445</v>
      </c>
      <c r="AE66" s="241">
        <f t="shared" ca="1" si="1"/>
        <v>34</v>
      </c>
      <c r="AF66" s="246" t="s">
        <v>1151</v>
      </c>
      <c r="AG66" s="241" t="s">
        <v>1152</v>
      </c>
      <c r="AH66" s="240" t="s">
        <v>1153</v>
      </c>
      <c r="AI66" s="240"/>
      <c r="AJ66" s="240"/>
      <c r="AK66" s="250" t="s">
        <v>1154</v>
      </c>
      <c r="AL66" s="246" t="s">
        <v>1155</v>
      </c>
      <c r="AM66" s="246">
        <v>17028714214</v>
      </c>
      <c r="AN66" s="241" t="s">
        <v>4733</v>
      </c>
      <c r="AO66" s="241"/>
      <c r="AP66" s="241" t="s">
        <v>1156</v>
      </c>
      <c r="AQ66" s="241"/>
      <c r="AR66" s="241"/>
      <c r="AS66" s="241"/>
      <c r="AT66" s="241" t="s">
        <v>306</v>
      </c>
      <c r="AU66" s="241" t="s">
        <v>306</v>
      </c>
      <c r="AV66" s="241" t="s">
        <v>306</v>
      </c>
      <c r="AW66" s="241" t="s">
        <v>306</v>
      </c>
      <c r="AX66" s="241">
        <f t="shared" si="2"/>
        <v>1</v>
      </c>
      <c r="AY66" s="241" t="str">
        <f t="shared" si="3"/>
        <v>K/1</v>
      </c>
      <c r="AZ66" s="241"/>
      <c r="BA66" s="237">
        <v>832701908621000</v>
      </c>
      <c r="BB66" s="249" t="s">
        <v>161</v>
      </c>
      <c r="BC66" s="241" t="s">
        <v>75</v>
      </c>
      <c r="BD66" s="241" t="s">
        <v>1157</v>
      </c>
      <c r="BE66" s="241" t="s">
        <v>1158</v>
      </c>
      <c r="BF66" s="241">
        <v>2016</v>
      </c>
      <c r="BG66" s="241" t="s">
        <v>75</v>
      </c>
      <c r="BH66" s="241" t="s">
        <v>1157</v>
      </c>
      <c r="BI66" s="241" t="s">
        <v>1158</v>
      </c>
      <c r="BJ66" s="241">
        <v>2016</v>
      </c>
      <c r="BK66" s="247">
        <v>53708</v>
      </c>
      <c r="BL66" s="247">
        <v>54073</v>
      </c>
      <c r="BM66" s="242"/>
      <c r="BN66" s="241"/>
      <c r="BO66" s="241"/>
      <c r="BP66" s="244">
        <v>44294</v>
      </c>
      <c r="BQ66" s="244">
        <v>44322</v>
      </c>
      <c r="BR66" s="244"/>
      <c r="BS66" s="244"/>
      <c r="BT66" s="241"/>
      <c r="BU66" s="241"/>
      <c r="BV66" s="241"/>
      <c r="BW66" s="241"/>
      <c r="BX66" s="241"/>
      <c r="BY66" s="241"/>
      <c r="BZ66" s="241"/>
      <c r="CA66" s="241"/>
      <c r="CB66" s="241"/>
      <c r="CC66" s="241"/>
      <c r="CD66" s="241"/>
      <c r="CE66" s="241" t="e">
        <f>VLOOKUP(D66,[1]Sertifikasi!$B$4:$I$19,8,0)</f>
        <v>#N/A</v>
      </c>
      <c r="CF66" s="13"/>
      <c r="CG66" s="13"/>
      <c r="CH66" s="13"/>
    </row>
    <row r="67" spans="1:86" ht="11.25" customHeight="1" x14ac:dyDescent="0.2">
      <c r="A67" s="13"/>
      <c r="B67" s="238">
        <v>63</v>
      </c>
      <c r="C67" s="248" t="s">
        <v>292</v>
      </c>
      <c r="D67" s="237" t="s">
        <v>1159</v>
      </c>
      <c r="E67" s="239">
        <v>971800017</v>
      </c>
      <c r="F67" s="237">
        <v>1710003920017</v>
      </c>
      <c r="G67" s="240"/>
      <c r="H67" s="249" t="s">
        <v>217</v>
      </c>
      <c r="I67" s="241" t="s">
        <v>1160</v>
      </c>
      <c r="J67" s="242">
        <v>42767</v>
      </c>
      <c r="K67" s="241"/>
      <c r="L67" s="241"/>
      <c r="M67" s="241" t="str">
        <f t="shared" si="9"/>
        <v>ORGANIK IMSS</v>
      </c>
      <c r="N67" s="241" t="s">
        <v>187</v>
      </c>
      <c r="O67" s="241"/>
      <c r="P67" s="243">
        <v>42767</v>
      </c>
      <c r="Q67" s="244"/>
      <c r="R67" s="283" t="s">
        <v>6923</v>
      </c>
      <c r="S67" s="241" t="s">
        <v>6863</v>
      </c>
      <c r="T67" s="241" t="s">
        <v>296</v>
      </c>
      <c r="U67" s="241" t="s">
        <v>187</v>
      </c>
      <c r="V67" s="241" t="s">
        <v>65</v>
      </c>
      <c r="W67" s="241" t="s">
        <v>65</v>
      </c>
      <c r="X67" s="241" t="s">
        <v>121</v>
      </c>
      <c r="Y67" s="241" t="s">
        <v>313</v>
      </c>
      <c r="Z67" s="241" t="s">
        <v>1162</v>
      </c>
      <c r="AA67" s="241"/>
      <c r="AB67" s="241" t="s">
        <v>132</v>
      </c>
      <c r="AC67" s="241" t="s">
        <v>1160</v>
      </c>
      <c r="AD67" s="245">
        <v>32799</v>
      </c>
      <c r="AE67" s="241">
        <f t="shared" ca="1" si="1"/>
        <v>35</v>
      </c>
      <c r="AF67" s="246" t="s">
        <v>1163</v>
      </c>
      <c r="AG67" s="241" t="s">
        <v>1164</v>
      </c>
      <c r="AH67" s="240" t="s">
        <v>1165</v>
      </c>
      <c r="AI67" s="240"/>
      <c r="AJ67" s="240"/>
      <c r="AK67" s="250" t="s">
        <v>1166</v>
      </c>
      <c r="AL67" s="246" t="s">
        <v>1167</v>
      </c>
      <c r="AM67" s="246">
        <v>17028714149</v>
      </c>
      <c r="AN67" s="241" t="s">
        <v>4733</v>
      </c>
      <c r="AO67" s="241" t="s">
        <v>1168</v>
      </c>
      <c r="AP67" s="241" t="s">
        <v>1169</v>
      </c>
      <c r="AQ67" s="241"/>
      <c r="AR67" s="241"/>
      <c r="AS67" s="241"/>
      <c r="AT67" s="241" t="s">
        <v>306</v>
      </c>
      <c r="AU67" s="241" t="s">
        <v>306</v>
      </c>
      <c r="AV67" s="241" t="s">
        <v>306</v>
      </c>
      <c r="AW67" s="241" t="s">
        <v>306</v>
      </c>
      <c r="AX67" s="241">
        <f t="shared" si="2"/>
        <v>1</v>
      </c>
      <c r="AY67" s="241" t="str">
        <f t="shared" si="3"/>
        <v>K/1</v>
      </c>
      <c r="AZ67" s="241"/>
      <c r="BA67" s="237">
        <v>843996950601000</v>
      </c>
      <c r="BB67" s="249" t="s">
        <v>161</v>
      </c>
      <c r="BC67" s="241" t="s">
        <v>75</v>
      </c>
      <c r="BD67" s="241" t="s">
        <v>87</v>
      </c>
      <c r="BE67" s="241" t="s">
        <v>81</v>
      </c>
      <c r="BF67" s="241">
        <v>2015</v>
      </c>
      <c r="BG67" s="241" t="s">
        <v>75</v>
      </c>
      <c r="BH67" s="241" t="s">
        <v>87</v>
      </c>
      <c r="BI67" s="241" t="s">
        <v>81</v>
      </c>
      <c r="BJ67" s="241">
        <v>2015</v>
      </c>
      <c r="BK67" s="247">
        <v>52994</v>
      </c>
      <c r="BL67" s="247">
        <v>16834</v>
      </c>
      <c r="BM67" s="249"/>
      <c r="BN67" s="241"/>
      <c r="BO67" s="241"/>
      <c r="BP67" s="244">
        <v>44294</v>
      </c>
      <c r="BQ67" s="244">
        <v>44322</v>
      </c>
      <c r="BR67" s="244">
        <v>0</v>
      </c>
      <c r="BS67" s="244"/>
      <c r="BT67" s="241"/>
      <c r="BU67" s="241"/>
      <c r="BV67" s="241"/>
      <c r="BW67" s="241"/>
      <c r="BX67" s="241"/>
      <c r="BY67" s="241"/>
      <c r="BZ67" s="241"/>
      <c r="CA67" s="241"/>
      <c r="CB67" s="241"/>
      <c r="CC67" s="241"/>
      <c r="CD67" s="241"/>
      <c r="CE67" s="241" t="e">
        <f>VLOOKUP(D67,[1]Sertifikasi!$B$4:$I$19,8,0)</f>
        <v>#N/A</v>
      </c>
      <c r="CF67" s="13"/>
      <c r="CG67" s="13"/>
      <c r="CH67" s="13"/>
    </row>
    <row r="68" spans="1:86" ht="11.25" customHeight="1" x14ac:dyDescent="0.2">
      <c r="A68" s="13"/>
      <c r="B68" s="238">
        <v>64</v>
      </c>
      <c r="C68" s="248" t="s">
        <v>292</v>
      </c>
      <c r="D68" s="237" t="s">
        <v>1170</v>
      </c>
      <c r="E68" s="239">
        <v>971900027</v>
      </c>
      <c r="F68" s="237">
        <v>1710003986992</v>
      </c>
      <c r="G68" s="240"/>
      <c r="H68" s="249" t="s">
        <v>217</v>
      </c>
      <c r="I68" s="241" t="s">
        <v>432</v>
      </c>
      <c r="J68" s="242">
        <v>42767</v>
      </c>
      <c r="K68" s="241"/>
      <c r="L68" s="241"/>
      <c r="M68" s="241" t="str">
        <f t="shared" si="9"/>
        <v>ORGANIK IMSS</v>
      </c>
      <c r="N68" s="241" t="s">
        <v>187</v>
      </c>
      <c r="O68" s="241" t="s">
        <v>1171</v>
      </c>
      <c r="P68" s="243">
        <v>43497</v>
      </c>
      <c r="Q68" s="244"/>
      <c r="R68" s="283" t="s">
        <v>6923</v>
      </c>
      <c r="S68" s="241" t="s">
        <v>6863</v>
      </c>
      <c r="T68" s="241" t="s">
        <v>296</v>
      </c>
      <c r="U68" s="241" t="s">
        <v>187</v>
      </c>
      <c r="V68" s="241" t="s">
        <v>73</v>
      </c>
      <c r="W68" s="241" t="s">
        <v>73</v>
      </c>
      <c r="X68" s="241" t="s">
        <v>122</v>
      </c>
      <c r="Y68" s="241" t="s">
        <v>313</v>
      </c>
      <c r="Z68" s="241"/>
      <c r="AA68" s="241"/>
      <c r="AB68" s="241" t="s">
        <v>132</v>
      </c>
      <c r="AC68" s="241" t="s">
        <v>432</v>
      </c>
      <c r="AD68" s="245">
        <v>33268</v>
      </c>
      <c r="AE68" s="241">
        <f t="shared" ca="1" si="1"/>
        <v>34</v>
      </c>
      <c r="AF68" s="246" t="s">
        <v>1172</v>
      </c>
      <c r="AG68" s="241" t="s">
        <v>1173</v>
      </c>
      <c r="AH68" s="240" t="s">
        <v>1174</v>
      </c>
      <c r="AI68" s="240"/>
      <c r="AJ68" s="240"/>
      <c r="AK68" s="250" t="s">
        <v>1175</v>
      </c>
      <c r="AL68" s="246" t="s">
        <v>1176</v>
      </c>
      <c r="AM68" s="246">
        <v>17028637720</v>
      </c>
      <c r="AN68" s="241" t="s">
        <v>4733</v>
      </c>
      <c r="AO68" s="241" t="s">
        <v>1177</v>
      </c>
      <c r="AP68" s="241" t="s">
        <v>1178</v>
      </c>
      <c r="AQ68" s="241" t="s">
        <v>1179</v>
      </c>
      <c r="AR68" s="241"/>
      <c r="AS68" s="241"/>
      <c r="AT68" s="241" t="s">
        <v>1180</v>
      </c>
      <c r="AU68" s="241" t="s">
        <v>1181</v>
      </c>
      <c r="AV68" s="241" t="s">
        <v>1182</v>
      </c>
      <c r="AW68" s="241" t="s">
        <v>1183</v>
      </c>
      <c r="AX68" s="241">
        <f t="shared" si="2"/>
        <v>2</v>
      </c>
      <c r="AY68" s="241" t="str">
        <f t="shared" si="3"/>
        <v>K/2</v>
      </c>
      <c r="AZ68" s="241" t="s">
        <v>1184</v>
      </c>
      <c r="BA68" s="237" t="s">
        <v>1184</v>
      </c>
      <c r="BB68" s="249" t="s">
        <v>161</v>
      </c>
      <c r="BC68" s="241" t="s">
        <v>75</v>
      </c>
      <c r="BD68" s="241" t="s">
        <v>91</v>
      </c>
      <c r="BE68" s="241" t="s">
        <v>457</v>
      </c>
      <c r="BF68" s="241">
        <v>2010</v>
      </c>
      <c r="BG68" s="241" t="s">
        <v>75</v>
      </c>
      <c r="BH68" s="241" t="s">
        <v>91</v>
      </c>
      <c r="BI68" s="241" t="s">
        <v>457</v>
      </c>
      <c r="BJ68" s="241">
        <v>2010</v>
      </c>
      <c r="BK68" s="247">
        <v>53359</v>
      </c>
      <c r="BL68" s="247">
        <v>53724</v>
      </c>
      <c r="BM68" s="242"/>
      <c r="BN68" s="241"/>
      <c r="BO68" s="241"/>
      <c r="BP68" s="244"/>
      <c r="BQ68" s="244"/>
      <c r="BR68" s="244">
        <v>44737</v>
      </c>
      <c r="BS68" s="244"/>
      <c r="BT68" s="241"/>
      <c r="BU68" s="241"/>
      <c r="BV68" s="241"/>
      <c r="BW68" s="241"/>
      <c r="BX68" s="241"/>
      <c r="BY68" s="241"/>
      <c r="BZ68" s="241"/>
      <c r="CA68" s="241"/>
      <c r="CB68" s="241"/>
      <c r="CC68" s="241"/>
      <c r="CD68" s="241"/>
      <c r="CE68" s="241" t="str">
        <f>VLOOKUP(D68,[1]Sertifikasi!$B$4:$I$19,8,0)</f>
        <v>Pembinaan Dan Sertifikasi Calon Ahli K3 Umum</v>
      </c>
      <c r="CF68" s="13"/>
      <c r="CG68" s="13"/>
      <c r="CH68" s="13"/>
    </row>
    <row r="69" spans="1:86" ht="11.25" customHeight="1" x14ac:dyDescent="0.2">
      <c r="A69" s="13"/>
      <c r="B69" s="238">
        <v>65</v>
      </c>
      <c r="C69" s="241" t="e">
        <f ca="1">DATEDIF($E$3,P69,"D")</f>
        <v>#NUM!</v>
      </c>
      <c r="D69" s="237" t="s">
        <v>1185</v>
      </c>
      <c r="E69" s="239">
        <v>642001044</v>
      </c>
      <c r="F69" s="237">
        <v>1710003987370</v>
      </c>
      <c r="G69" s="240"/>
      <c r="H69" s="241" t="s">
        <v>217</v>
      </c>
      <c r="I69" s="241" t="s">
        <v>311</v>
      </c>
      <c r="J69" s="242">
        <v>42857</v>
      </c>
      <c r="K69" s="241"/>
      <c r="L69" s="241"/>
      <c r="M69" s="241" t="str">
        <f t="shared" si="9"/>
        <v>PKWT</v>
      </c>
      <c r="N69" s="241" t="s">
        <v>187</v>
      </c>
      <c r="O69" s="241"/>
      <c r="P69" s="243">
        <v>45657</v>
      </c>
      <c r="Q69" s="241"/>
      <c r="R69" s="241" t="s">
        <v>206</v>
      </c>
      <c r="S69" s="241" t="s">
        <v>6863</v>
      </c>
      <c r="T69" s="241" t="s">
        <v>312</v>
      </c>
      <c r="U69" s="241" t="s">
        <v>24</v>
      </c>
      <c r="V69" s="241" t="s">
        <v>443</v>
      </c>
      <c r="W69" s="241" t="s">
        <v>175</v>
      </c>
      <c r="X69" s="241" t="s">
        <v>121</v>
      </c>
      <c r="Y69" s="241" t="s">
        <v>313</v>
      </c>
      <c r="Z69" s="241"/>
      <c r="AA69" s="241" t="s">
        <v>337</v>
      </c>
      <c r="AB69" s="241" t="s">
        <v>314</v>
      </c>
      <c r="AC69" s="241" t="s">
        <v>217</v>
      </c>
      <c r="AD69" s="245">
        <v>32977</v>
      </c>
      <c r="AE69" s="241">
        <f t="shared" ref="AE69:AE132" ca="1" si="10">DATEDIF(AD69,$E$3,"y")</f>
        <v>35</v>
      </c>
      <c r="AF69" s="246" t="s">
        <v>1186</v>
      </c>
      <c r="AG69" s="241" t="s">
        <v>1187</v>
      </c>
      <c r="AH69" s="240" t="s">
        <v>1188</v>
      </c>
      <c r="AI69" s="240"/>
      <c r="AJ69" s="240"/>
      <c r="AK69" s="241" t="s">
        <v>1189</v>
      </c>
      <c r="AL69" s="246" t="s">
        <v>1190</v>
      </c>
      <c r="AM69" s="246">
        <v>17043907751</v>
      </c>
      <c r="AN69" s="241" t="s">
        <v>4733</v>
      </c>
      <c r="AO69" s="241" t="s">
        <v>1191</v>
      </c>
      <c r="AP69" s="241" t="s">
        <v>1192</v>
      </c>
      <c r="AQ69" s="241"/>
      <c r="AR69" s="241"/>
      <c r="AS69" s="241"/>
      <c r="AT69" s="241" t="s">
        <v>1193</v>
      </c>
      <c r="AU69" s="241" t="s">
        <v>1194</v>
      </c>
      <c r="AV69" s="241" t="s">
        <v>1195</v>
      </c>
      <c r="AW69" s="241" t="s">
        <v>1196</v>
      </c>
      <c r="AX69" s="241">
        <f t="shared" ref="AX69:AX132" si="11">COUNTA(AP69:AS69)</f>
        <v>1</v>
      </c>
      <c r="AY69" s="241" t="str">
        <f t="shared" ref="AY69:AY132" si="12">IF(AN69="Menikah","K","TK")&amp;"/"&amp;AX69</f>
        <v>K/1</v>
      </c>
      <c r="AZ69" s="241" t="s">
        <v>1197</v>
      </c>
      <c r="BA69" s="237" t="s">
        <v>1197</v>
      </c>
      <c r="BB69" s="241" t="s">
        <v>161</v>
      </c>
      <c r="BC69" s="241" t="s">
        <v>349</v>
      </c>
      <c r="BD69" s="241" t="s">
        <v>87</v>
      </c>
      <c r="BE69" s="241" t="s">
        <v>350</v>
      </c>
      <c r="BF69" s="241">
        <v>2007</v>
      </c>
      <c r="BG69" s="241" t="s">
        <v>475</v>
      </c>
      <c r="BH69" s="241" t="s">
        <v>87</v>
      </c>
      <c r="BI69" s="241" t="s">
        <v>350</v>
      </c>
      <c r="BJ69" s="241">
        <v>2007</v>
      </c>
      <c r="BK69" s="247"/>
      <c r="BL69" s="247"/>
      <c r="BM69" s="241" t="s">
        <v>351</v>
      </c>
      <c r="BN69" s="241">
        <v>36</v>
      </c>
      <c r="BO69" s="241">
        <v>42</v>
      </c>
      <c r="BP69" s="244"/>
      <c r="BQ69" s="244"/>
      <c r="BR69" s="244">
        <v>44674</v>
      </c>
      <c r="BS69" s="244"/>
      <c r="BT69" s="241">
        <v>43467</v>
      </c>
      <c r="BU69" s="241">
        <v>43830</v>
      </c>
      <c r="BV69" s="241" t="s">
        <v>1198</v>
      </c>
      <c r="BW69" s="241" t="s">
        <v>1199</v>
      </c>
      <c r="BX69" s="241"/>
      <c r="BY69" s="241"/>
      <c r="BZ69" s="241"/>
      <c r="CA69" s="241"/>
      <c r="CB69" s="241"/>
      <c r="CC69" s="241"/>
      <c r="CD69" s="241"/>
      <c r="CE69" s="241" t="e">
        <f>VLOOKUP(D69,[1]Sertifikasi!$B$4:$I$19,8,0)</f>
        <v>#N/A</v>
      </c>
      <c r="CF69" s="13"/>
      <c r="CG69" s="13"/>
      <c r="CH69" s="13"/>
    </row>
    <row r="70" spans="1:86" ht="11.25" customHeight="1" x14ac:dyDescent="0.2">
      <c r="A70" s="13"/>
      <c r="B70" s="238">
        <v>66</v>
      </c>
      <c r="C70" s="241" t="e">
        <f ca="1">DATEDIF($E$3,P70,"D")</f>
        <v>#NUM!</v>
      </c>
      <c r="D70" s="237" t="s">
        <v>1200</v>
      </c>
      <c r="E70" s="239">
        <v>642001045</v>
      </c>
      <c r="F70" s="237">
        <v>1710003988253</v>
      </c>
      <c r="G70" s="240"/>
      <c r="H70" s="241" t="s">
        <v>217</v>
      </c>
      <c r="I70" s="241" t="s">
        <v>311</v>
      </c>
      <c r="J70" s="242">
        <v>42857</v>
      </c>
      <c r="K70" s="241"/>
      <c r="L70" s="241"/>
      <c r="M70" s="241" t="str">
        <f t="shared" si="9"/>
        <v>PKWT</v>
      </c>
      <c r="N70" s="241" t="s">
        <v>187</v>
      </c>
      <c r="O70" s="241"/>
      <c r="P70" s="243">
        <v>45657</v>
      </c>
      <c r="Q70" s="241"/>
      <c r="R70" s="241" t="s">
        <v>206</v>
      </c>
      <c r="S70" s="241" t="s">
        <v>6863</v>
      </c>
      <c r="T70" s="241" t="s">
        <v>312</v>
      </c>
      <c r="U70" s="241" t="s">
        <v>23</v>
      </c>
      <c r="V70" s="241" t="s">
        <v>443</v>
      </c>
      <c r="W70" s="241" t="s">
        <v>51</v>
      </c>
      <c r="X70" s="241" t="s">
        <v>121</v>
      </c>
      <c r="Y70" s="241" t="s">
        <v>313</v>
      </c>
      <c r="Z70" s="241"/>
      <c r="AA70" s="241" t="s">
        <v>337</v>
      </c>
      <c r="AB70" s="241" t="s">
        <v>314</v>
      </c>
      <c r="AC70" s="241" t="s">
        <v>311</v>
      </c>
      <c r="AD70" s="245">
        <v>35965</v>
      </c>
      <c r="AE70" s="241">
        <f t="shared" ca="1" si="10"/>
        <v>27</v>
      </c>
      <c r="AF70" s="246" t="s">
        <v>1201</v>
      </c>
      <c r="AG70" s="241" t="s">
        <v>1202</v>
      </c>
      <c r="AH70" s="240" t="s">
        <v>1203</v>
      </c>
      <c r="AI70" s="240"/>
      <c r="AJ70" s="240"/>
      <c r="AK70" s="241" t="s">
        <v>1204</v>
      </c>
      <c r="AL70" s="246" t="s">
        <v>1205</v>
      </c>
      <c r="AM70" s="246">
        <v>17043907694</v>
      </c>
      <c r="AN70" s="241" t="s">
        <v>4733</v>
      </c>
      <c r="AO70" s="241" t="s">
        <v>1206</v>
      </c>
      <c r="AP70" s="241" t="s">
        <v>1207</v>
      </c>
      <c r="AQ70" s="241"/>
      <c r="AR70" s="241"/>
      <c r="AS70" s="241"/>
      <c r="AT70" s="241" t="s">
        <v>1208</v>
      </c>
      <c r="AU70" s="241" t="s">
        <v>1209</v>
      </c>
      <c r="AV70" s="241" t="s">
        <v>1210</v>
      </c>
      <c r="AW70" s="241" t="s">
        <v>1211</v>
      </c>
      <c r="AX70" s="241">
        <f t="shared" si="11"/>
        <v>1</v>
      </c>
      <c r="AY70" s="241" t="str">
        <f t="shared" si="12"/>
        <v>K/1</v>
      </c>
      <c r="AZ70" s="241" t="s">
        <v>1212</v>
      </c>
      <c r="BA70" s="237" t="s">
        <v>1212</v>
      </c>
      <c r="BB70" s="241" t="s">
        <v>161</v>
      </c>
      <c r="BC70" s="241" t="s">
        <v>349</v>
      </c>
      <c r="BD70" s="241" t="s">
        <v>1213</v>
      </c>
      <c r="BE70" s="241" t="s">
        <v>1214</v>
      </c>
      <c r="BF70" s="241">
        <v>2017</v>
      </c>
      <c r="BG70" s="241" t="s">
        <v>475</v>
      </c>
      <c r="BH70" s="241" t="s">
        <v>1213</v>
      </c>
      <c r="BI70" s="241" t="s">
        <v>1214</v>
      </c>
      <c r="BJ70" s="241">
        <v>2017</v>
      </c>
      <c r="BK70" s="247"/>
      <c r="BL70" s="247"/>
      <c r="BM70" s="241" t="s">
        <v>360</v>
      </c>
      <c r="BN70" s="241">
        <v>30</v>
      </c>
      <c r="BO70" s="241">
        <v>40</v>
      </c>
      <c r="BP70" s="244"/>
      <c r="BQ70" s="244"/>
      <c r="BR70" s="244"/>
      <c r="BS70" s="244"/>
      <c r="BT70" s="241">
        <v>43467</v>
      </c>
      <c r="BU70" s="241">
        <v>43830</v>
      </c>
      <c r="BV70" s="241" t="s">
        <v>1215</v>
      </c>
      <c r="BW70" s="241" t="s">
        <v>1216</v>
      </c>
      <c r="BX70" s="241"/>
      <c r="BY70" s="241"/>
      <c r="BZ70" s="241"/>
      <c r="CA70" s="241"/>
      <c r="CB70" s="241"/>
      <c r="CC70" s="241"/>
      <c r="CD70" s="241"/>
      <c r="CE70" s="241" t="e">
        <f>VLOOKUP(D70,[1]Sertifikasi!$B$4:$I$19,8,0)</f>
        <v>#N/A</v>
      </c>
      <c r="CF70" s="13"/>
      <c r="CG70" s="13"/>
      <c r="CH70" s="13"/>
    </row>
    <row r="71" spans="1:86" ht="11.25" customHeight="1" x14ac:dyDescent="0.2">
      <c r="A71" s="13"/>
      <c r="B71" s="238">
        <v>67</v>
      </c>
      <c r="C71" s="241" t="s">
        <v>292</v>
      </c>
      <c r="D71" s="237" t="s">
        <v>1217</v>
      </c>
      <c r="E71" s="261">
        <v>972400059</v>
      </c>
      <c r="F71" s="237">
        <v>1710003987826</v>
      </c>
      <c r="G71" s="240" t="s">
        <v>6843</v>
      </c>
      <c r="H71" s="241" t="s">
        <v>217</v>
      </c>
      <c r="I71" s="241" t="s">
        <v>217</v>
      </c>
      <c r="J71" s="242">
        <v>42857</v>
      </c>
      <c r="K71" s="241"/>
      <c r="L71" s="241"/>
      <c r="M71" s="241" t="s">
        <v>6856</v>
      </c>
      <c r="N71" s="241" t="s">
        <v>187</v>
      </c>
      <c r="O71" s="241" t="s">
        <v>6815</v>
      </c>
      <c r="P71" s="243">
        <v>45352</v>
      </c>
      <c r="Q71" s="241"/>
      <c r="R71" s="241" t="s">
        <v>206</v>
      </c>
      <c r="S71" s="241" t="s">
        <v>6863</v>
      </c>
      <c r="T71" s="241" t="s">
        <v>312</v>
      </c>
      <c r="U71" s="241" t="s">
        <v>24</v>
      </c>
      <c r="V71" s="241" t="s">
        <v>443</v>
      </c>
      <c r="W71" s="241" t="s">
        <v>175</v>
      </c>
      <c r="X71" s="241" t="s">
        <v>121</v>
      </c>
      <c r="Y71" s="241" t="s">
        <v>313</v>
      </c>
      <c r="Z71" s="241" t="s">
        <v>1218</v>
      </c>
      <c r="AA71" s="241" t="s">
        <v>337</v>
      </c>
      <c r="AB71" s="241" t="s">
        <v>314</v>
      </c>
      <c r="AC71" s="241" t="s">
        <v>311</v>
      </c>
      <c r="AD71" s="245">
        <v>35623</v>
      </c>
      <c r="AE71" s="241">
        <f t="shared" ca="1" si="10"/>
        <v>28</v>
      </c>
      <c r="AF71" s="246" t="s">
        <v>1219</v>
      </c>
      <c r="AG71" s="241" t="s">
        <v>1220</v>
      </c>
      <c r="AH71" s="240" t="s">
        <v>1221</v>
      </c>
      <c r="AI71" s="240"/>
      <c r="AJ71" s="240"/>
      <c r="AK71" s="241" t="s">
        <v>1222</v>
      </c>
      <c r="AL71" s="246" t="s">
        <v>1223</v>
      </c>
      <c r="AM71" s="246">
        <v>17043907793</v>
      </c>
      <c r="AN71" s="241" t="s">
        <v>4716</v>
      </c>
      <c r="AO71" s="241"/>
      <c r="AP71" s="241"/>
      <c r="AQ71" s="241"/>
      <c r="AR71" s="241"/>
      <c r="AS71" s="241"/>
      <c r="AT71" s="241" t="s">
        <v>306</v>
      </c>
      <c r="AU71" s="241" t="s">
        <v>306</v>
      </c>
      <c r="AV71" s="241" t="s">
        <v>306</v>
      </c>
      <c r="AW71" s="241" t="s">
        <v>306</v>
      </c>
      <c r="AX71" s="241">
        <f t="shared" si="11"/>
        <v>0</v>
      </c>
      <c r="AY71" s="241" t="str">
        <f t="shared" si="12"/>
        <v>TK/0</v>
      </c>
      <c r="AZ71" s="241"/>
      <c r="BA71" s="237"/>
      <c r="BB71" s="241" t="s">
        <v>161</v>
      </c>
      <c r="BC71" s="241" t="s">
        <v>349</v>
      </c>
      <c r="BD71" s="241" t="s">
        <v>4502</v>
      </c>
      <c r="BE71" s="241" t="s">
        <v>516</v>
      </c>
      <c r="BF71" s="241">
        <v>2016</v>
      </c>
      <c r="BG71" s="241" t="s">
        <v>475</v>
      </c>
      <c r="BH71" s="241" t="s">
        <v>4502</v>
      </c>
      <c r="BI71" s="241" t="s">
        <v>516</v>
      </c>
      <c r="BJ71" s="241">
        <v>2016</v>
      </c>
      <c r="BK71" s="247">
        <v>51561</v>
      </c>
      <c r="BL71" s="247">
        <v>51926</v>
      </c>
      <c r="BM71" s="241" t="s">
        <v>339</v>
      </c>
      <c r="BN71" s="241">
        <v>38</v>
      </c>
      <c r="BO71" s="241">
        <v>42</v>
      </c>
      <c r="BP71" s="244">
        <v>44293</v>
      </c>
      <c r="BQ71" s="244">
        <v>44322</v>
      </c>
      <c r="BR71" s="244">
        <v>44674</v>
      </c>
      <c r="BS71" s="244"/>
      <c r="BT71" s="241">
        <v>43467</v>
      </c>
      <c r="BU71" s="241">
        <v>43830</v>
      </c>
      <c r="BV71" s="241" t="s">
        <v>1224</v>
      </c>
      <c r="BW71" s="241" t="s">
        <v>1225</v>
      </c>
      <c r="BX71" s="241"/>
      <c r="BY71" s="241"/>
      <c r="BZ71" s="241"/>
      <c r="CA71" s="241"/>
      <c r="CB71" s="241"/>
      <c r="CC71" s="241"/>
      <c r="CD71" s="241"/>
      <c r="CE71" s="241" t="e">
        <f>VLOOKUP(D71,[1]Sertifikasi!$B$4:$I$19,8,0)</f>
        <v>#N/A</v>
      </c>
      <c r="CF71" s="13"/>
      <c r="CG71" s="13"/>
      <c r="CH71" s="13"/>
    </row>
    <row r="72" spans="1:86" ht="11.25" customHeight="1" x14ac:dyDescent="0.2">
      <c r="A72" s="13"/>
      <c r="B72" s="238">
        <v>68</v>
      </c>
      <c r="C72" s="241" t="e">
        <f t="shared" ref="C72:C78" ca="1" si="13">DATEDIF($E$3,P72,"D")</f>
        <v>#NUM!</v>
      </c>
      <c r="D72" s="237" t="s">
        <v>1226</v>
      </c>
      <c r="E72" s="239">
        <v>642001038</v>
      </c>
      <c r="F72" s="237">
        <v>1710004034446</v>
      </c>
      <c r="G72" s="240"/>
      <c r="H72" s="241" t="s">
        <v>217</v>
      </c>
      <c r="I72" s="241" t="s">
        <v>311</v>
      </c>
      <c r="J72" s="242">
        <v>42857</v>
      </c>
      <c r="K72" s="241"/>
      <c r="L72" s="241"/>
      <c r="M72" s="241" t="str">
        <f t="shared" ref="M72:M101" si="14">IF(LEFT(E72,2)="99","ORGANIK INKA",IF(LEFT(E72,2)="97","ORGANIK IMSS",IF(LEFT(E72,2)="75","Capeg",IF(LEFT(E72,2)="64","PKWT","Resign"))))</f>
        <v>PKWT</v>
      </c>
      <c r="N72" s="241" t="s">
        <v>187</v>
      </c>
      <c r="O72" s="241"/>
      <c r="P72" s="243">
        <v>45657</v>
      </c>
      <c r="Q72" s="241"/>
      <c r="R72" s="241" t="s">
        <v>206</v>
      </c>
      <c r="S72" s="241" t="s">
        <v>6863</v>
      </c>
      <c r="T72" s="241" t="s">
        <v>312</v>
      </c>
      <c r="U72" s="241" t="s">
        <v>33</v>
      </c>
      <c r="V72" s="241" t="s">
        <v>7135</v>
      </c>
      <c r="W72" s="241" t="s">
        <v>51</v>
      </c>
      <c r="X72" s="241" t="s">
        <v>121</v>
      </c>
      <c r="Y72" s="241" t="s">
        <v>313</v>
      </c>
      <c r="Z72" s="241"/>
      <c r="AA72" s="241" t="s">
        <v>337</v>
      </c>
      <c r="AB72" s="241" t="s">
        <v>314</v>
      </c>
      <c r="AC72" s="241" t="s">
        <v>311</v>
      </c>
      <c r="AD72" s="245">
        <v>34444</v>
      </c>
      <c r="AE72" s="241">
        <f t="shared" ca="1" si="10"/>
        <v>31</v>
      </c>
      <c r="AF72" s="246" t="s">
        <v>1227</v>
      </c>
      <c r="AG72" s="241" t="s">
        <v>1228</v>
      </c>
      <c r="AH72" s="240" t="s">
        <v>1229</v>
      </c>
      <c r="AI72" s="240"/>
      <c r="AJ72" s="240"/>
      <c r="AK72" s="241" t="s">
        <v>1230</v>
      </c>
      <c r="AL72" s="246" t="s">
        <v>1231</v>
      </c>
      <c r="AM72" s="246">
        <v>17043907660</v>
      </c>
      <c r="AN72" s="241" t="s">
        <v>4716</v>
      </c>
      <c r="AO72" s="241"/>
      <c r="AP72" s="241"/>
      <c r="AQ72" s="241"/>
      <c r="AR72" s="241"/>
      <c r="AS72" s="241"/>
      <c r="AT72" s="241" t="s">
        <v>306</v>
      </c>
      <c r="AU72" s="241" t="s">
        <v>306</v>
      </c>
      <c r="AV72" s="241" t="s">
        <v>306</v>
      </c>
      <c r="AW72" s="241" t="s">
        <v>306</v>
      </c>
      <c r="AX72" s="241">
        <f t="shared" si="11"/>
        <v>0</v>
      </c>
      <c r="AY72" s="241" t="str">
        <f t="shared" si="12"/>
        <v>TK/0</v>
      </c>
      <c r="AZ72" s="241"/>
      <c r="BA72" s="237"/>
      <c r="BB72" s="241" t="s">
        <v>161</v>
      </c>
      <c r="BC72" s="241" t="s">
        <v>349</v>
      </c>
      <c r="BD72" s="241" t="s">
        <v>91</v>
      </c>
      <c r="BE72" s="241" t="s">
        <v>1232</v>
      </c>
      <c r="BF72" s="241">
        <v>2013</v>
      </c>
      <c r="BG72" s="241" t="s">
        <v>475</v>
      </c>
      <c r="BH72" s="241" t="s">
        <v>91</v>
      </c>
      <c r="BI72" s="241" t="s">
        <v>1233</v>
      </c>
      <c r="BJ72" s="241">
        <v>2013</v>
      </c>
      <c r="BK72" s="247"/>
      <c r="BL72" s="247"/>
      <c r="BM72" s="241" t="s">
        <v>360</v>
      </c>
      <c r="BN72" s="241">
        <v>31</v>
      </c>
      <c r="BO72" s="241">
        <v>41</v>
      </c>
      <c r="BP72" s="244">
        <v>44365</v>
      </c>
      <c r="BQ72" s="244">
        <v>44404</v>
      </c>
      <c r="BR72" s="244"/>
      <c r="BS72" s="244"/>
      <c r="BT72" s="241">
        <v>43467</v>
      </c>
      <c r="BU72" s="241">
        <v>43830</v>
      </c>
      <c r="BV72" s="241" t="s">
        <v>1234</v>
      </c>
      <c r="BW72" s="241" t="s">
        <v>1235</v>
      </c>
      <c r="BX72" s="241"/>
      <c r="BY72" s="241"/>
      <c r="BZ72" s="241"/>
      <c r="CA72" s="241"/>
      <c r="CB72" s="241"/>
      <c r="CC72" s="241"/>
      <c r="CD72" s="241"/>
      <c r="CE72" s="241" t="e">
        <f>VLOOKUP(D72,[1]Sertifikasi!$B$4:$I$19,8,0)</f>
        <v>#N/A</v>
      </c>
      <c r="CF72" s="13"/>
      <c r="CG72" s="13"/>
      <c r="CH72" s="13"/>
    </row>
    <row r="73" spans="1:86" ht="11.25" customHeight="1" x14ac:dyDescent="0.2">
      <c r="A73" s="13"/>
      <c r="B73" s="238">
        <v>69</v>
      </c>
      <c r="C73" s="241" t="e">
        <f t="shared" ca="1" si="13"/>
        <v>#NUM!</v>
      </c>
      <c r="D73" s="237" t="s">
        <v>1236</v>
      </c>
      <c r="E73" s="239">
        <v>642001035</v>
      </c>
      <c r="F73" s="237">
        <v>1710004028950</v>
      </c>
      <c r="G73" s="240"/>
      <c r="H73" s="241" t="s">
        <v>217</v>
      </c>
      <c r="I73" s="241" t="s">
        <v>217</v>
      </c>
      <c r="J73" s="242">
        <v>42857</v>
      </c>
      <c r="K73" s="241"/>
      <c r="L73" s="241"/>
      <c r="M73" s="241" t="str">
        <f t="shared" si="14"/>
        <v>PKWT</v>
      </c>
      <c r="N73" s="241" t="s">
        <v>187</v>
      </c>
      <c r="O73" s="241"/>
      <c r="P73" s="243">
        <v>45657</v>
      </c>
      <c r="Q73" s="241"/>
      <c r="R73" s="241" t="s">
        <v>206</v>
      </c>
      <c r="S73" s="241" t="s">
        <v>6863</v>
      </c>
      <c r="T73" s="241" t="s">
        <v>312</v>
      </c>
      <c r="U73" s="241" t="s">
        <v>23</v>
      </c>
      <c r="V73" s="241" t="s">
        <v>443</v>
      </c>
      <c r="W73" s="241" t="s">
        <v>51</v>
      </c>
      <c r="X73" s="241" t="s">
        <v>121</v>
      </c>
      <c r="Y73" s="241" t="s">
        <v>313</v>
      </c>
      <c r="Z73" s="241" t="s">
        <v>462</v>
      </c>
      <c r="AA73" s="241" t="s">
        <v>337</v>
      </c>
      <c r="AB73" s="241" t="s">
        <v>314</v>
      </c>
      <c r="AC73" s="241" t="s">
        <v>217</v>
      </c>
      <c r="AD73" s="245">
        <v>35855</v>
      </c>
      <c r="AE73" s="241">
        <f t="shared" ca="1" si="10"/>
        <v>27</v>
      </c>
      <c r="AF73" s="246" t="s">
        <v>1237</v>
      </c>
      <c r="AG73" s="241" t="s">
        <v>1238</v>
      </c>
      <c r="AH73" s="240" t="s">
        <v>1239</v>
      </c>
      <c r="AI73" s="240"/>
      <c r="AJ73" s="240"/>
      <c r="AK73" s="241" t="s">
        <v>1240</v>
      </c>
      <c r="AL73" s="246" t="s">
        <v>1241</v>
      </c>
      <c r="AM73" s="246">
        <v>17043907819</v>
      </c>
      <c r="AN73" s="241" t="s">
        <v>4733</v>
      </c>
      <c r="AO73" s="241" t="s">
        <v>1242</v>
      </c>
      <c r="AP73" s="241" t="s">
        <v>1243</v>
      </c>
      <c r="AQ73" s="241"/>
      <c r="AR73" s="241"/>
      <c r="AS73" s="241"/>
      <c r="AT73" s="241" t="s">
        <v>1244</v>
      </c>
      <c r="AU73" s="241" t="s">
        <v>1245</v>
      </c>
      <c r="AV73" s="241" t="s">
        <v>1246</v>
      </c>
      <c r="AW73" s="241" t="s">
        <v>1247</v>
      </c>
      <c r="AX73" s="241">
        <f t="shared" si="11"/>
        <v>1</v>
      </c>
      <c r="AY73" s="241" t="str">
        <f t="shared" si="12"/>
        <v>K/1</v>
      </c>
      <c r="AZ73" s="241" t="s">
        <v>1248</v>
      </c>
      <c r="BA73" s="241" t="s">
        <v>1248</v>
      </c>
      <c r="BB73" s="241" t="s">
        <v>161</v>
      </c>
      <c r="BC73" s="241" t="s">
        <v>349</v>
      </c>
      <c r="BD73" s="241" t="s">
        <v>515</v>
      </c>
      <c r="BE73" s="241" t="s">
        <v>560</v>
      </c>
      <c r="BF73" s="241">
        <v>2016</v>
      </c>
      <c r="BG73" s="241" t="s">
        <v>475</v>
      </c>
      <c r="BH73" s="241" t="s">
        <v>515</v>
      </c>
      <c r="BI73" s="241" t="s">
        <v>560</v>
      </c>
      <c r="BJ73" s="241">
        <v>2016</v>
      </c>
      <c r="BK73" s="247"/>
      <c r="BL73" s="247"/>
      <c r="BM73" s="241" t="s">
        <v>351</v>
      </c>
      <c r="BN73" s="241">
        <v>30</v>
      </c>
      <c r="BO73" s="241">
        <v>41</v>
      </c>
      <c r="BP73" s="244">
        <v>44293</v>
      </c>
      <c r="BQ73" s="244">
        <v>44322</v>
      </c>
      <c r="BR73" s="244"/>
      <c r="BS73" s="244"/>
      <c r="BT73" s="241">
        <v>43467</v>
      </c>
      <c r="BU73" s="241">
        <v>43830</v>
      </c>
      <c r="BV73" s="241" t="s">
        <v>1249</v>
      </c>
      <c r="BW73" s="241" t="s">
        <v>1250</v>
      </c>
      <c r="BX73" s="241"/>
      <c r="BY73" s="241"/>
      <c r="BZ73" s="241"/>
      <c r="CA73" s="241"/>
      <c r="CB73" s="241"/>
      <c r="CC73" s="241"/>
      <c r="CD73" s="241"/>
      <c r="CE73" s="241" t="e">
        <f>VLOOKUP(D73,[1]Sertifikasi!$B$4:$I$19,8,0)</f>
        <v>#N/A</v>
      </c>
      <c r="CF73" s="13"/>
      <c r="CG73" s="13"/>
      <c r="CH73" s="13"/>
    </row>
    <row r="74" spans="1:86" ht="11.25" customHeight="1" x14ac:dyDescent="0.2">
      <c r="A74" s="13"/>
      <c r="B74" s="238">
        <v>70</v>
      </c>
      <c r="C74" s="241" t="e">
        <f t="shared" ca="1" si="13"/>
        <v>#NUM!</v>
      </c>
      <c r="D74" s="237" t="s">
        <v>1251</v>
      </c>
      <c r="E74" s="239">
        <v>642001037</v>
      </c>
      <c r="F74" s="237">
        <v>1710004028901</v>
      </c>
      <c r="G74" s="240"/>
      <c r="H74" s="241" t="s">
        <v>217</v>
      </c>
      <c r="I74" s="241" t="s">
        <v>217</v>
      </c>
      <c r="J74" s="242">
        <v>42857</v>
      </c>
      <c r="K74" s="241"/>
      <c r="L74" s="241"/>
      <c r="M74" s="241" t="str">
        <f t="shared" si="14"/>
        <v>PKWT</v>
      </c>
      <c r="N74" s="241" t="s">
        <v>187</v>
      </c>
      <c r="O74" s="241"/>
      <c r="P74" s="243">
        <v>45657</v>
      </c>
      <c r="Q74" s="241"/>
      <c r="R74" s="241" t="s">
        <v>206</v>
      </c>
      <c r="S74" s="241" t="s">
        <v>6863</v>
      </c>
      <c r="T74" s="241" t="s">
        <v>312</v>
      </c>
      <c r="U74" s="241" t="s">
        <v>24</v>
      </c>
      <c r="V74" s="241" t="s">
        <v>204</v>
      </c>
      <c r="W74" s="241" t="s">
        <v>629</v>
      </c>
      <c r="X74" s="241" t="s">
        <v>121</v>
      </c>
      <c r="Y74" s="241" t="s">
        <v>313</v>
      </c>
      <c r="Z74" s="241" t="s">
        <v>1218</v>
      </c>
      <c r="AA74" s="241" t="s">
        <v>337</v>
      </c>
      <c r="AB74" s="241" t="s">
        <v>314</v>
      </c>
      <c r="AC74" s="241" t="s">
        <v>217</v>
      </c>
      <c r="AD74" s="245">
        <v>35306</v>
      </c>
      <c r="AE74" s="241">
        <f t="shared" ca="1" si="10"/>
        <v>29</v>
      </c>
      <c r="AF74" s="246" t="s">
        <v>1252</v>
      </c>
      <c r="AG74" s="241" t="s">
        <v>1253</v>
      </c>
      <c r="AH74" s="240" t="s">
        <v>1254</v>
      </c>
      <c r="AI74" s="240" t="s">
        <v>1255</v>
      </c>
      <c r="AJ74" s="240"/>
      <c r="AK74" s="241" t="s">
        <v>1256</v>
      </c>
      <c r="AL74" s="246" t="s">
        <v>1257</v>
      </c>
      <c r="AM74" s="246">
        <v>17043907843</v>
      </c>
      <c r="AN74" s="241" t="s">
        <v>4733</v>
      </c>
      <c r="AO74" s="241" t="s">
        <v>1258</v>
      </c>
      <c r="AP74" s="241" t="s">
        <v>1259</v>
      </c>
      <c r="AQ74" s="241"/>
      <c r="AR74" s="241"/>
      <c r="AS74" s="241"/>
      <c r="AT74" s="241" t="s">
        <v>306</v>
      </c>
      <c r="AU74" s="241" t="s">
        <v>306</v>
      </c>
      <c r="AV74" s="241" t="s">
        <v>306</v>
      </c>
      <c r="AW74" s="241" t="s">
        <v>306</v>
      </c>
      <c r="AX74" s="241">
        <f t="shared" si="11"/>
        <v>1</v>
      </c>
      <c r="AY74" s="241" t="str">
        <f t="shared" si="12"/>
        <v>K/1</v>
      </c>
      <c r="AZ74" s="241"/>
      <c r="BA74" s="237"/>
      <c r="BB74" s="241" t="s">
        <v>161</v>
      </c>
      <c r="BC74" s="241" t="s">
        <v>349</v>
      </c>
      <c r="BD74" s="241" t="s">
        <v>515</v>
      </c>
      <c r="BE74" s="241" t="s">
        <v>663</v>
      </c>
      <c r="BF74" s="241">
        <v>2016</v>
      </c>
      <c r="BG74" s="241" t="s">
        <v>475</v>
      </c>
      <c r="BH74" s="241" t="s">
        <v>515</v>
      </c>
      <c r="BI74" s="241" t="s">
        <v>663</v>
      </c>
      <c r="BJ74" s="241">
        <v>2016</v>
      </c>
      <c r="BK74" s="247"/>
      <c r="BL74" s="247"/>
      <c r="BM74" s="241" t="s">
        <v>339</v>
      </c>
      <c r="BN74" s="241">
        <v>34</v>
      </c>
      <c r="BO74" s="241">
        <v>45</v>
      </c>
      <c r="BP74" s="244">
        <v>44293</v>
      </c>
      <c r="BQ74" s="244">
        <v>44322</v>
      </c>
      <c r="BR74" s="244"/>
      <c r="BS74" s="244"/>
      <c r="BT74" s="241">
        <v>43467</v>
      </c>
      <c r="BU74" s="241">
        <v>43830</v>
      </c>
      <c r="BV74" s="241" t="s">
        <v>1260</v>
      </c>
      <c r="BW74" s="241" t="s">
        <v>1261</v>
      </c>
      <c r="BX74" s="241"/>
      <c r="BY74" s="241"/>
      <c r="BZ74" s="241"/>
      <c r="CA74" s="241"/>
      <c r="CB74" s="241"/>
      <c r="CC74" s="241"/>
      <c r="CD74" s="241"/>
      <c r="CE74" s="241" t="e">
        <f>VLOOKUP(D74,[1]Sertifikasi!$B$4:$I$19,8,0)</f>
        <v>#N/A</v>
      </c>
      <c r="CF74" s="13"/>
      <c r="CG74" s="13"/>
      <c r="CH74" s="13"/>
    </row>
    <row r="75" spans="1:86" ht="11.25" customHeight="1" x14ac:dyDescent="0.2">
      <c r="A75" s="13"/>
      <c r="B75" s="238">
        <v>71</v>
      </c>
      <c r="C75" s="241" t="e">
        <f t="shared" ca="1" si="13"/>
        <v>#NUM!</v>
      </c>
      <c r="D75" s="237" t="s">
        <v>1262</v>
      </c>
      <c r="E75" s="239">
        <v>642001043</v>
      </c>
      <c r="F75" s="237">
        <v>1710003987719</v>
      </c>
      <c r="G75" s="240"/>
      <c r="H75" s="241" t="s">
        <v>217</v>
      </c>
      <c r="I75" s="241" t="s">
        <v>217</v>
      </c>
      <c r="J75" s="242">
        <v>42857</v>
      </c>
      <c r="K75" s="241"/>
      <c r="L75" s="241"/>
      <c r="M75" s="241" t="str">
        <f t="shared" si="14"/>
        <v>PKWT</v>
      </c>
      <c r="N75" s="241" t="s">
        <v>187</v>
      </c>
      <c r="O75" s="241"/>
      <c r="P75" s="243">
        <v>45657</v>
      </c>
      <c r="Q75" s="241"/>
      <c r="R75" s="241" t="s">
        <v>206</v>
      </c>
      <c r="S75" s="241" t="s">
        <v>6863</v>
      </c>
      <c r="T75" s="241" t="s">
        <v>312</v>
      </c>
      <c r="U75" s="241" t="s">
        <v>23</v>
      </c>
      <c r="V75" s="241" t="s">
        <v>443</v>
      </c>
      <c r="W75" s="241" t="s">
        <v>51</v>
      </c>
      <c r="X75" s="241" t="s">
        <v>121</v>
      </c>
      <c r="Y75" s="241" t="s">
        <v>313</v>
      </c>
      <c r="Z75" s="241"/>
      <c r="AA75" s="241" t="s">
        <v>337</v>
      </c>
      <c r="AB75" s="241" t="s">
        <v>314</v>
      </c>
      <c r="AC75" s="241" t="s">
        <v>1263</v>
      </c>
      <c r="AD75" s="245">
        <v>35699</v>
      </c>
      <c r="AE75" s="241">
        <f t="shared" ca="1" si="10"/>
        <v>28</v>
      </c>
      <c r="AF75" s="246" t="s">
        <v>1264</v>
      </c>
      <c r="AG75" s="241" t="s">
        <v>1265</v>
      </c>
      <c r="AH75" s="240" t="s">
        <v>1266</v>
      </c>
      <c r="AI75" s="240" t="s">
        <v>1267</v>
      </c>
      <c r="AJ75" s="240"/>
      <c r="AK75" s="241" t="s">
        <v>1268</v>
      </c>
      <c r="AL75" s="246" t="s">
        <v>1269</v>
      </c>
      <c r="AM75" s="246">
        <v>16034599197</v>
      </c>
      <c r="AN75" s="241" t="s">
        <v>4733</v>
      </c>
      <c r="AO75" s="241" t="s">
        <v>1270</v>
      </c>
      <c r="AP75" s="241"/>
      <c r="AQ75" s="241"/>
      <c r="AR75" s="241"/>
      <c r="AS75" s="241"/>
      <c r="AT75" s="241" t="s">
        <v>1208</v>
      </c>
      <c r="AU75" s="241" t="s">
        <v>1271</v>
      </c>
      <c r="AV75" s="241" t="s">
        <v>689</v>
      </c>
      <c r="AW75" s="241" t="s">
        <v>1272</v>
      </c>
      <c r="AX75" s="241">
        <f t="shared" si="11"/>
        <v>0</v>
      </c>
      <c r="AY75" s="241" t="str">
        <f t="shared" si="12"/>
        <v>K/0</v>
      </c>
      <c r="AZ75" s="241" t="s">
        <v>1273</v>
      </c>
      <c r="BA75" s="237" t="s">
        <v>1273</v>
      </c>
      <c r="BB75" s="241" t="s">
        <v>161</v>
      </c>
      <c r="BC75" s="241" t="s">
        <v>349</v>
      </c>
      <c r="BD75" s="241" t="s">
        <v>515</v>
      </c>
      <c r="BE75" s="241" t="s">
        <v>1274</v>
      </c>
      <c r="BF75" s="241">
        <v>2016</v>
      </c>
      <c r="BG75" s="241" t="s">
        <v>475</v>
      </c>
      <c r="BH75" s="241" t="s">
        <v>515</v>
      </c>
      <c r="BI75" s="241" t="s">
        <v>1274</v>
      </c>
      <c r="BJ75" s="241">
        <v>2016</v>
      </c>
      <c r="BK75" s="247"/>
      <c r="BL75" s="247"/>
      <c r="BM75" s="241" t="s">
        <v>339</v>
      </c>
      <c r="BN75" s="241">
        <v>36</v>
      </c>
      <c r="BO75" s="241">
        <v>43</v>
      </c>
      <c r="BP75" s="244"/>
      <c r="BQ75" s="244"/>
      <c r="BR75" s="244"/>
      <c r="BS75" s="244"/>
      <c r="BT75" s="241">
        <v>43467</v>
      </c>
      <c r="BU75" s="241">
        <v>43830</v>
      </c>
      <c r="BV75" s="241" t="s">
        <v>1275</v>
      </c>
      <c r="BW75" s="241" t="s">
        <v>1276</v>
      </c>
      <c r="BX75" s="241"/>
      <c r="BY75" s="241"/>
      <c r="BZ75" s="241"/>
      <c r="CA75" s="241"/>
      <c r="CB75" s="241"/>
      <c r="CC75" s="241"/>
      <c r="CD75" s="241"/>
      <c r="CE75" s="241" t="e">
        <f>VLOOKUP(D75,[1]Sertifikasi!$B$4:$I$19,8,0)</f>
        <v>#N/A</v>
      </c>
      <c r="CF75" s="13"/>
      <c r="CG75" s="13"/>
      <c r="CH75" s="13"/>
    </row>
    <row r="76" spans="1:86" ht="11.25" customHeight="1" x14ac:dyDescent="0.2">
      <c r="A76" s="13"/>
      <c r="B76" s="238">
        <v>72</v>
      </c>
      <c r="C76" s="241" t="e">
        <f t="shared" ca="1" si="13"/>
        <v>#NUM!</v>
      </c>
      <c r="D76" s="237" t="s">
        <v>1277</v>
      </c>
      <c r="E76" s="239">
        <v>642001042</v>
      </c>
      <c r="F76" s="237">
        <v>1710004040773</v>
      </c>
      <c r="G76" s="240"/>
      <c r="H76" s="241" t="s">
        <v>217</v>
      </c>
      <c r="I76" s="241" t="s">
        <v>432</v>
      </c>
      <c r="J76" s="242">
        <v>42857</v>
      </c>
      <c r="K76" s="241"/>
      <c r="L76" s="241"/>
      <c r="M76" s="241" t="str">
        <f t="shared" si="14"/>
        <v>PKWT</v>
      </c>
      <c r="N76" s="241" t="s">
        <v>187</v>
      </c>
      <c r="O76" s="241"/>
      <c r="P76" s="243">
        <v>45657</v>
      </c>
      <c r="Q76" s="241"/>
      <c r="R76" s="241" t="s">
        <v>206</v>
      </c>
      <c r="S76" s="241" t="s">
        <v>6863</v>
      </c>
      <c r="T76" s="241" t="s">
        <v>312</v>
      </c>
      <c r="U76" s="241" t="s">
        <v>33</v>
      </c>
      <c r="V76" s="241" t="s">
        <v>7135</v>
      </c>
      <c r="W76" s="241" t="s">
        <v>51</v>
      </c>
      <c r="X76" s="241" t="s">
        <v>121</v>
      </c>
      <c r="Y76" s="241" t="s">
        <v>313</v>
      </c>
      <c r="Z76" s="241" t="s">
        <v>173</v>
      </c>
      <c r="AA76" s="241" t="s">
        <v>337</v>
      </c>
      <c r="AB76" s="241" t="s">
        <v>314</v>
      </c>
      <c r="AC76" s="241" t="s">
        <v>432</v>
      </c>
      <c r="AD76" s="245">
        <v>35744</v>
      </c>
      <c r="AE76" s="241">
        <f t="shared" ca="1" si="10"/>
        <v>27</v>
      </c>
      <c r="AF76" s="246" t="s">
        <v>1279</v>
      </c>
      <c r="AG76" s="241" t="s">
        <v>1280</v>
      </c>
      <c r="AH76" s="240" t="s">
        <v>1281</v>
      </c>
      <c r="AI76" s="240" t="s">
        <v>1282</v>
      </c>
      <c r="AJ76" s="240"/>
      <c r="AK76" s="241" t="s">
        <v>1283</v>
      </c>
      <c r="AL76" s="246" t="s">
        <v>1284</v>
      </c>
      <c r="AM76" s="246">
        <v>17043907769</v>
      </c>
      <c r="AN76" s="241" t="s">
        <v>4733</v>
      </c>
      <c r="AO76" s="241" t="s">
        <v>1285</v>
      </c>
      <c r="AP76" s="241" t="s">
        <v>1286</v>
      </c>
      <c r="AQ76" s="241"/>
      <c r="AR76" s="241"/>
      <c r="AS76" s="241"/>
      <c r="AT76" s="241" t="s">
        <v>1287</v>
      </c>
      <c r="AU76" s="241" t="s">
        <v>1288</v>
      </c>
      <c r="AV76" s="241" t="s">
        <v>1289</v>
      </c>
      <c r="AW76" s="241" t="s">
        <v>1290</v>
      </c>
      <c r="AX76" s="241">
        <f t="shared" si="11"/>
        <v>1</v>
      </c>
      <c r="AY76" s="241" t="str">
        <f t="shared" si="12"/>
        <v>K/1</v>
      </c>
      <c r="AZ76" s="241" t="s">
        <v>1291</v>
      </c>
      <c r="BA76" s="237" t="s">
        <v>1291</v>
      </c>
      <c r="BB76" s="241" t="s">
        <v>161</v>
      </c>
      <c r="BC76" s="241" t="s">
        <v>349</v>
      </c>
      <c r="BD76" s="241" t="s">
        <v>515</v>
      </c>
      <c r="BE76" s="241" t="s">
        <v>1292</v>
      </c>
      <c r="BF76" s="241">
        <v>2016</v>
      </c>
      <c r="BG76" s="241" t="s">
        <v>475</v>
      </c>
      <c r="BH76" s="241" t="s">
        <v>515</v>
      </c>
      <c r="BI76" s="241" t="s">
        <v>1292</v>
      </c>
      <c r="BJ76" s="241">
        <v>2016</v>
      </c>
      <c r="BK76" s="247"/>
      <c r="BL76" s="247"/>
      <c r="BM76" s="241" t="s">
        <v>339</v>
      </c>
      <c r="BN76" s="241">
        <v>33</v>
      </c>
      <c r="BO76" s="241">
        <v>42</v>
      </c>
      <c r="BP76" s="244"/>
      <c r="BQ76" s="244"/>
      <c r="BR76" s="244"/>
      <c r="BS76" s="244"/>
      <c r="BT76" s="241">
        <v>43467</v>
      </c>
      <c r="BU76" s="241">
        <v>43830</v>
      </c>
      <c r="BV76" s="241" t="s">
        <v>1293</v>
      </c>
      <c r="BW76" s="241" t="s">
        <v>1294</v>
      </c>
      <c r="BX76" s="241"/>
      <c r="BY76" s="241"/>
      <c r="BZ76" s="241"/>
      <c r="CA76" s="241"/>
      <c r="CB76" s="241"/>
      <c r="CC76" s="241"/>
      <c r="CD76" s="241"/>
      <c r="CE76" s="241" t="e">
        <f>VLOOKUP(D76,[1]Sertifikasi!$B$4:$I$19,8,0)</f>
        <v>#N/A</v>
      </c>
      <c r="CF76" s="13"/>
      <c r="CG76" s="13"/>
      <c r="CH76" s="13"/>
    </row>
    <row r="77" spans="1:86" ht="11.25" customHeight="1" x14ac:dyDescent="0.2">
      <c r="A77" s="13"/>
      <c r="B77" s="238">
        <v>73</v>
      </c>
      <c r="C77" s="241" t="e">
        <f t="shared" ca="1" si="13"/>
        <v>#NUM!</v>
      </c>
      <c r="D77" s="237" t="s">
        <v>1295</v>
      </c>
      <c r="E77" s="239">
        <v>642001036</v>
      </c>
      <c r="F77" s="237">
        <v>1710003987784</v>
      </c>
      <c r="G77" s="240"/>
      <c r="H77" s="241" t="s">
        <v>217</v>
      </c>
      <c r="I77" s="241" t="s">
        <v>217</v>
      </c>
      <c r="J77" s="242">
        <v>42857</v>
      </c>
      <c r="K77" s="241"/>
      <c r="L77" s="241"/>
      <c r="M77" s="241" t="str">
        <f t="shared" si="14"/>
        <v>PKWT</v>
      </c>
      <c r="N77" s="241" t="s">
        <v>187</v>
      </c>
      <c r="O77" s="241"/>
      <c r="P77" s="243">
        <v>45657</v>
      </c>
      <c r="Q77" s="241"/>
      <c r="R77" s="241" t="s">
        <v>206</v>
      </c>
      <c r="S77" s="241" t="s">
        <v>6863</v>
      </c>
      <c r="T77" s="241" t="s">
        <v>312</v>
      </c>
      <c r="U77" s="241" t="s">
        <v>24</v>
      </c>
      <c r="V77" s="241" t="s">
        <v>443</v>
      </c>
      <c r="W77" s="241" t="s">
        <v>175</v>
      </c>
      <c r="X77" s="241" t="s">
        <v>121</v>
      </c>
      <c r="Y77" s="241" t="s">
        <v>313</v>
      </c>
      <c r="Z77" s="241"/>
      <c r="AA77" s="241" t="s">
        <v>337</v>
      </c>
      <c r="AB77" s="241" t="s">
        <v>314</v>
      </c>
      <c r="AC77" s="241" t="s">
        <v>217</v>
      </c>
      <c r="AD77" s="245">
        <v>34614</v>
      </c>
      <c r="AE77" s="241">
        <f t="shared" ca="1" si="10"/>
        <v>30</v>
      </c>
      <c r="AF77" s="246" t="s">
        <v>1296</v>
      </c>
      <c r="AG77" s="241" t="s">
        <v>1297</v>
      </c>
      <c r="AH77" s="240" t="s">
        <v>1298</v>
      </c>
      <c r="AI77" s="240"/>
      <c r="AJ77" s="240"/>
      <c r="AK77" s="251" t="s">
        <v>1299</v>
      </c>
      <c r="AL77" s="246" t="s">
        <v>1300</v>
      </c>
      <c r="AM77" s="246">
        <v>17043907637</v>
      </c>
      <c r="AN77" s="241" t="s">
        <v>4716</v>
      </c>
      <c r="AO77" s="241"/>
      <c r="AP77" s="241"/>
      <c r="AQ77" s="241"/>
      <c r="AR77" s="241"/>
      <c r="AS77" s="241"/>
      <c r="AT77" s="241" t="s">
        <v>306</v>
      </c>
      <c r="AU77" s="241" t="s">
        <v>306</v>
      </c>
      <c r="AV77" s="241" t="s">
        <v>306</v>
      </c>
      <c r="AW77" s="241" t="s">
        <v>306</v>
      </c>
      <c r="AX77" s="241">
        <f t="shared" si="11"/>
        <v>0</v>
      </c>
      <c r="AY77" s="241" t="str">
        <f t="shared" si="12"/>
        <v>TK/0</v>
      </c>
      <c r="AZ77" s="241"/>
      <c r="BA77" s="237"/>
      <c r="BB77" s="241" t="s">
        <v>161</v>
      </c>
      <c r="BC77" s="241" t="s">
        <v>349</v>
      </c>
      <c r="BD77" s="241" t="s">
        <v>515</v>
      </c>
      <c r="BE77" s="241" t="s">
        <v>1274</v>
      </c>
      <c r="BF77" s="241">
        <v>2013</v>
      </c>
      <c r="BG77" s="241" t="s">
        <v>475</v>
      </c>
      <c r="BH77" s="241" t="s">
        <v>515</v>
      </c>
      <c r="BI77" s="241" t="s">
        <v>1274</v>
      </c>
      <c r="BJ77" s="241">
        <v>2013</v>
      </c>
      <c r="BK77" s="247"/>
      <c r="BL77" s="247"/>
      <c r="BM77" s="241" t="s">
        <v>351</v>
      </c>
      <c r="BN77" s="241">
        <v>32</v>
      </c>
      <c r="BO77" s="241">
        <v>40</v>
      </c>
      <c r="BP77" s="244"/>
      <c r="BQ77" s="244"/>
      <c r="BR77" s="244"/>
      <c r="BS77" s="244"/>
      <c r="BT77" s="241">
        <v>43467</v>
      </c>
      <c r="BU77" s="241">
        <v>43830</v>
      </c>
      <c r="BV77" s="241" t="s">
        <v>1301</v>
      </c>
      <c r="BW77" s="241" t="s">
        <v>1302</v>
      </c>
      <c r="BX77" s="241"/>
      <c r="BY77" s="241"/>
      <c r="BZ77" s="241"/>
      <c r="CA77" s="241"/>
      <c r="CB77" s="241"/>
      <c r="CC77" s="241"/>
      <c r="CD77" s="241"/>
      <c r="CE77" s="241" t="e">
        <f>VLOOKUP(D77,[1]Sertifikasi!$B$4:$I$19,8,0)</f>
        <v>#N/A</v>
      </c>
      <c r="CF77" s="13"/>
      <c r="CG77" s="13"/>
      <c r="CH77" s="13"/>
    </row>
    <row r="78" spans="1:86" ht="11.25" customHeight="1" x14ac:dyDescent="0.2">
      <c r="A78" s="13"/>
      <c r="B78" s="238">
        <v>74</v>
      </c>
      <c r="C78" s="241" t="e">
        <f t="shared" ca="1" si="13"/>
        <v>#NUM!</v>
      </c>
      <c r="D78" s="237" t="s">
        <v>1303</v>
      </c>
      <c r="E78" s="239">
        <v>642001039</v>
      </c>
      <c r="F78" s="237">
        <v>1710004028935</v>
      </c>
      <c r="G78" s="240"/>
      <c r="H78" s="241" t="s">
        <v>217</v>
      </c>
      <c r="I78" s="241" t="s">
        <v>217</v>
      </c>
      <c r="J78" s="242">
        <v>42857</v>
      </c>
      <c r="K78" s="241"/>
      <c r="L78" s="241"/>
      <c r="M78" s="241" t="str">
        <f t="shared" si="14"/>
        <v>PKWT</v>
      </c>
      <c r="N78" s="241" t="s">
        <v>187</v>
      </c>
      <c r="O78" s="241"/>
      <c r="P78" s="243">
        <v>45657</v>
      </c>
      <c r="Q78" s="241"/>
      <c r="R78" s="241" t="s">
        <v>206</v>
      </c>
      <c r="S78" s="241" t="s">
        <v>6863</v>
      </c>
      <c r="T78" s="241" t="s">
        <v>312</v>
      </c>
      <c r="U78" s="241" t="s">
        <v>20</v>
      </c>
      <c r="V78" s="241" t="s">
        <v>204</v>
      </c>
      <c r="W78" s="241" t="s">
        <v>1278</v>
      </c>
      <c r="X78" s="241" t="s">
        <v>122</v>
      </c>
      <c r="Y78" s="241" t="s">
        <v>313</v>
      </c>
      <c r="Z78" s="241"/>
      <c r="AA78" s="241" t="s">
        <v>337</v>
      </c>
      <c r="AB78" s="241" t="s">
        <v>314</v>
      </c>
      <c r="AC78" s="241" t="s">
        <v>315</v>
      </c>
      <c r="AD78" s="245">
        <v>30069</v>
      </c>
      <c r="AE78" s="241">
        <f t="shared" ca="1" si="10"/>
        <v>43</v>
      </c>
      <c r="AF78" s="246" t="s">
        <v>1304</v>
      </c>
      <c r="AG78" s="241" t="s">
        <v>1305</v>
      </c>
      <c r="AH78" s="240" t="s">
        <v>1306</v>
      </c>
      <c r="AI78" s="240" t="s">
        <v>1307</v>
      </c>
      <c r="AJ78" s="240"/>
      <c r="AK78" s="251" t="s">
        <v>1308</v>
      </c>
      <c r="AL78" s="246" t="s">
        <v>1309</v>
      </c>
      <c r="AM78" s="246">
        <v>18024053250</v>
      </c>
      <c r="AN78" s="241" t="s">
        <v>4733</v>
      </c>
      <c r="AO78" s="241" t="s">
        <v>1310</v>
      </c>
      <c r="AP78" s="241" t="s">
        <v>1311</v>
      </c>
      <c r="AQ78" s="241" t="s">
        <v>1312</v>
      </c>
      <c r="AR78" s="241"/>
      <c r="AS78" s="241"/>
      <c r="AT78" s="241" t="s">
        <v>1313</v>
      </c>
      <c r="AU78" s="241" t="s">
        <v>1314</v>
      </c>
      <c r="AV78" s="241" t="s">
        <v>1315</v>
      </c>
      <c r="AW78" s="241" t="s">
        <v>1316</v>
      </c>
      <c r="AX78" s="241">
        <f t="shared" si="11"/>
        <v>2</v>
      </c>
      <c r="AY78" s="241" t="str">
        <f t="shared" si="12"/>
        <v>K/2</v>
      </c>
      <c r="AZ78" s="241" t="s">
        <v>1317</v>
      </c>
      <c r="BA78" s="237" t="s">
        <v>1318</v>
      </c>
      <c r="BB78" s="241" t="s">
        <v>161</v>
      </c>
      <c r="BC78" s="241" t="s">
        <v>349</v>
      </c>
      <c r="BD78" s="241" t="s">
        <v>515</v>
      </c>
      <c r="BE78" s="241" t="s">
        <v>1319</v>
      </c>
      <c r="BF78" s="241">
        <v>2002</v>
      </c>
      <c r="BG78" s="241" t="s">
        <v>475</v>
      </c>
      <c r="BH78" s="241" t="s">
        <v>515</v>
      </c>
      <c r="BI78" s="241" t="s">
        <v>1319</v>
      </c>
      <c r="BJ78" s="241">
        <v>2002</v>
      </c>
      <c r="BK78" s="247"/>
      <c r="BL78" s="247"/>
      <c r="BM78" s="241" t="s">
        <v>360</v>
      </c>
      <c r="BN78" s="241">
        <v>31</v>
      </c>
      <c r="BO78" s="241">
        <v>39</v>
      </c>
      <c r="BP78" s="244">
        <v>44293</v>
      </c>
      <c r="BQ78" s="244">
        <v>44322</v>
      </c>
      <c r="BR78" s="244"/>
      <c r="BS78" s="244"/>
      <c r="BT78" s="241">
        <v>43467</v>
      </c>
      <c r="BU78" s="241">
        <v>43830</v>
      </c>
      <c r="BV78" s="241" t="s">
        <v>1320</v>
      </c>
      <c r="BW78" s="241" t="s">
        <v>1321</v>
      </c>
      <c r="BX78" s="241"/>
      <c r="BY78" s="241"/>
      <c r="BZ78" s="241"/>
      <c r="CA78" s="241"/>
      <c r="CB78" s="241"/>
      <c r="CC78" s="241"/>
      <c r="CD78" s="241"/>
      <c r="CE78" s="241" t="e">
        <f>VLOOKUP(D78,[1]Sertifikasi!$B$4:$I$19,8,0)</f>
        <v>#N/A</v>
      </c>
      <c r="CF78" s="13"/>
      <c r="CG78" s="13"/>
      <c r="CH78" s="13"/>
    </row>
    <row r="79" spans="1:86" ht="11.25" customHeight="1" x14ac:dyDescent="0.2">
      <c r="A79" s="13"/>
      <c r="B79" s="238">
        <v>75</v>
      </c>
      <c r="C79" s="248" t="s">
        <v>292</v>
      </c>
      <c r="D79" s="237" t="s">
        <v>1322</v>
      </c>
      <c r="E79" s="239">
        <v>972000051</v>
      </c>
      <c r="F79" s="237">
        <v>1710003919787</v>
      </c>
      <c r="G79" s="240">
        <v>7178373638</v>
      </c>
      <c r="H79" s="249" t="s">
        <v>217</v>
      </c>
      <c r="I79" s="241" t="s">
        <v>217</v>
      </c>
      <c r="J79" s="242">
        <v>42863</v>
      </c>
      <c r="K79" s="241"/>
      <c r="L79" s="241"/>
      <c r="M79" s="241" t="str">
        <f t="shared" si="14"/>
        <v>ORGANIK IMSS</v>
      </c>
      <c r="N79" s="241" t="s">
        <v>187</v>
      </c>
      <c r="O79" s="241" t="s">
        <v>777</v>
      </c>
      <c r="P79" s="243">
        <v>43899</v>
      </c>
      <c r="Q79" s="244"/>
      <c r="R79" s="241" t="s">
        <v>139</v>
      </c>
      <c r="S79" s="241" t="s">
        <v>6863</v>
      </c>
      <c r="T79" s="241" t="s">
        <v>296</v>
      </c>
      <c r="U79" s="241" t="s">
        <v>187</v>
      </c>
      <c r="V79" s="241" t="s">
        <v>563</v>
      </c>
      <c r="W79" s="241" t="s">
        <v>54</v>
      </c>
      <c r="X79" s="241" t="s">
        <v>120</v>
      </c>
      <c r="Y79" s="241" t="s">
        <v>313</v>
      </c>
      <c r="Z79" s="241"/>
      <c r="AA79" s="241"/>
      <c r="AB79" s="241" t="s">
        <v>133</v>
      </c>
      <c r="AC79" s="241" t="s">
        <v>217</v>
      </c>
      <c r="AD79" s="245">
        <v>34020</v>
      </c>
      <c r="AE79" s="241">
        <f t="shared" ca="1" si="10"/>
        <v>32</v>
      </c>
      <c r="AF79" s="246" t="s">
        <v>1323</v>
      </c>
      <c r="AG79" s="241" t="s">
        <v>1324</v>
      </c>
      <c r="AH79" s="240" t="s">
        <v>1325</v>
      </c>
      <c r="AI79" s="240"/>
      <c r="AJ79" s="240"/>
      <c r="AK79" s="328" t="s">
        <v>1326</v>
      </c>
      <c r="AL79" s="246" t="s">
        <v>1327</v>
      </c>
      <c r="AM79" s="246">
        <v>17043917362</v>
      </c>
      <c r="AN79" s="241" t="s">
        <v>4733</v>
      </c>
      <c r="AO79" s="241" t="s">
        <v>1328</v>
      </c>
      <c r="AP79" s="241" t="s">
        <v>1329</v>
      </c>
      <c r="AQ79" s="241"/>
      <c r="AR79" s="241"/>
      <c r="AS79" s="241"/>
      <c r="AT79" s="241" t="s">
        <v>306</v>
      </c>
      <c r="AU79" s="241" t="s">
        <v>306</v>
      </c>
      <c r="AV79" s="241" t="s">
        <v>306</v>
      </c>
      <c r="AW79" s="241" t="s">
        <v>306</v>
      </c>
      <c r="AX79" s="241">
        <f t="shared" si="11"/>
        <v>1</v>
      </c>
      <c r="AY79" s="241" t="str">
        <f t="shared" si="12"/>
        <v>K/1</v>
      </c>
      <c r="AZ79" s="241"/>
      <c r="BA79" s="237">
        <v>839446358621000</v>
      </c>
      <c r="BB79" s="249" t="s">
        <v>163</v>
      </c>
      <c r="BC79" s="241" t="s">
        <v>75</v>
      </c>
      <c r="BD79" s="241" t="s">
        <v>1330</v>
      </c>
      <c r="BE79" s="241" t="s">
        <v>77</v>
      </c>
      <c r="BF79" s="241">
        <v>2016</v>
      </c>
      <c r="BG79" s="241" t="s">
        <v>75</v>
      </c>
      <c r="BH79" s="241" t="s">
        <v>1330</v>
      </c>
      <c r="BI79" s="241" t="s">
        <v>77</v>
      </c>
      <c r="BJ79" s="241">
        <v>2016</v>
      </c>
      <c r="BK79" s="247">
        <v>54126</v>
      </c>
      <c r="BL79" s="247">
        <v>54491</v>
      </c>
      <c r="BM79" s="242"/>
      <c r="BN79" s="241"/>
      <c r="BO79" s="241"/>
      <c r="BP79" s="244">
        <v>44294</v>
      </c>
      <c r="BQ79" s="244">
        <v>44322</v>
      </c>
      <c r="BR79" s="244">
        <v>44585</v>
      </c>
      <c r="BS79" s="244"/>
      <c r="BT79" s="241"/>
      <c r="BU79" s="241"/>
      <c r="BV79" s="241"/>
      <c r="BW79" s="241"/>
      <c r="BX79" s="241"/>
      <c r="BY79" s="241"/>
      <c r="BZ79" s="241"/>
      <c r="CA79" s="241"/>
      <c r="CB79" s="241"/>
      <c r="CC79" s="241"/>
      <c r="CD79" s="241"/>
      <c r="CE79" s="241" t="e">
        <f>VLOOKUP(D79,[1]Sertifikasi!$B$4:$I$19,8,0)</f>
        <v>#N/A</v>
      </c>
      <c r="CF79" s="13"/>
      <c r="CG79" s="13"/>
      <c r="CH79" s="13"/>
    </row>
    <row r="80" spans="1:86" ht="11.25" customHeight="1" x14ac:dyDescent="0.2">
      <c r="A80" s="13"/>
      <c r="B80" s="238">
        <v>76</v>
      </c>
      <c r="C80" s="248" t="s">
        <v>292</v>
      </c>
      <c r="D80" s="237" t="s">
        <v>1331</v>
      </c>
      <c r="E80" s="239">
        <v>971800018</v>
      </c>
      <c r="F80" s="237">
        <v>1710003919795</v>
      </c>
      <c r="G80" s="240"/>
      <c r="H80" s="249" t="s">
        <v>217</v>
      </c>
      <c r="I80" s="241" t="s">
        <v>217</v>
      </c>
      <c r="J80" s="242">
        <v>42863</v>
      </c>
      <c r="K80" s="241"/>
      <c r="L80" s="241"/>
      <c r="M80" s="241" t="str">
        <f t="shared" si="14"/>
        <v>ORGANIK IMSS</v>
      </c>
      <c r="N80" s="241" t="s">
        <v>187</v>
      </c>
      <c r="O80" s="241" t="s">
        <v>442</v>
      </c>
      <c r="P80" s="243">
        <v>43116</v>
      </c>
      <c r="Q80" s="244"/>
      <c r="R80" s="241" t="s">
        <v>139</v>
      </c>
      <c r="S80" s="241" t="s">
        <v>6863</v>
      </c>
      <c r="T80" s="241" t="s">
        <v>296</v>
      </c>
      <c r="U80" s="241" t="s">
        <v>187</v>
      </c>
      <c r="V80" s="241" t="s">
        <v>563</v>
      </c>
      <c r="W80" s="241" t="s">
        <v>54</v>
      </c>
      <c r="X80" s="241" t="s">
        <v>120</v>
      </c>
      <c r="Y80" s="241" t="s">
        <v>313</v>
      </c>
      <c r="Z80" s="241"/>
      <c r="AA80" s="241"/>
      <c r="AB80" s="241" t="s">
        <v>133</v>
      </c>
      <c r="AC80" s="241" t="s">
        <v>217</v>
      </c>
      <c r="AD80" s="245">
        <v>34122</v>
      </c>
      <c r="AE80" s="241">
        <f t="shared" ca="1" si="10"/>
        <v>32</v>
      </c>
      <c r="AF80" s="246" t="s">
        <v>1332</v>
      </c>
      <c r="AG80" s="241" t="s">
        <v>1333</v>
      </c>
      <c r="AH80" s="240" t="s">
        <v>1334</v>
      </c>
      <c r="AI80" s="240"/>
      <c r="AJ80" s="240"/>
      <c r="AK80" s="250" t="s">
        <v>1335</v>
      </c>
      <c r="AL80" s="246" t="s">
        <v>1336</v>
      </c>
      <c r="AM80" s="246">
        <v>17043917347</v>
      </c>
      <c r="AN80" s="241" t="s">
        <v>4716</v>
      </c>
      <c r="AO80" s="241"/>
      <c r="AP80" s="241"/>
      <c r="AQ80" s="241"/>
      <c r="AR80" s="241"/>
      <c r="AS80" s="241"/>
      <c r="AT80" s="241" t="s">
        <v>306</v>
      </c>
      <c r="AU80" s="241" t="s">
        <v>306</v>
      </c>
      <c r="AV80" s="241" t="s">
        <v>306</v>
      </c>
      <c r="AW80" s="241" t="s">
        <v>306</v>
      </c>
      <c r="AX80" s="241">
        <f t="shared" si="11"/>
        <v>0</v>
      </c>
      <c r="AY80" s="241" t="str">
        <f t="shared" si="12"/>
        <v>TK/0</v>
      </c>
      <c r="AZ80" s="241"/>
      <c r="BA80" s="237">
        <v>940611965621000</v>
      </c>
      <c r="BB80" s="249" t="s">
        <v>161</v>
      </c>
      <c r="BC80" s="241" t="s">
        <v>75</v>
      </c>
      <c r="BD80" s="241" t="s">
        <v>106</v>
      </c>
      <c r="BE80" s="241" t="s">
        <v>1337</v>
      </c>
      <c r="BF80" s="241">
        <v>2016</v>
      </c>
      <c r="BG80" s="241" t="s">
        <v>75</v>
      </c>
      <c r="BH80" s="241" t="s">
        <v>106</v>
      </c>
      <c r="BI80" s="241" t="s">
        <v>1337</v>
      </c>
      <c r="BJ80" s="241">
        <v>2016</v>
      </c>
      <c r="BK80" s="247">
        <v>54073</v>
      </c>
      <c r="BL80" s="247">
        <v>54438</v>
      </c>
      <c r="BM80" s="242"/>
      <c r="BN80" s="241"/>
      <c r="BO80" s="241"/>
      <c r="BP80" s="244">
        <v>44294</v>
      </c>
      <c r="BQ80" s="244">
        <v>44322</v>
      </c>
      <c r="BR80" s="244"/>
      <c r="BS80" s="244"/>
      <c r="BT80" s="241"/>
      <c r="BU80" s="241"/>
      <c r="BV80" s="241"/>
      <c r="BW80" s="241"/>
      <c r="BX80" s="241"/>
      <c r="BY80" s="241"/>
      <c r="BZ80" s="241"/>
      <c r="CA80" s="241"/>
      <c r="CB80" s="241"/>
      <c r="CC80" s="241"/>
      <c r="CD80" s="241"/>
      <c r="CE80" s="241" t="e">
        <f>VLOOKUP(D80,[1]Sertifikasi!$B$4:$I$19,8,0)</f>
        <v>#N/A</v>
      </c>
      <c r="CF80" s="13"/>
      <c r="CG80" s="13"/>
      <c r="CH80" s="13"/>
    </row>
    <row r="81" spans="1:86" ht="11.25" customHeight="1" x14ac:dyDescent="0.2">
      <c r="A81" s="13"/>
      <c r="B81" s="238">
        <v>77</v>
      </c>
      <c r="C81" s="248" t="s">
        <v>292</v>
      </c>
      <c r="D81" s="237" t="s">
        <v>74</v>
      </c>
      <c r="E81" s="239">
        <v>971800021</v>
      </c>
      <c r="F81" s="237">
        <v>1710000417116</v>
      </c>
      <c r="G81" s="240">
        <v>2499922740</v>
      </c>
      <c r="H81" s="249" t="s">
        <v>217</v>
      </c>
      <c r="I81" s="241" t="s">
        <v>217</v>
      </c>
      <c r="J81" s="242">
        <v>42891</v>
      </c>
      <c r="K81" s="241"/>
      <c r="L81" s="241"/>
      <c r="M81" s="241" t="str">
        <f t="shared" si="14"/>
        <v>ORGANIK IMSS</v>
      </c>
      <c r="N81" s="241" t="s">
        <v>187</v>
      </c>
      <c r="O81" s="241" t="s">
        <v>442</v>
      </c>
      <c r="P81" s="243">
        <v>43116</v>
      </c>
      <c r="Q81" s="244"/>
      <c r="R81" s="241" t="s">
        <v>139</v>
      </c>
      <c r="S81" s="241" t="s">
        <v>6863</v>
      </c>
      <c r="T81" s="241" t="s">
        <v>296</v>
      </c>
      <c r="U81" s="241" t="s">
        <v>187</v>
      </c>
      <c r="V81" s="241" t="s">
        <v>6909</v>
      </c>
      <c r="W81" s="241" t="s">
        <v>6909</v>
      </c>
      <c r="X81" s="241" t="s">
        <v>59</v>
      </c>
      <c r="Y81" s="241" t="s">
        <v>298</v>
      </c>
      <c r="Z81" s="241"/>
      <c r="AA81" s="241"/>
      <c r="AB81" s="241" t="s">
        <v>133</v>
      </c>
      <c r="AC81" s="241" t="s">
        <v>217</v>
      </c>
      <c r="AD81" s="245">
        <v>32466</v>
      </c>
      <c r="AE81" s="241">
        <f t="shared" ca="1" si="10"/>
        <v>36</v>
      </c>
      <c r="AF81" s="246" t="s">
        <v>1338</v>
      </c>
      <c r="AG81" s="241" t="s">
        <v>1339</v>
      </c>
      <c r="AH81" s="240" t="s">
        <v>1340</v>
      </c>
      <c r="AI81" s="240"/>
      <c r="AJ81" s="240"/>
      <c r="AK81" s="250" t="s">
        <v>1341</v>
      </c>
      <c r="AL81" s="246" t="s">
        <v>1342</v>
      </c>
      <c r="AM81" s="246">
        <v>12007010395</v>
      </c>
      <c r="AN81" s="241" t="s">
        <v>4733</v>
      </c>
      <c r="AO81" s="241" t="s">
        <v>1343</v>
      </c>
      <c r="AP81" s="241" t="s">
        <v>1344</v>
      </c>
      <c r="AQ81" s="241" t="s">
        <v>1345</v>
      </c>
      <c r="AR81" s="241"/>
      <c r="AS81" s="241"/>
      <c r="AT81" s="241" t="s">
        <v>1346</v>
      </c>
      <c r="AU81" s="241" t="s">
        <v>1347</v>
      </c>
      <c r="AV81" s="241" t="s">
        <v>1348</v>
      </c>
      <c r="AW81" s="241" t="s">
        <v>1349</v>
      </c>
      <c r="AX81" s="241">
        <f t="shared" si="11"/>
        <v>2</v>
      </c>
      <c r="AY81" s="241" t="str">
        <f t="shared" si="12"/>
        <v>K/2</v>
      </c>
      <c r="AZ81" s="241" t="s">
        <v>1350</v>
      </c>
      <c r="BA81" s="237" t="s">
        <v>1350</v>
      </c>
      <c r="BB81" s="249" t="s">
        <v>161</v>
      </c>
      <c r="BC81" s="241" t="s">
        <v>75</v>
      </c>
      <c r="BD81" s="241" t="s">
        <v>76</v>
      </c>
      <c r="BE81" s="241" t="s">
        <v>77</v>
      </c>
      <c r="BF81" s="241"/>
      <c r="BG81" s="241" t="s">
        <v>75</v>
      </c>
      <c r="BH81" s="241" t="s">
        <v>76</v>
      </c>
      <c r="BI81" s="241" t="s">
        <v>77</v>
      </c>
      <c r="BJ81" s="241"/>
      <c r="BK81" s="247">
        <v>52612</v>
      </c>
      <c r="BL81" s="247">
        <v>52977</v>
      </c>
      <c r="BM81" s="242"/>
      <c r="BN81" s="241"/>
      <c r="BO81" s="241"/>
      <c r="BP81" s="244">
        <v>44294</v>
      </c>
      <c r="BQ81" s="244">
        <v>44322</v>
      </c>
      <c r="BR81" s="244"/>
      <c r="BS81" s="244"/>
      <c r="BT81" s="241"/>
      <c r="BU81" s="241"/>
      <c r="BV81" s="241"/>
      <c r="BW81" s="241"/>
      <c r="BX81" s="241"/>
      <c r="BY81" s="241"/>
      <c r="BZ81" s="241"/>
      <c r="CA81" s="241"/>
      <c r="CB81" s="241"/>
      <c r="CC81" s="241"/>
      <c r="CD81" s="241"/>
      <c r="CE81" s="241" t="e">
        <f>VLOOKUP(D81,[1]Sertifikasi!$B$4:$I$19,8,0)</f>
        <v>#N/A</v>
      </c>
      <c r="CF81" s="13"/>
      <c r="CG81" s="13"/>
      <c r="CH81" s="13"/>
    </row>
    <row r="82" spans="1:86" ht="11.25" customHeight="1" x14ac:dyDescent="0.2">
      <c r="A82" s="13"/>
      <c r="B82" s="238">
        <v>78</v>
      </c>
      <c r="C82" s="248" t="s">
        <v>292</v>
      </c>
      <c r="D82" s="237" t="s">
        <v>1351</v>
      </c>
      <c r="E82" s="239">
        <v>971800020</v>
      </c>
      <c r="F82" s="237">
        <v>1710003919936</v>
      </c>
      <c r="G82" s="240"/>
      <c r="H82" s="249" t="s">
        <v>217</v>
      </c>
      <c r="I82" s="241" t="s">
        <v>217</v>
      </c>
      <c r="J82" s="242">
        <v>42891</v>
      </c>
      <c r="K82" s="241"/>
      <c r="L82" s="241"/>
      <c r="M82" s="241" t="str">
        <f t="shared" si="14"/>
        <v>ORGANIK IMSS</v>
      </c>
      <c r="N82" s="241" t="s">
        <v>187</v>
      </c>
      <c r="O82" s="241" t="s">
        <v>442</v>
      </c>
      <c r="P82" s="243">
        <v>43116</v>
      </c>
      <c r="Q82" s="244"/>
      <c r="R82" s="241" t="s">
        <v>206</v>
      </c>
      <c r="S82" s="241" t="s">
        <v>6863</v>
      </c>
      <c r="T82" s="241" t="s">
        <v>296</v>
      </c>
      <c r="U82" s="241" t="s">
        <v>204</v>
      </c>
      <c r="V82" s="241" t="s">
        <v>6012</v>
      </c>
      <c r="W82" s="241" t="s">
        <v>6908</v>
      </c>
      <c r="X82" s="241" t="s">
        <v>18</v>
      </c>
      <c r="Y82" s="241" t="s">
        <v>313</v>
      </c>
      <c r="Z82" s="241"/>
      <c r="AA82" s="241"/>
      <c r="AB82" s="241" t="s">
        <v>132</v>
      </c>
      <c r="AC82" s="241" t="s">
        <v>217</v>
      </c>
      <c r="AD82" s="245">
        <v>34320</v>
      </c>
      <c r="AE82" s="241">
        <f t="shared" ca="1" si="10"/>
        <v>31</v>
      </c>
      <c r="AF82" s="246" t="s">
        <v>1352</v>
      </c>
      <c r="AG82" s="241" t="s">
        <v>1353</v>
      </c>
      <c r="AH82" s="240" t="s">
        <v>1354</v>
      </c>
      <c r="AI82" s="240"/>
      <c r="AJ82" s="240"/>
      <c r="AK82" s="250" t="s">
        <v>1355</v>
      </c>
      <c r="AL82" s="246" t="s">
        <v>1356</v>
      </c>
      <c r="AM82" s="246">
        <v>17043917354</v>
      </c>
      <c r="AN82" s="241" t="s">
        <v>4733</v>
      </c>
      <c r="AO82" s="241" t="s">
        <v>1357</v>
      </c>
      <c r="AP82" s="241" t="s">
        <v>1358</v>
      </c>
      <c r="AQ82" s="241"/>
      <c r="AR82" s="241"/>
      <c r="AS82" s="241"/>
      <c r="AT82" s="241" t="s">
        <v>306</v>
      </c>
      <c r="AU82" s="241" t="s">
        <v>306</v>
      </c>
      <c r="AV82" s="241" t="s">
        <v>306</v>
      </c>
      <c r="AW82" s="241" t="s">
        <v>306</v>
      </c>
      <c r="AX82" s="241">
        <f t="shared" si="11"/>
        <v>1</v>
      </c>
      <c r="AY82" s="241" t="str">
        <f t="shared" si="12"/>
        <v>K/1</v>
      </c>
      <c r="AZ82" s="241"/>
      <c r="BA82" s="237">
        <v>753002518621000</v>
      </c>
      <c r="BB82" s="249" t="s">
        <v>161</v>
      </c>
      <c r="BC82" s="241" t="s">
        <v>70</v>
      </c>
      <c r="BD82" s="241" t="s">
        <v>4323</v>
      </c>
      <c r="BE82" s="241" t="s">
        <v>402</v>
      </c>
      <c r="BF82" s="241">
        <v>2016</v>
      </c>
      <c r="BG82" s="241" t="s">
        <v>70</v>
      </c>
      <c r="BH82" s="241" t="s">
        <v>4323</v>
      </c>
      <c r="BI82" s="241" t="s">
        <v>402</v>
      </c>
      <c r="BJ82" s="241">
        <v>2016</v>
      </c>
      <c r="BK82" s="247">
        <v>54439</v>
      </c>
      <c r="BL82" s="247">
        <v>54804</v>
      </c>
      <c r="BM82" s="242"/>
      <c r="BN82" s="241"/>
      <c r="BO82" s="241">
        <v>41</v>
      </c>
      <c r="BP82" s="244">
        <v>44294</v>
      </c>
      <c r="BQ82" s="244">
        <v>44322</v>
      </c>
      <c r="BR82" s="244"/>
      <c r="BS82" s="244"/>
      <c r="BT82" s="241"/>
      <c r="BU82" s="241"/>
      <c r="BV82" s="241"/>
      <c r="BW82" s="241"/>
      <c r="BX82" s="241"/>
      <c r="BY82" s="241"/>
      <c r="BZ82" s="241"/>
      <c r="CA82" s="241"/>
      <c r="CB82" s="241"/>
      <c r="CC82" s="241"/>
      <c r="CD82" s="241"/>
      <c r="CE82" s="241" t="e">
        <f>VLOOKUP(D82,[1]Sertifikasi!$B$4:$I$19,8,0)</f>
        <v>#N/A</v>
      </c>
      <c r="CF82" s="13"/>
      <c r="CG82" s="13"/>
      <c r="CH82" s="13"/>
    </row>
    <row r="83" spans="1:86" ht="11.25" customHeight="1" x14ac:dyDescent="0.2">
      <c r="A83" s="13"/>
      <c r="B83" s="238">
        <v>79</v>
      </c>
      <c r="C83" s="241" t="e">
        <f t="shared" ref="C83:C92" ca="1" si="15">DATEDIF($E$3,P83,"D")</f>
        <v>#NUM!</v>
      </c>
      <c r="D83" s="237" t="s">
        <v>1359</v>
      </c>
      <c r="E83" s="239">
        <v>642001028</v>
      </c>
      <c r="F83" s="237">
        <v>1710003987636</v>
      </c>
      <c r="G83" s="240"/>
      <c r="H83" s="241" t="s">
        <v>217</v>
      </c>
      <c r="I83" s="241" t="s">
        <v>217</v>
      </c>
      <c r="J83" s="242">
        <v>42919</v>
      </c>
      <c r="K83" s="241"/>
      <c r="L83" s="241"/>
      <c r="M83" s="241" t="str">
        <f t="shared" si="14"/>
        <v>PKWT</v>
      </c>
      <c r="N83" s="241" t="s">
        <v>187</v>
      </c>
      <c r="O83" s="241"/>
      <c r="P83" s="243">
        <v>45657</v>
      </c>
      <c r="Q83" s="241"/>
      <c r="R83" s="241" t="s">
        <v>206</v>
      </c>
      <c r="S83" s="241" t="s">
        <v>6863</v>
      </c>
      <c r="T83" s="241" t="s">
        <v>312</v>
      </c>
      <c r="U83" s="241" t="s">
        <v>204</v>
      </c>
      <c r="V83" s="241" t="s">
        <v>208</v>
      </c>
      <c r="W83" s="241" t="s">
        <v>6908</v>
      </c>
      <c r="X83" s="241" t="s">
        <v>18</v>
      </c>
      <c r="Y83" s="241" t="s">
        <v>313</v>
      </c>
      <c r="Z83" s="241"/>
      <c r="AA83" s="241" t="s">
        <v>337</v>
      </c>
      <c r="AB83" s="241" t="s">
        <v>314</v>
      </c>
      <c r="AC83" s="241" t="s">
        <v>217</v>
      </c>
      <c r="AD83" s="245">
        <v>32767</v>
      </c>
      <c r="AE83" s="241">
        <f t="shared" ca="1" si="10"/>
        <v>36</v>
      </c>
      <c r="AF83" s="246" t="s">
        <v>1360</v>
      </c>
      <c r="AG83" s="241" t="s">
        <v>1361</v>
      </c>
      <c r="AH83" s="240" t="s">
        <v>1362</v>
      </c>
      <c r="AI83" s="240" t="s">
        <v>1363</v>
      </c>
      <c r="AJ83" s="240"/>
      <c r="AK83" s="241" t="s">
        <v>1364</v>
      </c>
      <c r="AL83" s="246" t="s">
        <v>1365</v>
      </c>
      <c r="AM83" s="246">
        <v>17043907892</v>
      </c>
      <c r="AN83" s="241" t="s">
        <v>4733</v>
      </c>
      <c r="AO83" s="241" t="s">
        <v>1366</v>
      </c>
      <c r="AP83" s="241" t="s">
        <v>1367</v>
      </c>
      <c r="AQ83" s="241"/>
      <c r="AR83" s="241"/>
      <c r="AS83" s="241"/>
      <c r="AT83" s="241" t="s">
        <v>306</v>
      </c>
      <c r="AU83" s="241" t="s">
        <v>306</v>
      </c>
      <c r="AV83" s="241" t="s">
        <v>306</v>
      </c>
      <c r="AW83" s="241" t="s">
        <v>306</v>
      </c>
      <c r="AX83" s="241">
        <f t="shared" si="11"/>
        <v>1</v>
      </c>
      <c r="AY83" s="241" t="str">
        <f t="shared" si="12"/>
        <v>K/1</v>
      </c>
      <c r="AZ83" s="241"/>
      <c r="BA83" s="237"/>
      <c r="BB83" s="241" t="s">
        <v>161</v>
      </c>
      <c r="BC83" s="241" t="s">
        <v>307</v>
      </c>
      <c r="BD83" s="241" t="s">
        <v>308</v>
      </c>
      <c r="BE83" s="241" t="s">
        <v>1368</v>
      </c>
      <c r="BF83" s="241">
        <v>2008</v>
      </c>
      <c r="BG83" s="241" t="s">
        <v>307</v>
      </c>
      <c r="BH83" s="241" t="s">
        <v>308</v>
      </c>
      <c r="BI83" s="241" t="s">
        <v>1368</v>
      </c>
      <c r="BJ83" s="241">
        <v>2008</v>
      </c>
      <c r="BK83" s="247"/>
      <c r="BL83" s="247"/>
      <c r="BM83" s="241" t="s">
        <v>339</v>
      </c>
      <c r="BN83" s="241">
        <v>34</v>
      </c>
      <c r="BO83" s="241">
        <v>42</v>
      </c>
      <c r="BP83" s="244">
        <v>44308</v>
      </c>
      <c r="BQ83" s="244">
        <v>44336</v>
      </c>
      <c r="BR83" s="244">
        <v>44601</v>
      </c>
      <c r="BS83" s="244"/>
      <c r="BT83" s="241">
        <v>43467</v>
      </c>
      <c r="BU83" s="241">
        <v>43830</v>
      </c>
      <c r="BV83" s="241" t="s">
        <v>1369</v>
      </c>
      <c r="BW83" s="241" t="s">
        <v>1370</v>
      </c>
      <c r="BX83" s="241"/>
      <c r="BY83" s="241"/>
      <c r="BZ83" s="241"/>
      <c r="CA83" s="241"/>
      <c r="CB83" s="241"/>
      <c r="CC83" s="241"/>
      <c r="CD83" s="241"/>
      <c r="CE83" s="241" t="e">
        <f>VLOOKUP(D83,[1]Sertifikasi!$B$4:$I$19,8,0)</f>
        <v>#N/A</v>
      </c>
      <c r="CF83" s="13"/>
      <c r="CG83" s="13"/>
      <c r="CH83" s="13"/>
    </row>
    <row r="84" spans="1:86" ht="11.25" customHeight="1" x14ac:dyDescent="0.2">
      <c r="A84" s="13"/>
      <c r="B84" s="238">
        <v>80</v>
      </c>
      <c r="C84" s="241" t="e">
        <f t="shared" ca="1" si="15"/>
        <v>#NUM!</v>
      </c>
      <c r="D84" s="237" t="s">
        <v>1371</v>
      </c>
      <c r="E84" s="239">
        <v>642001030</v>
      </c>
      <c r="F84" s="237">
        <v>1710004040815</v>
      </c>
      <c r="G84" s="240"/>
      <c r="H84" s="241" t="s">
        <v>217</v>
      </c>
      <c r="I84" s="241" t="s">
        <v>217</v>
      </c>
      <c r="J84" s="242">
        <v>42919</v>
      </c>
      <c r="K84" s="241"/>
      <c r="L84" s="241"/>
      <c r="M84" s="241" t="str">
        <f t="shared" si="14"/>
        <v>PKWT</v>
      </c>
      <c r="N84" s="241" t="s">
        <v>187</v>
      </c>
      <c r="O84" s="241"/>
      <c r="P84" s="243">
        <v>45657</v>
      </c>
      <c r="Q84" s="241"/>
      <c r="R84" s="241" t="s">
        <v>206</v>
      </c>
      <c r="S84" s="241" t="s">
        <v>6863</v>
      </c>
      <c r="T84" s="241" t="s">
        <v>312</v>
      </c>
      <c r="U84" s="241" t="s">
        <v>24</v>
      </c>
      <c r="V84" s="241" t="s">
        <v>443</v>
      </c>
      <c r="W84" s="241" t="s">
        <v>175</v>
      </c>
      <c r="X84" s="241" t="s">
        <v>121</v>
      </c>
      <c r="Y84" s="241" t="s">
        <v>313</v>
      </c>
      <c r="Z84" s="241" t="s">
        <v>462</v>
      </c>
      <c r="AA84" s="241" t="s">
        <v>337</v>
      </c>
      <c r="AB84" s="241" t="s">
        <v>314</v>
      </c>
      <c r="AC84" s="241" t="s">
        <v>217</v>
      </c>
      <c r="AD84" s="245">
        <v>36089</v>
      </c>
      <c r="AE84" s="241">
        <f t="shared" ca="1" si="10"/>
        <v>26</v>
      </c>
      <c r="AF84" s="246" t="s">
        <v>1372</v>
      </c>
      <c r="AG84" s="241" t="s">
        <v>1373</v>
      </c>
      <c r="AH84" s="240" t="s">
        <v>1374</v>
      </c>
      <c r="AI84" s="240"/>
      <c r="AJ84" s="240"/>
      <c r="AK84" s="241" t="s">
        <v>1375</v>
      </c>
      <c r="AL84" s="246" t="s">
        <v>1376</v>
      </c>
      <c r="AM84" s="246">
        <v>17043907801</v>
      </c>
      <c r="AN84" s="241" t="s">
        <v>4733</v>
      </c>
      <c r="AO84" s="241" t="s">
        <v>1377</v>
      </c>
      <c r="AP84" s="241"/>
      <c r="AQ84" s="241"/>
      <c r="AR84" s="241"/>
      <c r="AS84" s="241"/>
      <c r="AT84" s="241" t="s">
        <v>601</v>
      </c>
      <c r="AU84" s="241" t="s">
        <v>1378</v>
      </c>
      <c r="AV84" s="241" t="s">
        <v>1379</v>
      </c>
      <c r="AW84" s="241" t="s">
        <v>1380</v>
      </c>
      <c r="AX84" s="241">
        <f t="shared" si="11"/>
        <v>0</v>
      </c>
      <c r="AY84" s="241" t="str">
        <f t="shared" si="12"/>
        <v>K/0</v>
      </c>
      <c r="AZ84" s="241" t="s">
        <v>1381</v>
      </c>
      <c r="BA84" s="237" t="s">
        <v>1381</v>
      </c>
      <c r="BB84" s="241" t="s">
        <v>161</v>
      </c>
      <c r="BC84" s="241" t="s">
        <v>349</v>
      </c>
      <c r="BD84" s="241" t="s">
        <v>1382</v>
      </c>
      <c r="BE84" s="241" t="s">
        <v>516</v>
      </c>
      <c r="BF84" s="241">
        <v>2017</v>
      </c>
      <c r="BG84" s="241" t="s">
        <v>475</v>
      </c>
      <c r="BH84" s="241" t="s">
        <v>1382</v>
      </c>
      <c r="BI84" s="241" t="s">
        <v>516</v>
      </c>
      <c r="BJ84" s="241">
        <v>2017</v>
      </c>
      <c r="BK84" s="247"/>
      <c r="BL84" s="247"/>
      <c r="BM84" s="241" t="s">
        <v>369</v>
      </c>
      <c r="BN84" s="241">
        <v>36</v>
      </c>
      <c r="BO84" s="241">
        <v>43</v>
      </c>
      <c r="BP84" s="244"/>
      <c r="BQ84" s="244"/>
      <c r="BR84" s="244"/>
      <c r="BS84" s="244"/>
      <c r="BT84" s="241">
        <v>43467</v>
      </c>
      <c r="BU84" s="241">
        <v>43830</v>
      </c>
      <c r="BV84" s="241" t="s">
        <v>1383</v>
      </c>
      <c r="BW84" s="241" t="s">
        <v>1384</v>
      </c>
      <c r="BX84" s="241"/>
      <c r="BY84" s="241"/>
      <c r="BZ84" s="241"/>
      <c r="CA84" s="241"/>
      <c r="CB84" s="241"/>
      <c r="CC84" s="241"/>
      <c r="CD84" s="241"/>
      <c r="CE84" s="241" t="e">
        <f>VLOOKUP(D84,[1]Sertifikasi!$B$4:$I$19,8,0)</f>
        <v>#N/A</v>
      </c>
      <c r="CF84" s="13"/>
      <c r="CG84" s="13"/>
      <c r="CH84" s="13"/>
    </row>
    <row r="85" spans="1:86" ht="11.25" customHeight="1" x14ac:dyDescent="0.2">
      <c r="A85" s="13"/>
      <c r="B85" s="238">
        <v>81</v>
      </c>
      <c r="C85" s="241" t="e">
        <f t="shared" ca="1" si="15"/>
        <v>#NUM!</v>
      </c>
      <c r="D85" s="237" t="s">
        <v>1385</v>
      </c>
      <c r="E85" s="239">
        <v>642001033</v>
      </c>
      <c r="F85" s="237">
        <v>1710003986919</v>
      </c>
      <c r="G85" s="240"/>
      <c r="H85" s="241" t="s">
        <v>217</v>
      </c>
      <c r="I85" s="241" t="s">
        <v>217</v>
      </c>
      <c r="J85" s="242">
        <v>42919</v>
      </c>
      <c r="K85" s="241"/>
      <c r="L85" s="241"/>
      <c r="M85" s="241" t="str">
        <f t="shared" si="14"/>
        <v>PKWT</v>
      </c>
      <c r="N85" s="241" t="s">
        <v>187</v>
      </c>
      <c r="O85" s="241"/>
      <c r="P85" s="243">
        <v>45657</v>
      </c>
      <c r="Q85" s="241"/>
      <c r="R85" s="241" t="s">
        <v>206</v>
      </c>
      <c r="S85" s="241" t="s">
        <v>6863</v>
      </c>
      <c r="T85" s="241" t="s">
        <v>312</v>
      </c>
      <c r="U85" s="241" t="s">
        <v>24</v>
      </c>
      <c r="V85" s="241" t="s">
        <v>204</v>
      </c>
      <c r="W85" s="241" t="s">
        <v>706</v>
      </c>
      <c r="X85" s="241" t="s">
        <v>121</v>
      </c>
      <c r="Y85" s="241" t="s">
        <v>313</v>
      </c>
      <c r="Z85" s="241"/>
      <c r="AA85" s="241" t="s">
        <v>337</v>
      </c>
      <c r="AB85" s="241" t="s">
        <v>314</v>
      </c>
      <c r="AC85" s="241" t="s">
        <v>217</v>
      </c>
      <c r="AD85" s="245">
        <v>32057</v>
      </c>
      <c r="AE85" s="241">
        <f t="shared" ca="1" si="10"/>
        <v>37</v>
      </c>
      <c r="AF85" s="246" t="s">
        <v>1386</v>
      </c>
      <c r="AG85" s="241" t="s">
        <v>1387</v>
      </c>
      <c r="AH85" s="240" t="s">
        <v>1388</v>
      </c>
      <c r="AI85" s="240"/>
      <c r="AJ85" s="240"/>
      <c r="AK85" s="241" t="s">
        <v>1389</v>
      </c>
      <c r="AL85" s="246" t="s">
        <v>1390</v>
      </c>
      <c r="AM85" s="246">
        <v>17043907728</v>
      </c>
      <c r="AN85" s="241" t="s">
        <v>4733</v>
      </c>
      <c r="AO85" s="241" t="s">
        <v>1391</v>
      </c>
      <c r="AP85" s="241" t="s">
        <v>1392</v>
      </c>
      <c r="AQ85" s="241"/>
      <c r="AR85" s="241"/>
      <c r="AS85" s="241"/>
      <c r="AT85" s="241" t="s">
        <v>759</v>
      </c>
      <c r="AU85" s="241" t="s">
        <v>1393</v>
      </c>
      <c r="AV85" s="241" t="s">
        <v>1394</v>
      </c>
      <c r="AW85" s="241" t="s">
        <v>1395</v>
      </c>
      <c r="AX85" s="241">
        <f t="shared" si="11"/>
        <v>1</v>
      </c>
      <c r="AY85" s="241" t="str">
        <f t="shared" si="12"/>
        <v>K/1</v>
      </c>
      <c r="AZ85" s="241" t="s">
        <v>1396</v>
      </c>
      <c r="BA85" s="237" t="s">
        <v>1396</v>
      </c>
      <c r="BB85" s="241" t="s">
        <v>161</v>
      </c>
      <c r="BC85" s="241" t="s">
        <v>349</v>
      </c>
      <c r="BD85" s="241" t="s">
        <v>87</v>
      </c>
      <c r="BE85" s="241" t="s">
        <v>1397</v>
      </c>
      <c r="BF85" s="241">
        <v>2005</v>
      </c>
      <c r="BG85" s="241" t="s">
        <v>475</v>
      </c>
      <c r="BH85" s="241" t="s">
        <v>87</v>
      </c>
      <c r="BI85" s="241" t="s">
        <v>1397</v>
      </c>
      <c r="BJ85" s="241">
        <v>2005</v>
      </c>
      <c r="BK85" s="247"/>
      <c r="BL85" s="247"/>
      <c r="BM85" s="241" t="s">
        <v>351</v>
      </c>
      <c r="BN85" s="241">
        <v>34</v>
      </c>
      <c r="BO85" s="241">
        <v>40</v>
      </c>
      <c r="BP85" s="244"/>
      <c r="BQ85" s="244"/>
      <c r="BR85" s="244"/>
      <c r="BS85" s="244"/>
      <c r="BT85" s="241">
        <v>43467</v>
      </c>
      <c r="BU85" s="241">
        <v>43830</v>
      </c>
      <c r="BV85" s="241" t="s">
        <v>1398</v>
      </c>
      <c r="BW85" s="241" t="e">
        <v>#REF!</v>
      </c>
      <c r="BX85" s="241"/>
      <c r="BY85" s="241"/>
      <c r="BZ85" s="241"/>
      <c r="CA85" s="241"/>
      <c r="CB85" s="241"/>
      <c r="CC85" s="241"/>
      <c r="CD85" s="241"/>
      <c r="CE85" s="241" t="e">
        <f>VLOOKUP(D85,[1]Sertifikasi!$B$4:$I$19,8,0)</f>
        <v>#N/A</v>
      </c>
      <c r="CF85" s="13"/>
      <c r="CG85" s="13"/>
      <c r="CH85" s="13"/>
    </row>
    <row r="86" spans="1:86" ht="11.25" customHeight="1" x14ac:dyDescent="0.2">
      <c r="A86" s="13"/>
      <c r="B86" s="238">
        <v>82</v>
      </c>
      <c r="C86" s="241" t="e">
        <f t="shared" ca="1" si="15"/>
        <v>#NUM!</v>
      </c>
      <c r="D86" s="237" t="s">
        <v>1399</v>
      </c>
      <c r="E86" s="239">
        <v>642001029</v>
      </c>
      <c r="F86" s="237">
        <v>1710003987081</v>
      </c>
      <c r="G86" s="240"/>
      <c r="H86" s="241" t="s">
        <v>217</v>
      </c>
      <c r="I86" s="241" t="s">
        <v>217</v>
      </c>
      <c r="J86" s="242">
        <v>42919</v>
      </c>
      <c r="K86" s="241"/>
      <c r="L86" s="241"/>
      <c r="M86" s="241" t="str">
        <f t="shared" si="14"/>
        <v>PKWT</v>
      </c>
      <c r="N86" s="241" t="s">
        <v>187</v>
      </c>
      <c r="O86" s="241"/>
      <c r="P86" s="243">
        <v>45657</v>
      </c>
      <c r="Q86" s="241"/>
      <c r="R86" s="241" t="s">
        <v>206</v>
      </c>
      <c r="S86" s="241" t="s">
        <v>6863</v>
      </c>
      <c r="T86" s="241" t="s">
        <v>312</v>
      </c>
      <c r="U86" s="241" t="s">
        <v>23</v>
      </c>
      <c r="V86" s="241" t="s">
        <v>443</v>
      </c>
      <c r="W86" s="241" t="s">
        <v>51</v>
      </c>
      <c r="X86" s="241" t="s">
        <v>121</v>
      </c>
      <c r="Y86" s="241" t="s">
        <v>313</v>
      </c>
      <c r="Z86" s="241"/>
      <c r="AA86" s="241" t="s">
        <v>337</v>
      </c>
      <c r="AB86" s="241" t="s">
        <v>314</v>
      </c>
      <c r="AC86" s="241" t="s">
        <v>217</v>
      </c>
      <c r="AD86" s="245">
        <v>32838</v>
      </c>
      <c r="AE86" s="241">
        <f t="shared" ca="1" si="10"/>
        <v>35</v>
      </c>
      <c r="AF86" s="246" t="s">
        <v>1400</v>
      </c>
      <c r="AG86" s="241" t="s">
        <v>1401</v>
      </c>
      <c r="AH86" s="240" t="s">
        <v>1402</v>
      </c>
      <c r="AI86" s="240"/>
      <c r="AJ86" s="240"/>
      <c r="AK86" s="241" t="s">
        <v>1403</v>
      </c>
      <c r="AL86" s="246" t="s">
        <v>1404</v>
      </c>
      <c r="AM86" s="246">
        <v>18024053276</v>
      </c>
      <c r="AN86" s="241" t="s">
        <v>4716</v>
      </c>
      <c r="AO86" s="241"/>
      <c r="AP86" s="241"/>
      <c r="AQ86" s="241"/>
      <c r="AR86" s="241"/>
      <c r="AS86" s="241"/>
      <c r="AT86" s="241" t="s">
        <v>1405</v>
      </c>
      <c r="AU86" s="241" t="s">
        <v>1406</v>
      </c>
      <c r="AV86" s="241" t="s">
        <v>306</v>
      </c>
      <c r="AW86" s="241" t="s">
        <v>306</v>
      </c>
      <c r="AX86" s="241">
        <f t="shared" si="11"/>
        <v>0</v>
      </c>
      <c r="AY86" s="241" t="str">
        <f t="shared" si="12"/>
        <v>TK/0</v>
      </c>
      <c r="AZ86" s="241" t="s">
        <v>1407</v>
      </c>
      <c r="BA86" s="237" t="s">
        <v>1408</v>
      </c>
      <c r="BB86" s="241" t="s">
        <v>161</v>
      </c>
      <c r="BC86" s="241" t="s">
        <v>349</v>
      </c>
      <c r="BD86" s="241" t="s">
        <v>1213</v>
      </c>
      <c r="BE86" s="241" t="s">
        <v>516</v>
      </c>
      <c r="BF86" s="241">
        <v>2008</v>
      </c>
      <c r="BG86" s="241" t="s">
        <v>475</v>
      </c>
      <c r="BH86" s="241" t="s">
        <v>1213</v>
      </c>
      <c r="BI86" s="241" t="s">
        <v>516</v>
      </c>
      <c r="BJ86" s="241">
        <v>2008</v>
      </c>
      <c r="BK86" s="247"/>
      <c r="BL86" s="247"/>
      <c r="BM86" s="241" t="s">
        <v>360</v>
      </c>
      <c r="BN86" s="241">
        <v>29</v>
      </c>
      <c r="BO86" s="241">
        <v>40</v>
      </c>
      <c r="BP86" s="244"/>
      <c r="BQ86" s="244"/>
      <c r="BR86" s="244"/>
      <c r="BS86" s="244"/>
      <c r="BT86" s="241">
        <v>43467</v>
      </c>
      <c r="BU86" s="241">
        <v>43830</v>
      </c>
      <c r="BV86" s="241" t="s">
        <v>1409</v>
      </c>
      <c r="BW86" s="241" t="s">
        <v>1410</v>
      </c>
      <c r="BX86" s="241"/>
      <c r="BY86" s="241"/>
      <c r="BZ86" s="241"/>
      <c r="CA86" s="241"/>
      <c r="CB86" s="241"/>
      <c r="CC86" s="241"/>
      <c r="CD86" s="241"/>
      <c r="CE86" s="241" t="e">
        <f>VLOOKUP(D86,[1]Sertifikasi!$B$4:$I$19,8,0)</f>
        <v>#N/A</v>
      </c>
      <c r="CF86" s="13"/>
      <c r="CG86" s="13"/>
      <c r="CH86" s="13"/>
    </row>
    <row r="87" spans="1:86" ht="11.25" customHeight="1" x14ac:dyDescent="0.2">
      <c r="A87" s="13"/>
      <c r="B87" s="238">
        <v>83</v>
      </c>
      <c r="C87" s="241" t="e">
        <f t="shared" ca="1" si="15"/>
        <v>#NUM!</v>
      </c>
      <c r="D87" s="237" t="s">
        <v>1411</v>
      </c>
      <c r="E87" s="239">
        <v>642001022</v>
      </c>
      <c r="F87" s="237">
        <v>1710003988402</v>
      </c>
      <c r="G87" s="240"/>
      <c r="H87" s="241" t="s">
        <v>217</v>
      </c>
      <c r="I87" s="241" t="s">
        <v>217</v>
      </c>
      <c r="J87" s="242">
        <v>42919</v>
      </c>
      <c r="K87" s="241"/>
      <c r="L87" s="241"/>
      <c r="M87" s="241" t="str">
        <f t="shared" si="14"/>
        <v>PKWT</v>
      </c>
      <c r="N87" s="241" t="s">
        <v>187</v>
      </c>
      <c r="O87" s="241"/>
      <c r="P87" s="243">
        <v>45657</v>
      </c>
      <c r="Q87" s="241"/>
      <c r="R87" s="241" t="s">
        <v>206</v>
      </c>
      <c r="S87" s="241" t="s">
        <v>6863</v>
      </c>
      <c r="T87" s="241" t="s">
        <v>312</v>
      </c>
      <c r="U87" s="241" t="s">
        <v>24</v>
      </c>
      <c r="V87" s="241" t="s">
        <v>443</v>
      </c>
      <c r="W87" s="241" t="s">
        <v>175</v>
      </c>
      <c r="X87" s="241" t="s">
        <v>121</v>
      </c>
      <c r="Y87" s="241" t="s">
        <v>313</v>
      </c>
      <c r="Z87" s="241"/>
      <c r="AA87" s="241" t="s">
        <v>337</v>
      </c>
      <c r="AB87" s="241" t="s">
        <v>314</v>
      </c>
      <c r="AC87" s="241" t="s">
        <v>1412</v>
      </c>
      <c r="AD87" s="245">
        <v>35922</v>
      </c>
      <c r="AE87" s="241">
        <f t="shared" ca="1" si="10"/>
        <v>27</v>
      </c>
      <c r="AF87" s="246" t="s">
        <v>1413</v>
      </c>
      <c r="AG87" s="241" t="s">
        <v>1414</v>
      </c>
      <c r="AH87" s="240" t="s">
        <v>1415</v>
      </c>
      <c r="AI87" s="240" t="s">
        <v>1416</v>
      </c>
      <c r="AJ87" s="240"/>
      <c r="AK87" s="241" t="s">
        <v>1417</v>
      </c>
      <c r="AL87" s="252" t="s">
        <v>1418</v>
      </c>
      <c r="AM87" s="246">
        <v>17043907710</v>
      </c>
      <c r="AN87" s="241" t="s">
        <v>4716</v>
      </c>
      <c r="AO87" s="241"/>
      <c r="AP87" s="241"/>
      <c r="AQ87" s="241"/>
      <c r="AR87" s="241"/>
      <c r="AS87" s="241"/>
      <c r="AT87" s="241" t="s">
        <v>1419</v>
      </c>
      <c r="AU87" s="241" t="s">
        <v>1420</v>
      </c>
      <c r="AV87" s="241" t="s">
        <v>306</v>
      </c>
      <c r="AW87" s="241" t="s">
        <v>306</v>
      </c>
      <c r="AX87" s="241">
        <f t="shared" si="11"/>
        <v>0</v>
      </c>
      <c r="AY87" s="241" t="str">
        <f t="shared" si="12"/>
        <v>TK/0</v>
      </c>
      <c r="AZ87" s="241" t="s">
        <v>1421</v>
      </c>
      <c r="BA87" s="237" t="s">
        <v>1422</v>
      </c>
      <c r="BB87" s="241" t="s">
        <v>161</v>
      </c>
      <c r="BC87" s="241" t="s">
        <v>349</v>
      </c>
      <c r="BD87" s="241" t="s">
        <v>4502</v>
      </c>
      <c r="BE87" s="241" t="s">
        <v>516</v>
      </c>
      <c r="BF87" s="241">
        <v>2016</v>
      </c>
      <c r="BG87" s="241" t="s">
        <v>475</v>
      </c>
      <c r="BH87" s="241" t="s">
        <v>4502</v>
      </c>
      <c r="BI87" s="241" t="s">
        <v>516</v>
      </c>
      <c r="BJ87" s="241">
        <v>2016</v>
      </c>
      <c r="BK87" s="247"/>
      <c r="BL87" s="247"/>
      <c r="BM87" s="241" t="s">
        <v>339</v>
      </c>
      <c r="BN87" s="241">
        <v>36</v>
      </c>
      <c r="BO87" s="241">
        <v>42</v>
      </c>
      <c r="BP87" s="244">
        <v>44365</v>
      </c>
      <c r="BQ87" s="244">
        <v>44400</v>
      </c>
      <c r="BR87" s="244"/>
      <c r="BS87" s="244"/>
      <c r="BT87" s="241">
        <v>43467</v>
      </c>
      <c r="BU87" s="241">
        <v>43830</v>
      </c>
      <c r="BV87" s="241" t="s">
        <v>1423</v>
      </c>
      <c r="BW87" s="241" t="s">
        <v>1424</v>
      </c>
      <c r="BX87" s="241"/>
      <c r="BY87" s="241"/>
      <c r="BZ87" s="241"/>
      <c r="CA87" s="241"/>
      <c r="CB87" s="241"/>
      <c r="CC87" s="241"/>
      <c r="CD87" s="241"/>
      <c r="CE87" s="241" t="e">
        <f>VLOOKUP(D87,[1]Sertifikasi!$B$4:$I$19,8,0)</f>
        <v>#N/A</v>
      </c>
      <c r="CF87" s="13"/>
      <c r="CG87" s="13"/>
      <c r="CH87" s="13"/>
    </row>
    <row r="88" spans="1:86" ht="11.25" customHeight="1" x14ac:dyDescent="0.2">
      <c r="A88" s="13"/>
      <c r="B88" s="238">
        <v>84</v>
      </c>
      <c r="C88" s="241" t="e">
        <f t="shared" ca="1" si="15"/>
        <v>#NUM!</v>
      </c>
      <c r="D88" s="237" t="s">
        <v>1425</v>
      </c>
      <c r="E88" s="239">
        <v>642001032</v>
      </c>
      <c r="F88" s="237">
        <v>1710003988428</v>
      </c>
      <c r="G88" s="240"/>
      <c r="H88" s="241" t="s">
        <v>217</v>
      </c>
      <c r="I88" s="241" t="s">
        <v>217</v>
      </c>
      <c r="J88" s="242">
        <v>42919</v>
      </c>
      <c r="K88" s="241"/>
      <c r="L88" s="241"/>
      <c r="M88" s="241" t="str">
        <f t="shared" si="14"/>
        <v>PKWT</v>
      </c>
      <c r="N88" s="241" t="s">
        <v>187</v>
      </c>
      <c r="O88" s="241"/>
      <c r="P88" s="243">
        <v>45657</v>
      </c>
      <c r="Q88" s="241"/>
      <c r="R88" s="241" t="s">
        <v>206</v>
      </c>
      <c r="S88" s="241" t="s">
        <v>6863</v>
      </c>
      <c r="T88" s="241" t="s">
        <v>312</v>
      </c>
      <c r="U88" s="241" t="s">
        <v>204</v>
      </c>
      <c r="V88" s="241" t="s">
        <v>6211</v>
      </c>
      <c r="W88" s="241" t="s">
        <v>121</v>
      </c>
      <c r="X88" s="241" t="s">
        <v>121</v>
      </c>
      <c r="Y88" s="241" t="s">
        <v>313</v>
      </c>
      <c r="Z88" s="241"/>
      <c r="AA88" s="241" t="s">
        <v>337</v>
      </c>
      <c r="AB88" s="241" t="s">
        <v>314</v>
      </c>
      <c r="AC88" s="241" t="s">
        <v>217</v>
      </c>
      <c r="AD88" s="245">
        <v>34318</v>
      </c>
      <c r="AE88" s="241">
        <f t="shared" ca="1" si="10"/>
        <v>31</v>
      </c>
      <c r="AF88" s="246" t="s">
        <v>1427</v>
      </c>
      <c r="AG88" s="241" t="s">
        <v>1428</v>
      </c>
      <c r="AH88" s="240" t="s">
        <v>1429</v>
      </c>
      <c r="AI88" s="240"/>
      <c r="AJ88" s="240"/>
      <c r="AK88" s="241" t="s">
        <v>1430</v>
      </c>
      <c r="AL88" s="246" t="s">
        <v>1431</v>
      </c>
      <c r="AM88" s="246">
        <v>12028275217</v>
      </c>
      <c r="AN88" s="241" t="s">
        <v>4733</v>
      </c>
      <c r="AO88" s="241" t="s">
        <v>1432</v>
      </c>
      <c r="AP88" s="241" t="s">
        <v>1433</v>
      </c>
      <c r="AQ88" s="241"/>
      <c r="AR88" s="241"/>
      <c r="AS88" s="241"/>
      <c r="AT88" s="241" t="s">
        <v>306</v>
      </c>
      <c r="AU88" s="241" t="s">
        <v>306</v>
      </c>
      <c r="AV88" s="241" t="s">
        <v>306</v>
      </c>
      <c r="AW88" s="241" t="s">
        <v>306</v>
      </c>
      <c r="AX88" s="241">
        <f t="shared" si="11"/>
        <v>1</v>
      </c>
      <c r="AY88" s="241" t="str">
        <f t="shared" si="12"/>
        <v>K/1</v>
      </c>
      <c r="AZ88" s="241"/>
      <c r="BA88" s="237"/>
      <c r="BB88" s="241" t="s">
        <v>161</v>
      </c>
      <c r="BC88" s="241" t="s">
        <v>349</v>
      </c>
      <c r="BD88" s="241" t="s">
        <v>4502</v>
      </c>
      <c r="BE88" s="241" t="s">
        <v>350</v>
      </c>
      <c r="BF88" s="241">
        <v>2012</v>
      </c>
      <c r="BG88" s="241" t="s">
        <v>475</v>
      </c>
      <c r="BH88" s="241" t="s">
        <v>4502</v>
      </c>
      <c r="BI88" s="241" t="s">
        <v>350</v>
      </c>
      <c r="BJ88" s="241">
        <v>2012</v>
      </c>
      <c r="BK88" s="247"/>
      <c r="BL88" s="247"/>
      <c r="BM88" s="241" t="s">
        <v>360</v>
      </c>
      <c r="BN88" s="241">
        <v>30</v>
      </c>
      <c r="BO88" s="241">
        <v>41</v>
      </c>
      <c r="BP88" s="244">
        <v>44294</v>
      </c>
      <c r="BQ88" s="244">
        <v>44322</v>
      </c>
      <c r="BR88" s="244"/>
      <c r="BS88" s="244"/>
      <c r="BT88" s="241">
        <v>43467</v>
      </c>
      <c r="BU88" s="241">
        <v>43830</v>
      </c>
      <c r="BV88" s="241" t="s">
        <v>1434</v>
      </c>
      <c r="BW88" s="241" t="s">
        <v>1435</v>
      </c>
      <c r="BX88" s="241"/>
      <c r="BY88" s="241"/>
      <c r="BZ88" s="241"/>
      <c r="CA88" s="241"/>
      <c r="CB88" s="241"/>
      <c r="CC88" s="241"/>
      <c r="CD88" s="241"/>
      <c r="CE88" s="241" t="e">
        <f>VLOOKUP(D88,[1]Sertifikasi!$B$4:$I$19,8,0)</f>
        <v>#N/A</v>
      </c>
      <c r="CF88" s="13"/>
      <c r="CG88" s="13"/>
      <c r="CH88" s="13"/>
    </row>
    <row r="89" spans="1:86" ht="11.25" customHeight="1" x14ac:dyDescent="0.2">
      <c r="A89" s="13"/>
      <c r="B89" s="238">
        <v>85</v>
      </c>
      <c r="C89" s="241" t="e">
        <f t="shared" ca="1" si="15"/>
        <v>#NUM!</v>
      </c>
      <c r="D89" s="237" t="s">
        <v>1436</v>
      </c>
      <c r="E89" s="239">
        <v>642001026</v>
      </c>
      <c r="F89" s="237">
        <v>1710003987172</v>
      </c>
      <c r="G89" s="240"/>
      <c r="H89" s="241" t="s">
        <v>217</v>
      </c>
      <c r="I89" s="241" t="s">
        <v>217</v>
      </c>
      <c r="J89" s="242">
        <v>42919</v>
      </c>
      <c r="K89" s="241"/>
      <c r="L89" s="241"/>
      <c r="M89" s="241" t="str">
        <f t="shared" si="14"/>
        <v>PKWT</v>
      </c>
      <c r="N89" s="241" t="s">
        <v>187</v>
      </c>
      <c r="O89" s="241"/>
      <c r="P89" s="243">
        <v>45657</v>
      </c>
      <c r="Q89" s="241"/>
      <c r="R89" s="241" t="s">
        <v>206</v>
      </c>
      <c r="S89" s="241" t="s">
        <v>6863</v>
      </c>
      <c r="T89" s="241" t="s">
        <v>312</v>
      </c>
      <c r="U89" s="241" t="s">
        <v>23</v>
      </c>
      <c r="V89" s="241" t="s">
        <v>443</v>
      </c>
      <c r="W89" s="241" t="s">
        <v>51</v>
      </c>
      <c r="X89" s="241" t="s">
        <v>121</v>
      </c>
      <c r="Y89" s="241" t="s">
        <v>313</v>
      </c>
      <c r="Z89" s="241"/>
      <c r="AA89" s="241" t="s">
        <v>337</v>
      </c>
      <c r="AB89" s="241" t="s">
        <v>314</v>
      </c>
      <c r="AC89" s="241" t="s">
        <v>217</v>
      </c>
      <c r="AD89" s="245">
        <v>36114</v>
      </c>
      <c r="AE89" s="241">
        <f t="shared" ca="1" si="10"/>
        <v>26</v>
      </c>
      <c r="AF89" s="246" t="s">
        <v>1437</v>
      </c>
      <c r="AG89" s="241" t="s">
        <v>1438</v>
      </c>
      <c r="AH89" s="240" t="s">
        <v>1439</v>
      </c>
      <c r="AI89" s="240" t="s">
        <v>1440</v>
      </c>
      <c r="AJ89" s="240"/>
      <c r="AK89" s="241" t="s">
        <v>1441</v>
      </c>
      <c r="AL89" s="246" t="s">
        <v>1442</v>
      </c>
      <c r="AM89" s="246">
        <v>17043907827</v>
      </c>
      <c r="AN89" s="241" t="s">
        <v>4716</v>
      </c>
      <c r="AO89" s="241"/>
      <c r="AP89" s="241"/>
      <c r="AQ89" s="241"/>
      <c r="AR89" s="241"/>
      <c r="AS89" s="241"/>
      <c r="AT89" s="241" t="s">
        <v>1443</v>
      </c>
      <c r="AU89" s="241" t="s">
        <v>1444</v>
      </c>
      <c r="AV89" s="241" t="s">
        <v>306</v>
      </c>
      <c r="AW89" s="241" t="s">
        <v>306</v>
      </c>
      <c r="AX89" s="241">
        <f t="shared" si="11"/>
        <v>0</v>
      </c>
      <c r="AY89" s="241" t="str">
        <f t="shared" si="12"/>
        <v>TK/0</v>
      </c>
      <c r="AZ89" s="241" t="s">
        <v>1445</v>
      </c>
      <c r="BA89" s="237" t="s">
        <v>1445</v>
      </c>
      <c r="BB89" s="241" t="s">
        <v>161</v>
      </c>
      <c r="BC89" s="241" t="s">
        <v>349</v>
      </c>
      <c r="BD89" s="241" t="s">
        <v>91</v>
      </c>
      <c r="BE89" s="241" t="s">
        <v>516</v>
      </c>
      <c r="BF89" s="241">
        <v>2017</v>
      </c>
      <c r="BG89" s="241" t="s">
        <v>475</v>
      </c>
      <c r="BH89" s="241" t="s">
        <v>91</v>
      </c>
      <c r="BI89" s="241" t="s">
        <v>516</v>
      </c>
      <c r="BJ89" s="241">
        <v>2017</v>
      </c>
      <c r="BK89" s="247"/>
      <c r="BL89" s="247"/>
      <c r="BM89" s="241" t="s">
        <v>360</v>
      </c>
      <c r="BN89" s="241">
        <v>29</v>
      </c>
      <c r="BO89" s="241">
        <v>39</v>
      </c>
      <c r="BP89" s="244"/>
      <c r="BQ89" s="244"/>
      <c r="BR89" s="244"/>
      <c r="BS89" s="244"/>
      <c r="BT89" s="241">
        <v>43467</v>
      </c>
      <c r="BU89" s="241">
        <v>43830</v>
      </c>
      <c r="BV89" s="241" t="s">
        <v>1446</v>
      </c>
      <c r="BW89" s="241" t="s">
        <v>1447</v>
      </c>
      <c r="BX89" s="241"/>
      <c r="BY89" s="241"/>
      <c r="BZ89" s="241"/>
      <c r="CA89" s="241"/>
      <c r="CB89" s="241"/>
      <c r="CC89" s="241"/>
      <c r="CD89" s="241"/>
      <c r="CE89" s="241" t="e">
        <f>VLOOKUP(D89,[1]Sertifikasi!$B$4:$I$19,8,0)</f>
        <v>#N/A</v>
      </c>
      <c r="CF89" s="13"/>
      <c r="CG89" s="13"/>
      <c r="CH89" s="13"/>
    </row>
    <row r="90" spans="1:86" ht="11.25" customHeight="1" x14ac:dyDescent="0.2">
      <c r="A90" s="13"/>
      <c r="B90" s="238">
        <v>86</v>
      </c>
      <c r="C90" s="241" t="e">
        <f t="shared" ca="1" si="15"/>
        <v>#NUM!</v>
      </c>
      <c r="D90" s="237" t="s">
        <v>1448</v>
      </c>
      <c r="E90" s="239">
        <v>642001027</v>
      </c>
      <c r="F90" s="237">
        <v>1710003987198</v>
      </c>
      <c r="G90" s="240"/>
      <c r="H90" s="241" t="s">
        <v>217</v>
      </c>
      <c r="I90" s="241" t="s">
        <v>315</v>
      </c>
      <c r="J90" s="242">
        <v>42919</v>
      </c>
      <c r="K90" s="241"/>
      <c r="L90" s="241"/>
      <c r="M90" s="241" t="str">
        <f t="shared" si="14"/>
        <v>PKWT</v>
      </c>
      <c r="N90" s="241" t="s">
        <v>187</v>
      </c>
      <c r="O90" s="241"/>
      <c r="P90" s="243">
        <v>45657</v>
      </c>
      <c r="Q90" s="241"/>
      <c r="R90" s="241" t="s">
        <v>206</v>
      </c>
      <c r="S90" s="241" t="s">
        <v>6863</v>
      </c>
      <c r="T90" s="241" t="s">
        <v>312</v>
      </c>
      <c r="U90" s="241" t="s">
        <v>187</v>
      </c>
      <c r="V90" s="241" t="s">
        <v>73</v>
      </c>
      <c r="W90" s="241" t="s">
        <v>73</v>
      </c>
      <c r="X90" s="241" t="s">
        <v>122</v>
      </c>
      <c r="Y90" s="241" t="s">
        <v>313</v>
      </c>
      <c r="Z90" s="241"/>
      <c r="AA90" s="241" t="s">
        <v>337</v>
      </c>
      <c r="AB90" s="241" t="s">
        <v>314</v>
      </c>
      <c r="AC90" s="241" t="s">
        <v>315</v>
      </c>
      <c r="AD90" s="245">
        <v>34925</v>
      </c>
      <c r="AE90" s="241">
        <f t="shared" ca="1" si="10"/>
        <v>30</v>
      </c>
      <c r="AF90" s="246" t="s">
        <v>1449</v>
      </c>
      <c r="AG90" s="241" t="s">
        <v>1450</v>
      </c>
      <c r="AH90" s="240" t="s">
        <v>1451</v>
      </c>
      <c r="AI90" s="240"/>
      <c r="AJ90" s="240"/>
      <c r="AK90" s="241" t="s">
        <v>1452</v>
      </c>
      <c r="AL90" s="246" t="s">
        <v>1453</v>
      </c>
      <c r="AM90" s="246">
        <v>16003086085</v>
      </c>
      <c r="AN90" s="241" t="s">
        <v>4716</v>
      </c>
      <c r="AO90" s="241"/>
      <c r="AP90" s="241"/>
      <c r="AQ90" s="241"/>
      <c r="AR90" s="241"/>
      <c r="AS90" s="241"/>
      <c r="AT90" s="241" t="s">
        <v>306</v>
      </c>
      <c r="AU90" s="241" t="s">
        <v>306</v>
      </c>
      <c r="AV90" s="241" t="s">
        <v>306</v>
      </c>
      <c r="AW90" s="241" t="s">
        <v>306</v>
      </c>
      <c r="AX90" s="241">
        <f t="shared" si="11"/>
        <v>0</v>
      </c>
      <c r="AY90" s="241" t="str">
        <f t="shared" si="12"/>
        <v>TK/0</v>
      </c>
      <c r="AZ90" s="241"/>
      <c r="BA90" s="237"/>
      <c r="BB90" s="241" t="s">
        <v>161</v>
      </c>
      <c r="BC90" s="241" t="s">
        <v>349</v>
      </c>
      <c r="BD90" s="241" t="s">
        <v>515</v>
      </c>
      <c r="BE90" s="241" t="s">
        <v>1454</v>
      </c>
      <c r="BF90" s="241">
        <v>2013</v>
      </c>
      <c r="BG90" s="241" t="s">
        <v>475</v>
      </c>
      <c r="BH90" s="241" t="s">
        <v>515</v>
      </c>
      <c r="BI90" s="241" t="s">
        <v>1454</v>
      </c>
      <c r="BJ90" s="241">
        <v>2013</v>
      </c>
      <c r="BK90" s="247"/>
      <c r="BL90" s="247"/>
      <c r="BM90" s="241" t="s">
        <v>351</v>
      </c>
      <c r="BN90" s="241">
        <v>28</v>
      </c>
      <c r="BO90" s="241">
        <v>42</v>
      </c>
      <c r="BP90" s="244"/>
      <c r="BQ90" s="244"/>
      <c r="BR90" s="244"/>
      <c r="BS90" s="244"/>
      <c r="BT90" s="241">
        <v>43467</v>
      </c>
      <c r="BU90" s="241">
        <v>43830</v>
      </c>
      <c r="BV90" s="241" t="s">
        <v>1455</v>
      </c>
      <c r="BW90" s="241" t="s">
        <v>1456</v>
      </c>
      <c r="BX90" s="241"/>
      <c r="BY90" s="241"/>
      <c r="BZ90" s="241"/>
      <c r="CA90" s="241"/>
      <c r="CB90" s="241"/>
      <c r="CC90" s="241"/>
      <c r="CD90" s="241"/>
      <c r="CE90" s="241" t="e">
        <f>VLOOKUP(D90,[1]Sertifikasi!$B$4:$I$19,8,0)</f>
        <v>#N/A</v>
      </c>
      <c r="CF90" s="13"/>
      <c r="CG90" s="13"/>
      <c r="CH90" s="13"/>
    </row>
    <row r="91" spans="1:86" ht="11.25" customHeight="1" x14ac:dyDescent="0.2">
      <c r="A91" s="13"/>
      <c r="B91" s="238">
        <v>87</v>
      </c>
      <c r="C91" s="241" t="e">
        <f t="shared" ca="1" si="15"/>
        <v>#NUM!</v>
      </c>
      <c r="D91" s="237" t="s">
        <v>1457</v>
      </c>
      <c r="E91" s="239">
        <v>642001024</v>
      </c>
      <c r="F91" s="237">
        <v>1710003987313</v>
      </c>
      <c r="G91" s="240"/>
      <c r="H91" s="241" t="s">
        <v>217</v>
      </c>
      <c r="I91" s="241" t="s">
        <v>217</v>
      </c>
      <c r="J91" s="242">
        <v>42919</v>
      </c>
      <c r="K91" s="241"/>
      <c r="L91" s="241"/>
      <c r="M91" s="241" t="str">
        <f t="shared" si="14"/>
        <v>PKWT</v>
      </c>
      <c r="N91" s="241" t="s">
        <v>187</v>
      </c>
      <c r="O91" s="241"/>
      <c r="P91" s="243">
        <v>45657</v>
      </c>
      <c r="Q91" s="241"/>
      <c r="R91" s="241" t="s">
        <v>206</v>
      </c>
      <c r="S91" s="241" t="s">
        <v>6863</v>
      </c>
      <c r="T91" s="241" t="s">
        <v>312</v>
      </c>
      <c r="U91" s="241" t="s">
        <v>24</v>
      </c>
      <c r="V91" s="241" t="s">
        <v>443</v>
      </c>
      <c r="W91" s="241" t="s">
        <v>175</v>
      </c>
      <c r="X91" s="241" t="s">
        <v>121</v>
      </c>
      <c r="Y91" s="241" t="s">
        <v>313</v>
      </c>
      <c r="Z91" s="241"/>
      <c r="AA91" s="241" t="s">
        <v>337</v>
      </c>
      <c r="AB91" s="241" t="s">
        <v>314</v>
      </c>
      <c r="AC91" s="241" t="s">
        <v>217</v>
      </c>
      <c r="AD91" s="245">
        <v>35299</v>
      </c>
      <c r="AE91" s="241">
        <f t="shared" ca="1" si="10"/>
        <v>29</v>
      </c>
      <c r="AF91" s="246" t="s">
        <v>1458</v>
      </c>
      <c r="AG91" s="241" t="s">
        <v>1459</v>
      </c>
      <c r="AH91" s="240" t="s">
        <v>1460</v>
      </c>
      <c r="AI91" s="240" t="s">
        <v>1461</v>
      </c>
      <c r="AJ91" s="240"/>
      <c r="AK91" s="241" t="s">
        <v>1462</v>
      </c>
      <c r="AL91" s="246" t="s">
        <v>1463</v>
      </c>
      <c r="AM91" s="246">
        <v>17043907835</v>
      </c>
      <c r="AN91" s="241" t="s">
        <v>4716</v>
      </c>
      <c r="AO91" s="241"/>
      <c r="AP91" s="241"/>
      <c r="AQ91" s="241"/>
      <c r="AR91" s="241"/>
      <c r="AS91" s="241"/>
      <c r="AT91" s="241" t="s">
        <v>306</v>
      </c>
      <c r="AU91" s="241" t="s">
        <v>306</v>
      </c>
      <c r="AV91" s="241" t="s">
        <v>306</v>
      </c>
      <c r="AW91" s="241" t="s">
        <v>306</v>
      </c>
      <c r="AX91" s="241">
        <f t="shared" si="11"/>
        <v>0</v>
      </c>
      <c r="AY91" s="241" t="str">
        <f t="shared" si="12"/>
        <v>TK/0</v>
      </c>
      <c r="AZ91" s="241"/>
      <c r="BA91" s="237"/>
      <c r="BB91" s="241" t="s">
        <v>161</v>
      </c>
      <c r="BC91" s="241" t="s">
        <v>349</v>
      </c>
      <c r="BD91" s="241" t="s">
        <v>515</v>
      </c>
      <c r="BE91" s="241" t="s">
        <v>1274</v>
      </c>
      <c r="BF91" s="241">
        <v>2016</v>
      </c>
      <c r="BG91" s="241" t="s">
        <v>475</v>
      </c>
      <c r="BH91" s="241" t="s">
        <v>515</v>
      </c>
      <c r="BI91" s="241" t="s">
        <v>1274</v>
      </c>
      <c r="BJ91" s="241">
        <v>2016</v>
      </c>
      <c r="BK91" s="247"/>
      <c r="BL91" s="247"/>
      <c r="BM91" s="241" t="s">
        <v>339</v>
      </c>
      <c r="BN91" s="241">
        <v>31</v>
      </c>
      <c r="BO91" s="241">
        <v>41</v>
      </c>
      <c r="BP91" s="244">
        <v>44293</v>
      </c>
      <c r="BQ91" s="244">
        <v>44322</v>
      </c>
      <c r="BR91" s="244">
        <v>44674</v>
      </c>
      <c r="BS91" s="244"/>
      <c r="BT91" s="241">
        <v>43467</v>
      </c>
      <c r="BU91" s="241">
        <v>43830</v>
      </c>
      <c r="BV91" s="241" t="s">
        <v>1464</v>
      </c>
      <c r="BW91" s="241" t="s">
        <v>1465</v>
      </c>
      <c r="BX91" s="241"/>
      <c r="BY91" s="241"/>
      <c r="BZ91" s="241"/>
      <c r="CA91" s="241"/>
      <c r="CB91" s="241"/>
      <c r="CC91" s="241"/>
      <c r="CD91" s="241"/>
      <c r="CE91" s="241" t="e">
        <f>VLOOKUP(D91,[1]Sertifikasi!$B$4:$I$19,8,0)</f>
        <v>#N/A</v>
      </c>
      <c r="CF91" s="13"/>
      <c r="CG91" s="13"/>
      <c r="CH91" s="13"/>
    </row>
    <row r="92" spans="1:86" ht="11.25" customHeight="1" x14ac:dyDescent="0.2">
      <c r="A92" s="13"/>
      <c r="B92" s="238">
        <v>88</v>
      </c>
      <c r="C92" s="241" t="e">
        <f t="shared" ca="1" si="15"/>
        <v>#NUM!</v>
      </c>
      <c r="D92" s="237" t="s">
        <v>1466</v>
      </c>
      <c r="E92" s="239">
        <v>642001031</v>
      </c>
      <c r="F92" s="237">
        <v>1710003988311</v>
      </c>
      <c r="G92" s="240"/>
      <c r="H92" s="241" t="s">
        <v>217</v>
      </c>
      <c r="I92" s="241" t="s">
        <v>217</v>
      </c>
      <c r="J92" s="242">
        <v>42919</v>
      </c>
      <c r="K92" s="241"/>
      <c r="L92" s="241"/>
      <c r="M92" s="241" t="str">
        <f t="shared" si="14"/>
        <v>PKWT</v>
      </c>
      <c r="N92" s="241" t="s">
        <v>187</v>
      </c>
      <c r="O92" s="241"/>
      <c r="P92" s="243">
        <v>45657</v>
      </c>
      <c r="Q92" s="241"/>
      <c r="R92" s="241" t="s">
        <v>206</v>
      </c>
      <c r="S92" s="241" t="s">
        <v>6863</v>
      </c>
      <c r="T92" s="241" t="s">
        <v>312</v>
      </c>
      <c r="U92" s="241" t="s">
        <v>24</v>
      </c>
      <c r="V92" s="241" t="s">
        <v>443</v>
      </c>
      <c r="W92" s="241" t="s">
        <v>175</v>
      </c>
      <c r="X92" s="241" t="s">
        <v>121</v>
      </c>
      <c r="Y92" s="241" t="s">
        <v>313</v>
      </c>
      <c r="Z92" s="241"/>
      <c r="AA92" s="241" t="s">
        <v>337</v>
      </c>
      <c r="AB92" s="241" t="s">
        <v>314</v>
      </c>
      <c r="AC92" s="241" t="s">
        <v>217</v>
      </c>
      <c r="AD92" s="245">
        <v>35295</v>
      </c>
      <c r="AE92" s="241">
        <f t="shared" ca="1" si="10"/>
        <v>29</v>
      </c>
      <c r="AF92" s="246" t="s">
        <v>1467</v>
      </c>
      <c r="AG92" s="241" t="s">
        <v>1468</v>
      </c>
      <c r="AH92" s="240" t="s">
        <v>1469</v>
      </c>
      <c r="AI92" s="240"/>
      <c r="AJ92" s="240"/>
      <c r="AK92" s="241" t="s">
        <v>1470</v>
      </c>
      <c r="AL92" s="246" t="s">
        <v>1471</v>
      </c>
      <c r="AM92" s="246">
        <v>18024053284</v>
      </c>
      <c r="AN92" s="241" t="s">
        <v>4733</v>
      </c>
      <c r="AO92" s="241"/>
      <c r="AP92" s="241"/>
      <c r="AQ92" s="241"/>
      <c r="AR92" s="241"/>
      <c r="AS92" s="241"/>
      <c r="AT92" s="241" t="s">
        <v>306</v>
      </c>
      <c r="AU92" s="241" t="s">
        <v>306</v>
      </c>
      <c r="AV92" s="241" t="s">
        <v>306</v>
      </c>
      <c r="AW92" s="241" t="s">
        <v>306</v>
      </c>
      <c r="AX92" s="241">
        <f t="shared" si="11"/>
        <v>0</v>
      </c>
      <c r="AY92" s="241" t="str">
        <f t="shared" si="12"/>
        <v>K/0</v>
      </c>
      <c r="AZ92" s="241"/>
      <c r="BA92" s="237"/>
      <c r="BB92" s="241" t="s">
        <v>161</v>
      </c>
      <c r="BC92" s="241" t="s">
        <v>349</v>
      </c>
      <c r="BD92" s="241" t="s">
        <v>515</v>
      </c>
      <c r="BE92" s="241" t="s">
        <v>1472</v>
      </c>
      <c r="BF92" s="241">
        <v>2016</v>
      </c>
      <c r="BG92" s="241" t="s">
        <v>475</v>
      </c>
      <c r="BH92" s="241" t="s">
        <v>515</v>
      </c>
      <c r="BI92" s="241" t="s">
        <v>1472</v>
      </c>
      <c r="BJ92" s="241">
        <v>2016</v>
      </c>
      <c r="BK92" s="247"/>
      <c r="BL92" s="247"/>
      <c r="BM92" s="241" t="s">
        <v>360</v>
      </c>
      <c r="BN92" s="241">
        <v>30</v>
      </c>
      <c r="BO92" s="241">
        <v>43</v>
      </c>
      <c r="BP92" s="244">
        <v>44293</v>
      </c>
      <c r="BQ92" s="244">
        <v>44322</v>
      </c>
      <c r="BR92" s="244"/>
      <c r="BS92" s="244"/>
      <c r="BT92" s="241">
        <v>43467</v>
      </c>
      <c r="BU92" s="241">
        <v>43830</v>
      </c>
      <c r="BV92" s="241" t="s">
        <v>1473</v>
      </c>
      <c r="BW92" s="241" t="s">
        <v>1474</v>
      </c>
      <c r="BX92" s="241"/>
      <c r="BY92" s="241"/>
      <c r="BZ92" s="241"/>
      <c r="CA92" s="241"/>
      <c r="CB92" s="241"/>
      <c r="CC92" s="241"/>
      <c r="CD92" s="241"/>
      <c r="CE92" s="241" t="e">
        <f>VLOOKUP(D92,[1]Sertifikasi!$B$4:$I$19,8,0)</f>
        <v>#N/A</v>
      </c>
      <c r="CF92" s="13"/>
      <c r="CG92" s="13"/>
      <c r="CH92" s="13"/>
    </row>
    <row r="93" spans="1:86" ht="11.25" customHeight="1" x14ac:dyDescent="0.2">
      <c r="A93" s="13"/>
      <c r="B93" s="238">
        <v>89</v>
      </c>
      <c r="C93" s="248" t="s">
        <v>292</v>
      </c>
      <c r="D93" s="237" t="s">
        <v>1475</v>
      </c>
      <c r="E93" s="239">
        <v>972000053</v>
      </c>
      <c r="F93" s="237">
        <v>1710003987792</v>
      </c>
      <c r="G93" s="240"/>
      <c r="H93" s="249" t="s">
        <v>217</v>
      </c>
      <c r="I93" s="241" t="s">
        <v>217</v>
      </c>
      <c r="J93" s="242">
        <v>42919</v>
      </c>
      <c r="K93" s="241"/>
      <c r="L93" s="241"/>
      <c r="M93" s="241" t="str">
        <f t="shared" si="14"/>
        <v>ORGANIK IMSS</v>
      </c>
      <c r="N93" s="241" t="s">
        <v>187</v>
      </c>
      <c r="O93" s="241" t="s">
        <v>777</v>
      </c>
      <c r="P93" s="243">
        <v>43899</v>
      </c>
      <c r="Q93" s="244"/>
      <c r="R93" s="241" t="s">
        <v>139</v>
      </c>
      <c r="S93" s="241" t="s">
        <v>6863</v>
      </c>
      <c r="T93" s="241" t="s">
        <v>296</v>
      </c>
      <c r="U93" s="241" t="s">
        <v>187</v>
      </c>
      <c r="V93" s="241" t="s">
        <v>65</v>
      </c>
      <c r="W93" s="241" t="s">
        <v>65</v>
      </c>
      <c r="X93" s="241" t="s">
        <v>121</v>
      </c>
      <c r="Y93" s="241" t="s">
        <v>313</v>
      </c>
      <c r="Z93" s="241" t="s">
        <v>462</v>
      </c>
      <c r="AA93" s="241"/>
      <c r="AB93" s="241" t="s">
        <v>132</v>
      </c>
      <c r="AC93" s="241" t="s">
        <v>217</v>
      </c>
      <c r="AD93" s="245">
        <v>33263</v>
      </c>
      <c r="AE93" s="241">
        <f t="shared" ca="1" si="10"/>
        <v>34</v>
      </c>
      <c r="AF93" s="246" t="s">
        <v>1476</v>
      </c>
      <c r="AG93" s="241" t="s">
        <v>1477</v>
      </c>
      <c r="AH93" s="240" t="s">
        <v>1478</v>
      </c>
      <c r="AI93" s="240"/>
      <c r="AJ93" s="240"/>
      <c r="AK93" s="241" t="s">
        <v>1479</v>
      </c>
      <c r="AL93" s="246" t="s">
        <v>1480</v>
      </c>
      <c r="AM93" s="246" t="s">
        <v>6854</v>
      </c>
      <c r="AN93" s="241" t="s">
        <v>4733</v>
      </c>
      <c r="AO93" s="241" t="s">
        <v>1481</v>
      </c>
      <c r="AP93" s="241" t="s">
        <v>1482</v>
      </c>
      <c r="AQ93" s="241"/>
      <c r="AR93" s="241"/>
      <c r="AS93" s="241"/>
      <c r="AT93" s="241" t="s">
        <v>1483</v>
      </c>
      <c r="AU93" s="241" t="s">
        <v>1484</v>
      </c>
      <c r="AV93" s="241" t="s">
        <v>1485</v>
      </c>
      <c r="AW93" s="241" t="s">
        <v>1486</v>
      </c>
      <c r="AX93" s="241">
        <f t="shared" si="11"/>
        <v>1</v>
      </c>
      <c r="AY93" s="241" t="str">
        <f t="shared" si="12"/>
        <v>K/1</v>
      </c>
      <c r="AZ93" s="241" t="s">
        <v>1487</v>
      </c>
      <c r="BA93" s="237">
        <v>940664816621000</v>
      </c>
      <c r="BB93" s="249" t="s">
        <v>161</v>
      </c>
      <c r="BC93" s="241" t="s">
        <v>70</v>
      </c>
      <c r="BD93" s="241" t="s">
        <v>87</v>
      </c>
      <c r="BE93" s="241" t="s">
        <v>72</v>
      </c>
      <c r="BF93" s="241">
        <v>2014</v>
      </c>
      <c r="BG93" s="241" t="s">
        <v>70</v>
      </c>
      <c r="BH93" s="241" t="s">
        <v>87</v>
      </c>
      <c r="BI93" s="241" t="s">
        <v>72</v>
      </c>
      <c r="BJ93" s="241">
        <v>2014</v>
      </c>
      <c r="BK93" s="247">
        <v>53395</v>
      </c>
      <c r="BL93" s="247">
        <v>53760</v>
      </c>
      <c r="BM93" s="242"/>
      <c r="BN93" s="241"/>
      <c r="BO93" s="241"/>
      <c r="BP93" s="244">
        <v>44259</v>
      </c>
      <c r="BQ93" s="244">
        <v>44304</v>
      </c>
      <c r="BR93" s="244">
        <v>44600</v>
      </c>
      <c r="BS93" s="244"/>
      <c r="BT93" s="241"/>
      <c r="BU93" s="241"/>
      <c r="BV93" s="241"/>
      <c r="BW93" s="241"/>
      <c r="BX93" s="241"/>
      <c r="BY93" s="241"/>
      <c r="BZ93" s="241"/>
      <c r="CA93" s="241"/>
      <c r="CB93" s="241"/>
      <c r="CC93" s="241"/>
      <c r="CD93" s="241"/>
      <c r="CE93" s="241" t="str">
        <f>VLOOKUP(D93,[1]Sertifikasi!$B$4:$I$19,8,0)</f>
        <v>Pembinaan Dan Sertifikasi Calon Ahli K3 Umum</v>
      </c>
      <c r="CF93" s="13"/>
      <c r="CG93" s="13"/>
      <c r="CH93" s="13"/>
    </row>
    <row r="94" spans="1:86" ht="11.25" customHeight="1" x14ac:dyDescent="0.2">
      <c r="A94" s="13"/>
      <c r="B94" s="238">
        <v>90</v>
      </c>
      <c r="C94" s="241" t="e">
        <f ca="1">DATEDIF($E$3,P94,"D")</f>
        <v>#NUM!</v>
      </c>
      <c r="D94" s="237" t="s">
        <v>1488</v>
      </c>
      <c r="E94" s="239">
        <v>642001034</v>
      </c>
      <c r="F94" s="237">
        <v>1710004040872</v>
      </c>
      <c r="G94" s="240"/>
      <c r="H94" s="249" t="s">
        <v>217</v>
      </c>
      <c r="I94" s="241" t="s">
        <v>311</v>
      </c>
      <c r="J94" s="242">
        <v>42919</v>
      </c>
      <c r="K94" s="241"/>
      <c r="L94" s="241"/>
      <c r="M94" s="241" t="str">
        <f t="shared" si="14"/>
        <v>PKWT</v>
      </c>
      <c r="N94" s="241" t="s">
        <v>187</v>
      </c>
      <c r="O94" s="241" t="s">
        <v>1489</v>
      </c>
      <c r="P94" s="243">
        <v>45657</v>
      </c>
      <c r="Q94" s="244"/>
      <c r="R94" s="241" t="s">
        <v>139</v>
      </c>
      <c r="S94" s="241" t="s">
        <v>6863</v>
      </c>
      <c r="T94" s="241" t="s">
        <v>296</v>
      </c>
      <c r="U94" s="241" t="s">
        <v>24</v>
      </c>
      <c r="V94" s="241" t="s">
        <v>443</v>
      </c>
      <c r="W94" s="241" t="s">
        <v>175</v>
      </c>
      <c r="X94" s="241" t="s">
        <v>121</v>
      </c>
      <c r="Y94" s="241" t="s">
        <v>313</v>
      </c>
      <c r="Z94" s="241"/>
      <c r="AA94" s="241"/>
      <c r="AB94" s="241" t="s">
        <v>132</v>
      </c>
      <c r="AC94" s="241" t="s">
        <v>1490</v>
      </c>
      <c r="AD94" s="245">
        <v>34574</v>
      </c>
      <c r="AE94" s="241">
        <f t="shared" ca="1" si="10"/>
        <v>31</v>
      </c>
      <c r="AF94" s="246" t="s">
        <v>1491</v>
      </c>
      <c r="AG94" s="241" t="s">
        <v>1492</v>
      </c>
      <c r="AH94" s="240" t="s">
        <v>1493</v>
      </c>
      <c r="AI94" s="240"/>
      <c r="AJ94" s="240"/>
      <c r="AK94" s="241" t="s">
        <v>1494</v>
      </c>
      <c r="AL94" s="246" t="s">
        <v>1495</v>
      </c>
      <c r="AM94" s="246">
        <v>17043907868</v>
      </c>
      <c r="AN94" s="241" t="s">
        <v>4733</v>
      </c>
      <c r="AO94" s="241" t="s">
        <v>1496</v>
      </c>
      <c r="AP94" s="241"/>
      <c r="AQ94" s="241"/>
      <c r="AR94" s="241"/>
      <c r="AS94" s="241"/>
      <c r="AT94" s="241" t="s">
        <v>1497</v>
      </c>
      <c r="AU94" s="241" t="s">
        <v>1498</v>
      </c>
      <c r="AV94" s="241" t="s">
        <v>1499</v>
      </c>
      <c r="AW94" s="241" t="s">
        <v>1500</v>
      </c>
      <c r="AX94" s="241">
        <f t="shared" si="11"/>
        <v>0</v>
      </c>
      <c r="AY94" s="241" t="str">
        <f t="shared" si="12"/>
        <v>K/0</v>
      </c>
      <c r="AZ94" s="241" t="s">
        <v>1501</v>
      </c>
      <c r="BA94" s="237" t="s">
        <v>1501</v>
      </c>
      <c r="BB94" s="249" t="s">
        <v>161</v>
      </c>
      <c r="BC94" s="241" t="s">
        <v>70</v>
      </c>
      <c r="BD94" s="241" t="s">
        <v>87</v>
      </c>
      <c r="BE94" s="241" t="s">
        <v>402</v>
      </c>
      <c r="BF94" s="241">
        <v>2016</v>
      </c>
      <c r="BG94" s="241" t="s">
        <v>70</v>
      </c>
      <c r="BH94" s="241" t="s">
        <v>87</v>
      </c>
      <c r="BI94" s="241" t="s">
        <v>402</v>
      </c>
      <c r="BJ94" s="241">
        <v>2016</v>
      </c>
      <c r="BK94" s="247"/>
      <c r="BL94" s="247"/>
      <c r="BM94" s="241" t="s">
        <v>351</v>
      </c>
      <c r="BN94" s="241">
        <v>38</v>
      </c>
      <c r="BO94" s="241">
        <v>42</v>
      </c>
      <c r="BP94" s="244">
        <v>44294</v>
      </c>
      <c r="BQ94" s="244">
        <v>44322</v>
      </c>
      <c r="BR94" s="244">
        <v>44601</v>
      </c>
      <c r="BS94" s="244"/>
      <c r="BT94" s="241"/>
      <c r="BU94" s="241"/>
      <c r="BV94" s="241"/>
      <c r="BW94" s="241"/>
      <c r="BX94" s="241"/>
      <c r="BY94" s="241"/>
      <c r="BZ94" s="241"/>
      <c r="CA94" s="241"/>
      <c r="CB94" s="241"/>
      <c r="CC94" s="241"/>
      <c r="CD94" s="241"/>
      <c r="CE94" s="241" t="e">
        <f>VLOOKUP(D94,[1]Sertifikasi!$B$4:$I$19,8,0)</f>
        <v>#N/A</v>
      </c>
      <c r="CF94" s="13"/>
      <c r="CG94" s="13"/>
      <c r="CH94" s="13"/>
    </row>
    <row r="95" spans="1:86" ht="11.25" customHeight="1" x14ac:dyDescent="0.2">
      <c r="A95" s="13"/>
      <c r="B95" s="238">
        <v>91</v>
      </c>
      <c r="C95" s="248" t="s">
        <v>292</v>
      </c>
      <c r="D95" s="237" t="s">
        <v>1502</v>
      </c>
      <c r="E95" s="239">
        <v>972000055</v>
      </c>
      <c r="F95" s="237">
        <v>1710003987768</v>
      </c>
      <c r="G95" s="240"/>
      <c r="H95" s="249" t="s">
        <v>217</v>
      </c>
      <c r="I95" s="241" t="s">
        <v>217</v>
      </c>
      <c r="J95" s="242">
        <v>42919</v>
      </c>
      <c r="K95" s="241"/>
      <c r="L95" s="241"/>
      <c r="M95" s="241" t="str">
        <f t="shared" si="14"/>
        <v>ORGANIK IMSS</v>
      </c>
      <c r="N95" s="241" t="s">
        <v>187</v>
      </c>
      <c r="O95" s="241" t="s">
        <v>777</v>
      </c>
      <c r="P95" s="243">
        <v>43899</v>
      </c>
      <c r="Q95" s="244"/>
      <c r="R95" s="241" t="s">
        <v>139</v>
      </c>
      <c r="S95" s="241" t="s">
        <v>6863</v>
      </c>
      <c r="T95" s="241" t="s">
        <v>296</v>
      </c>
      <c r="U95" s="241" t="s">
        <v>187</v>
      </c>
      <c r="V95" s="241" t="s">
        <v>65</v>
      </c>
      <c r="W95" s="241" t="s">
        <v>65</v>
      </c>
      <c r="X95" s="241" t="s">
        <v>121</v>
      </c>
      <c r="Y95" s="241" t="s">
        <v>313</v>
      </c>
      <c r="Z95" s="241"/>
      <c r="AA95" s="241"/>
      <c r="AB95" s="241" t="s">
        <v>132</v>
      </c>
      <c r="AC95" s="241" t="s">
        <v>217</v>
      </c>
      <c r="AD95" s="245">
        <v>34585</v>
      </c>
      <c r="AE95" s="241">
        <f t="shared" ca="1" si="10"/>
        <v>31</v>
      </c>
      <c r="AF95" s="246" t="s">
        <v>1503</v>
      </c>
      <c r="AG95" s="241" t="s">
        <v>1504</v>
      </c>
      <c r="AH95" s="240" t="s">
        <v>1505</v>
      </c>
      <c r="AI95" s="240"/>
      <c r="AJ95" s="240"/>
      <c r="AK95" s="250" t="s">
        <v>1506</v>
      </c>
      <c r="AL95" s="254" t="s">
        <v>1507</v>
      </c>
      <c r="AM95" s="289">
        <v>17043907876</v>
      </c>
      <c r="AN95" s="241" t="s">
        <v>4733</v>
      </c>
      <c r="AO95" s="241" t="s">
        <v>1508</v>
      </c>
      <c r="AP95" s="241" t="s">
        <v>1509</v>
      </c>
      <c r="AQ95" s="241"/>
      <c r="AR95" s="241"/>
      <c r="AS95" s="241"/>
      <c r="AT95" s="241" t="s">
        <v>306</v>
      </c>
      <c r="AU95" s="241" t="s">
        <v>306</v>
      </c>
      <c r="AV95" s="241" t="s">
        <v>306</v>
      </c>
      <c r="AW95" s="241" t="s">
        <v>306</v>
      </c>
      <c r="AX95" s="241">
        <f t="shared" si="11"/>
        <v>1</v>
      </c>
      <c r="AY95" s="241" t="str">
        <f t="shared" si="12"/>
        <v>K/1</v>
      </c>
      <c r="AZ95" s="241"/>
      <c r="BA95" s="237">
        <v>806947339621000</v>
      </c>
      <c r="BB95" s="249" t="s">
        <v>161</v>
      </c>
      <c r="BC95" s="241" t="s">
        <v>70</v>
      </c>
      <c r="BD95" s="241" t="s">
        <v>4502</v>
      </c>
      <c r="BE95" s="241" t="s">
        <v>72</v>
      </c>
      <c r="BF95" s="241">
        <v>2016</v>
      </c>
      <c r="BG95" s="241" t="s">
        <v>70</v>
      </c>
      <c r="BH95" s="241" t="s">
        <v>4502</v>
      </c>
      <c r="BI95" s="241" t="s">
        <v>72</v>
      </c>
      <c r="BJ95" s="241">
        <v>2016</v>
      </c>
      <c r="BK95" s="247">
        <v>54856</v>
      </c>
      <c r="BL95" s="247">
        <v>55221</v>
      </c>
      <c r="BM95" s="242"/>
      <c r="BN95" s="241">
        <v>29</v>
      </c>
      <c r="BO95" s="241">
        <v>42</v>
      </c>
      <c r="BP95" s="244">
        <v>44259</v>
      </c>
      <c r="BQ95" s="244">
        <v>44304</v>
      </c>
      <c r="BR95" s="244">
        <v>44588</v>
      </c>
      <c r="BS95" s="244"/>
      <c r="BT95" s="241"/>
      <c r="BU95" s="241"/>
      <c r="BV95" s="241"/>
      <c r="BW95" s="241"/>
      <c r="BX95" s="241"/>
      <c r="BY95" s="241"/>
      <c r="BZ95" s="241"/>
      <c r="CA95" s="241"/>
      <c r="CB95" s="241"/>
      <c r="CC95" s="241"/>
      <c r="CD95" s="241"/>
      <c r="CE95" s="241" t="e">
        <f>VLOOKUP(D95,[1]Sertifikasi!$B$4:$I$19,8,0)</f>
        <v>#N/A</v>
      </c>
      <c r="CF95" s="13"/>
      <c r="CG95" s="13"/>
      <c r="CH95" s="13"/>
    </row>
    <row r="96" spans="1:86" ht="11.25" customHeight="1" x14ac:dyDescent="0.2">
      <c r="A96" s="13"/>
      <c r="B96" s="238">
        <v>92</v>
      </c>
      <c r="C96" s="241" t="e">
        <f t="shared" ref="C96:C101" ca="1" si="16">DATEDIF($E$3,P96,"D")</f>
        <v>#NUM!</v>
      </c>
      <c r="D96" s="237" t="s">
        <v>1510</v>
      </c>
      <c r="E96" s="239">
        <v>642001021</v>
      </c>
      <c r="F96" s="237">
        <v>1710003987495</v>
      </c>
      <c r="G96" s="240"/>
      <c r="H96" s="241" t="s">
        <v>217</v>
      </c>
      <c r="I96" s="241" t="s">
        <v>1511</v>
      </c>
      <c r="J96" s="242">
        <v>43010</v>
      </c>
      <c r="K96" s="241"/>
      <c r="L96" s="241"/>
      <c r="M96" s="241" t="str">
        <f t="shared" si="14"/>
        <v>PKWT</v>
      </c>
      <c r="N96" s="241" t="s">
        <v>187</v>
      </c>
      <c r="O96" s="241"/>
      <c r="P96" s="243">
        <v>45657</v>
      </c>
      <c r="Q96" s="241"/>
      <c r="R96" s="241" t="s">
        <v>206</v>
      </c>
      <c r="S96" s="241" t="s">
        <v>6863</v>
      </c>
      <c r="T96" s="241" t="s">
        <v>312</v>
      </c>
      <c r="U96" s="241" t="s">
        <v>24</v>
      </c>
      <c r="V96" s="241" t="s">
        <v>204</v>
      </c>
      <c r="W96" s="241" t="s">
        <v>629</v>
      </c>
      <c r="X96" s="241" t="s">
        <v>121</v>
      </c>
      <c r="Y96" s="241" t="s">
        <v>313</v>
      </c>
      <c r="Z96" s="241" t="s">
        <v>1218</v>
      </c>
      <c r="AA96" s="241" t="s">
        <v>337</v>
      </c>
      <c r="AB96" s="241" t="s">
        <v>314</v>
      </c>
      <c r="AC96" s="241" t="s">
        <v>1511</v>
      </c>
      <c r="AD96" s="245">
        <v>35990</v>
      </c>
      <c r="AE96" s="241">
        <f t="shared" ca="1" si="10"/>
        <v>27</v>
      </c>
      <c r="AF96" s="246" t="s">
        <v>1513</v>
      </c>
      <c r="AG96" s="241" t="s">
        <v>1514</v>
      </c>
      <c r="AH96" s="240" t="s">
        <v>1515</v>
      </c>
      <c r="AI96" s="240"/>
      <c r="AJ96" s="240"/>
      <c r="AK96" s="241" t="s">
        <v>1516</v>
      </c>
      <c r="AL96" s="246" t="s">
        <v>1517</v>
      </c>
      <c r="AM96" s="246">
        <v>18024053243</v>
      </c>
      <c r="AN96" s="241" t="s">
        <v>4716</v>
      </c>
      <c r="AO96" s="241"/>
      <c r="AP96" s="241"/>
      <c r="AQ96" s="241"/>
      <c r="AR96" s="241"/>
      <c r="AS96" s="241"/>
      <c r="AT96" s="241" t="s">
        <v>1518</v>
      </c>
      <c r="AU96" s="241" t="s">
        <v>1211</v>
      </c>
      <c r="AV96" s="241" t="s">
        <v>306</v>
      </c>
      <c r="AW96" s="241" t="s">
        <v>306</v>
      </c>
      <c r="AX96" s="241">
        <f t="shared" si="11"/>
        <v>0</v>
      </c>
      <c r="AY96" s="241" t="str">
        <f t="shared" si="12"/>
        <v>TK/0</v>
      </c>
      <c r="AZ96" s="241" t="s">
        <v>1519</v>
      </c>
      <c r="BA96" s="237" t="s">
        <v>1519</v>
      </c>
      <c r="BB96" s="241" t="s">
        <v>161</v>
      </c>
      <c r="BC96" s="241" t="s">
        <v>349</v>
      </c>
      <c r="BD96" s="241" t="s">
        <v>515</v>
      </c>
      <c r="BE96" s="241" t="s">
        <v>1520</v>
      </c>
      <c r="BF96" s="241">
        <v>2017</v>
      </c>
      <c r="BG96" s="241" t="s">
        <v>475</v>
      </c>
      <c r="BH96" s="241" t="s">
        <v>515</v>
      </c>
      <c r="BI96" s="241" t="s">
        <v>1520</v>
      </c>
      <c r="BJ96" s="241">
        <v>2017</v>
      </c>
      <c r="BK96" s="247"/>
      <c r="BL96" s="247"/>
      <c r="BM96" s="241" t="s">
        <v>339</v>
      </c>
      <c r="BN96" s="241">
        <v>31</v>
      </c>
      <c r="BO96" s="241">
        <v>42</v>
      </c>
      <c r="BP96" s="244"/>
      <c r="BQ96" s="244"/>
      <c r="BR96" s="244">
        <v>44674</v>
      </c>
      <c r="BS96" s="244"/>
      <c r="BT96" s="241">
        <v>43467</v>
      </c>
      <c r="BU96" s="241">
        <v>43830</v>
      </c>
      <c r="BV96" s="241" t="s">
        <v>1521</v>
      </c>
      <c r="BW96" s="241" t="s">
        <v>1522</v>
      </c>
      <c r="BX96" s="241"/>
      <c r="BY96" s="241"/>
      <c r="BZ96" s="241"/>
      <c r="CA96" s="241"/>
      <c r="CB96" s="241"/>
      <c r="CC96" s="241"/>
      <c r="CD96" s="241"/>
      <c r="CE96" s="241" t="e">
        <f>VLOOKUP(D96,[1]Sertifikasi!$B$4:$I$19,8,0)</f>
        <v>#N/A</v>
      </c>
      <c r="CF96" s="13"/>
      <c r="CG96" s="13"/>
      <c r="CH96" s="13"/>
    </row>
    <row r="97" spans="1:86" ht="11.25" customHeight="1" x14ac:dyDescent="0.2">
      <c r="A97" s="13"/>
      <c r="B97" s="238">
        <v>93</v>
      </c>
      <c r="C97" s="241" t="e">
        <f t="shared" ca="1" si="16"/>
        <v>#NUM!</v>
      </c>
      <c r="D97" s="237" t="s">
        <v>1523</v>
      </c>
      <c r="E97" s="239">
        <v>641801134</v>
      </c>
      <c r="F97" s="237">
        <v>1710004029354</v>
      </c>
      <c r="G97" s="240"/>
      <c r="H97" s="241" t="s">
        <v>24</v>
      </c>
      <c r="I97" s="241" t="s">
        <v>24</v>
      </c>
      <c r="J97" s="242">
        <v>43115</v>
      </c>
      <c r="K97" s="241"/>
      <c r="L97" s="241"/>
      <c r="M97" s="241" t="str">
        <f t="shared" si="14"/>
        <v>PKWT</v>
      </c>
      <c r="N97" s="241" t="s">
        <v>187</v>
      </c>
      <c r="O97" s="241"/>
      <c r="P97" s="243">
        <v>45657</v>
      </c>
      <c r="Q97" s="241"/>
      <c r="R97" s="241" t="s">
        <v>206</v>
      </c>
      <c r="S97" s="241" t="s">
        <v>6863</v>
      </c>
      <c r="T97" s="241" t="s">
        <v>312</v>
      </c>
      <c r="U97" s="241" t="s">
        <v>24</v>
      </c>
      <c r="V97" s="241" t="s">
        <v>204</v>
      </c>
      <c r="W97" s="241" t="s">
        <v>6183</v>
      </c>
      <c r="X97" s="241" t="s">
        <v>121</v>
      </c>
      <c r="Y97" s="241" t="s">
        <v>313</v>
      </c>
      <c r="Z97" s="241" t="s">
        <v>462</v>
      </c>
      <c r="AA97" s="241" t="s">
        <v>337</v>
      </c>
      <c r="AB97" s="241" t="s">
        <v>314</v>
      </c>
      <c r="AC97" s="241" t="s">
        <v>1524</v>
      </c>
      <c r="AD97" s="245">
        <v>35471</v>
      </c>
      <c r="AE97" s="241">
        <f t="shared" ca="1" si="10"/>
        <v>28</v>
      </c>
      <c r="AF97" s="246" t="s">
        <v>1525</v>
      </c>
      <c r="AG97" s="241" t="s">
        <v>1526</v>
      </c>
      <c r="AH97" s="240" t="s">
        <v>1527</v>
      </c>
      <c r="AI97" s="240"/>
      <c r="AJ97" s="240"/>
      <c r="AK97" s="241" t="s">
        <v>1528</v>
      </c>
      <c r="AL97" s="246" t="s">
        <v>1529</v>
      </c>
      <c r="AM97" s="246" t="s">
        <v>6853</v>
      </c>
      <c r="AN97" s="241" t="s">
        <v>4716</v>
      </c>
      <c r="AO97" s="241"/>
      <c r="AP97" s="241"/>
      <c r="AQ97" s="241"/>
      <c r="AR97" s="241"/>
      <c r="AS97" s="241"/>
      <c r="AT97" s="241" t="s">
        <v>306</v>
      </c>
      <c r="AU97" s="241" t="s">
        <v>306</v>
      </c>
      <c r="AV97" s="241" t="s">
        <v>306</v>
      </c>
      <c r="AW97" s="241" t="s">
        <v>306</v>
      </c>
      <c r="AX97" s="241">
        <f t="shared" si="11"/>
        <v>0</v>
      </c>
      <c r="AY97" s="241" t="str">
        <f t="shared" si="12"/>
        <v>TK/0</v>
      </c>
      <c r="AZ97" s="241" t="s">
        <v>1530</v>
      </c>
      <c r="BA97" s="237" t="s">
        <v>1530</v>
      </c>
      <c r="BB97" s="241" t="s">
        <v>161</v>
      </c>
      <c r="BC97" s="241" t="s">
        <v>349</v>
      </c>
      <c r="BD97" s="241" t="s">
        <v>87</v>
      </c>
      <c r="BE97" s="241" t="s">
        <v>1531</v>
      </c>
      <c r="BF97" s="241">
        <v>2016</v>
      </c>
      <c r="BG97" s="241" t="s">
        <v>475</v>
      </c>
      <c r="BH97" s="241" t="s">
        <v>87</v>
      </c>
      <c r="BI97" s="241" t="s">
        <v>1531</v>
      </c>
      <c r="BJ97" s="241">
        <v>2016</v>
      </c>
      <c r="BK97" s="247"/>
      <c r="BL97" s="247"/>
      <c r="BM97" s="241" t="s">
        <v>360</v>
      </c>
      <c r="BN97" s="241">
        <v>30</v>
      </c>
      <c r="BO97" s="241">
        <v>40</v>
      </c>
      <c r="BP97" s="244"/>
      <c r="BQ97" s="244"/>
      <c r="BR97" s="244"/>
      <c r="BS97" s="244"/>
      <c r="BT97" s="241"/>
      <c r="BU97" s="241"/>
      <c r="BV97" s="241"/>
      <c r="BW97" s="241"/>
      <c r="BX97" s="241"/>
      <c r="BY97" s="241"/>
      <c r="BZ97" s="241"/>
      <c r="CA97" s="241"/>
      <c r="CB97" s="241"/>
      <c r="CC97" s="241"/>
      <c r="CD97" s="241"/>
      <c r="CE97" s="241" t="e">
        <f>VLOOKUP(D97,[1]Sertifikasi!$B$4:$I$19,8,0)</f>
        <v>#N/A</v>
      </c>
      <c r="CF97" s="13"/>
      <c r="CG97" s="13"/>
      <c r="CH97" s="13"/>
    </row>
    <row r="98" spans="1:86" ht="11.25" customHeight="1" x14ac:dyDescent="0.2">
      <c r="A98" s="13"/>
      <c r="B98" s="238">
        <v>94</v>
      </c>
      <c r="C98" s="241" t="e">
        <f t="shared" ca="1" si="16"/>
        <v>#NUM!</v>
      </c>
      <c r="D98" s="237" t="s">
        <v>1532</v>
      </c>
      <c r="E98" s="239">
        <v>641801133</v>
      </c>
      <c r="F98" s="237">
        <v>1710003988360</v>
      </c>
      <c r="G98" s="240"/>
      <c r="H98" s="241" t="s">
        <v>24</v>
      </c>
      <c r="I98" s="241" t="s">
        <v>24</v>
      </c>
      <c r="J98" s="242">
        <v>43115</v>
      </c>
      <c r="K98" s="241"/>
      <c r="L98" s="241"/>
      <c r="M98" s="241" t="str">
        <f t="shared" si="14"/>
        <v>PKWT</v>
      </c>
      <c r="N98" s="241" t="s">
        <v>187</v>
      </c>
      <c r="O98" s="241"/>
      <c r="P98" s="243">
        <v>45657</v>
      </c>
      <c r="Q98" s="241"/>
      <c r="R98" s="241" t="s">
        <v>206</v>
      </c>
      <c r="S98" s="241" t="s">
        <v>6863</v>
      </c>
      <c r="T98" s="241" t="s">
        <v>312</v>
      </c>
      <c r="U98" s="241" t="s">
        <v>24</v>
      </c>
      <c r="V98" s="241" t="s">
        <v>443</v>
      </c>
      <c r="W98" s="241" t="s">
        <v>175</v>
      </c>
      <c r="X98" s="241" t="s">
        <v>121</v>
      </c>
      <c r="Y98" s="241" t="s">
        <v>313</v>
      </c>
      <c r="Z98" s="241"/>
      <c r="AA98" s="241" t="s">
        <v>337</v>
      </c>
      <c r="AB98" s="241" t="s">
        <v>314</v>
      </c>
      <c r="AC98" s="241" t="s">
        <v>1533</v>
      </c>
      <c r="AD98" s="245">
        <v>34231</v>
      </c>
      <c r="AE98" s="241">
        <f t="shared" ca="1" si="10"/>
        <v>32</v>
      </c>
      <c r="AF98" s="246" t="s">
        <v>1534</v>
      </c>
      <c r="AG98" s="241" t="s">
        <v>1535</v>
      </c>
      <c r="AH98" s="240" t="s">
        <v>1536</v>
      </c>
      <c r="AI98" s="240"/>
      <c r="AJ98" s="240"/>
      <c r="AK98" s="241" t="s">
        <v>1537</v>
      </c>
      <c r="AL98" s="246" t="s">
        <v>1538</v>
      </c>
      <c r="AM98" s="246">
        <v>18035613365</v>
      </c>
      <c r="AN98" s="241" t="s">
        <v>4733</v>
      </c>
      <c r="AO98" s="241" t="s">
        <v>1539</v>
      </c>
      <c r="AP98" s="241"/>
      <c r="AQ98" s="241"/>
      <c r="AR98" s="241"/>
      <c r="AS98" s="241"/>
      <c r="AT98" s="241" t="s">
        <v>1540</v>
      </c>
      <c r="AU98" s="241" t="s">
        <v>1541</v>
      </c>
      <c r="AV98" s="241" t="s">
        <v>1542</v>
      </c>
      <c r="AW98" s="241" t="s">
        <v>1543</v>
      </c>
      <c r="AX98" s="241">
        <f t="shared" si="11"/>
        <v>0</v>
      </c>
      <c r="AY98" s="241" t="str">
        <f t="shared" si="12"/>
        <v>K/0</v>
      </c>
      <c r="AZ98" s="241" t="s">
        <v>1544</v>
      </c>
      <c r="BA98" s="237" t="s">
        <v>1544</v>
      </c>
      <c r="BB98" s="241" t="s">
        <v>161</v>
      </c>
      <c r="BC98" s="241" t="s">
        <v>75</v>
      </c>
      <c r="BD98" s="241" t="s">
        <v>87</v>
      </c>
      <c r="BE98" s="241" t="s">
        <v>1545</v>
      </c>
      <c r="BF98" s="241">
        <v>2017</v>
      </c>
      <c r="BG98" s="241" t="s">
        <v>75</v>
      </c>
      <c r="BH98" s="241" t="s">
        <v>87</v>
      </c>
      <c r="BI98" s="241" t="s">
        <v>1545</v>
      </c>
      <c r="BJ98" s="241">
        <v>2017</v>
      </c>
      <c r="BK98" s="247"/>
      <c r="BL98" s="247"/>
      <c r="BM98" s="241" t="s">
        <v>351</v>
      </c>
      <c r="BN98" s="241">
        <v>31</v>
      </c>
      <c r="BO98" s="241">
        <v>40</v>
      </c>
      <c r="BP98" s="244"/>
      <c r="BQ98" s="244"/>
      <c r="BR98" s="244"/>
      <c r="BS98" s="244"/>
      <c r="BT98" s="241"/>
      <c r="BU98" s="241"/>
      <c r="BV98" s="241"/>
      <c r="BW98" s="241"/>
      <c r="BX98" s="241"/>
      <c r="BY98" s="241"/>
      <c r="BZ98" s="241"/>
      <c r="CA98" s="241"/>
      <c r="CB98" s="241"/>
      <c r="CC98" s="241"/>
      <c r="CD98" s="241"/>
      <c r="CE98" s="241" t="e">
        <f>VLOOKUP(D98,[1]Sertifikasi!$B$4:$I$19,8,0)</f>
        <v>#N/A</v>
      </c>
      <c r="CF98" s="13"/>
      <c r="CG98" s="13"/>
      <c r="CH98" s="13"/>
    </row>
    <row r="99" spans="1:86" ht="11.25" customHeight="1" x14ac:dyDescent="0.2">
      <c r="A99" s="13"/>
      <c r="B99" s="238">
        <v>95</v>
      </c>
      <c r="C99" s="241" t="e">
        <f t="shared" ca="1" si="16"/>
        <v>#NUM!</v>
      </c>
      <c r="D99" s="237" t="s">
        <v>1546</v>
      </c>
      <c r="E99" s="239">
        <v>641801137</v>
      </c>
      <c r="F99" s="237">
        <v>1710003988238</v>
      </c>
      <c r="G99" s="240"/>
      <c r="H99" s="241" t="s">
        <v>24</v>
      </c>
      <c r="I99" s="241" t="s">
        <v>24</v>
      </c>
      <c r="J99" s="242">
        <v>43115</v>
      </c>
      <c r="K99" s="241"/>
      <c r="L99" s="241"/>
      <c r="M99" s="241" t="str">
        <f t="shared" si="14"/>
        <v>PKWT</v>
      </c>
      <c r="N99" s="241" t="s">
        <v>187</v>
      </c>
      <c r="O99" s="241"/>
      <c r="P99" s="243">
        <v>45657</v>
      </c>
      <c r="Q99" s="241"/>
      <c r="R99" s="241" t="s">
        <v>206</v>
      </c>
      <c r="S99" s="241" t="s">
        <v>6863</v>
      </c>
      <c r="T99" s="241" t="s">
        <v>312</v>
      </c>
      <c r="U99" s="241" t="s">
        <v>24</v>
      </c>
      <c r="V99" s="241" t="s">
        <v>443</v>
      </c>
      <c r="W99" s="241" t="s">
        <v>175</v>
      </c>
      <c r="X99" s="241" t="s">
        <v>121</v>
      </c>
      <c r="Y99" s="241" t="s">
        <v>313</v>
      </c>
      <c r="Z99" s="241" t="s">
        <v>462</v>
      </c>
      <c r="AA99" s="241" t="s">
        <v>337</v>
      </c>
      <c r="AB99" s="241" t="s">
        <v>314</v>
      </c>
      <c r="AC99" s="241" t="s">
        <v>24</v>
      </c>
      <c r="AD99" s="245">
        <v>33012</v>
      </c>
      <c r="AE99" s="241">
        <f t="shared" ca="1" si="10"/>
        <v>35</v>
      </c>
      <c r="AF99" s="246" t="s">
        <v>1547</v>
      </c>
      <c r="AG99" s="241" t="s">
        <v>1548</v>
      </c>
      <c r="AH99" s="240" t="s">
        <v>1549</v>
      </c>
      <c r="AI99" s="240"/>
      <c r="AJ99" s="240"/>
      <c r="AK99" s="241" t="s">
        <v>1550</v>
      </c>
      <c r="AL99" s="246" t="s">
        <v>1551</v>
      </c>
      <c r="AM99" s="246">
        <v>15048999781</v>
      </c>
      <c r="AN99" s="241" t="s">
        <v>4733</v>
      </c>
      <c r="AO99" s="241" t="s">
        <v>1552</v>
      </c>
      <c r="AP99" s="241"/>
      <c r="AQ99" s="241"/>
      <c r="AR99" s="241"/>
      <c r="AS99" s="241"/>
      <c r="AT99" s="241" t="s">
        <v>306</v>
      </c>
      <c r="AU99" s="241" t="s">
        <v>306</v>
      </c>
      <c r="AV99" s="241" t="s">
        <v>306</v>
      </c>
      <c r="AW99" s="241" t="s">
        <v>306</v>
      </c>
      <c r="AX99" s="241">
        <f t="shared" si="11"/>
        <v>0</v>
      </c>
      <c r="AY99" s="241" t="str">
        <f t="shared" si="12"/>
        <v>K/0</v>
      </c>
      <c r="AZ99" s="241"/>
      <c r="BA99" s="237"/>
      <c r="BB99" s="241" t="s">
        <v>161</v>
      </c>
      <c r="BC99" s="241" t="s">
        <v>75</v>
      </c>
      <c r="BD99" s="241" t="s">
        <v>91</v>
      </c>
      <c r="BE99" s="241" t="s">
        <v>1553</v>
      </c>
      <c r="BF99" s="241">
        <v>2014</v>
      </c>
      <c r="BG99" s="241" t="s">
        <v>75</v>
      </c>
      <c r="BH99" s="241" t="s">
        <v>91</v>
      </c>
      <c r="BI99" s="241" t="s">
        <v>1553</v>
      </c>
      <c r="BJ99" s="241">
        <v>2014</v>
      </c>
      <c r="BK99" s="247"/>
      <c r="BL99" s="247"/>
      <c r="BM99" s="241" t="s">
        <v>351</v>
      </c>
      <c r="BN99" s="241">
        <v>35</v>
      </c>
      <c r="BO99" s="241">
        <v>42</v>
      </c>
      <c r="BP99" s="244"/>
      <c r="BQ99" s="244"/>
      <c r="BR99" s="244">
        <v>44649</v>
      </c>
      <c r="BS99" s="244"/>
      <c r="BT99" s="241"/>
      <c r="BU99" s="241"/>
      <c r="BV99" s="241"/>
      <c r="BW99" s="241"/>
      <c r="BX99" s="241"/>
      <c r="BY99" s="241"/>
      <c r="BZ99" s="241"/>
      <c r="CA99" s="241"/>
      <c r="CB99" s="241"/>
      <c r="CC99" s="241"/>
      <c r="CD99" s="241"/>
      <c r="CE99" s="241" t="e">
        <f>VLOOKUP(D99,[1]Sertifikasi!$B$4:$I$19,8,0)</f>
        <v>#N/A</v>
      </c>
      <c r="CF99" s="13"/>
      <c r="CG99" s="13"/>
      <c r="CH99" s="13"/>
    </row>
    <row r="100" spans="1:86" ht="11.25" customHeight="1" x14ac:dyDescent="0.2">
      <c r="A100" s="13"/>
      <c r="B100" s="238">
        <v>96</v>
      </c>
      <c r="C100" s="241" t="e">
        <f t="shared" ca="1" si="16"/>
        <v>#NUM!</v>
      </c>
      <c r="D100" s="237" t="s">
        <v>1554</v>
      </c>
      <c r="E100" s="239">
        <v>641801140</v>
      </c>
      <c r="F100" s="237">
        <v>1710004055417</v>
      </c>
      <c r="G100" s="240"/>
      <c r="H100" s="241" t="s">
        <v>24</v>
      </c>
      <c r="I100" s="241" t="s">
        <v>24</v>
      </c>
      <c r="J100" s="242">
        <v>43160</v>
      </c>
      <c r="K100" s="241"/>
      <c r="L100" s="241"/>
      <c r="M100" s="241" t="str">
        <f t="shared" si="14"/>
        <v>PKWT</v>
      </c>
      <c r="N100" s="241" t="s">
        <v>187</v>
      </c>
      <c r="O100" s="241"/>
      <c r="P100" s="243">
        <v>45657</v>
      </c>
      <c r="Q100" s="241"/>
      <c r="R100" s="241" t="s">
        <v>206</v>
      </c>
      <c r="S100" s="241" t="s">
        <v>6863</v>
      </c>
      <c r="T100" s="241" t="s">
        <v>312</v>
      </c>
      <c r="U100" s="241" t="s">
        <v>24</v>
      </c>
      <c r="V100" s="241" t="s">
        <v>443</v>
      </c>
      <c r="W100" s="241" t="s">
        <v>175</v>
      </c>
      <c r="X100" s="241" t="s">
        <v>121</v>
      </c>
      <c r="Y100" s="241" t="s">
        <v>313</v>
      </c>
      <c r="Z100" s="241" t="s">
        <v>462</v>
      </c>
      <c r="AA100" s="241" t="s">
        <v>337</v>
      </c>
      <c r="AB100" s="241" t="s">
        <v>314</v>
      </c>
      <c r="AC100" s="241" t="s">
        <v>1555</v>
      </c>
      <c r="AD100" s="245">
        <v>28769</v>
      </c>
      <c r="AE100" s="241">
        <f t="shared" ca="1" si="10"/>
        <v>46</v>
      </c>
      <c r="AF100" s="246" t="s">
        <v>1556</v>
      </c>
      <c r="AG100" s="241" t="s">
        <v>1557</v>
      </c>
      <c r="AH100" s="240" t="s">
        <v>1558</v>
      </c>
      <c r="AI100" s="240"/>
      <c r="AJ100" s="240"/>
      <c r="AK100" s="241" t="s">
        <v>1559</v>
      </c>
      <c r="AL100" s="246" t="s">
        <v>1560</v>
      </c>
      <c r="AM100" s="246">
        <v>18035613423</v>
      </c>
      <c r="AN100" s="241" t="s">
        <v>4733</v>
      </c>
      <c r="AO100" s="241" t="s">
        <v>1561</v>
      </c>
      <c r="AP100" s="241" t="s">
        <v>1562</v>
      </c>
      <c r="AQ100" s="241" t="s">
        <v>1563</v>
      </c>
      <c r="AR100" s="241"/>
      <c r="AS100" s="241"/>
      <c r="AT100" s="241" t="s">
        <v>1564</v>
      </c>
      <c r="AU100" s="241" t="s">
        <v>1565</v>
      </c>
      <c r="AV100" s="241" t="s">
        <v>1566</v>
      </c>
      <c r="AW100" s="241" t="s">
        <v>1567</v>
      </c>
      <c r="AX100" s="241">
        <f t="shared" si="11"/>
        <v>2</v>
      </c>
      <c r="AY100" s="241" t="str">
        <f t="shared" si="12"/>
        <v>K/2</v>
      </c>
      <c r="AZ100" s="241" t="s">
        <v>1568</v>
      </c>
      <c r="BA100" s="237" t="s">
        <v>1568</v>
      </c>
      <c r="BB100" s="241" t="s">
        <v>161</v>
      </c>
      <c r="BC100" s="241" t="s">
        <v>349</v>
      </c>
      <c r="BD100" s="241" t="s">
        <v>91</v>
      </c>
      <c r="BE100" s="241" t="s">
        <v>1569</v>
      </c>
      <c r="BF100" s="241">
        <v>1998</v>
      </c>
      <c r="BG100" s="241" t="s">
        <v>475</v>
      </c>
      <c r="BH100" s="241" t="s">
        <v>91</v>
      </c>
      <c r="BI100" s="241" t="s">
        <v>1569</v>
      </c>
      <c r="BJ100" s="241">
        <v>1998</v>
      </c>
      <c r="BK100" s="247"/>
      <c r="BL100" s="247"/>
      <c r="BM100" s="241" t="s">
        <v>360</v>
      </c>
      <c r="BN100" s="241">
        <v>31</v>
      </c>
      <c r="BO100" s="241">
        <v>40</v>
      </c>
      <c r="BP100" s="244"/>
      <c r="BQ100" s="244">
        <v>44314</v>
      </c>
      <c r="BR100" s="244"/>
      <c r="BS100" s="244"/>
      <c r="BT100" s="241"/>
      <c r="BU100" s="241"/>
      <c r="BV100" s="241"/>
      <c r="BW100" s="241"/>
      <c r="BX100" s="241"/>
      <c r="BY100" s="241"/>
      <c r="BZ100" s="241"/>
      <c r="CA100" s="241"/>
      <c r="CB100" s="241"/>
      <c r="CC100" s="241"/>
      <c r="CD100" s="241"/>
      <c r="CE100" s="241" t="e">
        <f>VLOOKUP(D100,[1]Sertifikasi!$B$4:$I$19,8,0)</f>
        <v>#N/A</v>
      </c>
      <c r="CF100" s="13"/>
      <c r="CG100" s="13"/>
      <c r="CH100" s="13"/>
    </row>
    <row r="101" spans="1:86" ht="11.25" customHeight="1" x14ac:dyDescent="0.2">
      <c r="A101" s="13"/>
      <c r="B101" s="238">
        <v>97</v>
      </c>
      <c r="C101" s="241" t="e">
        <f t="shared" ca="1" si="16"/>
        <v>#NUM!</v>
      </c>
      <c r="D101" s="237" t="s">
        <v>1570</v>
      </c>
      <c r="E101" s="239">
        <v>641801141</v>
      </c>
      <c r="F101" s="237">
        <v>1710003988162</v>
      </c>
      <c r="G101" s="240"/>
      <c r="H101" s="241" t="s">
        <v>24</v>
      </c>
      <c r="I101" s="241" t="s">
        <v>24</v>
      </c>
      <c r="J101" s="242">
        <v>43160</v>
      </c>
      <c r="K101" s="241"/>
      <c r="L101" s="241"/>
      <c r="M101" s="241" t="str">
        <f t="shared" si="14"/>
        <v>PKWT</v>
      </c>
      <c r="N101" s="241" t="s">
        <v>187</v>
      </c>
      <c r="O101" s="241"/>
      <c r="P101" s="243">
        <v>45657</v>
      </c>
      <c r="Q101" s="241"/>
      <c r="R101" s="241" t="s">
        <v>206</v>
      </c>
      <c r="S101" s="241" t="s">
        <v>6863</v>
      </c>
      <c r="T101" s="241" t="s">
        <v>312</v>
      </c>
      <c r="U101" s="241" t="s">
        <v>24</v>
      </c>
      <c r="V101" s="241" t="s">
        <v>443</v>
      </c>
      <c r="W101" s="241" t="s">
        <v>175</v>
      </c>
      <c r="X101" s="241" t="s">
        <v>121</v>
      </c>
      <c r="Y101" s="241" t="s">
        <v>313</v>
      </c>
      <c r="Z101" s="241" t="s">
        <v>462</v>
      </c>
      <c r="AA101" s="241" t="s">
        <v>337</v>
      </c>
      <c r="AB101" s="241" t="s">
        <v>314</v>
      </c>
      <c r="AC101" s="241" t="s">
        <v>1571</v>
      </c>
      <c r="AD101" s="245">
        <v>34095</v>
      </c>
      <c r="AE101" s="241">
        <f t="shared" ca="1" si="10"/>
        <v>32</v>
      </c>
      <c r="AF101" s="246" t="s">
        <v>1572</v>
      </c>
      <c r="AG101" s="241" t="s">
        <v>1573</v>
      </c>
      <c r="AH101" s="240" t="s">
        <v>1574</v>
      </c>
      <c r="AI101" s="240"/>
      <c r="AJ101" s="240"/>
      <c r="AK101" s="241" t="s">
        <v>1575</v>
      </c>
      <c r="AL101" s="246" t="s">
        <v>1576</v>
      </c>
      <c r="AM101" s="246">
        <v>18035613381</v>
      </c>
      <c r="AN101" s="241" t="s">
        <v>4733</v>
      </c>
      <c r="AO101" s="241" t="s">
        <v>1577</v>
      </c>
      <c r="AP101" s="241" t="s">
        <v>1578</v>
      </c>
      <c r="AQ101" s="241"/>
      <c r="AR101" s="241"/>
      <c r="AS101" s="241"/>
      <c r="AT101" s="241" t="s">
        <v>306</v>
      </c>
      <c r="AU101" s="241" t="s">
        <v>306</v>
      </c>
      <c r="AV101" s="241" t="s">
        <v>306</v>
      </c>
      <c r="AW101" s="241" t="s">
        <v>306</v>
      </c>
      <c r="AX101" s="241">
        <f t="shared" si="11"/>
        <v>1</v>
      </c>
      <c r="AY101" s="241" t="str">
        <f t="shared" si="12"/>
        <v>K/1</v>
      </c>
      <c r="AZ101" s="241"/>
      <c r="BA101" s="237"/>
      <c r="BB101" s="241" t="s">
        <v>161</v>
      </c>
      <c r="BC101" s="241" t="s">
        <v>349</v>
      </c>
      <c r="BD101" s="241" t="s">
        <v>515</v>
      </c>
      <c r="BE101" s="241" t="s">
        <v>1579</v>
      </c>
      <c r="BF101" s="241">
        <v>2011</v>
      </c>
      <c r="BG101" s="241" t="s">
        <v>349</v>
      </c>
      <c r="BH101" s="241" t="s">
        <v>515</v>
      </c>
      <c r="BI101" s="241" t="s">
        <v>1579</v>
      </c>
      <c r="BJ101" s="241">
        <v>2011</v>
      </c>
      <c r="BK101" s="247"/>
      <c r="BL101" s="247"/>
      <c r="BM101" s="241" t="s">
        <v>351</v>
      </c>
      <c r="BN101" s="241">
        <v>32</v>
      </c>
      <c r="BO101" s="241">
        <v>42</v>
      </c>
      <c r="BP101" s="244"/>
      <c r="BQ101" s="244"/>
      <c r="BR101" s="244"/>
      <c r="BS101" s="244"/>
      <c r="BT101" s="241"/>
      <c r="BU101" s="241"/>
      <c r="BV101" s="241"/>
      <c r="BW101" s="241"/>
      <c r="BX101" s="241"/>
      <c r="BY101" s="241"/>
      <c r="BZ101" s="241"/>
      <c r="CA101" s="241"/>
      <c r="CB101" s="241"/>
      <c r="CC101" s="241"/>
      <c r="CD101" s="241"/>
      <c r="CE101" s="241" t="e">
        <f>VLOOKUP(D101,[1]Sertifikasi!$B$4:$I$19,8,0)</f>
        <v>#N/A</v>
      </c>
      <c r="CF101" s="13"/>
      <c r="CG101" s="13"/>
      <c r="CH101" s="13"/>
    </row>
    <row r="102" spans="1:86" ht="11.25" customHeight="1" x14ac:dyDescent="0.2">
      <c r="A102" s="13"/>
      <c r="B102" s="238">
        <v>98</v>
      </c>
      <c r="C102" s="241" t="s">
        <v>292</v>
      </c>
      <c r="D102" s="237" t="s">
        <v>1580</v>
      </c>
      <c r="E102" s="261">
        <v>972400061</v>
      </c>
      <c r="F102" s="237">
        <v>1710004251966</v>
      </c>
      <c r="G102" s="240"/>
      <c r="H102" s="241" t="s">
        <v>217</v>
      </c>
      <c r="I102" s="241" t="s">
        <v>311</v>
      </c>
      <c r="J102" s="242">
        <v>43227</v>
      </c>
      <c r="K102" s="241"/>
      <c r="L102" s="241"/>
      <c r="M102" s="241" t="s">
        <v>6856</v>
      </c>
      <c r="N102" s="241" t="s">
        <v>187</v>
      </c>
      <c r="O102" s="241" t="s">
        <v>6810</v>
      </c>
      <c r="P102" s="243">
        <v>45352</v>
      </c>
      <c r="Q102" s="241"/>
      <c r="R102" s="241" t="s">
        <v>206</v>
      </c>
      <c r="S102" s="241" t="s">
        <v>6863</v>
      </c>
      <c r="T102" s="241" t="s">
        <v>312</v>
      </c>
      <c r="U102" s="241" t="s">
        <v>25</v>
      </c>
      <c r="V102" s="241" t="s">
        <v>443</v>
      </c>
      <c r="W102" s="241" t="s">
        <v>748</v>
      </c>
      <c r="X102" s="241" t="s">
        <v>121</v>
      </c>
      <c r="Y102" s="241" t="s">
        <v>313</v>
      </c>
      <c r="Z102" s="241"/>
      <c r="AA102" s="241" t="s">
        <v>337</v>
      </c>
      <c r="AB102" s="241" t="s">
        <v>314</v>
      </c>
      <c r="AC102" s="241" t="s">
        <v>311</v>
      </c>
      <c r="AD102" s="245">
        <v>34206</v>
      </c>
      <c r="AE102" s="241">
        <f t="shared" ca="1" si="10"/>
        <v>32</v>
      </c>
      <c r="AF102" s="246" t="s">
        <v>1581</v>
      </c>
      <c r="AG102" s="241" t="s">
        <v>1582</v>
      </c>
      <c r="AH102" s="240" t="s">
        <v>1583</v>
      </c>
      <c r="AI102" s="240"/>
      <c r="AJ102" s="240"/>
      <c r="AK102" s="241" t="s">
        <v>1584</v>
      </c>
      <c r="AL102" s="246" t="s">
        <v>1585</v>
      </c>
      <c r="AM102" s="246">
        <v>18035613522</v>
      </c>
      <c r="AN102" s="241" t="s">
        <v>4733</v>
      </c>
      <c r="AO102" s="241" t="s">
        <v>1586</v>
      </c>
      <c r="AP102" s="241" t="s">
        <v>1587</v>
      </c>
      <c r="AQ102" s="241" t="s">
        <v>1588</v>
      </c>
      <c r="AR102" s="241"/>
      <c r="AS102" s="241"/>
      <c r="AT102" s="241" t="s">
        <v>1289</v>
      </c>
      <c r="AU102" s="241" t="s">
        <v>1589</v>
      </c>
      <c r="AV102" s="241" t="s">
        <v>1590</v>
      </c>
      <c r="AW102" s="241" t="s">
        <v>1591</v>
      </c>
      <c r="AX102" s="241">
        <f t="shared" si="11"/>
        <v>2</v>
      </c>
      <c r="AY102" s="241" t="str">
        <f t="shared" si="12"/>
        <v>K/2</v>
      </c>
      <c r="AZ102" s="241" t="s">
        <v>1592</v>
      </c>
      <c r="BA102" s="237" t="s">
        <v>1593</v>
      </c>
      <c r="BB102" s="241" t="s">
        <v>161</v>
      </c>
      <c r="BC102" s="241" t="s">
        <v>349</v>
      </c>
      <c r="BD102" s="241" t="s">
        <v>4502</v>
      </c>
      <c r="BE102" s="241" t="s">
        <v>516</v>
      </c>
      <c r="BF102" s="241">
        <v>2012</v>
      </c>
      <c r="BG102" s="241" t="s">
        <v>475</v>
      </c>
      <c r="BH102" s="241" t="s">
        <v>4502</v>
      </c>
      <c r="BI102" s="241" t="s">
        <v>516</v>
      </c>
      <c r="BJ102" s="241">
        <v>2012</v>
      </c>
      <c r="BK102" s="247">
        <v>50100</v>
      </c>
      <c r="BL102" s="247">
        <v>50465</v>
      </c>
      <c r="BM102" s="241" t="s">
        <v>360</v>
      </c>
      <c r="BN102" s="241">
        <v>28</v>
      </c>
      <c r="BO102" s="241">
        <v>39</v>
      </c>
      <c r="BP102" s="244">
        <v>44392</v>
      </c>
      <c r="BQ102" s="244"/>
      <c r="BR102" s="244">
        <v>44663</v>
      </c>
      <c r="BS102" s="244"/>
      <c r="BT102" s="241"/>
      <c r="BU102" s="241"/>
      <c r="BV102" s="241"/>
      <c r="BW102" s="241"/>
      <c r="BX102" s="241"/>
      <c r="BY102" s="241"/>
      <c r="BZ102" s="241"/>
      <c r="CA102" s="241"/>
      <c r="CB102" s="241"/>
      <c r="CC102" s="241"/>
      <c r="CD102" s="241"/>
      <c r="CE102" s="241" t="e">
        <f>VLOOKUP(D102,[1]Sertifikasi!$B$4:$I$19,8,0)</f>
        <v>#N/A</v>
      </c>
      <c r="CF102" s="13"/>
      <c r="CG102" s="13"/>
      <c r="CH102" s="13"/>
    </row>
    <row r="103" spans="1:86" ht="11.25" customHeight="1" x14ac:dyDescent="0.2">
      <c r="B103" s="238">
        <v>99</v>
      </c>
      <c r="C103" s="241" t="s">
        <v>292</v>
      </c>
      <c r="D103" s="237" t="s">
        <v>1594</v>
      </c>
      <c r="E103" s="261">
        <v>972400060</v>
      </c>
      <c r="F103" s="237">
        <v>1710004252014</v>
      </c>
      <c r="G103" s="240"/>
      <c r="H103" s="241" t="s">
        <v>217</v>
      </c>
      <c r="I103" s="241" t="s">
        <v>432</v>
      </c>
      <c r="J103" s="242">
        <v>43227</v>
      </c>
      <c r="K103" s="241"/>
      <c r="L103" s="241"/>
      <c r="M103" s="241" t="s">
        <v>6856</v>
      </c>
      <c r="N103" s="241" t="s">
        <v>187</v>
      </c>
      <c r="O103" s="241" t="s">
        <v>6811</v>
      </c>
      <c r="P103" s="243">
        <v>45352</v>
      </c>
      <c r="Q103" s="241"/>
      <c r="R103" s="241" t="s">
        <v>206</v>
      </c>
      <c r="S103" s="241" t="s">
        <v>6863</v>
      </c>
      <c r="T103" s="241" t="s">
        <v>312</v>
      </c>
      <c r="U103" s="241" t="s">
        <v>24</v>
      </c>
      <c r="V103" s="241" t="s">
        <v>443</v>
      </c>
      <c r="W103" s="241" t="s">
        <v>175</v>
      </c>
      <c r="X103" s="241" t="s">
        <v>121</v>
      </c>
      <c r="Y103" s="241" t="s">
        <v>313</v>
      </c>
      <c r="Z103" s="241"/>
      <c r="AA103" s="241" t="s">
        <v>337</v>
      </c>
      <c r="AB103" s="241" t="s">
        <v>314</v>
      </c>
      <c r="AC103" s="241" t="s">
        <v>217</v>
      </c>
      <c r="AD103" s="245">
        <v>34917</v>
      </c>
      <c r="AE103" s="241">
        <f t="shared" ca="1" si="10"/>
        <v>30</v>
      </c>
      <c r="AF103" s="246" t="s">
        <v>1595</v>
      </c>
      <c r="AG103" s="241" t="s">
        <v>1596</v>
      </c>
      <c r="AH103" s="240" t="s">
        <v>1597</v>
      </c>
      <c r="AI103" s="240"/>
      <c r="AJ103" s="240"/>
      <c r="AK103" s="241" t="s">
        <v>1598</v>
      </c>
      <c r="AL103" s="246" t="s">
        <v>1599</v>
      </c>
      <c r="AM103" s="246">
        <v>18035613373</v>
      </c>
      <c r="AN103" s="241" t="s">
        <v>4733</v>
      </c>
      <c r="AO103" s="241" t="s">
        <v>1600</v>
      </c>
      <c r="AP103" s="241" t="s">
        <v>1601</v>
      </c>
      <c r="AQ103" s="241"/>
      <c r="AR103" s="241"/>
      <c r="AS103" s="241"/>
      <c r="AT103" s="241" t="s">
        <v>1602</v>
      </c>
      <c r="AU103" s="241" t="s">
        <v>1603</v>
      </c>
      <c r="AV103" s="241" t="s">
        <v>1604</v>
      </c>
      <c r="AW103" s="241" t="s">
        <v>192</v>
      </c>
      <c r="AX103" s="241">
        <f t="shared" si="11"/>
        <v>1</v>
      </c>
      <c r="AY103" s="241" t="str">
        <f t="shared" si="12"/>
        <v>K/1</v>
      </c>
      <c r="AZ103" s="241" t="s">
        <v>1605</v>
      </c>
      <c r="BA103" s="237" t="s">
        <v>1605</v>
      </c>
      <c r="BB103" s="241" t="s">
        <v>161</v>
      </c>
      <c r="BC103" s="241" t="s">
        <v>349</v>
      </c>
      <c r="BD103" s="241" t="s">
        <v>91</v>
      </c>
      <c r="BE103" s="241" t="s">
        <v>663</v>
      </c>
      <c r="BF103" s="241">
        <v>2013</v>
      </c>
      <c r="BG103" s="241" t="s">
        <v>475</v>
      </c>
      <c r="BH103" s="241" t="s">
        <v>91</v>
      </c>
      <c r="BI103" s="241" t="s">
        <v>663</v>
      </c>
      <c r="BJ103" s="241">
        <v>2013</v>
      </c>
      <c r="BK103" s="247">
        <v>50830</v>
      </c>
      <c r="BL103" s="247">
        <v>51196</v>
      </c>
      <c r="BM103" s="241" t="s">
        <v>351</v>
      </c>
      <c r="BN103" s="241">
        <v>32</v>
      </c>
      <c r="BO103" s="241">
        <v>42</v>
      </c>
      <c r="BP103" s="244"/>
      <c r="BQ103" s="244"/>
      <c r="BR103" s="244"/>
      <c r="BS103" s="244"/>
      <c r="BT103" s="241"/>
      <c r="BU103" s="241"/>
      <c r="BV103" s="241"/>
      <c r="BW103" s="241"/>
      <c r="BX103" s="241"/>
      <c r="BY103" s="241"/>
      <c r="BZ103" s="241"/>
      <c r="CA103" s="241"/>
      <c r="CB103" s="241"/>
      <c r="CC103" s="241"/>
      <c r="CD103" s="241"/>
      <c r="CE103" s="241" t="e">
        <f>VLOOKUP(D103,[1]Sertifikasi!$B$4:$I$19,8,0)</f>
        <v>#N/A</v>
      </c>
    </row>
    <row r="104" spans="1:86" ht="11.25" customHeight="1" x14ac:dyDescent="0.2">
      <c r="A104" s="13"/>
      <c r="B104" s="238">
        <v>100</v>
      </c>
      <c r="C104" s="241" t="e">
        <f ca="1">DATEDIF($E$3,P104,"D")</f>
        <v>#NUM!</v>
      </c>
      <c r="D104" s="237" t="s">
        <v>1606</v>
      </c>
      <c r="E104" s="239">
        <v>641805148</v>
      </c>
      <c r="F104" s="237">
        <v>1710004257716</v>
      </c>
      <c r="G104" s="240"/>
      <c r="H104" s="241" t="s">
        <v>217</v>
      </c>
      <c r="I104" s="241" t="s">
        <v>217</v>
      </c>
      <c r="J104" s="242">
        <v>43227</v>
      </c>
      <c r="K104" s="241"/>
      <c r="L104" s="241"/>
      <c r="M104" s="241" t="str">
        <f>IF(LEFT(E104,2)="99","ORGANIK INKA",IF(LEFT(E104,2)="97","ORGANIK IMSS",IF(LEFT(E104,2)="75","Capeg",IF(LEFT(E104,2)="64","PKWT","Resign"))))</f>
        <v>PKWT</v>
      </c>
      <c r="N104" s="241" t="s">
        <v>187</v>
      </c>
      <c r="O104" s="241"/>
      <c r="P104" s="243">
        <v>45782</v>
      </c>
      <c r="Q104" s="241"/>
      <c r="R104" s="241" t="s">
        <v>206</v>
      </c>
      <c r="S104" s="241" t="s">
        <v>6863</v>
      </c>
      <c r="T104" s="241" t="s">
        <v>312</v>
      </c>
      <c r="U104" s="241" t="s">
        <v>24</v>
      </c>
      <c r="V104" s="241" t="s">
        <v>443</v>
      </c>
      <c r="W104" s="241" t="s">
        <v>175</v>
      </c>
      <c r="X104" s="241" t="s">
        <v>121</v>
      </c>
      <c r="Y104" s="241" t="s">
        <v>313</v>
      </c>
      <c r="Z104" s="241"/>
      <c r="AA104" s="241" t="s">
        <v>337</v>
      </c>
      <c r="AB104" s="241" t="s">
        <v>314</v>
      </c>
      <c r="AC104" s="241" t="s">
        <v>217</v>
      </c>
      <c r="AD104" s="245">
        <v>35151</v>
      </c>
      <c r="AE104" s="241">
        <f t="shared" ca="1" si="10"/>
        <v>29</v>
      </c>
      <c r="AF104" s="246" t="s">
        <v>1607</v>
      </c>
      <c r="AG104" s="241" t="s">
        <v>1608</v>
      </c>
      <c r="AH104" s="240" t="s">
        <v>1609</v>
      </c>
      <c r="AI104" s="240"/>
      <c r="AJ104" s="240"/>
      <c r="AK104" s="241" t="s">
        <v>1610</v>
      </c>
      <c r="AL104" s="246" t="s">
        <v>1611</v>
      </c>
      <c r="AM104" s="246">
        <v>18035613480</v>
      </c>
      <c r="AN104" s="241" t="s">
        <v>4733</v>
      </c>
      <c r="AO104" s="241" t="s">
        <v>1612</v>
      </c>
      <c r="AP104" s="241" t="s">
        <v>1613</v>
      </c>
      <c r="AQ104" s="241"/>
      <c r="AR104" s="241"/>
      <c r="AS104" s="241"/>
      <c r="AT104" s="241" t="s">
        <v>1614</v>
      </c>
      <c r="AU104" s="241" t="s">
        <v>1615</v>
      </c>
      <c r="AV104" s="241" t="s">
        <v>1616</v>
      </c>
      <c r="AW104" s="241" t="s">
        <v>1617</v>
      </c>
      <c r="AX104" s="241">
        <f t="shared" si="11"/>
        <v>1</v>
      </c>
      <c r="AY104" s="241" t="str">
        <f t="shared" si="12"/>
        <v>K/1</v>
      </c>
      <c r="AZ104" s="241" t="s">
        <v>1618</v>
      </c>
      <c r="BA104" s="237" t="s">
        <v>1618</v>
      </c>
      <c r="BB104" s="241" t="s">
        <v>161</v>
      </c>
      <c r="BC104" s="241" t="s">
        <v>349</v>
      </c>
      <c r="BD104" s="241" t="s">
        <v>91</v>
      </c>
      <c r="BE104" s="241" t="s">
        <v>663</v>
      </c>
      <c r="BF104" s="241">
        <v>2014</v>
      </c>
      <c r="BG104" s="241" t="s">
        <v>475</v>
      </c>
      <c r="BH104" s="241" t="s">
        <v>91</v>
      </c>
      <c r="BI104" s="241" t="s">
        <v>663</v>
      </c>
      <c r="BJ104" s="241">
        <v>2014</v>
      </c>
      <c r="BK104" s="247"/>
      <c r="BL104" s="247"/>
      <c r="BM104" s="241" t="s">
        <v>351</v>
      </c>
      <c r="BN104" s="241">
        <v>34</v>
      </c>
      <c r="BO104" s="241">
        <v>42</v>
      </c>
      <c r="BP104" s="244"/>
      <c r="BQ104" s="244"/>
      <c r="BR104" s="244">
        <v>44674</v>
      </c>
      <c r="BS104" s="244"/>
      <c r="BT104" s="241"/>
      <c r="BU104" s="241"/>
      <c r="BV104" s="241"/>
      <c r="BW104" s="241"/>
      <c r="BX104" s="241"/>
      <c r="BY104" s="241"/>
      <c r="BZ104" s="241"/>
      <c r="CA104" s="241"/>
      <c r="CB104" s="241"/>
      <c r="CC104" s="241"/>
      <c r="CD104" s="241"/>
      <c r="CE104" s="241" t="e">
        <f>VLOOKUP(D104,[1]Sertifikasi!$B$4:$I$19,8,0)</f>
        <v>#N/A</v>
      </c>
      <c r="CF104" s="13"/>
      <c r="CG104" s="13"/>
      <c r="CH104" s="13"/>
    </row>
    <row r="105" spans="1:86" ht="11.25" customHeight="1" x14ac:dyDescent="0.2">
      <c r="A105" s="13"/>
      <c r="B105" s="238">
        <v>101</v>
      </c>
      <c r="C105" s="241" t="e">
        <f ca="1">DATEDIF($E$3,P105,"D")</f>
        <v>#NUM!</v>
      </c>
      <c r="D105" s="237" t="s">
        <v>1619</v>
      </c>
      <c r="E105" s="239">
        <v>641805143</v>
      </c>
      <c r="F105" s="237">
        <v>1710004257682</v>
      </c>
      <c r="G105" s="240"/>
      <c r="H105" s="241" t="s">
        <v>217</v>
      </c>
      <c r="I105" s="241" t="s">
        <v>217</v>
      </c>
      <c r="J105" s="242">
        <v>43227</v>
      </c>
      <c r="K105" s="241"/>
      <c r="L105" s="241"/>
      <c r="M105" s="241" t="str">
        <f>IF(LEFT(E105,2)="99","ORGANIK INKA",IF(LEFT(E105,2)="97","ORGANIK IMSS",IF(LEFT(E105,2)="75","Capeg",IF(LEFT(E105,2)="64","PKWT","Resign"))))</f>
        <v>PKWT</v>
      </c>
      <c r="N105" s="241" t="s">
        <v>187</v>
      </c>
      <c r="O105" s="241"/>
      <c r="P105" s="243">
        <v>45657</v>
      </c>
      <c r="Q105" s="241"/>
      <c r="R105" s="241" t="s">
        <v>206</v>
      </c>
      <c r="S105" s="241" t="s">
        <v>6863</v>
      </c>
      <c r="T105" s="241" t="s">
        <v>312</v>
      </c>
      <c r="U105" s="241" t="s">
        <v>33</v>
      </c>
      <c r="V105" s="241" t="s">
        <v>7135</v>
      </c>
      <c r="W105" s="241" t="s">
        <v>51</v>
      </c>
      <c r="X105" s="241" t="s">
        <v>121</v>
      </c>
      <c r="Y105" s="241" t="s">
        <v>313</v>
      </c>
      <c r="Z105" s="241"/>
      <c r="AA105" s="241" t="s">
        <v>337</v>
      </c>
      <c r="AB105" s="241" t="s">
        <v>314</v>
      </c>
      <c r="AC105" s="241" t="s">
        <v>217</v>
      </c>
      <c r="AD105" s="245">
        <v>34966</v>
      </c>
      <c r="AE105" s="241">
        <f t="shared" ca="1" si="10"/>
        <v>30</v>
      </c>
      <c r="AF105" s="246" t="s">
        <v>1620</v>
      </c>
      <c r="AG105" s="241" t="s">
        <v>1621</v>
      </c>
      <c r="AH105" s="240" t="s">
        <v>1622</v>
      </c>
      <c r="AI105" s="240"/>
      <c r="AJ105" s="240"/>
      <c r="AK105" s="241" t="s">
        <v>1623</v>
      </c>
      <c r="AL105" s="246" t="s">
        <v>1624</v>
      </c>
      <c r="AM105" s="246">
        <v>18035613548</v>
      </c>
      <c r="AN105" s="241" t="s">
        <v>4733</v>
      </c>
      <c r="AO105" s="241" t="s">
        <v>1625</v>
      </c>
      <c r="AP105" s="241"/>
      <c r="AQ105" s="241"/>
      <c r="AR105" s="241"/>
      <c r="AS105" s="241"/>
      <c r="AT105" s="241" t="s">
        <v>1626</v>
      </c>
      <c r="AU105" s="241" t="s">
        <v>1627</v>
      </c>
      <c r="AV105" s="241" t="s">
        <v>1628</v>
      </c>
      <c r="AW105" s="241" t="s">
        <v>1629</v>
      </c>
      <c r="AX105" s="241">
        <f t="shared" si="11"/>
        <v>0</v>
      </c>
      <c r="AY105" s="241" t="str">
        <f t="shared" si="12"/>
        <v>K/0</v>
      </c>
      <c r="AZ105" s="241" t="s">
        <v>1630</v>
      </c>
      <c r="BA105" s="237" t="s">
        <v>1630</v>
      </c>
      <c r="BB105" s="241" t="s">
        <v>161</v>
      </c>
      <c r="BC105" s="241" t="s">
        <v>349</v>
      </c>
      <c r="BD105" s="241" t="s">
        <v>515</v>
      </c>
      <c r="BE105" s="241" t="s">
        <v>1631</v>
      </c>
      <c r="BF105" s="241">
        <v>2013</v>
      </c>
      <c r="BG105" s="241" t="s">
        <v>475</v>
      </c>
      <c r="BH105" s="241" t="s">
        <v>515</v>
      </c>
      <c r="BI105" s="241" t="s">
        <v>1631</v>
      </c>
      <c r="BJ105" s="241">
        <v>2013</v>
      </c>
      <c r="BK105" s="247"/>
      <c r="BL105" s="247"/>
      <c r="BM105" s="241" t="s">
        <v>339</v>
      </c>
      <c r="BN105" s="241">
        <v>36</v>
      </c>
      <c r="BO105" s="241">
        <v>42</v>
      </c>
      <c r="BP105" s="244"/>
      <c r="BQ105" s="244"/>
      <c r="BR105" s="244"/>
      <c r="BS105" s="244"/>
      <c r="BT105" s="241"/>
      <c r="BU105" s="241"/>
      <c r="BV105" s="241"/>
      <c r="BW105" s="241"/>
      <c r="BX105" s="241"/>
      <c r="BY105" s="241"/>
      <c r="BZ105" s="241"/>
      <c r="CA105" s="241"/>
      <c r="CB105" s="241"/>
      <c r="CC105" s="241"/>
      <c r="CD105" s="241"/>
      <c r="CE105" s="241" t="e">
        <f>VLOOKUP(D105,[1]Sertifikasi!$B$4:$I$19,8,0)</f>
        <v>#N/A</v>
      </c>
      <c r="CF105" s="13"/>
      <c r="CG105" s="13"/>
      <c r="CH105" s="13"/>
    </row>
    <row r="106" spans="1:86" ht="11.25" customHeight="1" x14ac:dyDescent="0.2">
      <c r="A106" s="13"/>
      <c r="B106" s="238">
        <v>102</v>
      </c>
      <c r="C106" s="241" t="e">
        <f ca="1">DATEDIF($E$3,P106,"D")</f>
        <v>#NUM!</v>
      </c>
      <c r="D106" s="237" t="s">
        <v>1632</v>
      </c>
      <c r="E106" s="239">
        <v>641805147</v>
      </c>
      <c r="F106" s="237">
        <v>1710004257757</v>
      </c>
      <c r="G106" s="240"/>
      <c r="H106" s="241" t="s">
        <v>217</v>
      </c>
      <c r="I106" s="241" t="s">
        <v>217</v>
      </c>
      <c r="J106" s="242">
        <v>43227</v>
      </c>
      <c r="K106" s="241"/>
      <c r="L106" s="241"/>
      <c r="M106" s="241" t="str">
        <f>IF(LEFT(E106,2)="99","ORGANIK INKA",IF(LEFT(E106,2)="97","ORGANIK IMSS",IF(LEFT(E106,2)="75","Capeg",IF(LEFT(E106,2)="64","PKWT","Resign"))))</f>
        <v>PKWT</v>
      </c>
      <c r="N106" s="241" t="s">
        <v>187</v>
      </c>
      <c r="O106" s="241"/>
      <c r="P106" s="243">
        <v>45782</v>
      </c>
      <c r="Q106" s="241"/>
      <c r="R106" s="241" t="s">
        <v>206</v>
      </c>
      <c r="S106" s="241" t="s">
        <v>6863</v>
      </c>
      <c r="T106" s="241" t="s">
        <v>312</v>
      </c>
      <c r="U106" s="241" t="s">
        <v>24</v>
      </c>
      <c r="V106" s="241" t="s">
        <v>204</v>
      </c>
      <c r="W106" s="241" t="s">
        <v>629</v>
      </c>
      <c r="X106" s="241" t="s">
        <v>121</v>
      </c>
      <c r="Y106" s="241" t="s">
        <v>313</v>
      </c>
      <c r="Z106" s="241" t="s">
        <v>1218</v>
      </c>
      <c r="AA106" s="241" t="s">
        <v>337</v>
      </c>
      <c r="AB106" s="241" t="s">
        <v>314</v>
      </c>
      <c r="AC106" s="241" t="s">
        <v>217</v>
      </c>
      <c r="AD106" s="245">
        <v>36050</v>
      </c>
      <c r="AE106" s="241">
        <f t="shared" ca="1" si="10"/>
        <v>27</v>
      </c>
      <c r="AF106" s="246" t="s">
        <v>1633</v>
      </c>
      <c r="AG106" s="241" t="s">
        <v>1634</v>
      </c>
      <c r="AH106" s="240" t="s">
        <v>1635</v>
      </c>
      <c r="AI106" s="240"/>
      <c r="AJ106" s="240"/>
      <c r="AK106" s="241" t="s">
        <v>1636</v>
      </c>
      <c r="AL106" s="246" t="s">
        <v>1637</v>
      </c>
      <c r="AM106" s="246">
        <v>18035613464</v>
      </c>
      <c r="AN106" s="241" t="s">
        <v>4733</v>
      </c>
      <c r="AO106" s="241" t="s">
        <v>1638</v>
      </c>
      <c r="AP106" s="241" t="s">
        <v>1639</v>
      </c>
      <c r="AQ106" s="241"/>
      <c r="AR106" s="241"/>
      <c r="AS106" s="241"/>
      <c r="AT106" s="241" t="s">
        <v>1640</v>
      </c>
      <c r="AU106" s="241" t="s">
        <v>1641</v>
      </c>
      <c r="AV106" s="241" t="s">
        <v>1642</v>
      </c>
      <c r="AW106" s="241" t="s">
        <v>1643</v>
      </c>
      <c r="AX106" s="241">
        <f t="shared" si="11"/>
        <v>1</v>
      </c>
      <c r="AY106" s="241" t="str">
        <f t="shared" si="12"/>
        <v>K/1</v>
      </c>
      <c r="AZ106" s="241" t="s">
        <v>1644</v>
      </c>
      <c r="BA106" s="237" t="s">
        <v>1644</v>
      </c>
      <c r="BB106" s="241" t="s">
        <v>161</v>
      </c>
      <c r="BC106" s="241" t="s">
        <v>349</v>
      </c>
      <c r="BD106" s="241" t="s">
        <v>515</v>
      </c>
      <c r="BE106" s="241" t="s">
        <v>516</v>
      </c>
      <c r="BF106" s="241">
        <v>2017</v>
      </c>
      <c r="BG106" s="241" t="s">
        <v>475</v>
      </c>
      <c r="BH106" s="241" t="s">
        <v>515</v>
      </c>
      <c r="BI106" s="241" t="s">
        <v>516</v>
      </c>
      <c r="BJ106" s="241">
        <v>2017</v>
      </c>
      <c r="BK106" s="247"/>
      <c r="BL106" s="247"/>
      <c r="BM106" s="241" t="s">
        <v>339</v>
      </c>
      <c r="BN106" s="241">
        <v>34</v>
      </c>
      <c r="BO106" s="241">
        <v>42</v>
      </c>
      <c r="BP106" s="244"/>
      <c r="BQ106" s="244"/>
      <c r="BR106" s="244">
        <v>44914</v>
      </c>
      <c r="BS106" s="244"/>
      <c r="BT106" s="241"/>
      <c r="BU106" s="241"/>
      <c r="BV106" s="241"/>
      <c r="BW106" s="241"/>
      <c r="BX106" s="241"/>
      <c r="BY106" s="241"/>
      <c r="BZ106" s="241"/>
      <c r="CA106" s="241"/>
      <c r="CB106" s="241"/>
      <c r="CC106" s="241"/>
      <c r="CD106" s="241"/>
      <c r="CE106" s="241" t="e">
        <f>VLOOKUP(D106,[1]Sertifikasi!$B$4:$I$19,8,0)</f>
        <v>#N/A</v>
      </c>
      <c r="CF106" s="13"/>
      <c r="CG106" s="13"/>
      <c r="CH106" s="13"/>
    </row>
    <row r="107" spans="1:86" ht="11.25" customHeight="1" x14ac:dyDescent="0.2">
      <c r="A107" s="13"/>
      <c r="B107" s="238">
        <v>103</v>
      </c>
      <c r="C107" s="241" t="e">
        <f ca="1">DATEDIF($E$3,P107,"D")</f>
        <v>#NUM!</v>
      </c>
      <c r="D107" s="237" t="s">
        <v>1645</v>
      </c>
      <c r="E107" s="239">
        <v>641805145</v>
      </c>
      <c r="F107" s="237">
        <v>1710004257831</v>
      </c>
      <c r="G107" s="240"/>
      <c r="H107" s="241" t="s">
        <v>217</v>
      </c>
      <c r="I107" s="241" t="s">
        <v>311</v>
      </c>
      <c r="J107" s="242">
        <v>43227</v>
      </c>
      <c r="K107" s="241"/>
      <c r="L107" s="241"/>
      <c r="M107" s="241" t="str">
        <f>IF(LEFT(E107,2)="99","ORGANIK INKA",IF(LEFT(E107,2)="97","ORGANIK IMSS",IF(LEFT(E107,2)="75","Capeg",IF(LEFT(E107,2)="64","PKWT","Resign"))))</f>
        <v>PKWT</v>
      </c>
      <c r="N107" s="241" t="s">
        <v>187</v>
      </c>
      <c r="O107" s="241"/>
      <c r="P107" s="243">
        <v>45782</v>
      </c>
      <c r="Q107" s="241"/>
      <c r="R107" s="241" t="s">
        <v>206</v>
      </c>
      <c r="S107" s="241" t="s">
        <v>6863</v>
      </c>
      <c r="T107" s="241" t="s">
        <v>312</v>
      </c>
      <c r="U107" s="241" t="s">
        <v>24</v>
      </c>
      <c r="V107" s="241" t="s">
        <v>204</v>
      </c>
      <c r="W107" s="241" t="s">
        <v>629</v>
      </c>
      <c r="X107" s="241" t="s">
        <v>121</v>
      </c>
      <c r="Y107" s="241" t="s">
        <v>313</v>
      </c>
      <c r="Z107" s="241" t="s">
        <v>1218</v>
      </c>
      <c r="AA107" s="241" t="s">
        <v>337</v>
      </c>
      <c r="AB107" s="241" t="s">
        <v>314</v>
      </c>
      <c r="AC107" s="241" t="s">
        <v>311</v>
      </c>
      <c r="AD107" s="245">
        <v>35575</v>
      </c>
      <c r="AE107" s="241">
        <f t="shared" ca="1" si="10"/>
        <v>28</v>
      </c>
      <c r="AF107" s="246" t="s">
        <v>1646</v>
      </c>
      <c r="AG107" s="241" t="s">
        <v>1647</v>
      </c>
      <c r="AH107" s="240" t="s">
        <v>1648</v>
      </c>
      <c r="AI107" s="240" t="s">
        <v>1648</v>
      </c>
      <c r="AJ107" s="240"/>
      <c r="AK107" s="241" t="s">
        <v>1649</v>
      </c>
      <c r="AL107" s="246" t="s">
        <v>1650</v>
      </c>
      <c r="AM107" s="246">
        <v>18035613498</v>
      </c>
      <c r="AN107" s="241" t="s">
        <v>4716</v>
      </c>
      <c r="AO107" s="241"/>
      <c r="AP107" s="241"/>
      <c r="AQ107" s="241"/>
      <c r="AR107" s="241"/>
      <c r="AS107" s="241"/>
      <c r="AT107" s="241" t="s">
        <v>306</v>
      </c>
      <c r="AU107" s="241" t="s">
        <v>306</v>
      </c>
      <c r="AV107" s="241" t="s">
        <v>306</v>
      </c>
      <c r="AW107" s="241" t="s">
        <v>306</v>
      </c>
      <c r="AX107" s="241">
        <f t="shared" si="11"/>
        <v>0</v>
      </c>
      <c r="AY107" s="241" t="str">
        <f t="shared" si="12"/>
        <v>TK/0</v>
      </c>
      <c r="AZ107" s="241"/>
      <c r="BA107" s="237"/>
      <c r="BB107" s="241" t="s">
        <v>161</v>
      </c>
      <c r="BC107" s="241" t="s">
        <v>349</v>
      </c>
      <c r="BD107" s="241" t="s">
        <v>515</v>
      </c>
      <c r="BE107" s="241" t="s">
        <v>327</v>
      </c>
      <c r="BF107" s="241">
        <v>2015</v>
      </c>
      <c r="BG107" s="241" t="s">
        <v>475</v>
      </c>
      <c r="BH107" s="241" t="s">
        <v>515</v>
      </c>
      <c r="BI107" s="241" t="s">
        <v>327</v>
      </c>
      <c r="BJ107" s="241">
        <v>2015</v>
      </c>
      <c r="BK107" s="247"/>
      <c r="BL107" s="247"/>
      <c r="BM107" s="241" t="s">
        <v>339</v>
      </c>
      <c r="BN107" s="241">
        <v>38</v>
      </c>
      <c r="BO107" s="241">
        <v>44</v>
      </c>
      <c r="BP107" s="244"/>
      <c r="BQ107" s="244"/>
      <c r="BR107" s="244"/>
      <c r="BS107" s="244"/>
      <c r="BT107" s="241"/>
      <c r="BU107" s="241"/>
      <c r="BV107" s="241"/>
      <c r="BW107" s="241"/>
      <c r="BX107" s="241"/>
      <c r="BY107" s="241"/>
      <c r="BZ107" s="241"/>
      <c r="CA107" s="241"/>
      <c r="CB107" s="241"/>
      <c r="CC107" s="241"/>
      <c r="CD107" s="241"/>
      <c r="CE107" s="241" t="e">
        <f>VLOOKUP(D107,[1]Sertifikasi!$B$4:$I$19,8,0)</f>
        <v>#N/A</v>
      </c>
      <c r="CF107" s="13"/>
      <c r="CG107" s="13"/>
      <c r="CH107" s="13"/>
    </row>
    <row r="108" spans="1:86" ht="11.25" customHeight="1" x14ac:dyDescent="0.2">
      <c r="A108" s="13"/>
      <c r="B108" s="238">
        <v>104</v>
      </c>
      <c r="C108" s="241" t="e">
        <f ca="1">DATEDIF($E$3,P108,"D")</f>
        <v>#NUM!</v>
      </c>
      <c r="D108" s="237" t="s">
        <v>1651</v>
      </c>
      <c r="E108" s="239">
        <v>641805144</v>
      </c>
      <c r="F108" s="237">
        <v>1710004257807</v>
      </c>
      <c r="G108" s="240"/>
      <c r="H108" s="241" t="s">
        <v>217</v>
      </c>
      <c r="I108" s="241" t="s">
        <v>315</v>
      </c>
      <c r="J108" s="242">
        <v>43227</v>
      </c>
      <c r="K108" s="241"/>
      <c r="L108" s="241"/>
      <c r="M108" s="241" t="str">
        <f>IF(LEFT(E108,2)="99","ORGANIK INKA",IF(LEFT(E108,2)="97","ORGANIK IMSS",IF(LEFT(E108,2)="75","Capeg",IF(LEFT(E108,2)="64","PKWT","Resign"))))</f>
        <v>PKWT</v>
      </c>
      <c r="N108" s="241" t="s">
        <v>187</v>
      </c>
      <c r="O108" s="241"/>
      <c r="P108" s="243">
        <v>45782</v>
      </c>
      <c r="Q108" s="241"/>
      <c r="R108" s="241" t="s">
        <v>206</v>
      </c>
      <c r="S108" s="241" t="s">
        <v>6863</v>
      </c>
      <c r="T108" s="241" t="s">
        <v>312</v>
      </c>
      <c r="U108" s="241" t="s">
        <v>23</v>
      </c>
      <c r="V108" s="241" t="s">
        <v>443</v>
      </c>
      <c r="W108" s="241" t="s">
        <v>51</v>
      </c>
      <c r="X108" s="241" t="s">
        <v>121</v>
      </c>
      <c r="Y108" s="241" t="s">
        <v>313</v>
      </c>
      <c r="Z108" s="241"/>
      <c r="AA108" s="241" t="s">
        <v>337</v>
      </c>
      <c r="AB108" s="241" t="s">
        <v>314</v>
      </c>
      <c r="AC108" s="241" t="s">
        <v>315</v>
      </c>
      <c r="AD108" s="245">
        <v>36000</v>
      </c>
      <c r="AE108" s="241">
        <f t="shared" ca="1" si="10"/>
        <v>27</v>
      </c>
      <c r="AF108" s="246" t="s">
        <v>1652</v>
      </c>
      <c r="AG108" s="241" t="s">
        <v>1653</v>
      </c>
      <c r="AH108" s="240" t="s">
        <v>1654</v>
      </c>
      <c r="AI108" s="240"/>
      <c r="AJ108" s="240"/>
      <c r="AK108" s="241" t="s">
        <v>1655</v>
      </c>
      <c r="AL108" s="246" t="s">
        <v>1656</v>
      </c>
      <c r="AM108" s="246">
        <v>18035613530</v>
      </c>
      <c r="AN108" s="241" t="s">
        <v>4716</v>
      </c>
      <c r="AO108" s="241"/>
      <c r="AP108" s="241"/>
      <c r="AQ108" s="241"/>
      <c r="AR108" s="241"/>
      <c r="AS108" s="241"/>
      <c r="AT108" s="241" t="s">
        <v>411</v>
      </c>
      <c r="AU108" s="241" t="s">
        <v>1657</v>
      </c>
      <c r="AV108" s="241" t="s">
        <v>306</v>
      </c>
      <c r="AW108" s="241" t="s">
        <v>306</v>
      </c>
      <c r="AX108" s="241">
        <f t="shared" si="11"/>
        <v>0</v>
      </c>
      <c r="AY108" s="241" t="str">
        <f t="shared" si="12"/>
        <v>TK/0</v>
      </c>
      <c r="AZ108" s="241" t="s">
        <v>1658</v>
      </c>
      <c r="BA108" s="237" t="s">
        <v>1659</v>
      </c>
      <c r="BB108" s="241" t="s">
        <v>161</v>
      </c>
      <c r="BC108" s="241" t="s">
        <v>349</v>
      </c>
      <c r="BD108" s="241" t="s">
        <v>515</v>
      </c>
      <c r="BE108" s="241" t="s">
        <v>1660</v>
      </c>
      <c r="BF108" s="241">
        <v>2018</v>
      </c>
      <c r="BG108" s="241" t="s">
        <v>475</v>
      </c>
      <c r="BH108" s="241" t="s">
        <v>515</v>
      </c>
      <c r="BI108" s="241" t="s">
        <v>1660</v>
      </c>
      <c r="BJ108" s="241">
        <v>2018</v>
      </c>
      <c r="BK108" s="247"/>
      <c r="BL108" s="247"/>
      <c r="BM108" s="241" t="s">
        <v>360</v>
      </c>
      <c r="BN108" s="241">
        <v>30</v>
      </c>
      <c r="BO108" s="241">
        <v>40</v>
      </c>
      <c r="BP108" s="244">
        <v>44293</v>
      </c>
      <c r="BQ108" s="244">
        <v>44322</v>
      </c>
      <c r="BR108" s="244"/>
      <c r="BS108" s="244"/>
      <c r="BT108" s="241"/>
      <c r="BU108" s="241"/>
      <c r="BV108" s="241"/>
      <c r="BW108" s="241"/>
      <c r="BX108" s="241"/>
      <c r="BY108" s="241"/>
      <c r="BZ108" s="241"/>
      <c r="CA108" s="241"/>
      <c r="CB108" s="241"/>
      <c r="CC108" s="241"/>
      <c r="CD108" s="241"/>
      <c r="CE108" s="241" t="e">
        <f>VLOOKUP(D108,[1]Sertifikasi!$B$4:$I$19,8,0)</f>
        <v>#N/A</v>
      </c>
      <c r="CF108" s="13"/>
      <c r="CG108" s="13"/>
      <c r="CH108" s="13"/>
    </row>
    <row r="109" spans="1:86" ht="11.25" customHeight="1" x14ac:dyDescent="0.2">
      <c r="A109" s="13"/>
      <c r="B109" s="238">
        <v>105</v>
      </c>
      <c r="C109" s="241" t="s">
        <v>292</v>
      </c>
      <c r="D109" s="237" t="s">
        <v>1661</v>
      </c>
      <c r="E109" s="261">
        <v>972400062</v>
      </c>
      <c r="F109" s="237">
        <v>1710004251974</v>
      </c>
      <c r="G109" s="240"/>
      <c r="H109" s="241" t="s">
        <v>217</v>
      </c>
      <c r="I109" s="241" t="s">
        <v>31</v>
      </c>
      <c r="J109" s="242">
        <v>43227</v>
      </c>
      <c r="K109" s="241"/>
      <c r="L109" s="241"/>
      <c r="M109" s="241" t="s">
        <v>6856</v>
      </c>
      <c r="N109" s="241" t="s">
        <v>187</v>
      </c>
      <c r="O109" s="241" t="s">
        <v>6812</v>
      </c>
      <c r="P109" s="243">
        <v>45352</v>
      </c>
      <c r="Q109" s="241"/>
      <c r="R109" s="241" t="s">
        <v>206</v>
      </c>
      <c r="S109" s="241" t="s">
        <v>6863</v>
      </c>
      <c r="T109" s="241" t="s">
        <v>312</v>
      </c>
      <c r="U109" s="241" t="s">
        <v>26</v>
      </c>
      <c r="V109" s="241" t="s">
        <v>547</v>
      </c>
      <c r="W109" s="241" t="s">
        <v>97</v>
      </c>
      <c r="X109" s="241" t="s">
        <v>122</v>
      </c>
      <c r="Y109" s="241" t="s">
        <v>313</v>
      </c>
      <c r="Z109" s="241"/>
      <c r="AA109" s="241" t="s">
        <v>337</v>
      </c>
      <c r="AB109" s="241" t="s">
        <v>314</v>
      </c>
      <c r="AC109" s="241" t="s">
        <v>23</v>
      </c>
      <c r="AD109" s="245">
        <v>36197</v>
      </c>
      <c r="AE109" s="241">
        <f t="shared" ca="1" si="10"/>
        <v>26</v>
      </c>
      <c r="AF109" s="246" t="s">
        <v>1662</v>
      </c>
      <c r="AG109" s="241" t="s">
        <v>1663</v>
      </c>
      <c r="AH109" s="240" t="s">
        <v>1664</v>
      </c>
      <c r="AI109" s="240"/>
      <c r="AJ109" s="240"/>
      <c r="AK109" s="241" t="s">
        <v>1665</v>
      </c>
      <c r="AL109" s="246" t="s">
        <v>1666</v>
      </c>
      <c r="AM109" s="246">
        <v>18035613506</v>
      </c>
      <c r="AN109" s="241" t="s">
        <v>4733</v>
      </c>
      <c r="AO109" s="241" t="s">
        <v>1667</v>
      </c>
      <c r="AP109" s="241" t="s">
        <v>1668</v>
      </c>
      <c r="AQ109" s="241"/>
      <c r="AR109" s="241"/>
      <c r="AS109" s="241"/>
      <c r="AT109" s="241" t="s">
        <v>1669</v>
      </c>
      <c r="AU109" s="241" t="s">
        <v>1670</v>
      </c>
      <c r="AV109" s="241" t="s">
        <v>1671</v>
      </c>
      <c r="AW109" s="241" t="s">
        <v>1672</v>
      </c>
      <c r="AX109" s="241">
        <f t="shared" si="11"/>
        <v>1</v>
      </c>
      <c r="AY109" s="241" t="str">
        <f t="shared" si="12"/>
        <v>K/1</v>
      </c>
      <c r="AZ109" s="241" t="s">
        <v>1673</v>
      </c>
      <c r="BA109" s="237" t="s">
        <v>1673</v>
      </c>
      <c r="BB109" s="241" t="s">
        <v>161</v>
      </c>
      <c r="BC109" s="241" t="s">
        <v>349</v>
      </c>
      <c r="BD109" s="241" t="s">
        <v>1674</v>
      </c>
      <c r="BE109" s="241" t="s">
        <v>1675</v>
      </c>
      <c r="BF109" s="241"/>
      <c r="BG109" s="241" t="s">
        <v>475</v>
      </c>
      <c r="BH109" s="241" t="s">
        <v>1674</v>
      </c>
      <c r="BI109" s="241" t="s">
        <v>1675</v>
      </c>
      <c r="BJ109" s="241"/>
      <c r="BK109" s="247">
        <v>52291</v>
      </c>
      <c r="BL109" s="247">
        <v>52657</v>
      </c>
      <c r="BM109" s="241" t="s">
        <v>360</v>
      </c>
      <c r="BN109" s="241">
        <v>29</v>
      </c>
      <c r="BO109" s="241">
        <v>40</v>
      </c>
      <c r="BP109" s="244"/>
      <c r="BQ109" s="244">
        <v>44492</v>
      </c>
      <c r="BR109" s="244"/>
      <c r="BS109" s="244"/>
      <c r="BT109" s="241"/>
      <c r="BU109" s="241"/>
      <c r="BV109" s="241"/>
      <c r="BW109" s="241"/>
      <c r="BX109" s="241"/>
      <c r="BY109" s="241"/>
      <c r="BZ109" s="241"/>
      <c r="CA109" s="241"/>
      <c r="CB109" s="241"/>
      <c r="CC109" s="241"/>
      <c r="CD109" s="241"/>
      <c r="CE109" s="241" t="e">
        <f>VLOOKUP(D109,[1]Sertifikasi!$B$4:$I$19,8,0)</f>
        <v>#N/A</v>
      </c>
      <c r="CF109" s="13"/>
      <c r="CG109" s="13"/>
      <c r="CH109" s="13"/>
    </row>
    <row r="110" spans="1:86" ht="11.25" customHeight="1" x14ac:dyDescent="0.2">
      <c r="A110" s="13"/>
      <c r="B110" s="238">
        <v>106</v>
      </c>
      <c r="C110" s="241" t="e">
        <f t="shared" ref="C110:C126" ca="1" si="17">DATEDIF($E$3,P110,"D")</f>
        <v>#NUM!</v>
      </c>
      <c r="D110" s="237" t="s">
        <v>1676</v>
      </c>
      <c r="E110" s="239">
        <v>641806159</v>
      </c>
      <c r="F110" s="237">
        <v>1710004289552</v>
      </c>
      <c r="G110" s="240"/>
      <c r="H110" s="241" t="s">
        <v>217</v>
      </c>
      <c r="I110" s="241" t="s">
        <v>217</v>
      </c>
      <c r="J110" s="242">
        <v>43255</v>
      </c>
      <c r="K110" s="241"/>
      <c r="L110" s="241"/>
      <c r="M110" s="241" t="str">
        <f t="shared" ref="M110:M139" si="18">IF(LEFT(E110,2)="99","ORGANIK INKA",IF(LEFT(E110,2)="97","ORGANIK IMSS",IF(LEFT(E110,2)="75","Capeg",IF(LEFT(E110,2)="64","PKWT","Resign"))))</f>
        <v>PKWT</v>
      </c>
      <c r="N110" s="241" t="s">
        <v>187</v>
      </c>
      <c r="O110" s="241"/>
      <c r="P110" s="243">
        <v>45812</v>
      </c>
      <c r="Q110" s="241"/>
      <c r="R110" s="241" t="s">
        <v>206</v>
      </c>
      <c r="S110" s="241" t="s">
        <v>6863</v>
      </c>
      <c r="T110" s="241" t="s">
        <v>312</v>
      </c>
      <c r="U110" s="241" t="s">
        <v>24</v>
      </c>
      <c r="V110" s="241" t="s">
        <v>443</v>
      </c>
      <c r="W110" s="241" t="s">
        <v>175</v>
      </c>
      <c r="X110" s="241" t="s">
        <v>121</v>
      </c>
      <c r="Y110" s="241" t="s">
        <v>313</v>
      </c>
      <c r="Z110" s="241"/>
      <c r="AA110" s="241" t="s">
        <v>337</v>
      </c>
      <c r="AB110" s="241" t="s">
        <v>314</v>
      </c>
      <c r="AC110" s="241" t="s">
        <v>217</v>
      </c>
      <c r="AD110" s="245">
        <v>35390</v>
      </c>
      <c r="AE110" s="241">
        <f t="shared" ca="1" si="10"/>
        <v>28</v>
      </c>
      <c r="AF110" s="246" t="s">
        <v>1677</v>
      </c>
      <c r="AG110" s="241" t="s">
        <v>1678</v>
      </c>
      <c r="AH110" s="240" t="s">
        <v>1679</v>
      </c>
      <c r="AI110" s="240" t="s">
        <v>1680</v>
      </c>
      <c r="AJ110" s="240"/>
      <c r="AK110" s="241" t="s">
        <v>1681</v>
      </c>
      <c r="AL110" s="246" t="s">
        <v>1682</v>
      </c>
      <c r="AM110" s="246">
        <v>18041757131</v>
      </c>
      <c r="AN110" s="241" t="s">
        <v>4733</v>
      </c>
      <c r="AO110" s="241" t="s">
        <v>1683</v>
      </c>
      <c r="AP110" s="241"/>
      <c r="AQ110" s="241"/>
      <c r="AR110" s="241"/>
      <c r="AS110" s="241"/>
      <c r="AT110" s="241" t="s">
        <v>1684</v>
      </c>
      <c r="AU110" s="241" t="s">
        <v>1685</v>
      </c>
      <c r="AV110" s="241" t="s">
        <v>1686</v>
      </c>
      <c r="AW110" s="241" t="s">
        <v>1687</v>
      </c>
      <c r="AX110" s="241">
        <f t="shared" si="11"/>
        <v>0</v>
      </c>
      <c r="AY110" s="241" t="str">
        <f t="shared" si="12"/>
        <v>K/0</v>
      </c>
      <c r="AZ110" s="241" t="s">
        <v>1688</v>
      </c>
      <c r="BA110" s="237">
        <v>744875790621000</v>
      </c>
      <c r="BB110" s="241" t="s">
        <v>161</v>
      </c>
      <c r="BC110" s="241" t="s">
        <v>349</v>
      </c>
      <c r="BD110" s="241" t="s">
        <v>91</v>
      </c>
      <c r="BE110" s="241" t="s">
        <v>775</v>
      </c>
      <c r="BF110" s="241">
        <v>2015</v>
      </c>
      <c r="BG110" s="241" t="s">
        <v>475</v>
      </c>
      <c r="BH110" s="241" t="s">
        <v>91</v>
      </c>
      <c r="BI110" s="241" t="s">
        <v>775</v>
      </c>
      <c r="BJ110" s="241">
        <v>2015</v>
      </c>
      <c r="BK110" s="247"/>
      <c r="BL110" s="247"/>
      <c r="BM110" s="241" t="s">
        <v>351</v>
      </c>
      <c r="BN110" s="241">
        <v>32</v>
      </c>
      <c r="BO110" s="241">
        <v>42</v>
      </c>
      <c r="BP110" s="244"/>
      <c r="BQ110" s="244"/>
      <c r="BR110" s="244">
        <v>44674</v>
      </c>
      <c r="BS110" s="244"/>
      <c r="BT110" s="241"/>
      <c r="BU110" s="241"/>
      <c r="BV110" s="241"/>
      <c r="BW110" s="241"/>
      <c r="BX110" s="241"/>
      <c r="BY110" s="241"/>
      <c r="BZ110" s="241"/>
      <c r="CA110" s="241"/>
      <c r="CB110" s="241"/>
      <c r="CC110" s="241"/>
      <c r="CD110" s="241"/>
      <c r="CE110" s="241" t="e">
        <f>VLOOKUP(D110,[1]Sertifikasi!$B$4:$I$19,8,0)</f>
        <v>#N/A</v>
      </c>
      <c r="CF110" s="13"/>
      <c r="CG110" s="13"/>
      <c r="CH110" s="13"/>
    </row>
    <row r="111" spans="1:86" ht="11.25" customHeight="1" x14ac:dyDescent="0.2">
      <c r="A111" s="13"/>
      <c r="B111" s="238">
        <v>107</v>
      </c>
      <c r="C111" s="241" t="e">
        <f t="shared" ca="1" si="17"/>
        <v>#NUM!</v>
      </c>
      <c r="D111" s="237" t="s">
        <v>1689</v>
      </c>
      <c r="E111" s="239">
        <v>641806155</v>
      </c>
      <c r="F111" s="237">
        <v>1710004289610</v>
      </c>
      <c r="G111" s="240"/>
      <c r="H111" s="241" t="s">
        <v>217</v>
      </c>
      <c r="I111" s="241" t="s">
        <v>311</v>
      </c>
      <c r="J111" s="242">
        <v>43255</v>
      </c>
      <c r="K111" s="241"/>
      <c r="L111" s="241"/>
      <c r="M111" s="241" t="str">
        <f t="shared" si="18"/>
        <v>PKWT</v>
      </c>
      <c r="N111" s="241" t="s">
        <v>187</v>
      </c>
      <c r="O111" s="241"/>
      <c r="P111" s="243">
        <v>45657</v>
      </c>
      <c r="Q111" s="241"/>
      <c r="R111" s="241" t="s">
        <v>206</v>
      </c>
      <c r="S111" s="241" t="s">
        <v>6863</v>
      </c>
      <c r="T111" s="241" t="s">
        <v>312</v>
      </c>
      <c r="U111" s="241" t="s">
        <v>23</v>
      </c>
      <c r="V111" s="241" t="s">
        <v>204</v>
      </c>
      <c r="W111" s="241" t="s">
        <v>629</v>
      </c>
      <c r="X111" s="241" t="s">
        <v>121</v>
      </c>
      <c r="Y111" s="241" t="s">
        <v>313</v>
      </c>
      <c r="Z111" s="241" t="s">
        <v>445</v>
      </c>
      <c r="AA111" s="241" t="s">
        <v>337</v>
      </c>
      <c r="AB111" s="241" t="s">
        <v>314</v>
      </c>
      <c r="AC111" s="241" t="s">
        <v>1690</v>
      </c>
      <c r="AD111" s="245">
        <v>33683</v>
      </c>
      <c r="AE111" s="241">
        <f t="shared" ca="1" si="10"/>
        <v>33</v>
      </c>
      <c r="AF111" s="246" t="s">
        <v>1691</v>
      </c>
      <c r="AG111" s="241" t="s">
        <v>1692</v>
      </c>
      <c r="AH111" s="240" t="s">
        <v>1693</v>
      </c>
      <c r="AI111" s="240" t="s">
        <v>1694</v>
      </c>
      <c r="AJ111" s="240"/>
      <c r="AK111" s="241" t="s">
        <v>1695</v>
      </c>
      <c r="AL111" s="246" t="s">
        <v>1696</v>
      </c>
      <c r="AM111" s="246">
        <v>18041757198</v>
      </c>
      <c r="AN111" s="241" t="s">
        <v>4733</v>
      </c>
      <c r="AO111" s="241" t="s">
        <v>1697</v>
      </c>
      <c r="AP111" s="241" t="s">
        <v>1698</v>
      </c>
      <c r="AQ111" s="241"/>
      <c r="AR111" s="241"/>
      <c r="AS111" s="241"/>
      <c r="AT111" s="241" t="s">
        <v>306</v>
      </c>
      <c r="AU111" s="241" t="s">
        <v>306</v>
      </c>
      <c r="AV111" s="241" t="s">
        <v>306</v>
      </c>
      <c r="AW111" s="241" t="s">
        <v>306</v>
      </c>
      <c r="AX111" s="241">
        <f t="shared" si="11"/>
        <v>1</v>
      </c>
      <c r="AY111" s="241" t="str">
        <f t="shared" si="12"/>
        <v>K/1</v>
      </c>
      <c r="AZ111" s="241"/>
      <c r="BA111" s="237"/>
      <c r="BB111" s="241" t="s">
        <v>161</v>
      </c>
      <c r="BC111" s="241" t="s">
        <v>70</v>
      </c>
      <c r="BD111" s="241" t="s">
        <v>91</v>
      </c>
      <c r="BE111" s="241" t="s">
        <v>402</v>
      </c>
      <c r="BF111" s="241">
        <v>2016</v>
      </c>
      <c r="BG111" s="241" t="s">
        <v>70</v>
      </c>
      <c r="BH111" s="241" t="s">
        <v>91</v>
      </c>
      <c r="BI111" s="241" t="s">
        <v>402</v>
      </c>
      <c r="BJ111" s="241">
        <v>2016</v>
      </c>
      <c r="BK111" s="247"/>
      <c r="BL111" s="247"/>
      <c r="BM111" s="241" t="s">
        <v>1699</v>
      </c>
      <c r="BN111" s="241">
        <v>45</v>
      </c>
      <c r="BO111" s="241">
        <v>44</v>
      </c>
      <c r="BP111" s="244">
        <v>44293</v>
      </c>
      <c r="BQ111" s="244">
        <v>44322</v>
      </c>
      <c r="BR111" s="244"/>
      <c r="BS111" s="244"/>
      <c r="BT111" s="241"/>
      <c r="BU111" s="241"/>
      <c r="BV111" s="241"/>
      <c r="BW111" s="241"/>
      <c r="BX111" s="241"/>
      <c r="BY111" s="241"/>
      <c r="BZ111" s="241"/>
      <c r="CA111" s="241"/>
      <c r="CB111" s="241"/>
      <c r="CC111" s="241"/>
      <c r="CD111" s="241"/>
      <c r="CE111" s="241" t="str">
        <f>VLOOKUP(D111,[1]Sertifikasi!$B$4:$I$19,8,0)</f>
        <v>Pembinaan Dan Sertifikasi Calon Ahli K3 Umum</v>
      </c>
      <c r="CF111" s="13"/>
      <c r="CG111" s="13"/>
      <c r="CH111" s="13"/>
    </row>
    <row r="112" spans="1:86" ht="11.25" customHeight="1" x14ac:dyDescent="0.2">
      <c r="A112" s="13"/>
      <c r="B112" s="238">
        <v>108</v>
      </c>
      <c r="C112" s="241" t="e">
        <f t="shared" ca="1" si="17"/>
        <v>#NUM!</v>
      </c>
      <c r="D112" s="237" t="s">
        <v>1700</v>
      </c>
      <c r="E112" s="239">
        <v>641806160</v>
      </c>
      <c r="F112" s="237">
        <v>1710004289701</v>
      </c>
      <c r="G112" s="240"/>
      <c r="H112" s="241" t="s">
        <v>217</v>
      </c>
      <c r="I112" s="241" t="s">
        <v>217</v>
      </c>
      <c r="J112" s="242">
        <v>43255</v>
      </c>
      <c r="K112" s="241"/>
      <c r="L112" s="241"/>
      <c r="M112" s="241" t="str">
        <f t="shared" si="18"/>
        <v>PKWT</v>
      </c>
      <c r="N112" s="241" t="s">
        <v>187</v>
      </c>
      <c r="O112" s="241"/>
      <c r="P112" s="243">
        <v>45812</v>
      </c>
      <c r="Q112" s="241"/>
      <c r="R112" s="241" t="s">
        <v>206</v>
      </c>
      <c r="S112" s="241" t="s">
        <v>6863</v>
      </c>
      <c r="T112" s="241" t="s">
        <v>312</v>
      </c>
      <c r="U112" s="241" t="s">
        <v>24</v>
      </c>
      <c r="V112" s="241" t="s">
        <v>443</v>
      </c>
      <c r="W112" s="241" t="s">
        <v>175</v>
      </c>
      <c r="X112" s="241" t="s">
        <v>121</v>
      </c>
      <c r="Y112" s="241" t="s">
        <v>313</v>
      </c>
      <c r="Z112" s="241"/>
      <c r="AA112" s="241" t="s">
        <v>337</v>
      </c>
      <c r="AB112" s="241" t="s">
        <v>314</v>
      </c>
      <c r="AC112" s="241" t="s">
        <v>217</v>
      </c>
      <c r="AD112" s="245">
        <v>35863</v>
      </c>
      <c r="AE112" s="241">
        <f t="shared" ca="1" si="10"/>
        <v>27</v>
      </c>
      <c r="AF112" s="246" t="s">
        <v>1701</v>
      </c>
      <c r="AG112" s="241" t="s">
        <v>1702</v>
      </c>
      <c r="AH112" s="240" t="s">
        <v>1703</v>
      </c>
      <c r="AI112" s="240"/>
      <c r="AJ112" s="240"/>
      <c r="AK112" s="241" t="s">
        <v>1704</v>
      </c>
      <c r="AL112" s="246" t="s">
        <v>1705</v>
      </c>
      <c r="AM112" s="246">
        <v>18041757156</v>
      </c>
      <c r="AN112" s="241" t="s">
        <v>4716</v>
      </c>
      <c r="AO112" s="241"/>
      <c r="AP112" s="241"/>
      <c r="AQ112" s="241"/>
      <c r="AR112" s="241"/>
      <c r="AS112" s="241"/>
      <c r="AT112" s="241" t="s">
        <v>306</v>
      </c>
      <c r="AU112" s="241" t="s">
        <v>306</v>
      </c>
      <c r="AV112" s="241" t="s">
        <v>306</v>
      </c>
      <c r="AW112" s="241" t="s">
        <v>306</v>
      </c>
      <c r="AX112" s="241">
        <f t="shared" si="11"/>
        <v>0</v>
      </c>
      <c r="AY112" s="241" t="str">
        <f t="shared" si="12"/>
        <v>TK/0</v>
      </c>
      <c r="AZ112" s="241"/>
      <c r="BA112" s="237"/>
      <c r="BB112" s="241" t="s">
        <v>161</v>
      </c>
      <c r="BC112" s="241" t="s">
        <v>349</v>
      </c>
      <c r="BD112" s="241" t="s">
        <v>515</v>
      </c>
      <c r="BE112" s="241" t="s">
        <v>1274</v>
      </c>
      <c r="BF112" s="241">
        <v>2017</v>
      </c>
      <c r="BG112" s="241" t="s">
        <v>475</v>
      </c>
      <c r="BH112" s="241" t="s">
        <v>515</v>
      </c>
      <c r="BI112" s="241" t="s">
        <v>1274</v>
      </c>
      <c r="BJ112" s="241">
        <v>2017</v>
      </c>
      <c r="BK112" s="247"/>
      <c r="BL112" s="247"/>
      <c r="BM112" s="241" t="s">
        <v>351</v>
      </c>
      <c r="BN112" s="241">
        <v>30</v>
      </c>
      <c r="BO112" s="241">
        <v>42</v>
      </c>
      <c r="BP112" s="244"/>
      <c r="BQ112" s="244"/>
      <c r="BR112" s="244"/>
      <c r="BS112" s="244"/>
      <c r="BT112" s="241"/>
      <c r="BU112" s="241"/>
      <c r="BV112" s="241"/>
      <c r="BW112" s="241"/>
      <c r="BX112" s="241"/>
      <c r="BY112" s="241"/>
      <c r="BZ112" s="241"/>
      <c r="CA112" s="241"/>
      <c r="CB112" s="241"/>
      <c r="CC112" s="241"/>
      <c r="CD112" s="241"/>
      <c r="CE112" s="241" t="e">
        <f>VLOOKUP(D112,[1]Sertifikasi!$B$4:$I$19,8,0)</f>
        <v>#N/A</v>
      </c>
      <c r="CF112" s="13"/>
      <c r="CG112" s="13"/>
      <c r="CH112" s="13"/>
    </row>
    <row r="113" spans="1:86" ht="11.25" customHeight="1" x14ac:dyDescent="0.2">
      <c r="A113" s="13"/>
      <c r="B113" s="238">
        <v>109</v>
      </c>
      <c r="C113" s="241" t="e">
        <f t="shared" ca="1" si="17"/>
        <v>#NUM!</v>
      </c>
      <c r="D113" s="237" t="s">
        <v>1706</v>
      </c>
      <c r="E113" s="239">
        <v>641806157</v>
      </c>
      <c r="F113" s="237">
        <v>1710004289644</v>
      </c>
      <c r="G113" s="240"/>
      <c r="H113" s="241" t="s">
        <v>217</v>
      </c>
      <c r="I113" s="241" t="s">
        <v>217</v>
      </c>
      <c r="J113" s="242">
        <v>43255</v>
      </c>
      <c r="K113" s="241"/>
      <c r="L113" s="241"/>
      <c r="M113" s="241" t="str">
        <f t="shared" si="18"/>
        <v>PKWT</v>
      </c>
      <c r="N113" s="241" t="s">
        <v>187</v>
      </c>
      <c r="O113" s="241"/>
      <c r="P113" s="243">
        <v>45447</v>
      </c>
      <c r="Q113" s="241"/>
      <c r="R113" s="241" t="s">
        <v>206</v>
      </c>
      <c r="S113" s="241" t="s">
        <v>6863</v>
      </c>
      <c r="T113" s="241" t="s">
        <v>312</v>
      </c>
      <c r="U113" s="241" t="s">
        <v>24</v>
      </c>
      <c r="V113" s="241" t="s">
        <v>443</v>
      </c>
      <c r="W113" s="241" t="s">
        <v>175</v>
      </c>
      <c r="X113" s="241" t="s">
        <v>121</v>
      </c>
      <c r="Y113" s="241" t="s">
        <v>313</v>
      </c>
      <c r="Z113" s="241"/>
      <c r="AA113" s="241" t="s">
        <v>337</v>
      </c>
      <c r="AB113" s="241" t="s">
        <v>314</v>
      </c>
      <c r="AC113" s="241" t="s">
        <v>217</v>
      </c>
      <c r="AD113" s="245">
        <v>35916</v>
      </c>
      <c r="AE113" s="241">
        <f t="shared" ca="1" si="10"/>
        <v>27</v>
      </c>
      <c r="AF113" s="246" t="s">
        <v>1707</v>
      </c>
      <c r="AG113" s="241" t="s">
        <v>1708</v>
      </c>
      <c r="AH113" s="240" t="s">
        <v>1709</v>
      </c>
      <c r="AI113" s="240" t="s">
        <v>1710</v>
      </c>
      <c r="AJ113" s="240"/>
      <c r="AK113" s="241" t="s">
        <v>1711</v>
      </c>
      <c r="AL113" s="246" t="s">
        <v>1712</v>
      </c>
      <c r="AM113" s="246">
        <v>18041757115</v>
      </c>
      <c r="AN113" s="241" t="s">
        <v>4733</v>
      </c>
      <c r="AO113" s="241" t="s">
        <v>1713</v>
      </c>
      <c r="AP113" s="241"/>
      <c r="AQ113" s="241"/>
      <c r="AR113" s="241"/>
      <c r="AS113" s="241"/>
      <c r="AT113" s="241" t="s">
        <v>1714</v>
      </c>
      <c r="AU113" s="241" t="s">
        <v>1715</v>
      </c>
      <c r="AV113" s="241" t="s">
        <v>1716</v>
      </c>
      <c r="AW113" s="241" t="s">
        <v>1717</v>
      </c>
      <c r="AX113" s="241">
        <f t="shared" si="11"/>
        <v>0</v>
      </c>
      <c r="AY113" s="241" t="str">
        <f t="shared" si="12"/>
        <v>K/0</v>
      </c>
      <c r="AZ113" s="241" t="s">
        <v>1718</v>
      </c>
      <c r="BA113" s="237" t="s">
        <v>1718</v>
      </c>
      <c r="BB113" s="241" t="s">
        <v>161</v>
      </c>
      <c r="BC113" s="241" t="s">
        <v>349</v>
      </c>
      <c r="BD113" s="241" t="s">
        <v>515</v>
      </c>
      <c r="BE113" s="241" t="s">
        <v>350</v>
      </c>
      <c r="BF113" s="241">
        <v>2017</v>
      </c>
      <c r="BG113" s="241" t="s">
        <v>475</v>
      </c>
      <c r="BH113" s="241" t="s">
        <v>515</v>
      </c>
      <c r="BI113" s="241" t="s">
        <v>350</v>
      </c>
      <c r="BJ113" s="241">
        <v>2017</v>
      </c>
      <c r="BK113" s="247"/>
      <c r="BL113" s="247"/>
      <c r="BM113" s="241" t="s">
        <v>351</v>
      </c>
      <c r="BN113" s="241">
        <v>29</v>
      </c>
      <c r="BO113" s="241">
        <v>39</v>
      </c>
      <c r="BP113" s="244">
        <v>44293</v>
      </c>
      <c r="BQ113" s="244">
        <v>44322</v>
      </c>
      <c r="BR113" s="244"/>
      <c r="BS113" s="244"/>
      <c r="BT113" s="241"/>
      <c r="BU113" s="241"/>
      <c r="BV113" s="241"/>
      <c r="BW113" s="241"/>
      <c r="BX113" s="241"/>
      <c r="BY113" s="241"/>
      <c r="BZ113" s="241"/>
      <c r="CA113" s="241"/>
      <c r="CB113" s="241"/>
      <c r="CC113" s="241"/>
      <c r="CD113" s="241"/>
      <c r="CE113" s="241" t="e">
        <f>VLOOKUP(D113,[1]Sertifikasi!$B$4:$I$19,8,0)</f>
        <v>#N/A</v>
      </c>
      <c r="CF113" s="13"/>
      <c r="CG113" s="13"/>
      <c r="CH113" s="13"/>
    </row>
    <row r="114" spans="1:86" ht="11.25" customHeight="1" x14ac:dyDescent="0.2">
      <c r="A114" s="13"/>
      <c r="B114" s="238">
        <v>110</v>
      </c>
      <c r="C114" s="241" t="e">
        <f t="shared" ca="1" si="17"/>
        <v>#NUM!</v>
      </c>
      <c r="D114" s="237" t="s">
        <v>1719</v>
      </c>
      <c r="E114" s="239">
        <v>641806156</v>
      </c>
      <c r="F114" s="237">
        <v>1710004289651</v>
      </c>
      <c r="G114" s="240"/>
      <c r="H114" s="241" t="s">
        <v>24</v>
      </c>
      <c r="I114" s="241" t="s">
        <v>33</v>
      </c>
      <c r="J114" s="242">
        <v>43255</v>
      </c>
      <c r="K114" s="241"/>
      <c r="L114" s="241"/>
      <c r="M114" s="241" t="str">
        <f t="shared" si="18"/>
        <v>PKWT</v>
      </c>
      <c r="N114" s="241" t="s">
        <v>187</v>
      </c>
      <c r="O114" s="241"/>
      <c r="P114" s="243">
        <v>45657</v>
      </c>
      <c r="Q114" s="241"/>
      <c r="R114" s="241" t="s">
        <v>206</v>
      </c>
      <c r="S114" s="241" t="s">
        <v>6863</v>
      </c>
      <c r="T114" s="241" t="s">
        <v>312</v>
      </c>
      <c r="U114" s="241" t="s">
        <v>28</v>
      </c>
      <c r="V114" s="241" t="s">
        <v>461</v>
      </c>
      <c r="W114" s="241" t="s">
        <v>129</v>
      </c>
      <c r="X114" s="241" t="s">
        <v>122</v>
      </c>
      <c r="Y114" s="241" t="s">
        <v>313</v>
      </c>
      <c r="Z114" s="241" t="s">
        <v>462</v>
      </c>
      <c r="AA114" s="241" t="s">
        <v>337</v>
      </c>
      <c r="AB114" s="241" t="s">
        <v>314</v>
      </c>
      <c r="AC114" s="241" t="s">
        <v>1720</v>
      </c>
      <c r="AD114" s="245">
        <v>34283</v>
      </c>
      <c r="AE114" s="241">
        <f t="shared" ca="1" si="10"/>
        <v>31</v>
      </c>
      <c r="AF114" s="246" t="s">
        <v>1721</v>
      </c>
      <c r="AG114" s="241" t="s">
        <v>1722</v>
      </c>
      <c r="AH114" s="240" t="s">
        <v>1723</v>
      </c>
      <c r="AI114" s="240"/>
      <c r="AJ114" s="240"/>
      <c r="AK114" s="241" t="s">
        <v>1724</v>
      </c>
      <c r="AL114" s="246" t="s">
        <v>1725</v>
      </c>
      <c r="AM114" s="246">
        <v>18041757180</v>
      </c>
      <c r="AN114" s="241" t="s">
        <v>4733</v>
      </c>
      <c r="AO114" s="241" t="s">
        <v>1726</v>
      </c>
      <c r="AP114" s="241"/>
      <c r="AQ114" s="241"/>
      <c r="AR114" s="241"/>
      <c r="AS114" s="241"/>
      <c r="AT114" s="241" t="s">
        <v>1727</v>
      </c>
      <c r="AU114" s="241" t="s">
        <v>1728</v>
      </c>
      <c r="AV114" s="241" t="s">
        <v>1729</v>
      </c>
      <c r="AW114" s="241" t="s">
        <v>1730</v>
      </c>
      <c r="AX114" s="241">
        <f t="shared" si="11"/>
        <v>0</v>
      </c>
      <c r="AY114" s="241" t="str">
        <f t="shared" si="12"/>
        <v>K/0</v>
      </c>
      <c r="AZ114" s="241" t="s">
        <v>1731</v>
      </c>
      <c r="BA114" s="237" t="s">
        <v>1731</v>
      </c>
      <c r="BB114" s="241" t="s">
        <v>161</v>
      </c>
      <c r="BC114" s="241" t="s">
        <v>349</v>
      </c>
      <c r="BD114" s="241" t="s">
        <v>515</v>
      </c>
      <c r="BE114" s="241" t="s">
        <v>1732</v>
      </c>
      <c r="BF114" s="241">
        <v>2012</v>
      </c>
      <c r="BG114" s="241" t="s">
        <v>475</v>
      </c>
      <c r="BH114" s="241" t="s">
        <v>515</v>
      </c>
      <c r="BI114" s="241" t="s">
        <v>1732</v>
      </c>
      <c r="BJ114" s="241">
        <v>2012</v>
      </c>
      <c r="BK114" s="247"/>
      <c r="BL114" s="247"/>
      <c r="BM114" s="241" t="s">
        <v>339</v>
      </c>
      <c r="BN114" s="241">
        <v>36</v>
      </c>
      <c r="BO114" s="241">
        <v>44</v>
      </c>
      <c r="BP114" s="244"/>
      <c r="BQ114" s="244"/>
      <c r="BR114" s="244"/>
      <c r="BS114" s="244"/>
      <c r="BT114" s="241"/>
      <c r="BU114" s="241"/>
      <c r="BV114" s="241"/>
      <c r="BW114" s="241"/>
      <c r="BX114" s="241"/>
      <c r="BY114" s="241"/>
      <c r="BZ114" s="241"/>
      <c r="CA114" s="241"/>
      <c r="CB114" s="241"/>
      <c r="CC114" s="241"/>
      <c r="CD114" s="241"/>
      <c r="CE114" s="241" t="e">
        <f>VLOOKUP(D114,[1]Sertifikasi!$B$4:$I$19,8,0)</f>
        <v>#N/A</v>
      </c>
      <c r="CF114" s="13"/>
      <c r="CG114" s="13"/>
      <c r="CH114" s="13"/>
    </row>
    <row r="115" spans="1:86" ht="11.25" customHeight="1" x14ac:dyDescent="0.2">
      <c r="A115" s="13"/>
      <c r="B115" s="238">
        <v>111</v>
      </c>
      <c r="C115" s="241" t="e">
        <f t="shared" ca="1" si="17"/>
        <v>#NUM!</v>
      </c>
      <c r="D115" s="237" t="s">
        <v>1733</v>
      </c>
      <c r="E115" s="239">
        <v>641807163</v>
      </c>
      <c r="F115" s="237">
        <v>1710004387554</v>
      </c>
      <c r="G115" s="240"/>
      <c r="H115" s="241" t="s">
        <v>217</v>
      </c>
      <c r="I115" s="241" t="s">
        <v>311</v>
      </c>
      <c r="J115" s="242">
        <v>43282</v>
      </c>
      <c r="K115" s="241"/>
      <c r="L115" s="241"/>
      <c r="M115" s="241" t="str">
        <f t="shared" si="18"/>
        <v>PKWT</v>
      </c>
      <c r="N115" s="241" t="s">
        <v>187</v>
      </c>
      <c r="O115" s="241"/>
      <c r="P115" s="243">
        <v>45475</v>
      </c>
      <c r="Q115" s="241"/>
      <c r="R115" s="241" t="s">
        <v>206</v>
      </c>
      <c r="S115" s="241" t="s">
        <v>6863</v>
      </c>
      <c r="T115" s="241" t="s">
        <v>312</v>
      </c>
      <c r="U115" s="241" t="s">
        <v>25</v>
      </c>
      <c r="V115" s="241" t="s">
        <v>443</v>
      </c>
      <c r="W115" s="241" t="s">
        <v>748</v>
      </c>
      <c r="X115" s="241" t="s">
        <v>121</v>
      </c>
      <c r="Y115" s="241" t="s">
        <v>313</v>
      </c>
      <c r="Z115" s="241"/>
      <c r="AA115" s="241" t="s">
        <v>337</v>
      </c>
      <c r="AB115" s="241" t="s">
        <v>314</v>
      </c>
      <c r="AC115" s="241" t="s">
        <v>311</v>
      </c>
      <c r="AD115" s="245">
        <v>36404</v>
      </c>
      <c r="AE115" s="241">
        <f t="shared" ca="1" si="10"/>
        <v>26</v>
      </c>
      <c r="AF115" s="246" t="s">
        <v>1734</v>
      </c>
      <c r="AG115" s="241" t="s">
        <v>1735</v>
      </c>
      <c r="AH115" s="240" t="s">
        <v>1736</v>
      </c>
      <c r="AI115" s="240"/>
      <c r="AJ115" s="240"/>
      <c r="AK115" s="250" t="s">
        <v>1737</v>
      </c>
      <c r="AL115" s="246" t="s">
        <v>1738</v>
      </c>
      <c r="AM115" s="246">
        <v>18056171947</v>
      </c>
      <c r="AN115" s="241" t="s">
        <v>4716</v>
      </c>
      <c r="AO115" s="241"/>
      <c r="AP115" s="241"/>
      <c r="AQ115" s="241"/>
      <c r="AR115" s="241"/>
      <c r="AS115" s="241"/>
      <c r="AT115" s="241" t="s">
        <v>1739</v>
      </c>
      <c r="AU115" s="241" t="s">
        <v>1740</v>
      </c>
      <c r="AV115" s="241" t="s">
        <v>306</v>
      </c>
      <c r="AW115" s="241" t="s">
        <v>306</v>
      </c>
      <c r="AX115" s="241">
        <f t="shared" si="11"/>
        <v>0</v>
      </c>
      <c r="AY115" s="241" t="str">
        <f t="shared" si="12"/>
        <v>TK/0</v>
      </c>
      <c r="AZ115" s="241" t="s">
        <v>1741</v>
      </c>
      <c r="BA115" s="237" t="s">
        <v>1741</v>
      </c>
      <c r="BB115" s="241" t="s">
        <v>161</v>
      </c>
      <c r="BC115" s="241" t="s">
        <v>349</v>
      </c>
      <c r="BD115" s="241" t="s">
        <v>1742</v>
      </c>
      <c r="BE115" s="241" t="s">
        <v>327</v>
      </c>
      <c r="BF115" s="241">
        <v>2017</v>
      </c>
      <c r="BG115" s="241" t="s">
        <v>475</v>
      </c>
      <c r="BH115" s="241" t="s">
        <v>1742</v>
      </c>
      <c r="BI115" s="241" t="s">
        <v>327</v>
      </c>
      <c r="BJ115" s="241">
        <v>2017</v>
      </c>
      <c r="BK115" s="247"/>
      <c r="BL115" s="247"/>
      <c r="BM115" s="241" t="s">
        <v>351</v>
      </c>
      <c r="BN115" s="241">
        <v>30</v>
      </c>
      <c r="BO115" s="241">
        <v>42</v>
      </c>
      <c r="BP115" s="244">
        <v>44390</v>
      </c>
      <c r="BQ115" s="244"/>
      <c r="BR115" s="244">
        <v>44663</v>
      </c>
      <c r="BS115" s="244"/>
      <c r="BT115" s="241"/>
      <c r="BU115" s="241"/>
      <c r="BV115" s="241"/>
      <c r="BW115" s="241"/>
      <c r="BX115" s="241"/>
      <c r="BY115" s="241"/>
      <c r="BZ115" s="241"/>
      <c r="CA115" s="241"/>
      <c r="CB115" s="241"/>
      <c r="CC115" s="241"/>
      <c r="CD115" s="241"/>
      <c r="CE115" s="241" t="e">
        <f>VLOOKUP(D115,[1]Sertifikasi!$B$4:$I$19,8,0)</f>
        <v>#N/A</v>
      </c>
      <c r="CF115" s="13"/>
      <c r="CG115" s="13"/>
      <c r="CH115" s="13"/>
    </row>
    <row r="116" spans="1:86" ht="11.25" customHeight="1" x14ac:dyDescent="0.2">
      <c r="A116" s="13"/>
      <c r="B116" s="238">
        <v>112</v>
      </c>
      <c r="C116" s="241" t="e">
        <f t="shared" ca="1" si="17"/>
        <v>#NUM!</v>
      </c>
      <c r="D116" s="237" t="s">
        <v>1743</v>
      </c>
      <c r="E116" s="239">
        <v>641807169</v>
      </c>
      <c r="F116" s="237">
        <v>1710004387588</v>
      </c>
      <c r="G116" s="240"/>
      <c r="H116" s="241" t="s">
        <v>217</v>
      </c>
      <c r="I116" s="241" t="s">
        <v>217</v>
      </c>
      <c r="J116" s="242">
        <v>43282</v>
      </c>
      <c r="K116" s="241"/>
      <c r="L116" s="241"/>
      <c r="M116" s="241" t="str">
        <f t="shared" si="18"/>
        <v>PKWT</v>
      </c>
      <c r="N116" s="241" t="s">
        <v>187</v>
      </c>
      <c r="O116" s="241"/>
      <c r="P116" s="243">
        <v>45657</v>
      </c>
      <c r="Q116" s="241"/>
      <c r="R116" s="241" t="s">
        <v>206</v>
      </c>
      <c r="S116" s="241" t="s">
        <v>6863</v>
      </c>
      <c r="T116" s="241" t="s">
        <v>312</v>
      </c>
      <c r="U116" s="241" t="s">
        <v>28</v>
      </c>
      <c r="V116" s="241" t="s">
        <v>461</v>
      </c>
      <c r="W116" s="241" t="s">
        <v>129</v>
      </c>
      <c r="X116" s="241" t="s">
        <v>122</v>
      </c>
      <c r="Y116" s="241" t="s">
        <v>313</v>
      </c>
      <c r="Z116" s="241" t="s">
        <v>462</v>
      </c>
      <c r="AA116" s="241" t="s">
        <v>337</v>
      </c>
      <c r="AB116" s="241" t="s">
        <v>314</v>
      </c>
      <c r="AC116" s="241" t="s">
        <v>1744</v>
      </c>
      <c r="AD116" s="245">
        <v>36346</v>
      </c>
      <c r="AE116" s="241">
        <f t="shared" ca="1" si="10"/>
        <v>26</v>
      </c>
      <c r="AF116" s="246" t="s">
        <v>1745</v>
      </c>
      <c r="AG116" s="241" t="s">
        <v>1746</v>
      </c>
      <c r="AH116" s="240" t="s">
        <v>1747</v>
      </c>
      <c r="AI116" s="240"/>
      <c r="AJ116" s="240"/>
      <c r="AK116" s="241" t="s">
        <v>1748</v>
      </c>
      <c r="AL116" s="246" t="s">
        <v>1749</v>
      </c>
      <c r="AM116" s="246">
        <v>18056172036</v>
      </c>
      <c r="AN116" s="241" t="s">
        <v>4716</v>
      </c>
      <c r="AO116" s="241"/>
      <c r="AP116" s="241"/>
      <c r="AQ116" s="241"/>
      <c r="AR116" s="241"/>
      <c r="AS116" s="241"/>
      <c r="AT116" s="241" t="s">
        <v>1750</v>
      </c>
      <c r="AU116" s="241" t="s">
        <v>1751</v>
      </c>
      <c r="AV116" s="241" t="s">
        <v>306</v>
      </c>
      <c r="AW116" s="241" t="s">
        <v>306</v>
      </c>
      <c r="AX116" s="241">
        <f t="shared" si="11"/>
        <v>0</v>
      </c>
      <c r="AY116" s="241" t="str">
        <f t="shared" si="12"/>
        <v>TK/0</v>
      </c>
      <c r="AZ116" s="241" t="s">
        <v>1752</v>
      </c>
      <c r="BA116" s="237" t="s">
        <v>1752</v>
      </c>
      <c r="BB116" s="241" t="s">
        <v>161</v>
      </c>
      <c r="BC116" s="241" t="s">
        <v>349</v>
      </c>
      <c r="BD116" s="241" t="s">
        <v>1742</v>
      </c>
      <c r="BE116" s="241" t="s">
        <v>516</v>
      </c>
      <c r="BF116" s="241">
        <v>2017</v>
      </c>
      <c r="BG116" s="241" t="s">
        <v>475</v>
      </c>
      <c r="BH116" s="241" t="s">
        <v>1742</v>
      </c>
      <c r="BI116" s="241" t="s">
        <v>516</v>
      </c>
      <c r="BJ116" s="241">
        <v>2017</v>
      </c>
      <c r="BK116" s="247"/>
      <c r="BL116" s="247"/>
      <c r="BM116" s="241" t="s">
        <v>351</v>
      </c>
      <c r="BN116" s="241">
        <v>30</v>
      </c>
      <c r="BO116" s="241">
        <v>41</v>
      </c>
      <c r="BP116" s="244"/>
      <c r="BQ116" s="244"/>
      <c r="BR116" s="244">
        <v>44648</v>
      </c>
      <c r="BS116" s="244"/>
      <c r="BT116" s="241"/>
      <c r="BU116" s="241"/>
      <c r="BV116" s="241"/>
      <c r="BW116" s="241"/>
      <c r="BX116" s="241"/>
      <c r="BY116" s="241"/>
      <c r="BZ116" s="241"/>
      <c r="CA116" s="241"/>
      <c r="CB116" s="241"/>
      <c r="CC116" s="241"/>
      <c r="CD116" s="241"/>
      <c r="CE116" s="241" t="e">
        <f>VLOOKUP(D116,[1]Sertifikasi!$B$4:$I$19,8,0)</f>
        <v>#N/A</v>
      </c>
      <c r="CF116" s="13"/>
      <c r="CG116" s="13"/>
      <c r="CH116" s="13"/>
    </row>
    <row r="117" spans="1:86" ht="11.25" customHeight="1" x14ac:dyDescent="0.2">
      <c r="A117" s="13"/>
      <c r="B117" s="238">
        <v>113</v>
      </c>
      <c r="C117" s="241" t="e">
        <f t="shared" ca="1" si="17"/>
        <v>#NUM!</v>
      </c>
      <c r="D117" s="237" t="s">
        <v>1753</v>
      </c>
      <c r="E117" s="239">
        <v>641807168</v>
      </c>
      <c r="F117" s="237">
        <v>1710004387539</v>
      </c>
      <c r="G117" s="240"/>
      <c r="H117" s="241" t="s">
        <v>217</v>
      </c>
      <c r="I117" s="241" t="s">
        <v>311</v>
      </c>
      <c r="J117" s="242">
        <v>43282</v>
      </c>
      <c r="K117" s="241"/>
      <c r="L117" s="241"/>
      <c r="M117" s="241" t="str">
        <f t="shared" si="18"/>
        <v>PKWT</v>
      </c>
      <c r="N117" s="241" t="s">
        <v>187</v>
      </c>
      <c r="O117" s="241"/>
      <c r="P117" s="243">
        <v>45657</v>
      </c>
      <c r="Q117" s="241"/>
      <c r="R117" s="241" t="s">
        <v>206</v>
      </c>
      <c r="S117" s="241" t="s">
        <v>6863</v>
      </c>
      <c r="T117" s="241" t="s">
        <v>312</v>
      </c>
      <c r="U117" s="241" t="s">
        <v>23</v>
      </c>
      <c r="V117" s="241" t="s">
        <v>443</v>
      </c>
      <c r="W117" s="241" t="s">
        <v>51</v>
      </c>
      <c r="X117" s="241" t="s">
        <v>121</v>
      </c>
      <c r="Y117" s="241" t="s">
        <v>313</v>
      </c>
      <c r="Z117" s="241"/>
      <c r="AA117" s="241" t="s">
        <v>337</v>
      </c>
      <c r="AB117" s="241" t="s">
        <v>314</v>
      </c>
      <c r="AC117" s="241" t="s">
        <v>311</v>
      </c>
      <c r="AD117" s="245">
        <v>34189</v>
      </c>
      <c r="AE117" s="241">
        <f t="shared" ca="1" si="10"/>
        <v>32</v>
      </c>
      <c r="AF117" s="246" t="s">
        <v>1754</v>
      </c>
      <c r="AG117" s="241" t="s">
        <v>1755</v>
      </c>
      <c r="AH117" s="240" t="s">
        <v>1756</v>
      </c>
      <c r="AI117" s="240"/>
      <c r="AJ117" s="240"/>
      <c r="AK117" s="241" t="s">
        <v>1757</v>
      </c>
      <c r="AL117" s="246" t="s">
        <v>1758</v>
      </c>
      <c r="AM117" s="246">
        <v>11035959722</v>
      </c>
      <c r="AN117" s="241" t="s">
        <v>4716</v>
      </c>
      <c r="AO117" s="241"/>
      <c r="AP117" s="241"/>
      <c r="AQ117" s="241"/>
      <c r="AR117" s="241"/>
      <c r="AS117" s="241"/>
      <c r="AT117" s="241" t="s">
        <v>1759</v>
      </c>
      <c r="AU117" s="241" t="s">
        <v>1760</v>
      </c>
      <c r="AV117" s="241" t="s">
        <v>306</v>
      </c>
      <c r="AW117" s="241" t="s">
        <v>306</v>
      </c>
      <c r="AX117" s="241">
        <f t="shared" si="11"/>
        <v>0</v>
      </c>
      <c r="AY117" s="241" t="str">
        <f t="shared" si="12"/>
        <v>TK/0</v>
      </c>
      <c r="AZ117" s="241" t="s">
        <v>1761</v>
      </c>
      <c r="BA117" s="237" t="s">
        <v>1761</v>
      </c>
      <c r="BB117" s="241" t="s">
        <v>161</v>
      </c>
      <c r="BC117" s="241" t="s">
        <v>349</v>
      </c>
      <c r="BD117" s="241" t="s">
        <v>91</v>
      </c>
      <c r="BE117" s="241" t="s">
        <v>1762</v>
      </c>
      <c r="BF117" s="241">
        <v>2011</v>
      </c>
      <c r="BG117" s="241" t="s">
        <v>475</v>
      </c>
      <c r="BH117" s="241" t="s">
        <v>91</v>
      </c>
      <c r="BI117" s="241" t="s">
        <v>1762</v>
      </c>
      <c r="BJ117" s="241">
        <v>2011</v>
      </c>
      <c r="BK117" s="247"/>
      <c r="BL117" s="247"/>
      <c r="BM117" s="241" t="s">
        <v>339</v>
      </c>
      <c r="BN117" s="241">
        <v>31</v>
      </c>
      <c r="BO117" s="241">
        <v>42</v>
      </c>
      <c r="BP117" s="244">
        <v>44293</v>
      </c>
      <c r="BQ117" s="244">
        <v>44322</v>
      </c>
      <c r="BR117" s="244"/>
      <c r="BS117" s="244"/>
      <c r="BT117" s="241"/>
      <c r="BU117" s="241"/>
      <c r="BV117" s="241"/>
      <c r="BW117" s="241"/>
      <c r="BX117" s="241"/>
      <c r="BY117" s="241"/>
      <c r="BZ117" s="241"/>
      <c r="CA117" s="241"/>
      <c r="CB117" s="241"/>
      <c r="CC117" s="241"/>
      <c r="CD117" s="241"/>
      <c r="CE117" s="241" t="e">
        <f>VLOOKUP(D117,[1]Sertifikasi!$B$4:$I$19,8,0)</f>
        <v>#N/A</v>
      </c>
      <c r="CF117" s="13"/>
      <c r="CG117" s="13"/>
      <c r="CH117" s="13"/>
    </row>
    <row r="118" spans="1:86" ht="11.25" customHeight="1" x14ac:dyDescent="0.2">
      <c r="A118" s="13"/>
      <c r="B118" s="238">
        <v>114</v>
      </c>
      <c r="C118" s="241" t="e">
        <f t="shared" ca="1" si="17"/>
        <v>#NUM!</v>
      </c>
      <c r="D118" s="237" t="s">
        <v>1763</v>
      </c>
      <c r="E118" s="239">
        <v>641807164</v>
      </c>
      <c r="F118" s="237">
        <v>1710004387612</v>
      </c>
      <c r="G118" s="240"/>
      <c r="H118" s="241" t="s">
        <v>217</v>
      </c>
      <c r="I118" s="241" t="s">
        <v>315</v>
      </c>
      <c r="J118" s="242">
        <v>43282</v>
      </c>
      <c r="K118" s="241"/>
      <c r="L118" s="241"/>
      <c r="M118" s="241" t="str">
        <f t="shared" si="18"/>
        <v>PKWT</v>
      </c>
      <c r="N118" s="241" t="s">
        <v>187</v>
      </c>
      <c r="O118" s="241"/>
      <c r="P118" s="243">
        <v>45657</v>
      </c>
      <c r="Q118" s="241"/>
      <c r="R118" s="241" t="s">
        <v>206</v>
      </c>
      <c r="S118" s="241" t="s">
        <v>6863</v>
      </c>
      <c r="T118" s="241" t="s">
        <v>312</v>
      </c>
      <c r="U118" s="241" t="s">
        <v>28</v>
      </c>
      <c r="V118" s="241" t="s">
        <v>461</v>
      </c>
      <c r="W118" s="241" t="s">
        <v>129</v>
      </c>
      <c r="X118" s="241" t="s">
        <v>122</v>
      </c>
      <c r="Y118" s="241" t="s">
        <v>313</v>
      </c>
      <c r="Z118" s="241" t="s">
        <v>462</v>
      </c>
      <c r="AA118" s="241" t="s">
        <v>337</v>
      </c>
      <c r="AB118" s="241" t="s">
        <v>314</v>
      </c>
      <c r="AC118" s="241" t="s">
        <v>315</v>
      </c>
      <c r="AD118" s="245">
        <v>34088</v>
      </c>
      <c r="AE118" s="241">
        <f t="shared" ca="1" si="10"/>
        <v>32</v>
      </c>
      <c r="AF118" s="246" t="s">
        <v>1764</v>
      </c>
      <c r="AG118" s="241" t="s">
        <v>1765</v>
      </c>
      <c r="AH118" s="240" t="s">
        <v>1766</v>
      </c>
      <c r="AI118" s="240" t="s">
        <v>1767</v>
      </c>
      <c r="AJ118" s="240"/>
      <c r="AK118" s="241" t="s">
        <v>1768</v>
      </c>
      <c r="AL118" s="246" t="s">
        <v>1769</v>
      </c>
      <c r="AM118" s="246">
        <v>18056171970</v>
      </c>
      <c r="AN118" s="241" t="s">
        <v>4733</v>
      </c>
      <c r="AO118" s="241" t="s">
        <v>1770</v>
      </c>
      <c r="AP118" s="241" t="s">
        <v>1771</v>
      </c>
      <c r="AQ118" s="241"/>
      <c r="AR118" s="241"/>
      <c r="AS118" s="241"/>
      <c r="AT118" s="241" t="s">
        <v>1772</v>
      </c>
      <c r="AU118" s="241" t="s">
        <v>1773</v>
      </c>
      <c r="AV118" s="241" t="s">
        <v>1774</v>
      </c>
      <c r="AW118" s="241" t="s">
        <v>1775</v>
      </c>
      <c r="AX118" s="241">
        <f t="shared" si="11"/>
        <v>1</v>
      </c>
      <c r="AY118" s="241" t="str">
        <f t="shared" si="12"/>
        <v>K/1</v>
      </c>
      <c r="AZ118" s="241" t="s">
        <v>1776</v>
      </c>
      <c r="BA118" s="237">
        <v>711181883647000</v>
      </c>
      <c r="BB118" s="241" t="s">
        <v>161</v>
      </c>
      <c r="BC118" s="241" t="s">
        <v>349</v>
      </c>
      <c r="BD118" s="241" t="s">
        <v>515</v>
      </c>
      <c r="BE118" s="241" t="s">
        <v>1631</v>
      </c>
      <c r="BF118" s="241">
        <v>2014</v>
      </c>
      <c r="BG118" s="241" t="s">
        <v>475</v>
      </c>
      <c r="BH118" s="241" t="s">
        <v>515</v>
      </c>
      <c r="BI118" s="241" t="s">
        <v>1631</v>
      </c>
      <c r="BJ118" s="241">
        <v>2014</v>
      </c>
      <c r="BK118" s="247"/>
      <c r="BL118" s="247"/>
      <c r="BM118" s="241" t="s">
        <v>351</v>
      </c>
      <c r="BN118" s="241">
        <v>30</v>
      </c>
      <c r="BO118" s="241">
        <v>42</v>
      </c>
      <c r="BP118" s="244"/>
      <c r="BQ118" s="244"/>
      <c r="BR118" s="244">
        <v>44761</v>
      </c>
      <c r="BS118" s="244"/>
      <c r="BT118" s="241"/>
      <c r="BU118" s="241"/>
      <c r="BV118" s="241"/>
      <c r="BW118" s="241"/>
      <c r="BX118" s="241"/>
      <c r="BY118" s="241"/>
      <c r="BZ118" s="241"/>
      <c r="CA118" s="241"/>
      <c r="CB118" s="241"/>
      <c r="CC118" s="241"/>
      <c r="CD118" s="241"/>
      <c r="CE118" s="241" t="e">
        <f>VLOOKUP(D118,[1]Sertifikasi!$B$4:$I$19,8,0)</f>
        <v>#N/A</v>
      </c>
      <c r="CF118" s="13"/>
      <c r="CG118" s="13"/>
      <c r="CH118" s="13"/>
    </row>
    <row r="119" spans="1:86" ht="11.25" customHeight="1" x14ac:dyDescent="0.2">
      <c r="A119" s="13"/>
      <c r="B119" s="238">
        <v>115</v>
      </c>
      <c r="C119" s="241" t="e">
        <f t="shared" ca="1" si="17"/>
        <v>#NUM!</v>
      </c>
      <c r="D119" s="237" t="s">
        <v>1777</v>
      </c>
      <c r="E119" s="239">
        <v>641807166</v>
      </c>
      <c r="F119" s="237">
        <v>1710004376862</v>
      </c>
      <c r="G119" s="240"/>
      <c r="H119" s="241" t="s">
        <v>217</v>
      </c>
      <c r="I119" s="241" t="s">
        <v>1778</v>
      </c>
      <c r="J119" s="242">
        <v>43282</v>
      </c>
      <c r="K119" s="241"/>
      <c r="L119" s="241"/>
      <c r="M119" s="241" t="str">
        <f t="shared" si="18"/>
        <v>PKWT</v>
      </c>
      <c r="N119" s="241" t="s">
        <v>187</v>
      </c>
      <c r="O119" s="241"/>
      <c r="P119" s="243">
        <v>45474</v>
      </c>
      <c r="Q119" s="241"/>
      <c r="R119" s="241" t="s">
        <v>206</v>
      </c>
      <c r="S119" s="241" t="s">
        <v>6863</v>
      </c>
      <c r="T119" s="241" t="s">
        <v>312</v>
      </c>
      <c r="U119" s="241" t="s">
        <v>25</v>
      </c>
      <c r="V119" s="241" t="s">
        <v>443</v>
      </c>
      <c r="W119" s="241" t="s">
        <v>748</v>
      </c>
      <c r="X119" s="241" t="s">
        <v>121</v>
      </c>
      <c r="Y119" s="241" t="s">
        <v>313</v>
      </c>
      <c r="Z119" s="241"/>
      <c r="AA119" s="241" t="s">
        <v>337</v>
      </c>
      <c r="AB119" s="241" t="s">
        <v>314</v>
      </c>
      <c r="AC119" s="241" t="s">
        <v>1779</v>
      </c>
      <c r="AD119" s="245">
        <v>35796</v>
      </c>
      <c r="AE119" s="241">
        <f t="shared" ca="1" si="10"/>
        <v>27</v>
      </c>
      <c r="AF119" s="246" t="s">
        <v>1780</v>
      </c>
      <c r="AG119" s="241" t="s">
        <v>1781</v>
      </c>
      <c r="AH119" s="240" t="s">
        <v>1782</v>
      </c>
      <c r="AI119" s="240"/>
      <c r="AJ119" s="240"/>
      <c r="AK119" s="241" t="s">
        <v>1783</v>
      </c>
      <c r="AL119" s="246" t="s">
        <v>1784</v>
      </c>
      <c r="AM119" s="246">
        <v>18056171962</v>
      </c>
      <c r="AN119" s="241" t="s">
        <v>4733</v>
      </c>
      <c r="AO119" s="241" t="s">
        <v>1785</v>
      </c>
      <c r="AP119" s="241" t="s">
        <v>1786</v>
      </c>
      <c r="AQ119" s="241"/>
      <c r="AR119" s="241"/>
      <c r="AS119" s="241"/>
      <c r="AT119" s="241" t="s">
        <v>1787</v>
      </c>
      <c r="AU119" s="241" t="s">
        <v>1788</v>
      </c>
      <c r="AV119" s="241" t="s">
        <v>1789</v>
      </c>
      <c r="AW119" s="241" t="s">
        <v>1790</v>
      </c>
      <c r="AX119" s="241">
        <f t="shared" si="11"/>
        <v>1</v>
      </c>
      <c r="AY119" s="241" t="str">
        <f t="shared" si="12"/>
        <v>K/1</v>
      </c>
      <c r="AZ119" s="241" t="s">
        <v>1791</v>
      </c>
      <c r="BA119" s="237" t="s">
        <v>1792</v>
      </c>
      <c r="BB119" s="241" t="s">
        <v>161</v>
      </c>
      <c r="BC119" s="241" t="s">
        <v>349</v>
      </c>
      <c r="BD119" s="241" t="s">
        <v>515</v>
      </c>
      <c r="BE119" s="241" t="s">
        <v>1793</v>
      </c>
      <c r="BF119" s="241">
        <v>2016</v>
      </c>
      <c r="BG119" s="241" t="s">
        <v>475</v>
      </c>
      <c r="BH119" s="241" t="s">
        <v>515</v>
      </c>
      <c r="BI119" s="241" t="s">
        <v>1793</v>
      </c>
      <c r="BJ119" s="241">
        <v>2016</v>
      </c>
      <c r="BK119" s="247"/>
      <c r="BL119" s="247"/>
      <c r="BM119" s="241" t="s">
        <v>351</v>
      </c>
      <c r="BN119" s="241">
        <v>32</v>
      </c>
      <c r="BO119" s="241">
        <v>41</v>
      </c>
      <c r="BP119" s="244">
        <v>44377</v>
      </c>
      <c r="BQ119" s="244">
        <v>44405</v>
      </c>
      <c r="BR119" s="244">
        <v>44663</v>
      </c>
      <c r="BS119" s="244"/>
      <c r="BT119" s="241"/>
      <c r="BU119" s="241"/>
      <c r="BV119" s="241"/>
      <c r="BW119" s="241"/>
      <c r="BX119" s="241"/>
      <c r="BY119" s="241"/>
      <c r="BZ119" s="241"/>
      <c r="CA119" s="241"/>
      <c r="CB119" s="241"/>
      <c r="CC119" s="241"/>
      <c r="CD119" s="241"/>
      <c r="CE119" s="241" t="e">
        <f>VLOOKUP(D119,[1]Sertifikasi!$B$4:$I$19,8,0)</f>
        <v>#N/A</v>
      </c>
      <c r="CF119" s="13"/>
      <c r="CG119" s="13"/>
      <c r="CH119" s="13"/>
    </row>
    <row r="120" spans="1:86" ht="11.25" customHeight="1" x14ac:dyDescent="0.2">
      <c r="A120" s="13"/>
      <c r="B120" s="238">
        <v>116</v>
      </c>
      <c r="C120" s="241" t="e">
        <f t="shared" ca="1" si="17"/>
        <v>#NUM!</v>
      </c>
      <c r="D120" s="237" t="s">
        <v>1794</v>
      </c>
      <c r="E120" s="239">
        <v>641807165</v>
      </c>
      <c r="F120" s="237">
        <v>1710004387596</v>
      </c>
      <c r="G120" s="240"/>
      <c r="H120" s="241" t="s">
        <v>217</v>
      </c>
      <c r="I120" s="241" t="s">
        <v>31</v>
      </c>
      <c r="J120" s="242">
        <v>43282</v>
      </c>
      <c r="K120" s="241"/>
      <c r="L120" s="241"/>
      <c r="M120" s="241" t="str">
        <f t="shared" si="18"/>
        <v>PKWT</v>
      </c>
      <c r="N120" s="241" t="s">
        <v>187</v>
      </c>
      <c r="O120" s="241"/>
      <c r="P120" s="243">
        <v>45657</v>
      </c>
      <c r="Q120" s="241"/>
      <c r="R120" s="241" t="s">
        <v>206</v>
      </c>
      <c r="S120" s="241" t="s">
        <v>6863</v>
      </c>
      <c r="T120" s="241" t="s">
        <v>312</v>
      </c>
      <c r="U120" s="241" t="s">
        <v>24</v>
      </c>
      <c r="V120" s="241" t="s">
        <v>204</v>
      </c>
      <c r="W120" s="241" t="s">
        <v>629</v>
      </c>
      <c r="X120" s="241" t="s">
        <v>121</v>
      </c>
      <c r="Y120" s="241" t="s">
        <v>313</v>
      </c>
      <c r="Z120" s="241" t="s">
        <v>1218</v>
      </c>
      <c r="AA120" s="241" t="s">
        <v>337</v>
      </c>
      <c r="AB120" s="241" t="s">
        <v>314</v>
      </c>
      <c r="AC120" s="241" t="s">
        <v>1795</v>
      </c>
      <c r="AD120" s="245">
        <v>35890</v>
      </c>
      <c r="AE120" s="241">
        <f t="shared" ca="1" si="10"/>
        <v>27</v>
      </c>
      <c r="AF120" s="246" t="s">
        <v>1796</v>
      </c>
      <c r="AG120" s="241" t="s">
        <v>1797</v>
      </c>
      <c r="AH120" s="240" t="s">
        <v>1798</v>
      </c>
      <c r="AI120" s="240"/>
      <c r="AJ120" s="240"/>
      <c r="AK120" s="241" t="s">
        <v>1799</v>
      </c>
      <c r="AL120" s="246" t="s">
        <v>1800</v>
      </c>
      <c r="AM120" s="246">
        <v>18056172028</v>
      </c>
      <c r="AN120" s="241" t="s">
        <v>4716</v>
      </c>
      <c r="AO120" s="241"/>
      <c r="AP120" s="241"/>
      <c r="AQ120" s="241"/>
      <c r="AR120" s="241"/>
      <c r="AS120" s="241"/>
      <c r="AT120" s="241" t="s">
        <v>1801</v>
      </c>
      <c r="AU120" s="241" t="s">
        <v>1802</v>
      </c>
      <c r="AV120" s="241" t="s">
        <v>306</v>
      </c>
      <c r="AW120" s="241" t="s">
        <v>306</v>
      </c>
      <c r="AX120" s="241">
        <f t="shared" si="11"/>
        <v>0</v>
      </c>
      <c r="AY120" s="241" t="str">
        <f t="shared" si="12"/>
        <v>TK/0</v>
      </c>
      <c r="AZ120" s="241" t="s">
        <v>1803</v>
      </c>
      <c r="BA120" s="237" t="s">
        <v>1803</v>
      </c>
      <c r="BB120" s="241" t="s">
        <v>161</v>
      </c>
      <c r="BC120" s="241" t="s">
        <v>349</v>
      </c>
      <c r="BD120" s="241" t="s">
        <v>515</v>
      </c>
      <c r="BE120" s="241" t="s">
        <v>1804</v>
      </c>
      <c r="BF120" s="241">
        <v>2017</v>
      </c>
      <c r="BG120" s="241" t="s">
        <v>475</v>
      </c>
      <c r="BH120" s="241" t="s">
        <v>515</v>
      </c>
      <c r="BI120" s="241" t="s">
        <v>1804</v>
      </c>
      <c r="BJ120" s="241">
        <v>2017</v>
      </c>
      <c r="BK120" s="247"/>
      <c r="BL120" s="247"/>
      <c r="BM120" s="241" t="s">
        <v>369</v>
      </c>
      <c r="BN120" s="241">
        <v>36</v>
      </c>
      <c r="BO120" s="241">
        <v>43</v>
      </c>
      <c r="BP120" s="244"/>
      <c r="BQ120" s="244"/>
      <c r="BR120" s="244"/>
      <c r="BS120" s="244"/>
      <c r="BT120" s="241"/>
      <c r="BU120" s="241"/>
      <c r="BV120" s="241"/>
      <c r="BW120" s="241"/>
      <c r="BX120" s="241"/>
      <c r="BY120" s="241"/>
      <c r="BZ120" s="241"/>
      <c r="CA120" s="241"/>
      <c r="CB120" s="241"/>
      <c r="CC120" s="241"/>
      <c r="CD120" s="241"/>
      <c r="CE120" s="241" t="e">
        <f>VLOOKUP(D120,[1]Sertifikasi!$B$4:$I$19,8,0)</f>
        <v>#N/A</v>
      </c>
      <c r="CF120" s="13"/>
      <c r="CG120" s="13"/>
      <c r="CH120" s="13"/>
    </row>
    <row r="121" spans="1:86" ht="11.25" customHeight="1" x14ac:dyDescent="0.2">
      <c r="A121" s="13"/>
      <c r="B121" s="238">
        <v>117</v>
      </c>
      <c r="C121" s="241" t="e">
        <f t="shared" ca="1" si="17"/>
        <v>#NUM!</v>
      </c>
      <c r="D121" s="237" t="s">
        <v>1805</v>
      </c>
      <c r="E121" s="239">
        <v>641807170</v>
      </c>
      <c r="F121" s="237">
        <v>1710004374735</v>
      </c>
      <c r="G121" s="240"/>
      <c r="H121" s="241" t="s">
        <v>217</v>
      </c>
      <c r="I121" s="241" t="s">
        <v>25</v>
      </c>
      <c r="J121" s="242">
        <v>43282</v>
      </c>
      <c r="K121" s="241"/>
      <c r="L121" s="241"/>
      <c r="M121" s="241" t="str">
        <f t="shared" si="18"/>
        <v>PKWT</v>
      </c>
      <c r="N121" s="241" t="s">
        <v>187</v>
      </c>
      <c r="O121" s="241"/>
      <c r="P121" s="243">
        <v>45474</v>
      </c>
      <c r="Q121" s="241"/>
      <c r="R121" s="241" t="s">
        <v>206</v>
      </c>
      <c r="S121" s="241" t="s">
        <v>6863</v>
      </c>
      <c r="T121" s="241" t="s">
        <v>312</v>
      </c>
      <c r="U121" s="241" t="s">
        <v>25</v>
      </c>
      <c r="V121" s="241" t="s">
        <v>443</v>
      </c>
      <c r="W121" s="241" t="s">
        <v>748</v>
      </c>
      <c r="X121" s="241" t="s">
        <v>121</v>
      </c>
      <c r="Y121" s="241" t="s">
        <v>313</v>
      </c>
      <c r="Z121" s="241"/>
      <c r="AA121" s="241" t="s">
        <v>337</v>
      </c>
      <c r="AB121" s="241" t="s">
        <v>314</v>
      </c>
      <c r="AC121" s="241" t="s">
        <v>217</v>
      </c>
      <c r="AD121" s="245">
        <v>33219</v>
      </c>
      <c r="AE121" s="241">
        <f t="shared" ca="1" si="10"/>
        <v>34</v>
      </c>
      <c r="AF121" s="246" t="s">
        <v>1806</v>
      </c>
      <c r="AG121" s="241" t="s">
        <v>1807</v>
      </c>
      <c r="AH121" s="240" t="s">
        <v>1808</v>
      </c>
      <c r="AI121" s="240"/>
      <c r="AJ121" s="240"/>
      <c r="AK121" s="241" t="s">
        <v>1809</v>
      </c>
      <c r="AL121" s="246" t="s">
        <v>1810</v>
      </c>
      <c r="AM121" s="246">
        <v>18056171954</v>
      </c>
      <c r="AN121" s="241" t="s">
        <v>4716</v>
      </c>
      <c r="AO121" s="241"/>
      <c r="AP121" s="241"/>
      <c r="AQ121" s="241"/>
      <c r="AR121" s="241"/>
      <c r="AS121" s="241"/>
      <c r="AT121" s="241" t="s">
        <v>306</v>
      </c>
      <c r="AU121" s="241" t="s">
        <v>306</v>
      </c>
      <c r="AV121" s="241" t="s">
        <v>306</v>
      </c>
      <c r="AW121" s="241" t="s">
        <v>306</v>
      </c>
      <c r="AX121" s="241">
        <f t="shared" si="11"/>
        <v>0</v>
      </c>
      <c r="AY121" s="241" t="str">
        <f t="shared" si="12"/>
        <v>TK/0</v>
      </c>
      <c r="AZ121" s="241"/>
      <c r="BA121" s="237"/>
      <c r="BB121" s="241" t="s">
        <v>161</v>
      </c>
      <c r="BC121" s="241" t="s">
        <v>349</v>
      </c>
      <c r="BD121" s="241" t="s">
        <v>515</v>
      </c>
      <c r="BE121" s="241" t="s">
        <v>1811</v>
      </c>
      <c r="BF121" s="241">
        <v>2008</v>
      </c>
      <c r="BG121" s="241" t="s">
        <v>475</v>
      </c>
      <c r="BH121" s="241" t="s">
        <v>515</v>
      </c>
      <c r="BI121" s="241" t="s">
        <v>1811</v>
      </c>
      <c r="BJ121" s="241">
        <v>2008</v>
      </c>
      <c r="BK121" s="247"/>
      <c r="BL121" s="247"/>
      <c r="BM121" s="241" t="s">
        <v>351</v>
      </c>
      <c r="BN121" s="241">
        <v>30</v>
      </c>
      <c r="BO121" s="241">
        <v>40</v>
      </c>
      <c r="BP121" s="244"/>
      <c r="BQ121" s="244"/>
      <c r="BR121" s="244"/>
      <c r="BS121" s="244"/>
      <c r="BT121" s="241"/>
      <c r="BU121" s="241"/>
      <c r="BV121" s="241"/>
      <c r="BW121" s="241"/>
      <c r="BX121" s="241"/>
      <c r="BY121" s="241"/>
      <c r="BZ121" s="241"/>
      <c r="CA121" s="241"/>
      <c r="CB121" s="241"/>
      <c r="CC121" s="241"/>
      <c r="CD121" s="241"/>
      <c r="CE121" s="241" t="e">
        <f>VLOOKUP(D121,[1]Sertifikasi!$B$4:$I$19,8,0)</f>
        <v>#N/A</v>
      </c>
      <c r="CF121" s="13"/>
      <c r="CG121" s="13"/>
      <c r="CH121" s="13"/>
    </row>
    <row r="122" spans="1:86" ht="11.25" customHeight="1" x14ac:dyDescent="0.2">
      <c r="A122" s="13"/>
      <c r="B122" s="238">
        <v>118</v>
      </c>
      <c r="C122" s="241" t="e">
        <f t="shared" ca="1" si="17"/>
        <v>#NUM!</v>
      </c>
      <c r="D122" s="237" t="s">
        <v>1812</v>
      </c>
      <c r="E122" s="239">
        <v>641807162</v>
      </c>
      <c r="F122" s="237">
        <v>1710004387604</v>
      </c>
      <c r="G122" s="240"/>
      <c r="H122" s="241" t="s">
        <v>217</v>
      </c>
      <c r="I122" s="241" t="s">
        <v>217</v>
      </c>
      <c r="J122" s="242">
        <v>43282</v>
      </c>
      <c r="K122" s="241"/>
      <c r="L122" s="241"/>
      <c r="M122" s="241" t="str">
        <f t="shared" si="18"/>
        <v>PKWT</v>
      </c>
      <c r="N122" s="241" t="s">
        <v>187</v>
      </c>
      <c r="O122" s="241"/>
      <c r="P122" s="243">
        <v>45657</v>
      </c>
      <c r="Q122" s="241"/>
      <c r="R122" s="241" t="s">
        <v>206</v>
      </c>
      <c r="S122" s="241" t="s">
        <v>6863</v>
      </c>
      <c r="T122" s="241" t="s">
        <v>312</v>
      </c>
      <c r="U122" s="241" t="s">
        <v>22</v>
      </c>
      <c r="V122" s="241" t="s">
        <v>547</v>
      </c>
      <c r="W122" s="241" t="s">
        <v>78</v>
      </c>
      <c r="X122" s="241" t="s">
        <v>122</v>
      </c>
      <c r="Y122" s="241" t="s">
        <v>313</v>
      </c>
      <c r="Z122" s="241" t="s">
        <v>462</v>
      </c>
      <c r="AA122" s="241" t="s">
        <v>337</v>
      </c>
      <c r="AB122" s="241" t="s">
        <v>314</v>
      </c>
      <c r="AC122" s="241" t="s">
        <v>217</v>
      </c>
      <c r="AD122" s="245">
        <v>34835</v>
      </c>
      <c r="AE122" s="241">
        <f t="shared" ca="1" si="10"/>
        <v>30</v>
      </c>
      <c r="AF122" s="246" t="s">
        <v>1813</v>
      </c>
      <c r="AG122" s="241" t="s">
        <v>1814</v>
      </c>
      <c r="AH122" s="240" t="s">
        <v>1815</v>
      </c>
      <c r="AI122" s="240"/>
      <c r="AJ122" s="240"/>
      <c r="AK122" s="241" t="s">
        <v>1816</v>
      </c>
      <c r="AL122" s="246" t="s">
        <v>1817</v>
      </c>
      <c r="AM122" s="246">
        <v>18056171988</v>
      </c>
      <c r="AN122" s="241" t="s">
        <v>4716</v>
      </c>
      <c r="AO122" s="241"/>
      <c r="AP122" s="241"/>
      <c r="AQ122" s="241"/>
      <c r="AR122" s="241"/>
      <c r="AS122" s="241"/>
      <c r="AT122" s="241" t="s">
        <v>1346</v>
      </c>
      <c r="AU122" s="241" t="s">
        <v>1818</v>
      </c>
      <c r="AV122" s="241" t="s">
        <v>306</v>
      </c>
      <c r="AW122" s="241" t="s">
        <v>306</v>
      </c>
      <c r="AX122" s="241">
        <f t="shared" si="11"/>
        <v>0</v>
      </c>
      <c r="AY122" s="241" t="str">
        <f t="shared" si="12"/>
        <v>TK/0</v>
      </c>
      <c r="AZ122" s="241" t="s">
        <v>1819</v>
      </c>
      <c r="BA122" s="237" t="s">
        <v>1819</v>
      </c>
      <c r="BB122" s="241" t="s">
        <v>161</v>
      </c>
      <c r="BC122" s="241" t="s">
        <v>349</v>
      </c>
      <c r="BD122" s="241" t="s">
        <v>515</v>
      </c>
      <c r="BE122" s="241" t="s">
        <v>516</v>
      </c>
      <c r="BF122" s="241">
        <v>2013</v>
      </c>
      <c r="BG122" s="241" t="s">
        <v>475</v>
      </c>
      <c r="BH122" s="241" t="s">
        <v>515</v>
      </c>
      <c r="BI122" s="241" t="s">
        <v>516</v>
      </c>
      <c r="BJ122" s="241">
        <v>2013</v>
      </c>
      <c r="BK122" s="247"/>
      <c r="BL122" s="247"/>
      <c r="BM122" s="241" t="s">
        <v>351</v>
      </c>
      <c r="BN122" s="241">
        <v>30</v>
      </c>
      <c r="BO122" s="241">
        <v>41</v>
      </c>
      <c r="BP122" s="244"/>
      <c r="BQ122" s="244"/>
      <c r="BR122" s="244"/>
      <c r="BS122" s="244"/>
      <c r="BT122" s="241"/>
      <c r="BU122" s="241"/>
      <c r="BV122" s="241"/>
      <c r="BW122" s="241"/>
      <c r="BX122" s="241"/>
      <c r="BY122" s="241"/>
      <c r="BZ122" s="241"/>
      <c r="CA122" s="241"/>
      <c r="CB122" s="241"/>
      <c r="CC122" s="241"/>
      <c r="CD122" s="241"/>
      <c r="CE122" s="241" t="e">
        <f>VLOOKUP(D122,[1]Sertifikasi!$B$4:$I$19,8,0)</f>
        <v>#N/A</v>
      </c>
      <c r="CF122" s="13"/>
      <c r="CG122" s="13"/>
      <c r="CH122" s="13"/>
    </row>
    <row r="123" spans="1:86" ht="11.25" customHeight="1" x14ac:dyDescent="0.2">
      <c r="A123" s="13"/>
      <c r="B123" s="238">
        <v>119</v>
      </c>
      <c r="C123" s="241" t="e">
        <f t="shared" ca="1" si="17"/>
        <v>#NUM!</v>
      </c>
      <c r="D123" s="237" t="s">
        <v>1820</v>
      </c>
      <c r="E123" s="239">
        <v>641807161</v>
      </c>
      <c r="F123" s="237">
        <v>1710004387570</v>
      </c>
      <c r="G123" s="240"/>
      <c r="H123" s="241" t="s">
        <v>217</v>
      </c>
      <c r="I123" s="241" t="s">
        <v>217</v>
      </c>
      <c r="J123" s="242">
        <v>43283</v>
      </c>
      <c r="K123" s="241"/>
      <c r="L123" s="241"/>
      <c r="M123" s="241" t="str">
        <f t="shared" si="18"/>
        <v>PKWT</v>
      </c>
      <c r="N123" s="241" t="s">
        <v>187</v>
      </c>
      <c r="O123" s="241"/>
      <c r="P123" s="243">
        <v>45657</v>
      </c>
      <c r="Q123" s="241"/>
      <c r="R123" s="241" t="s">
        <v>206</v>
      </c>
      <c r="S123" s="241" t="s">
        <v>6863</v>
      </c>
      <c r="T123" s="241" t="s">
        <v>312</v>
      </c>
      <c r="U123" s="241" t="s">
        <v>6113</v>
      </c>
      <c r="V123" s="241" t="s">
        <v>17</v>
      </c>
      <c r="W123" s="241" t="s">
        <v>6183</v>
      </c>
      <c r="X123" s="241" t="s">
        <v>121</v>
      </c>
      <c r="Y123" s="241" t="s">
        <v>313</v>
      </c>
      <c r="Z123" s="241"/>
      <c r="AA123" s="241" t="s">
        <v>337</v>
      </c>
      <c r="AB123" s="241" t="s">
        <v>314</v>
      </c>
      <c r="AC123" s="241" t="s">
        <v>217</v>
      </c>
      <c r="AD123" s="245">
        <v>34465</v>
      </c>
      <c r="AE123" s="241">
        <f t="shared" ca="1" si="10"/>
        <v>31</v>
      </c>
      <c r="AF123" s="246" t="s">
        <v>1821</v>
      </c>
      <c r="AG123" s="241" t="s">
        <v>1822</v>
      </c>
      <c r="AH123" s="240" t="s">
        <v>1823</v>
      </c>
      <c r="AI123" s="240"/>
      <c r="AJ123" s="240"/>
      <c r="AK123" s="241" t="s">
        <v>1824</v>
      </c>
      <c r="AL123" s="246" t="s">
        <v>1825</v>
      </c>
      <c r="AM123" s="246">
        <v>18056172010</v>
      </c>
      <c r="AN123" s="241" t="s">
        <v>4733</v>
      </c>
      <c r="AO123" s="241" t="s">
        <v>1826</v>
      </c>
      <c r="AP123" s="241" t="s">
        <v>1827</v>
      </c>
      <c r="AQ123" s="241"/>
      <c r="AR123" s="241"/>
      <c r="AS123" s="241"/>
      <c r="AT123" s="241" t="s">
        <v>1828</v>
      </c>
      <c r="AU123" s="241" t="s">
        <v>306</v>
      </c>
      <c r="AV123" s="241" t="s">
        <v>306</v>
      </c>
      <c r="AW123" s="241" t="s">
        <v>306</v>
      </c>
      <c r="AX123" s="241">
        <f t="shared" si="11"/>
        <v>1</v>
      </c>
      <c r="AY123" s="241" t="str">
        <f t="shared" si="12"/>
        <v>K/1</v>
      </c>
      <c r="AZ123" s="241" t="s">
        <v>1829</v>
      </c>
      <c r="BA123" s="241" t="s">
        <v>1829</v>
      </c>
      <c r="BB123" s="241" t="s">
        <v>161</v>
      </c>
      <c r="BC123" s="241" t="s">
        <v>349</v>
      </c>
      <c r="BD123" s="241" t="s">
        <v>1742</v>
      </c>
      <c r="BE123" s="241" t="s">
        <v>790</v>
      </c>
      <c r="BF123" s="241">
        <v>2012</v>
      </c>
      <c r="BG123" s="241" t="s">
        <v>475</v>
      </c>
      <c r="BH123" s="241" t="s">
        <v>1742</v>
      </c>
      <c r="BI123" s="241" t="s">
        <v>790</v>
      </c>
      <c r="BJ123" s="241">
        <v>2012</v>
      </c>
      <c r="BK123" s="247"/>
      <c r="BL123" s="247"/>
      <c r="BM123" s="241" t="s">
        <v>339</v>
      </c>
      <c r="BN123" s="241">
        <v>30</v>
      </c>
      <c r="BO123" s="241">
        <v>41</v>
      </c>
      <c r="BP123" s="244"/>
      <c r="BQ123" s="244"/>
      <c r="BR123" s="244"/>
      <c r="BS123" s="244"/>
      <c r="BT123" s="241"/>
      <c r="BU123" s="241"/>
      <c r="BV123" s="241"/>
      <c r="BW123" s="241"/>
      <c r="BX123" s="241"/>
      <c r="BY123" s="241"/>
      <c r="BZ123" s="241"/>
      <c r="CA123" s="241"/>
      <c r="CB123" s="241"/>
      <c r="CC123" s="241"/>
      <c r="CD123" s="241"/>
      <c r="CE123" s="241" t="e">
        <f>VLOOKUP(D123,[1]Sertifikasi!$B$4:$I$19,8,0)</f>
        <v>#N/A</v>
      </c>
      <c r="CF123" s="13"/>
      <c r="CG123" s="13"/>
      <c r="CH123" s="13"/>
    </row>
    <row r="124" spans="1:86" ht="11.25" customHeight="1" x14ac:dyDescent="0.2">
      <c r="A124" s="13"/>
      <c r="B124" s="238">
        <v>120</v>
      </c>
      <c r="C124" s="241" t="e">
        <f t="shared" ca="1" si="17"/>
        <v>#NUM!</v>
      </c>
      <c r="D124" s="237" t="s">
        <v>1830</v>
      </c>
      <c r="E124" s="239">
        <v>641808174</v>
      </c>
      <c r="F124" s="237">
        <v>1710004607027</v>
      </c>
      <c r="G124" s="240"/>
      <c r="H124" s="241" t="s">
        <v>25</v>
      </c>
      <c r="I124" s="241" t="s">
        <v>25</v>
      </c>
      <c r="J124" s="242">
        <v>43325</v>
      </c>
      <c r="K124" s="241"/>
      <c r="L124" s="241"/>
      <c r="M124" s="241" t="str">
        <f t="shared" si="18"/>
        <v>PKWT</v>
      </c>
      <c r="N124" s="241" t="s">
        <v>187</v>
      </c>
      <c r="O124" s="241"/>
      <c r="P124" s="243">
        <v>45515</v>
      </c>
      <c r="Q124" s="241"/>
      <c r="R124" s="241" t="s">
        <v>206</v>
      </c>
      <c r="S124" s="241" t="s">
        <v>6863</v>
      </c>
      <c r="T124" s="241" t="s">
        <v>312</v>
      </c>
      <c r="U124" s="241" t="s">
        <v>25</v>
      </c>
      <c r="V124" s="241" t="s">
        <v>443</v>
      </c>
      <c r="W124" s="241" t="s">
        <v>748</v>
      </c>
      <c r="X124" s="241" t="s">
        <v>121</v>
      </c>
      <c r="Y124" s="241" t="s">
        <v>313</v>
      </c>
      <c r="Z124" s="241" t="s">
        <v>445</v>
      </c>
      <c r="AA124" s="241" t="s">
        <v>337</v>
      </c>
      <c r="AB124" s="241" t="s">
        <v>314</v>
      </c>
      <c r="AC124" s="241" t="s">
        <v>25</v>
      </c>
      <c r="AD124" s="245">
        <v>34344</v>
      </c>
      <c r="AE124" s="241">
        <f t="shared" ca="1" si="10"/>
        <v>31</v>
      </c>
      <c r="AF124" s="246" t="s">
        <v>1831</v>
      </c>
      <c r="AG124" s="241" t="s">
        <v>1832</v>
      </c>
      <c r="AH124" s="240" t="s">
        <v>1833</v>
      </c>
      <c r="AI124" s="240"/>
      <c r="AJ124" s="240"/>
      <c r="AK124" s="241" t="s">
        <v>1834</v>
      </c>
      <c r="AL124" s="246" t="s">
        <v>1835</v>
      </c>
      <c r="AM124" s="246">
        <v>18070554029</v>
      </c>
      <c r="AN124" s="241" t="s">
        <v>4733</v>
      </c>
      <c r="AO124" s="241" t="s">
        <v>1836</v>
      </c>
      <c r="AP124" s="241"/>
      <c r="AQ124" s="241"/>
      <c r="AR124" s="241"/>
      <c r="AS124" s="241"/>
      <c r="AT124" s="241" t="s">
        <v>1837</v>
      </c>
      <c r="AU124" s="241" t="s">
        <v>1838</v>
      </c>
      <c r="AV124" s="241" t="s">
        <v>1839</v>
      </c>
      <c r="AW124" s="241" t="s">
        <v>1840</v>
      </c>
      <c r="AX124" s="241">
        <f t="shared" si="11"/>
        <v>0</v>
      </c>
      <c r="AY124" s="241" t="str">
        <f t="shared" si="12"/>
        <v>K/0</v>
      </c>
      <c r="AZ124" s="241" t="s">
        <v>1841</v>
      </c>
      <c r="BA124" s="241" t="s">
        <v>1841</v>
      </c>
      <c r="BB124" s="241" t="s">
        <v>161</v>
      </c>
      <c r="BC124" s="241" t="s">
        <v>75</v>
      </c>
      <c r="BD124" s="241" t="s">
        <v>87</v>
      </c>
      <c r="BE124" s="241" t="s">
        <v>1842</v>
      </c>
      <c r="BF124" s="241">
        <v>2016</v>
      </c>
      <c r="BG124" s="241" t="s">
        <v>75</v>
      </c>
      <c r="BH124" s="241" t="s">
        <v>87</v>
      </c>
      <c r="BI124" s="241" t="s">
        <v>1842</v>
      </c>
      <c r="BJ124" s="241">
        <v>2016</v>
      </c>
      <c r="BK124" s="247"/>
      <c r="BL124" s="247"/>
      <c r="BM124" s="241" t="s">
        <v>339</v>
      </c>
      <c r="BN124" s="241">
        <v>32</v>
      </c>
      <c r="BO124" s="241">
        <v>42</v>
      </c>
      <c r="BP124" s="244"/>
      <c r="BQ124" s="244"/>
      <c r="BR124" s="244"/>
      <c r="BS124" s="244"/>
      <c r="BT124" s="241"/>
      <c r="BU124" s="241"/>
      <c r="BV124" s="241"/>
      <c r="BW124" s="241"/>
      <c r="BX124" s="241"/>
      <c r="BY124" s="241"/>
      <c r="BZ124" s="241"/>
      <c r="CA124" s="241"/>
      <c r="CB124" s="241"/>
      <c r="CC124" s="241"/>
      <c r="CD124" s="241"/>
      <c r="CE124" s="241" t="str">
        <f>VLOOKUP(D124,[1]Sertifikasi!$B$4:$I$19,8,0)</f>
        <v>Pembinaan Dan Sertifikasi Calon Ahli K3 Umum</v>
      </c>
      <c r="CF124" s="13"/>
      <c r="CG124" s="13"/>
      <c r="CH124" s="13"/>
    </row>
    <row r="125" spans="1:86" ht="11.25" customHeight="1" x14ac:dyDescent="0.2">
      <c r="A125" s="13"/>
      <c r="B125" s="238">
        <v>121</v>
      </c>
      <c r="C125" s="241" t="e">
        <f t="shared" ca="1" si="17"/>
        <v>#NUM!</v>
      </c>
      <c r="D125" s="237" t="s">
        <v>1856</v>
      </c>
      <c r="E125" s="239">
        <v>641808171</v>
      </c>
      <c r="F125" s="237">
        <v>1710004607035</v>
      </c>
      <c r="G125" s="240"/>
      <c r="H125" s="241" t="s">
        <v>25</v>
      </c>
      <c r="I125" s="241" t="s">
        <v>25</v>
      </c>
      <c r="J125" s="242">
        <v>43325</v>
      </c>
      <c r="K125" s="241"/>
      <c r="L125" s="241"/>
      <c r="M125" s="241" t="str">
        <f t="shared" si="18"/>
        <v>PKWT</v>
      </c>
      <c r="N125" s="241" t="s">
        <v>187</v>
      </c>
      <c r="O125" s="241"/>
      <c r="P125" s="243">
        <v>45515</v>
      </c>
      <c r="Q125" s="241"/>
      <c r="R125" s="241" t="s">
        <v>206</v>
      </c>
      <c r="S125" s="241" t="s">
        <v>6863</v>
      </c>
      <c r="T125" s="241" t="s">
        <v>312</v>
      </c>
      <c r="U125" s="241" t="s">
        <v>25</v>
      </c>
      <c r="V125" s="241" t="s">
        <v>443</v>
      </c>
      <c r="W125" s="241" t="s">
        <v>748</v>
      </c>
      <c r="X125" s="241" t="s">
        <v>121</v>
      </c>
      <c r="Y125" s="241" t="s">
        <v>313</v>
      </c>
      <c r="Z125" s="241"/>
      <c r="AA125" s="241" t="s">
        <v>337</v>
      </c>
      <c r="AB125" s="241" t="s">
        <v>314</v>
      </c>
      <c r="AC125" s="241" t="s">
        <v>25</v>
      </c>
      <c r="AD125" s="245">
        <v>35618</v>
      </c>
      <c r="AE125" s="241">
        <f t="shared" ca="1" si="10"/>
        <v>28</v>
      </c>
      <c r="AF125" s="246" t="s">
        <v>1857</v>
      </c>
      <c r="AG125" s="241" t="s">
        <v>1858</v>
      </c>
      <c r="AH125" s="240" t="s">
        <v>1859</v>
      </c>
      <c r="AI125" s="240"/>
      <c r="AJ125" s="240"/>
      <c r="AK125" s="251" t="s">
        <v>1860</v>
      </c>
      <c r="AL125" s="246" t="s">
        <v>1861</v>
      </c>
      <c r="AM125" s="246">
        <v>17066876644</v>
      </c>
      <c r="AN125" s="241" t="s">
        <v>4716</v>
      </c>
      <c r="AO125" s="241"/>
      <c r="AP125" s="241"/>
      <c r="AQ125" s="241"/>
      <c r="AR125" s="241"/>
      <c r="AS125" s="241"/>
      <c r="AT125" s="241" t="s">
        <v>306</v>
      </c>
      <c r="AU125" s="241" t="s">
        <v>306</v>
      </c>
      <c r="AV125" s="241" t="s">
        <v>306</v>
      </c>
      <c r="AW125" s="241" t="s">
        <v>306</v>
      </c>
      <c r="AX125" s="241">
        <f t="shared" si="11"/>
        <v>0</v>
      </c>
      <c r="AY125" s="241" t="str">
        <f t="shared" si="12"/>
        <v>TK/0</v>
      </c>
      <c r="AZ125" s="241"/>
      <c r="BA125" s="237"/>
      <c r="BB125" s="241" t="s">
        <v>161</v>
      </c>
      <c r="BC125" s="241" t="s">
        <v>349</v>
      </c>
      <c r="BD125" s="241" t="s">
        <v>515</v>
      </c>
      <c r="BE125" s="241" t="s">
        <v>1862</v>
      </c>
      <c r="BF125" s="241">
        <v>2015</v>
      </c>
      <c r="BG125" s="241" t="s">
        <v>475</v>
      </c>
      <c r="BH125" s="241" t="s">
        <v>515</v>
      </c>
      <c r="BI125" s="241" t="s">
        <v>1862</v>
      </c>
      <c r="BJ125" s="241">
        <v>2015</v>
      </c>
      <c r="BK125" s="247"/>
      <c r="BL125" s="247"/>
      <c r="BM125" s="241" t="s">
        <v>339</v>
      </c>
      <c r="BN125" s="241">
        <v>32</v>
      </c>
      <c r="BO125" s="241">
        <v>41</v>
      </c>
      <c r="BP125" s="244"/>
      <c r="BQ125" s="244"/>
      <c r="BR125" s="244"/>
      <c r="BS125" s="244"/>
      <c r="BT125" s="241"/>
      <c r="BU125" s="241"/>
      <c r="BV125" s="241"/>
      <c r="BW125" s="241"/>
      <c r="BX125" s="241"/>
      <c r="BY125" s="241"/>
      <c r="BZ125" s="241"/>
      <c r="CA125" s="241"/>
      <c r="CB125" s="241"/>
      <c r="CC125" s="241"/>
      <c r="CD125" s="241"/>
      <c r="CE125" s="241" t="e">
        <f>VLOOKUP(D125,[1]Sertifikasi!$B$4:$I$19,8,0)</f>
        <v>#N/A</v>
      </c>
      <c r="CF125" s="13"/>
      <c r="CG125" s="13"/>
      <c r="CH125" s="13"/>
    </row>
    <row r="126" spans="1:86" ht="11.25" customHeight="1" x14ac:dyDescent="0.2">
      <c r="A126" s="13"/>
      <c r="B126" s="238">
        <v>122</v>
      </c>
      <c r="C126" s="241" t="e">
        <f t="shared" ca="1" si="17"/>
        <v>#NUM!</v>
      </c>
      <c r="D126" s="237" t="s">
        <v>1863</v>
      </c>
      <c r="E126" s="239">
        <v>641808173</v>
      </c>
      <c r="F126" s="237">
        <v>1120014004605</v>
      </c>
      <c r="G126" s="240"/>
      <c r="H126" s="241" t="s">
        <v>25</v>
      </c>
      <c r="I126" s="241" t="s">
        <v>25</v>
      </c>
      <c r="J126" s="242">
        <v>43325</v>
      </c>
      <c r="K126" s="241"/>
      <c r="L126" s="241"/>
      <c r="M126" s="241" t="str">
        <f t="shared" si="18"/>
        <v>PKWT</v>
      </c>
      <c r="N126" s="241" t="s">
        <v>187</v>
      </c>
      <c r="O126" s="241"/>
      <c r="P126" s="243">
        <v>45515</v>
      </c>
      <c r="Q126" s="241"/>
      <c r="R126" s="241" t="s">
        <v>206</v>
      </c>
      <c r="S126" s="241" t="s">
        <v>6863</v>
      </c>
      <c r="T126" s="241" t="s">
        <v>312</v>
      </c>
      <c r="U126" s="241" t="s">
        <v>25</v>
      </c>
      <c r="V126" s="241" t="s">
        <v>443</v>
      </c>
      <c r="W126" s="241" t="s">
        <v>748</v>
      </c>
      <c r="X126" s="241" t="s">
        <v>121</v>
      </c>
      <c r="Y126" s="241" t="s">
        <v>313</v>
      </c>
      <c r="Z126" s="241"/>
      <c r="AA126" s="241" t="s">
        <v>337</v>
      </c>
      <c r="AB126" s="241" t="s">
        <v>314</v>
      </c>
      <c r="AC126" s="241" t="s">
        <v>1864</v>
      </c>
      <c r="AD126" s="245">
        <v>35747</v>
      </c>
      <c r="AE126" s="241">
        <f t="shared" ca="1" si="10"/>
        <v>27</v>
      </c>
      <c r="AF126" s="246" t="s">
        <v>1865</v>
      </c>
      <c r="AG126" s="241" t="s">
        <v>1866</v>
      </c>
      <c r="AH126" s="240" t="s">
        <v>1867</v>
      </c>
      <c r="AI126" s="240"/>
      <c r="AJ126" s="240"/>
      <c r="AK126" s="251" t="s">
        <v>1868</v>
      </c>
      <c r="AL126" s="246" t="s">
        <v>1869</v>
      </c>
      <c r="AM126" s="246">
        <v>18070554037</v>
      </c>
      <c r="AN126" s="241" t="s">
        <v>4733</v>
      </c>
      <c r="AO126" s="241" t="s">
        <v>1870</v>
      </c>
      <c r="AP126" s="241"/>
      <c r="AQ126" s="241"/>
      <c r="AR126" s="241"/>
      <c r="AS126" s="241"/>
      <c r="AT126" s="241" t="s">
        <v>1871</v>
      </c>
      <c r="AU126" s="241" t="s">
        <v>1872</v>
      </c>
      <c r="AV126" s="241" t="s">
        <v>1873</v>
      </c>
      <c r="AW126" s="241" t="s">
        <v>1874</v>
      </c>
      <c r="AX126" s="241">
        <f t="shared" si="11"/>
        <v>0</v>
      </c>
      <c r="AY126" s="241" t="str">
        <f t="shared" si="12"/>
        <v>K/0</v>
      </c>
      <c r="AZ126" s="241" t="s">
        <v>1875</v>
      </c>
      <c r="BA126" s="237" t="s">
        <v>1875</v>
      </c>
      <c r="BB126" s="241" t="s">
        <v>161</v>
      </c>
      <c r="BC126" s="241" t="s">
        <v>349</v>
      </c>
      <c r="BD126" s="241" t="s">
        <v>515</v>
      </c>
      <c r="BE126" s="241" t="s">
        <v>1862</v>
      </c>
      <c r="BF126" s="241">
        <v>2015</v>
      </c>
      <c r="BG126" s="241" t="s">
        <v>475</v>
      </c>
      <c r="BH126" s="241" t="s">
        <v>515</v>
      </c>
      <c r="BI126" s="241" t="s">
        <v>1862</v>
      </c>
      <c r="BJ126" s="241">
        <v>2015</v>
      </c>
      <c r="BK126" s="247"/>
      <c r="BL126" s="247"/>
      <c r="BM126" s="241" t="s">
        <v>369</v>
      </c>
      <c r="BN126" s="241">
        <v>41</v>
      </c>
      <c r="BO126" s="241">
        <v>43</v>
      </c>
      <c r="BP126" s="244"/>
      <c r="BQ126" s="244"/>
      <c r="BR126" s="244"/>
      <c r="BS126" s="244"/>
      <c r="BT126" s="241"/>
      <c r="BU126" s="241"/>
      <c r="BV126" s="241"/>
      <c r="BW126" s="241"/>
      <c r="BX126" s="241"/>
      <c r="BY126" s="241"/>
      <c r="BZ126" s="241"/>
      <c r="CA126" s="241"/>
      <c r="CB126" s="241"/>
      <c r="CC126" s="241"/>
      <c r="CD126" s="241"/>
      <c r="CE126" s="241" t="e">
        <f>VLOOKUP(D126,[1]Sertifikasi!$B$4:$I$19,8,0)</f>
        <v>#N/A</v>
      </c>
      <c r="CF126" s="13"/>
      <c r="CG126" s="13"/>
      <c r="CH126" s="13"/>
    </row>
    <row r="127" spans="1:86" ht="11.25" customHeight="1" x14ac:dyDescent="0.2">
      <c r="A127" s="13"/>
      <c r="B127" s="238">
        <v>123</v>
      </c>
      <c r="C127" s="285" t="s">
        <v>292</v>
      </c>
      <c r="D127" s="237" t="s">
        <v>1876</v>
      </c>
      <c r="E127" s="239">
        <v>971900044</v>
      </c>
      <c r="F127" s="237">
        <v>9000013821369</v>
      </c>
      <c r="G127" s="240"/>
      <c r="H127" s="249" t="s">
        <v>217</v>
      </c>
      <c r="I127" s="241" t="s">
        <v>33</v>
      </c>
      <c r="J127" s="242">
        <v>43346</v>
      </c>
      <c r="K127" s="241"/>
      <c r="L127" s="241"/>
      <c r="M127" s="241" t="str">
        <f t="shared" si="18"/>
        <v>ORGANIK IMSS</v>
      </c>
      <c r="N127" s="241" t="s">
        <v>187</v>
      </c>
      <c r="O127" s="241" t="s">
        <v>531</v>
      </c>
      <c r="P127" s="245">
        <v>43789</v>
      </c>
      <c r="Q127" s="244"/>
      <c r="R127" s="288" t="s">
        <v>138</v>
      </c>
      <c r="S127" s="241" t="s">
        <v>6861</v>
      </c>
      <c r="T127" s="241" t="s">
        <v>296</v>
      </c>
      <c r="U127" s="241" t="s">
        <v>187</v>
      </c>
      <c r="V127" s="241" t="s">
        <v>43</v>
      </c>
      <c r="W127" s="241" t="s">
        <v>43</v>
      </c>
      <c r="X127" s="241" t="s">
        <v>6116</v>
      </c>
      <c r="Y127" s="241" t="s">
        <v>1064</v>
      </c>
      <c r="Z127" s="241"/>
      <c r="AA127" s="241"/>
      <c r="AB127" s="241" t="s">
        <v>132</v>
      </c>
      <c r="AC127" s="241" t="s">
        <v>33</v>
      </c>
      <c r="AD127" s="245">
        <v>34668</v>
      </c>
      <c r="AE127" s="241">
        <f t="shared" ca="1" si="10"/>
        <v>30</v>
      </c>
      <c r="AF127" s="246" t="s">
        <v>1877</v>
      </c>
      <c r="AG127" s="241" t="s">
        <v>1878</v>
      </c>
      <c r="AH127" s="240" t="s">
        <v>1879</v>
      </c>
      <c r="AI127" s="240"/>
      <c r="AJ127" s="240"/>
      <c r="AK127" s="328" t="s">
        <v>1880</v>
      </c>
      <c r="AL127" s="246" t="s">
        <v>1881</v>
      </c>
      <c r="AM127" s="246">
        <v>18023863147</v>
      </c>
      <c r="AN127" s="241" t="s">
        <v>4733</v>
      </c>
      <c r="AO127" s="241"/>
      <c r="AP127" s="241"/>
      <c r="AQ127" s="241"/>
      <c r="AR127" s="241"/>
      <c r="AS127" s="241" t="s">
        <v>1882</v>
      </c>
      <c r="AT127" s="241" t="s">
        <v>1883</v>
      </c>
      <c r="AU127" s="241" t="s">
        <v>1884</v>
      </c>
      <c r="AV127" s="241" t="s">
        <v>306</v>
      </c>
      <c r="AW127" s="241" t="s">
        <v>306</v>
      </c>
      <c r="AX127" s="241">
        <f t="shared" si="11"/>
        <v>1</v>
      </c>
      <c r="AY127" s="241" t="str">
        <f t="shared" si="12"/>
        <v>K/1</v>
      </c>
      <c r="AZ127" s="241"/>
      <c r="BA127" s="237" t="s">
        <v>1885</v>
      </c>
      <c r="BB127" s="249" t="s">
        <v>161</v>
      </c>
      <c r="BC127" s="241" t="s">
        <v>75</v>
      </c>
      <c r="BD127" s="241" t="s">
        <v>43</v>
      </c>
      <c r="BE127" s="241" t="s">
        <v>1337</v>
      </c>
      <c r="BF127" s="241">
        <v>2017</v>
      </c>
      <c r="BG127" s="241" t="s">
        <v>75</v>
      </c>
      <c r="BH127" s="241" t="s">
        <v>43</v>
      </c>
      <c r="BI127" s="241" t="s">
        <v>1337</v>
      </c>
      <c r="BJ127" s="241">
        <v>2017</v>
      </c>
      <c r="BK127" s="244">
        <v>55112</v>
      </c>
      <c r="BL127" s="247">
        <v>55477</v>
      </c>
      <c r="BM127" s="249"/>
      <c r="BN127" s="241"/>
      <c r="BO127" s="241"/>
      <c r="BP127" s="244">
        <v>44308</v>
      </c>
      <c r="BQ127" s="244">
        <v>44336</v>
      </c>
      <c r="BR127" s="244">
        <v>44585</v>
      </c>
      <c r="BS127" s="244"/>
      <c r="BT127" s="241"/>
      <c r="BU127" s="241"/>
      <c r="BV127" s="241"/>
      <c r="BW127" s="241"/>
      <c r="BX127" s="241"/>
      <c r="BY127" s="241"/>
      <c r="BZ127" s="241"/>
      <c r="CA127" s="241"/>
      <c r="CB127" s="241"/>
      <c r="CC127" s="241"/>
      <c r="CD127" s="241"/>
      <c r="CE127" s="241" t="e">
        <f>VLOOKUP(D127,[1]Sertifikasi!$B$4:$I$19,8,0)</f>
        <v>#N/A</v>
      </c>
      <c r="CF127" s="13"/>
      <c r="CG127" s="13"/>
      <c r="CH127" s="13"/>
    </row>
    <row r="128" spans="1:86" ht="11.25" customHeight="1" x14ac:dyDescent="0.2">
      <c r="A128" s="13"/>
      <c r="B128" s="238">
        <v>124</v>
      </c>
      <c r="C128" s="285" t="s">
        <v>292</v>
      </c>
      <c r="D128" s="237" t="s">
        <v>82</v>
      </c>
      <c r="E128" s="239">
        <v>971900036</v>
      </c>
      <c r="F128" s="237">
        <v>1710004607050</v>
      </c>
      <c r="G128" s="240">
        <v>7174457748</v>
      </c>
      <c r="H128" s="249" t="s">
        <v>217</v>
      </c>
      <c r="I128" s="241" t="s">
        <v>1886</v>
      </c>
      <c r="J128" s="242">
        <v>43346</v>
      </c>
      <c r="K128" s="241"/>
      <c r="L128" s="241"/>
      <c r="M128" s="241" t="str">
        <f t="shared" si="18"/>
        <v>ORGANIK IMSS</v>
      </c>
      <c r="N128" s="241" t="s">
        <v>187</v>
      </c>
      <c r="O128" s="241" t="s">
        <v>1887</v>
      </c>
      <c r="P128" s="243">
        <v>43683</v>
      </c>
      <c r="Q128" s="244"/>
      <c r="R128" s="288" t="s">
        <v>138</v>
      </c>
      <c r="S128" s="241" t="s">
        <v>6861</v>
      </c>
      <c r="T128" s="241" t="s">
        <v>296</v>
      </c>
      <c r="U128" s="241" t="s">
        <v>187</v>
      </c>
      <c r="V128" s="241" t="s">
        <v>6996</v>
      </c>
      <c r="W128" s="241" t="s">
        <v>6996</v>
      </c>
      <c r="X128" s="241" t="s">
        <v>59</v>
      </c>
      <c r="Y128" s="241" t="s">
        <v>298</v>
      </c>
      <c r="Z128" s="241"/>
      <c r="AA128" s="241"/>
      <c r="AB128" s="241" t="s">
        <v>132</v>
      </c>
      <c r="AC128" s="241" t="s">
        <v>217</v>
      </c>
      <c r="AD128" s="245">
        <v>34053</v>
      </c>
      <c r="AE128" s="241">
        <f t="shared" ca="1" si="10"/>
        <v>32</v>
      </c>
      <c r="AF128" s="246" t="s">
        <v>1888</v>
      </c>
      <c r="AG128" s="241" t="s">
        <v>1889</v>
      </c>
      <c r="AH128" s="240" t="s">
        <v>1890</v>
      </c>
      <c r="AI128" s="240"/>
      <c r="AJ128" s="240"/>
      <c r="AK128" s="328" t="s">
        <v>1891</v>
      </c>
      <c r="AL128" s="246" t="s">
        <v>1892</v>
      </c>
      <c r="AM128" s="246">
        <v>16033502937</v>
      </c>
      <c r="AN128" s="241" t="s">
        <v>4733</v>
      </c>
      <c r="AO128" s="241" t="s">
        <v>1893</v>
      </c>
      <c r="AP128" s="241" t="s">
        <v>1894</v>
      </c>
      <c r="AQ128" s="241"/>
      <c r="AR128" s="241"/>
      <c r="AS128" s="241"/>
      <c r="AT128" s="241" t="s">
        <v>306</v>
      </c>
      <c r="AU128" s="241" t="s">
        <v>306</v>
      </c>
      <c r="AV128" s="241" t="s">
        <v>306</v>
      </c>
      <c r="AW128" s="241" t="s">
        <v>306</v>
      </c>
      <c r="AX128" s="241">
        <f t="shared" si="11"/>
        <v>1</v>
      </c>
      <c r="AY128" s="241" t="str">
        <f t="shared" si="12"/>
        <v>K/1</v>
      </c>
      <c r="AZ128" s="241"/>
      <c r="BA128" s="237">
        <v>906101571517000</v>
      </c>
      <c r="BB128" s="249" t="s">
        <v>161</v>
      </c>
      <c r="BC128" s="241" t="s">
        <v>75</v>
      </c>
      <c r="BD128" s="241" t="s">
        <v>83</v>
      </c>
      <c r="BE128" s="241" t="s">
        <v>84</v>
      </c>
      <c r="BF128" s="241">
        <v>2012</v>
      </c>
      <c r="BG128" s="241" t="s">
        <v>75</v>
      </c>
      <c r="BH128" s="241" t="s">
        <v>83</v>
      </c>
      <c r="BI128" s="241" t="s">
        <v>84</v>
      </c>
      <c r="BJ128" s="241">
        <v>2012</v>
      </c>
      <c r="BK128" s="247">
        <v>54276</v>
      </c>
      <c r="BL128" s="247">
        <v>54641</v>
      </c>
      <c r="BM128" s="242"/>
      <c r="BN128" s="241"/>
      <c r="BO128" s="241"/>
      <c r="BP128" s="244">
        <v>44294</v>
      </c>
      <c r="BQ128" s="244">
        <v>44322</v>
      </c>
      <c r="BR128" s="244">
        <v>44617</v>
      </c>
      <c r="BS128" s="244"/>
      <c r="BT128" s="241"/>
      <c r="BU128" s="241"/>
      <c r="BV128" s="241"/>
      <c r="BW128" s="241"/>
      <c r="BX128" s="241"/>
      <c r="BY128" s="241"/>
      <c r="BZ128" s="241"/>
      <c r="CA128" s="241"/>
      <c r="CB128" s="241"/>
      <c r="CC128" s="241"/>
      <c r="CD128" s="241"/>
      <c r="CE128" s="241" t="e">
        <f>VLOOKUP(D128,[1]Sertifikasi!$B$4:$I$19,8,0)</f>
        <v>#N/A</v>
      </c>
      <c r="CF128" s="13"/>
      <c r="CG128" s="13"/>
      <c r="CH128" s="13"/>
    </row>
    <row r="129" spans="1:86" ht="11.25" customHeight="1" x14ac:dyDescent="0.2">
      <c r="A129" s="13"/>
      <c r="B129" s="238">
        <v>125</v>
      </c>
      <c r="C129" s="285" t="s">
        <v>292</v>
      </c>
      <c r="D129" s="237" t="s">
        <v>1895</v>
      </c>
      <c r="E129" s="239">
        <v>971900040</v>
      </c>
      <c r="F129" s="237">
        <v>1710004667583</v>
      </c>
      <c r="G129" s="240">
        <v>7243278923</v>
      </c>
      <c r="H129" s="249" t="s">
        <v>217</v>
      </c>
      <c r="I129" s="241" t="s">
        <v>1896</v>
      </c>
      <c r="J129" s="242">
        <v>43346</v>
      </c>
      <c r="K129" s="241"/>
      <c r="L129" s="241"/>
      <c r="M129" s="241" t="str">
        <f t="shared" si="18"/>
        <v>ORGANIK IMSS</v>
      </c>
      <c r="N129" s="241" t="s">
        <v>187</v>
      </c>
      <c r="O129" s="241" t="s">
        <v>1887</v>
      </c>
      <c r="P129" s="243">
        <v>43683</v>
      </c>
      <c r="Q129" s="244"/>
      <c r="R129" s="284" t="s">
        <v>137</v>
      </c>
      <c r="S129" s="241" t="s">
        <v>6862</v>
      </c>
      <c r="T129" s="241" t="s">
        <v>296</v>
      </c>
      <c r="U129" s="241" t="s">
        <v>187</v>
      </c>
      <c r="V129" s="241" t="s">
        <v>73</v>
      </c>
      <c r="W129" s="241" t="s">
        <v>73</v>
      </c>
      <c r="X129" s="241" t="s">
        <v>122</v>
      </c>
      <c r="Y129" s="241" t="s">
        <v>313</v>
      </c>
      <c r="Z129" s="241"/>
      <c r="AA129" s="241"/>
      <c r="AB129" s="241" t="s">
        <v>133</v>
      </c>
      <c r="AC129" s="241" t="s">
        <v>1886</v>
      </c>
      <c r="AD129" s="245">
        <v>34991</v>
      </c>
      <c r="AE129" s="241">
        <f t="shared" ca="1" si="10"/>
        <v>29</v>
      </c>
      <c r="AF129" s="246" t="s">
        <v>1897</v>
      </c>
      <c r="AG129" s="241" t="s">
        <v>1898</v>
      </c>
      <c r="AH129" s="240" t="s">
        <v>1899</v>
      </c>
      <c r="AI129" s="240"/>
      <c r="AJ129" s="240"/>
      <c r="AK129" s="328" t="s">
        <v>1900</v>
      </c>
      <c r="AL129" s="246" t="s">
        <v>1901</v>
      </c>
      <c r="AM129" s="246">
        <v>18070554524</v>
      </c>
      <c r="AN129" s="241" t="s">
        <v>4733</v>
      </c>
      <c r="AO129" s="241"/>
      <c r="AP129" s="241"/>
      <c r="AQ129" s="241"/>
      <c r="AR129" s="241"/>
      <c r="AS129" s="241"/>
      <c r="AT129" s="241" t="s">
        <v>306</v>
      </c>
      <c r="AU129" s="241" t="s">
        <v>306</v>
      </c>
      <c r="AV129" s="241" t="s">
        <v>306</v>
      </c>
      <c r="AW129" s="241" t="s">
        <v>306</v>
      </c>
      <c r="AX129" s="241">
        <f t="shared" si="11"/>
        <v>0</v>
      </c>
      <c r="AY129" s="241" t="str">
        <f t="shared" si="12"/>
        <v>K/0</v>
      </c>
      <c r="AZ129" s="241"/>
      <c r="BA129" s="237"/>
      <c r="BB129" s="249" t="s">
        <v>161</v>
      </c>
      <c r="BC129" s="241" t="s">
        <v>75</v>
      </c>
      <c r="BD129" s="241" t="s">
        <v>91</v>
      </c>
      <c r="BE129" s="241" t="s">
        <v>1902</v>
      </c>
      <c r="BF129" s="241">
        <v>2017</v>
      </c>
      <c r="BG129" s="241" t="s">
        <v>75</v>
      </c>
      <c r="BH129" s="241" t="s">
        <v>91</v>
      </c>
      <c r="BI129" s="241" t="s">
        <v>1902</v>
      </c>
      <c r="BJ129" s="241">
        <v>2017</v>
      </c>
      <c r="BK129" s="247">
        <v>55371</v>
      </c>
      <c r="BL129" s="247">
        <v>55736</v>
      </c>
      <c r="BM129" s="242"/>
      <c r="BN129" s="241"/>
      <c r="BO129" s="241"/>
      <c r="BP129" s="244" t="s">
        <v>1072</v>
      </c>
      <c r="BQ129" s="244" t="s">
        <v>1072</v>
      </c>
      <c r="BR129" s="244">
        <v>44827</v>
      </c>
      <c r="BS129" s="244"/>
      <c r="BT129" s="241"/>
      <c r="BU129" s="241"/>
      <c r="BV129" s="241"/>
      <c r="BW129" s="241"/>
      <c r="BX129" s="241"/>
      <c r="BY129" s="241"/>
      <c r="BZ129" s="241"/>
      <c r="CA129" s="241"/>
      <c r="CB129" s="241"/>
      <c r="CC129" s="241"/>
      <c r="CD129" s="241"/>
      <c r="CE129" s="241" t="e">
        <f>VLOOKUP(D129,[1]Sertifikasi!$B$4:$I$19,8,0)</f>
        <v>#N/A</v>
      </c>
      <c r="CF129" s="13"/>
      <c r="CG129" s="13"/>
      <c r="CH129" s="13"/>
    </row>
    <row r="130" spans="1:86" ht="11.25" customHeight="1" x14ac:dyDescent="0.2">
      <c r="A130" s="13"/>
      <c r="B130" s="238">
        <v>126</v>
      </c>
      <c r="C130" s="285" t="s">
        <v>292</v>
      </c>
      <c r="D130" s="237" t="s">
        <v>1903</v>
      </c>
      <c r="E130" s="239">
        <v>971900039</v>
      </c>
      <c r="F130" s="237">
        <v>1710004667443</v>
      </c>
      <c r="G130" s="240"/>
      <c r="H130" s="249" t="s">
        <v>217</v>
      </c>
      <c r="I130" s="241" t="s">
        <v>1904</v>
      </c>
      <c r="J130" s="242">
        <v>43346</v>
      </c>
      <c r="K130" s="241"/>
      <c r="L130" s="241"/>
      <c r="M130" s="241" t="str">
        <f t="shared" si="18"/>
        <v>ORGANIK IMSS</v>
      </c>
      <c r="N130" s="241" t="s">
        <v>187</v>
      </c>
      <c r="O130" s="241" t="s">
        <v>1887</v>
      </c>
      <c r="P130" s="243">
        <v>43683</v>
      </c>
      <c r="Q130" s="244"/>
      <c r="R130" s="284" t="s">
        <v>137</v>
      </c>
      <c r="S130" s="241" t="s">
        <v>6862</v>
      </c>
      <c r="T130" s="241" t="s">
        <v>296</v>
      </c>
      <c r="U130" s="241" t="s">
        <v>187</v>
      </c>
      <c r="V130" s="241" t="s">
        <v>50</v>
      </c>
      <c r="W130" s="241" t="s">
        <v>50</v>
      </c>
      <c r="X130" s="241" t="s">
        <v>6116</v>
      </c>
      <c r="Y130" s="241" t="s">
        <v>1064</v>
      </c>
      <c r="Z130" s="241"/>
      <c r="AA130" s="241"/>
      <c r="AB130" s="241" t="s">
        <v>132</v>
      </c>
      <c r="AC130" s="241" t="s">
        <v>1904</v>
      </c>
      <c r="AD130" s="245">
        <v>34900</v>
      </c>
      <c r="AE130" s="241">
        <f t="shared" ca="1" si="10"/>
        <v>30</v>
      </c>
      <c r="AF130" s="246" t="s">
        <v>1905</v>
      </c>
      <c r="AG130" s="241" t="s">
        <v>1906</v>
      </c>
      <c r="AH130" s="240" t="s">
        <v>1907</v>
      </c>
      <c r="AI130" s="240"/>
      <c r="AJ130" s="240"/>
      <c r="AK130" s="328" t="s">
        <v>1908</v>
      </c>
      <c r="AL130" s="246" t="s">
        <v>1909</v>
      </c>
      <c r="AM130" s="246">
        <v>18070554474</v>
      </c>
      <c r="AN130" s="241" t="s">
        <v>4716</v>
      </c>
      <c r="AO130" s="241"/>
      <c r="AP130" s="241"/>
      <c r="AQ130" s="241"/>
      <c r="AR130" s="241"/>
      <c r="AS130" s="241" t="s">
        <v>1910</v>
      </c>
      <c r="AT130" s="241" t="s">
        <v>1911</v>
      </c>
      <c r="AU130" s="241" t="s">
        <v>1912</v>
      </c>
      <c r="AV130" s="241" t="s">
        <v>306</v>
      </c>
      <c r="AW130" s="241" t="s">
        <v>306</v>
      </c>
      <c r="AX130" s="241">
        <f t="shared" si="11"/>
        <v>1</v>
      </c>
      <c r="AY130" s="241" t="str">
        <f t="shared" si="12"/>
        <v>TK/1</v>
      </c>
      <c r="AZ130" s="241"/>
      <c r="BA130" s="237" t="s">
        <v>1913</v>
      </c>
      <c r="BB130" s="249" t="s">
        <v>163</v>
      </c>
      <c r="BC130" s="241" t="s">
        <v>75</v>
      </c>
      <c r="BD130" s="241" t="s">
        <v>80</v>
      </c>
      <c r="BE130" s="241" t="s">
        <v>402</v>
      </c>
      <c r="BF130" s="241">
        <v>2017</v>
      </c>
      <c r="BG130" s="241" t="s">
        <v>75</v>
      </c>
      <c r="BH130" s="241" t="s">
        <v>80</v>
      </c>
      <c r="BI130" s="241" t="s">
        <v>402</v>
      </c>
      <c r="BJ130" s="241">
        <v>2017</v>
      </c>
      <c r="BK130" s="247">
        <v>55371</v>
      </c>
      <c r="BL130" s="247">
        <v>55736</v>
      </c>
      <c r="BM130" s="242"/>
      <c r="BN130" s="241"/>
      <c r="BO130" s="241">
        <v>43</v>
      </c>
      <c r="BP130" s="244">
        <v>44294</v>
      </c>
      <c r="BQ130" s="244">
        <v>44322</v>
      </c>
      <c r="BR130" s="244">
        <v>44505</v>
      </c>
      <c r="BS130" s="244"/>
      <c r="BT130" s="241"/>
      <c r="BU130" s="241"/>
      <c r="BV130" s="241"/>
      <c r="BW130" s="241"/>
      <c r="BX130" s="241"/>
      <c r="BY130" s="241"/>
      <c r="BZ130" s="241"/>
      <c r="CA130" s="241"/>
      <c r="CB130" s="241"/>
      <c r="CC130" s="241"/>
      <c r="CD130" s="241"/>
      <c r="CE130" s="241" t="e">
        <f>VLOOKUP(D130,[1]Sertifikasi!$B$4:$I$19,8,0)</f>
        <v>#N/A</v>
      </c>
      <c r="CF130" s="13"/>
      <c r="CG130" s="13"/>
      <c r="CH130" s="13"/>
    </row>
    <row r="131" spans="1:86" ht="11.25" customHeight="1" x14ac:dyDescent="0.2">
      <c r="A131" s="13"/>
      <c r="B131" s="238">
        <v>127</v>
      </c>
      <c r="C131" s="248" t="s">
        <v>292</v>
      </c>
      <c r="D131" s="237" t="s">
        <v>1914</v>
      </c>
      <c r="E131" s="239">
        <v>971900037</v>
      </c>
      <c r="F131" s="237">
        <v>1710004607068</v>
      </c>
      <c r="G131" s="240"/>
      <c r="H131" s="249" t="s">
        <v>217</v>
      </c>
      <c r="I131" s="241" t="s">
        <v>217</v>
      </c>
      <c r="J131" s="242">
        <v>43346</v>
      </c>
      <c r="K131" s="241"/>
      <c r="L131" s="241"/>
      <c r="M131" s="241" t="str">
        <f t="shared" si="18"/>
        <v>ORGANIK IMSS</v>
      </c>
      <c r="N131" s="241" t="s">
        <v>187</v>
      </c>
      <c r="O131" s="241" t="s">
        <v>1887</v>
      </c>
      <c r="P131" s="243">
        <v>43683</v>
      </c>
      <c r="Q131" s="244"/>
      <c r="R131" s="241" t="s">
        <v>139</v>
      </c>
      <c r="S131" s="241" t="s">
        <v>6863</v>
      </c>
      <c r="T131" s="241" t="s">
        <v>296</v>
      </c>
      <c r="U131" s="241" t="s">
        <v>187</v>
      </c>
      <c r="V131" s="241" t="s">
        <v>43</v>
      </c>
      <c r="W131" s="241" t="s">
        <v>43</v>
      </c>
      <c r="X131" s="241" t="s">
        <v>6116</v>
      </c>
      <c r="Y131" s="241" t="s">
        <v>1064</v>
      </c>
      <c r="Z131" s="241"/>
      <c r="AA131" s="241"/>
      <c r="AB131" s="241" t="s">
        <v>132</v>
      </c>
      <c r="AC131" s="241" t="s">
        <v>1915</v>
      </c>
      <c r="AD131" s="245">
        <v>34071</v>
      </c>
      <c r="AE131" s="241">
        <f t="shared" ca="1" si="10"/>
        <v>32</v>
      </c>
      <c r="AF131" s="246" t="s">
        <v>1916</v>
      </c>
      <c r="AG131" s="241" t="s">
        <v>1917</v>
      </c>
      <c r="AH131" s="240" t="s">
        <v>1918</v>
      </c>
      <c r="AI131" s="240"/>
      <c r="AJ131" s="240"/>
      <c r="AK131" s="328" t="s">
        <v>1919</v>
      </c>
      <c r="AL131" s="246" t="s">
        <v>1920</v>
      </c>
      <c r="AM131" s="246">
        <v>18070554540</v>
      </c>
      <c r="AN131" s="241" t="s">
        <v>4716</v>
      </c>
      <c r="AO131" s="241"/>
      <c r="AP131" s="241"/>
      <c r="AQ131" s="241"/>
      <c r="AR131" s="241"/>
      <c r="AS131" s="241" t="s">
        <v>1921</v>
      </c>
      <c r="AT131" s="241" t="s">
        <v>1922</v>
      </c>
      <c r="AU131" s="241" t="s">
        <v>1923</v>
      </c>
      <c r="AV131" s="241" t="s">
        <v>306</v>
      </c>
      <c r="AW131" s="241" t="s">
        <v>306</v>
      </c>
      <c r="AX131" s="241">
        <f t="shared" si="11"/>
        <v>1</v>
      </c>
      <c r="AY131" s="241" t="str">
        <f t="shared" si="12"/>
        <v>TK/1</v>
      </c>
      <c r="AZ131" s="241"/>
      <c r="BA131" s="237" t="s">
        <v>1924</v>
      </c>
      <c r="BB131" s="249" t="s">
        <v>161</v>
      </c>
      <c r="BC131" s="241" t="s">
        <v>75</v>
      </c>
      <c r="BD131" s="241" t="s">
        <v>1925</v>
      </c>
      <c r="BE131" s="241" t="s">
        <v>81</v>
      </c>
      <c r="BF131" s="241"/>
      <c r="BG131" s="241" t="s">
        <v>75</v>
      </c>
      <c r="BH131" s="241" t="s">
        <v>1925</v>
      </c>
      <c r="BI131" s="241" t="s">
        <v>81</v>
      </c>
      <c r="BJ131" s="241"/>
      <c r="BK131" s="247">
        <v>54276</v>
      </c>
      <c r="BL131" s="247">
        <v>54641</v>
      </c>
      <c r="BM131" s="249"/>
      <c r="BN131" s="241"/>
      <c r="BO131" s="241"/>
      <c r="BP131" s="244">
        <v>44294</v>
      </c>
      <c r="BQ131" s="244">
        <v>44322</v>
      </c>
      <c r="BR131" s="244">
        <v>44585</v>
      </c>
      <c r="BS131" s="244"/>
      <c r="BT131" s="241"/>
      <c r="BU131" s="241"/>
      <c r="BV131" s="241"/>
      <c r="BW131" s="241"/>
      <c r="BX131" s="241"/>
      <c r="BY131" s="241"/>
      <c r="BZ131" s="241"/>
      <c r="CA131" s="241"/>
      <c r="CB131" s="241"/>
      <c r="CC131" s="241"/>
      <c r="CD131" s="241"/>
      <c r="CE131" s="241" t="e">
        <f>VLOOKUP(D131,[1]Sertifikasi!$B$4:$I$19,8,0)</f>
        <v>#N/A</v>
      </c>
      <c r="CF131" s="13"/>
      <c r="CG131" s="13"/>
      <c r="CH131" s="13"/>
    </row>
    <row r="132" spans="1:86" ht="11.25" customHeight="1" x14ac:dyDescent="0.2">
      <c r="A132" s="13"/>
      <c r="B132" s="238">
        <v>128</v>
      </c>
      <c r="C132" s="248" t="s">
        <v>292</v>
      </c>
      <c r="D132" s="237" t="s">
        <v>79</v>
      </c>
      <c r="E132" s="239">
        <v>971900043</v>
      </c>
      <c r="F132" s="237">
        <v>1710004667732</v>
      </c>
      <c r="G132" s="240">
        <v>7190880348</v>
      </c>
      <c r="H132" s="249" t="s">
        <v>217</v>
      </c>
      <c r="I132" s="241" t="s">
        <v>217</v>
      </c>
      <c r="J132" s="242">
        <v>43346</v>
      </c>
      <c r="K132" s="241"/>
      <c r="L132" s="241"/>
      <c r="M132" s="241" t="str">
        <f t="shared" si="18"/>
        <v>ORGANIK IMSS</v>
      </c>
      <c r="N132" s="241" t="s">
        <v>187</v>
      </c>
      <c r="O132" s="241" t="s">
        <v>531</v>
      </c>
      <c r="P132" s="245">
        <v>43789</v>
      </c>
      <c r="Q132" s="244"/>
      <c r="R132" s="241" t="s">
        <v>139</v>
      </c>
      <c r="S132" s="241" t="s">
        <v>6863</v>
      </c>
      <c r="T132" s="241" t="s">
        <v>296</v>
      </c>
      <c r="U132" s="241" t="s">
        <v>187</v>
      </c>
      <c r="V132" s="241" t="s">
        <v>6909</v>
      </c>
      <c r="W132" s="241" t="s">
        <v>6909</v>
      </c>
      <c r="X132" s="241" t="s">
        <v>59</v>
      </c>
      <c r="Y132" s="241" t="s">
        <v>298</v>
      </c>
      <c r="Z132" s="241"/>
      <c r="AA132" s="241"/>
      <c r="AB132" s="241" t="s">
        <v>132</v>
      </c>
      <c r="AC132" s="241" t="s">
        <v>217</v>
      </c>
      <c r="AD132" s="245">
        <v>33465</v>
      </c>
      <c r="AE132" s="241">
        <f t="shared" ca="1" si="10"/>
        <v>34</v>
      </c>
      <c r="AF132" s="246" t="s">
        <v>1926</v>
      </c>
      <c r="AG132" s="241" t="s">
        <v>1927</v>
      </c>
      <c r="AH132" s="240" t="s">
        <v>1928</v>
      </c>
      <c r="AI132" s="240"/>
      <c r="AJ132" s="240"/>
      <c r="AK132" s="328" t="s">
        <v>1929</v>
      </c>
      <c r="AL132" s="246" t="s">
        <v>1930</v>
      </c>
      <c r="AM132" s="246">
        <v>18070554490</v>
      </c>
      <c r="AN132" s="241" t="s">
        <v>4733</v>
      </c>
      <c r="AO132" s="241"/>
      <c r="AP132" s="241"/>
      <c r="AQ132" s="241"/>
      <c r="AR132" s="241"/>
      <c r="AS132" s="241"/>
      <c r="AT132" s="241" t="s">
        <v>306</v>
      </c>
      <c r="AU132" s="241" t="s">
        <v>306</v>
      </c>
      <c r="AV132" s="241" t="s">
        <v>306</v>
      </c>
      <c r="AW132" s="241" t="s">
        <v>306</v>
      </c>
      <c r="AX132" s="241">
        <f t="shared" si="11"/>
        <v>0</v>
      </c>
      <c r="AY132" s="241" t="str">
        <f t="shared" si="12"/>
        <v>K/0</v>
      </c>
      <c r="AZ132" s="241"/>
      <c r="BA132" s="237" t="s">
        <v>1931</v>
      </c>
      <c r="BB132" s="249" t="s">
        <v>161</v>
      </c>
      <c r="BC132" s="241" t="s">
        <v>75</v>
      </c>
      <c r="BD132" s="241" t="s">
        <v>80</v>
      </c>
      <c r="BE132" s="241" t="s">
        <v>81</v>
      </c>
      <c r="BF132" s="241">
        <v>2013</v>
      </c>
      <c r="BG132" s="241" t="s">
        <v>75</v>
      </c>
      <c r="BH132" s="241" t="s">
        <v>80</v>
      </c>
      <c r="BI132" s="241" t="s">
        <v>81</v>
      </c>
      <c r="BJ132" s="241">
        <v>2013</v>
      </c>
      <c r="BK132" s="244">
        <v>54016</v>
      </c>
      <c r="BL132" s="247">
        <v>54381</v>
      </c>
      <c r="BM132" s="249"/>
      <c r="BN132" s="241"/>
      <c r="BO132" s="241"/>
      <c r="BP132" s="244">
        <v>44294</v>
      </c>
      <c r="BQ132" s="244">
        <v>44322</v>
      </c>
      <c r="BR132" s="244">
        <v>44585</v>
      </c>
      <c r="BS132" s="244"/>
      <c r="BT132" s="241"/>
      <c r="BU132" s="241"/>
      <c r="BV132" s="241"/>
      <c r="BW132" s="241"/>
      <c r="BX132" s="241"/>
      <c r="BY132" s="241"/>
      <c r="BZ132" s="241"/>
      <c r="CA132" s="241"/>
      <c r="CB132" s="241"/>
      <c r="CC132" s="241"/>
      <c r="CD132" s="241"/>
      <c r="CE132" s="241" t="e">
        <f>VLOOKUP(D132,[1]Sertifikasi!$B$4:$I$19,8,0)</f>
        <v>#N/A</v>
      </c>
      <c r="CF132" s="13"/>
      <c r="CG132" s="13"/>
      <c r="CH132" s="13"/>
    </row>
    <row r="133" spans="1:86" ht="11.25" customHeight="1" x14ac:dyDescent="0.2">
      <c r="A133" s="13"/>
      <c r="B133" s="238">
        <v>129</v>
      </c>
      <c r="C133" s="248" t="s">
        <v>292</v>
      </c>
      <c r="D133" s="237" t="s">
        <v>1932</v>
      </c>
      <c r="E133" s="239">
        <v>971900035</v>
      </c>
      <c r="F133" s="237">
        <v>1710000069305</v>
      </c>
      <c r="G133" s="240">
        <v>7178687837</v>
      </c>
      <c r="H133" s="249" t="s">
        <v>217</v>
      </c>
      <c r="I133" s="241" t="s">
        <v>217</v>
      </c>
      <c r="J133" s="242">
        <v>43346</v>
      </c>
      <c r="K133" s="241"/>
      <c r="L133" s="241"/>
      <c r="M133" s="241" t="str">
        <f t="shared" si="18"/>
        <v>ORGANIK IMSS</v>
      </c>
      <c r="N133" s="241" t="s">
        <v>187</v>
      </c>
      <c r="O133" s="241" t="s">
        <v>1887</v>
      </c>
      <c r="P133" s="243">
        <v>43683</v>
      </c>
      <c r="Q133" s="244"/>
      <c r="R133" s="283" t="s">
        <v>6923</v>
      </c>
      <c r="S133" s="241" t="s">
        <v>6863</v>
      </c>
      <c r="T133" s="241" t="s">
        <v>296</v>
      </c>
      <c r="U133" s="241" t="s">
        <v>187</v>
      </c>
      <c r="V133" s="241" t="s">
        <v>5946</v>
      </c>
      <c r="W133" s="241" t="s">
        <v>43</v>
      </c>
      <c r="X133" s="241" t="s">
        <v>6116</v>
      </c>
      <c r="Y133" s="241" t="s">
        <v>1064</v>
      </c>
      <c r="Z133" s="241" t="s">
        <v>1933</v>
      </c>
      <c r="AA133" s="241"/>
      <c r="AB133" s="241" t="s">
        <v>133</v>
      </c>
      <c r="AC133" s="241" t="s">
        <v>217</v>
      </c>
      <c r="AD133" s="245">
        <v>34993</v>
      </c>
      <c r="AE133" s="241">
        <f t="shared" ref="AE133:AE196" ca="1" si="19">DATEDIF(AD133,$E$3,"y")</f>
        <v>29</v>
      </c>
      <c r="AF133" s="246" t="s">
        <v>1934</v>
      </c>
      <c r="AG133" s="241" t="s">
        <v>1935</v>
      </c>
      <c r="AH133" s="240" t="s">
        <v>1936</v>
      </c>
      <c r="AI133" s="240"/>
      <c r="AJ133" s="240"/>
      <c r="AK133" s="250" t="s">
        <v>1937</v>
      </c>
      <c r="AL133" s="246" t="s">
        <v>1938</v>
      </c>
      <c r="AM133" s="246">
        <v>18070554508</v>
      </c>
      <c r="AN133" s="241" t="s">
        <v>4733</v>
      </c>
      <c r="AO133" s="241" t="s">
        <v>1149</v>
      </c>
      <c r="AP133" s="241"/>
      <c r="AQ133" s="241"/>
      <c r="AR133" s="241"/>
      <c r="AS133" s="241"/>
      <c r="AT133" s="241" t="s">
        <v>1289</v>
      </c>
      <c r="AU133" s="241" t="s">
        <v>1939</v>
      </c>
      <c r="AV133" s="241" t="s">
        <v>306</v>
      </c>
      <c r="AW133" s="241" t="s">
        <v>306</v>
      </c>
      <c r="AX133" s="241">
        <f t="shared" ref="AX133:AX196" si="20">COUNTA(AP133:AS133)</f>
        <v>0</v>
      </c>
      <c r="AY133" s="241" t="str">
        <f t="shared" ref="AY133:AY196" si="21">IF(AN133="Menikah","K","TK")&amp;"/"&amp;AX133</f>
        <v>K/0</v>
      </c>
      <c r="AZ133" s="241"/>
      <c r="BA133" s="237">
        <v>850883034621000</v>
      </c>
      <c r="BB133" s="249" t="s">
        <v>161</v>
      </c>
      <c r="BC133" s="241" t="s">
        <v>75</v>
      </c>
      <c r="BD133" s="241" t="s">
        <v>1940</v>
      </c>
      <c r="BE133" s="241" t="s">
        <v>81</v>
      </c>
      <c r="BF133" s="241">
        <v>2017</v>
      </c>
      <c r="BG133" s="241" t="s">
        <v>75</v>
      </c>
      <c r="BH133" s="241" t="s">
        <v>1940</v>
      </c>
      <c r="BI133" s="241" t="s">
        <v>81</v>
      </c>
      <c r="BJ133" s="241">
        <v>2017</v>
      </c>
      <c r="BK133" s="247">
        <v>55371</v>
      </c>
      <c r="BL133" s="247">
        <v>55736</v>
      </c>
      <c r="BM133" s="242"/>
      <c r="BN133" s="241"/>
      <c r="BO133" s="241"/>
      <c r="BP133" s="244">
        <v>44294</v>
      </c>
      <c r="BQ133" s="244">
        <v>44322</v>
      </c>
      <c r="BR133" s="244"/>
      <c r="BS133" s="244"/>
      <c r="BT133" s="241"/>
      <c r="BU133" s="241"/>
      <c r="BV133" s="241"/>
      <c r="BW133" s="241"/>
      <c r="BX133" s="241"/>
      <c r="BY133" s="241"/>
      <c r="BZ133" s="241"/>
      <c r="CA133" s="241"/>
      <c r="CB133" s="241"/>
      <c r="CC133" s="241"/>
      <c r="CD133" s="241"/>
      <c r="CE133" s="241" t="e">
        <f>VLOOKUP(D133,[1]Sertifikasi!$B$4:$I$19,8,0)</f>
        <v>#N/A</v>
      </c>
      <c r="CF133" s="13"/>
      <c r="CG133" s="13"/>
      <c r="CH133" s="13"/>
    </row>
    <row r="134" spans="1:86" ht="11.25" customHeight="1" x14ac:dyDescent="0.2">
      <c r="A134" s="13"/>
      <c r="B134" s="238">
        <v>130</v>
      </c>
      <c r="C134" s="248" t="s">
        <v>292</v>
      </c>
      <c r="D134" s="237" t="s">
        <v>1941</v>
      </c>
      <c r="E134" s="239">
        <v>971900045</v>
      </c>
      <c r="F134" s="237">
        <v>1710003919712</v>
      </c>
      <c r="G134" s="240"/>
      <c r="H134" s="249" t="s">
        <v>217</v>
      </c>
      <c r="I134" s="241" t="s">
        <v>217</v>
      </c>
      <c r="J134" s="242">
        <v>43346</v>
      </c>
      <c r="K134" s="241"/>
      <c r="L134" s="241"/>
      <c r="M134" s="241" t="str">
        <f t="shared" si="18"/>
        <v>ORGANIK IMSS</v>
      </c>
      <c r="N134" s="241" t="s">
        <v>187</v>
      </c>
      <c r="O134" s="241" t="s">
        <v>531</v>
      </c>
      <c r="P134" s="245">
        <v>43789</v>
      </c>
      <c r="Q134" s="244"/>
      <c r="R134" s="241" t="s">
        <v>139</v>
      </c>
      <c r="S134" s="241" t="s">
        <v>6863</v>
      </c>
      <c r="T134" s="241" t="s">
        <v>296</v>
      </c>
      <c r="U134" s="241" t="s">
        <v>187</v>
      </c>
      <c r="V134" s="241" t="s">
        <v>668</v>
      </c>
      <c r="W134" s="241" t="s">
        <v>119</v>
      </c>
      <c r="X134" s="241" t="s">
        <v>120</v>
      </c>
      <c r="Y134" s="241" t="s">
        <v>313</v>
      </c>
      <c r="Z134" s="241"/>
      <c r="AA134" s="241"/>
      <c r="AB134" s="241" t="s">
        <v>132</v>
      </c>
      <c r="AC134" s="241" t="s">
        <v>315</v>
      </c>
      <c r="AD134" s="245">
        <v>31217</v>
      </c>
      <c r="AE134" s="241">
        <f t="shared" ca="1" si="19"/>
        <v>40</v>
      </c>
      <c r="AF134" s="246" t="s">
        <v>1942</v>
      </c>
      <c r="AG134" s="241" t="s">
        <v>1943</v>
      </c>
      <c r="AH134" s="240" t="s">
        <v>1944</v>
      </c>
      <c r="AI134" s="240"/>
      <c r="AJ134" s="240"/>
      <c r="AK134" s="250" t="s">
        <v>1945</v>
      </c>
      <c r="AL134" s="246" t="s">
        <v>1946</v>
      </c>
      <c r="AM134" s="246">
        <v>13020003151</v>
      </c>
      <c r="AN134" s="241" t="s">
        <v>4733</v>
      </c>
      <c r="AO134" s="241" t="s">
        <v>1947</v>
      </c>
      <c r="AP134" s="241" t="s">
        <v>1948</v>
      </c>
      <c r="AQ134" s="241"/>
      <c r="AR134" s="241"/>
      <c r="AS134" s="241"/>
      <c r="AT134" s="241" t="s">
        <v>306</v>
      </c>
      <c r="AU134" s="241" t="s">
        <v>306</v>
      </c>
      <c r="AV134" s="241" t="s">
        <v>306</v>
      </c>
      <c r="AW134" s="241" t="s">
        <v>306</v>
      </c>
      <c r="AX134" s="241">
        <f t="shared" si="20"/>
        <v>1</v>
      </c>
      <c r="AY134" s="241" t="str">
        <f t="shared" si="21"/>
        <v>K/1</v>
      </c>
      <c r="AZ134" s="241"/>
      <c r="BA134" s="237"/>
      <c r="BB134" s="249" t="s">
        <v>161</v>
      </c>
      <c r="BC134" s="241" t="s">
        <v>75</v>
      </c>
      <c r="BD134" s="241" t="s">
        <v>91</v>
      </c>
      <c r="BE134" s="241" t="s">
        <v>92</v>
      </c>
      <c r="BF134" s="241">
        <v>2011</v>
      </c>
      <c r="BG134" s="241" t="s">
        <v>75</v>
      </c>
      <c r="BH134" s="241" t="s">
        <v>91</v>
      </c>
      <c r="BI134" s="241" t="s">
        <v>92</v>
      </c>
      <c r="BJ134" s="241">
        <v>2011</v>
      </c>
      <c r="BK134" s="244">
        <v>51460</v>
      </c>
      <c r="BL134" s="247">
        <v>51825</v>
      </c>
      <c r="BM134" s="242"/>
      <c r="BN134" s="241"/>
      <c r="BO134" s="241">
        <v>44</v>
      </c>
      <c r="BP134" s="244">
        <v>44294</v>
      </c>
      <c r="BQ134" s="244">
        <v>44322</v>
      </c>
      <c r="BR134" s="244"/>
      <c r="BS134" s="244"/>
      <c r="BT134" s="241"/>
      <c r="BU134" s="241"/>
      <c r="BV134" s="241"/>
      <c r="BW134" s="241"/>
      <c r="BX134" s="241"/>
      <c r="BY134" s="241"/>
      <c r="BZ134" s="241"/>
      <c r="CA134" s="241"/>
      <c r="CB134" s="241"/>
      <c r="CC134" s="241"/>
      <c r="CD134" s="241"/>
      <c r="CE134" s="241" t="e">
        <f>VLOOKUP(D134,[1]Sertifikasi!$B$4:$I$19,8,0)</f>
        <v>#N/A</v>
      </c>
      <c r="CF134" s="13"/>
      <c r="CG134" s="13"/>
      <c r="CH134" s="13"/>
    </row>
    <row r="135" spans="1:86" ht="11.25" customHeight="1" x14ac:dyDescent="0.2">
      <c r="A135" s="13"/>
      <c r="B135" s="238">
        <v>131</v>
      </c>
      <c r="C135" s="285" t="s">
        <v>292</v>
      </c>
      <c r="D135" s="237" t="s">
        <v>1949</v>
      </c>
      <c r="E135" s="239">
        <v>971900034</v>
      </c>
      <c r="F135" s="237">
        <v>9000027404640</v>
      </c>
      <c r="G135" s="240">
        <v>7173667207</v>
      </c>
      <c r="H135" s="249" t="s">
        <v>217</v>
      </c>
      <c r="I135" s="241" t="s">
        <v>217</v>
      </c>
      <c r="J135" s="242">
        <v>43349</v>
      </c>
      <c r="K135" s="241"/>
      <c r="L135" s="241"/>
      <c r="M135" s="241" t="str">
        <f t="shared" si="18"/>
        <v>ORGANIK IMSS</v>
      </c>
      <c r="N135" s="241" t="s">
        <v>187</v>
      </c>
      <c r="O135" s="241" t="s">
        <v>1887</v>
      </c>
      <c r="P135" s="243">
        <v>43683</v>
      </c>
      <c r="Q135" s="244"/>
      <c r="R135" s="282" t="s">
        <v>142</v>
      </c>
      <c r="S135" s="241" t="s">
        <v>6860</v>
      </c>
      <c r="T135" s="241" t="s">
        <v>296</v>
      </c>
      <c r="U135" s="241" t="s">
        <v>187</v>
      </c>
      <c r="V135" s="241" t="s">
        <v>50</v>
      </c>
      <c r="W135" s="241" t="s">
        <v>50</v>
      </c>
      <c r="X135" s="241" t="s">
        <v>6116</v>
      </c>
      <c r="Y135" s="241" t="s">
        <v>1064</v>
      </c>
      <c r="Z135" s="241"/>
      <c r="AA135" s="241"/>
      <c r="AB135" s="241" t="s">
        <v>132</v>
      </c>
      <c r="AC135" s="241" t="s">
        <v>33</v>
      </c>
      <c r="AD135" s="245">
        <v>31939</v>
      </c>
      <c r="AE135" s="241">
        <f t="shared" ca="1" si="19"/>
        <v>38</v>
      </c>
      <c r="AF135" s="246" t="s">
        <v>1950</v>
      </c>
      <c r="AG135" s="241" t="s">
        <v>1951</v>
      </c>
      <c r="AH135" s="240" t="s">
        <v>1952</v>
      </c>
      <c r="AI135" s="240"/>
      <c r="AJ135" s="240"/>
      <c r="AK135" s="250" t="s">
        <v>1953</v>
      </c>
      <c r="AL135" s="246" t="s">
        <v>1954</v>
      </c>
      <c r="AM135" s="246">
        <v>11009937647</v>
      </c>
      <c r="AN135" s="241" t="s">
        <v>4733</v>
      </c>
      <c r="AO135" s="241" t="s">
        <v>1955</v>
      </c>
      <c r="AP135" s="241" t="s">
        <v>1956</v>
      </c>
      <c r="AQ135" s="241" t="s">
        <v>1957</v>
      </c>
      <c r="AR135" s="241"/>
      <c r="AS135" s="241"/>
      <c r="AT135" s="241" t="s">
        <v>306</v>
      </c>
      <c r="AU135" s="241" t="s">
        <v>306</v>
      </c>
      <c r="AV135" s="241" t="s">
        <v>306</v>
      </c>
      <c r="AW135" s="241" t="s">
        <v>306</v>
      </c>
      <c r="AX135" s="241">
        <f t="shared" si="20"/>
        <v>2</v>
      </c>
      <c r="AY135" s="241" t="str">
        <f t="shared" si="21"/>
        <v>K/2</v>
      </c>
      <c r="AZ135" s="241"/>
      <c r="BA135" s="237">
        <v>694627027541000</v>
      </c>
      <c r="BB135" s="249" t="s">
        <v>161</v>
      </c>
      <c r="BC135" s="241" t="s">
        <v>75</v>
      </c>
      <c r="BD135" s="241" t="s">
        <v>1925</v>
      </c>
      <c r="BE135" s="241" t="s">
        <v>1958</v>
      </c>
      <c r="BF135" s="241">
        <v>2010</v>
      </c>
      <c r="BG135" s="241" t="s">
        <v>75</v>
      </c>
      <c r="BH135" s="241" t="s">
        <v>1925</v>
      </c>
      <c r="BI135" s="241" t="s">
        <v>1958</v>
      </c>
      <c r="BJ135" s="241">
        <v>2010</v>
      </c>
      <c r="BK135" s="247">
        <v>52084</v>
      </c>
      <c r="BL135" s="247">
        <v>52449</v>
      </c>
      <c r="BM135" s="242"/>
      <c r="BN135" s="241"/>
      <c r="BO135" s="241"/>
      <c r="BP135" s="244">
        <v>44308</v>
      </c>
      <c r="BQ135" s="244">
        <v>44336</v>
      </c>
      <c r="BR135" s="244">
        <v>44585</v>
      </c>
      <c r="BS135" s="244"/>
      <c r="BT135" s="241"/>
      <c r="BU135" s="241"/>
      <c r="BV135" s="241"/>
      <c r="BW135" s="241"/>
      <c r="BX135" s="241"/>
      <c r="BY135" s="241"/>
      <c r="BZ135" s="241"/>
      <c r="CA135" s="241"/>
      <c r="CB135" s="241"/>
      <c r="CC135" s="241"/>
      <c r="CD135" s="241"/>
      <c r="CE135" s="241" t="e">
        <f>VLOOKUP(D135,[1]Sertifikasi!$B$4:$I$19,8,0)</f>
        <v>#N/A</v>
      </c>
      <c r="CF135" s="13"/>
      <c r="CG135" s="13"/>
      <c r="CH135" s="13"/>
    </row>
    <row r="136" spans="1:86" ht="11.25" customHeight="1" x14ac:dyDescent="0.2">
      <c r="A136" s="13"/>
      <c r="B136" s="238">
        <v>132</v>
      </c>
      <c r="C136" s="241" t="e">
        <f ca="1">DATEDIF($E$3,P136,"D")</f>
        <v>#NUM!</v>
      </c>
      <c r="D136" s="237" t="s">
        <v>1959</v>
      </c>
      <c r="E136" s="239">
        <v>641809178</v>
      </c>
      <c r="F136" s="237">
        <v>1710004668383</v>
      </c>
      <c r="G136" s="240"/>
      <c r="H136" s="241" t="s">
        <v>24</v>
      </c>
      <c r="I136" s="241" t="s">
        <v>24</v>
      </c>
      <c r="J136" s="242">
        <v>43353</v>
      </c>
      <c r="K136" s="241"/>
      <c r="L136" s="241"/>
      <c r="M136" s="241" t="str">
        <f t="shared" si="18"/>
        <v>PKWT</v>
      </c>
      <c r="N136" s="241" t="s">
        <v>187</v>
      </c>
      <c r="O136" s="241"/>
      <c r="P136" s="243">
        <v>45657</v>
      </c>
      <c r="Q136" s="241"/>
      <c r="R136" s="241" t="s">
        <v>206</v>
      </c>
      <c r="S136" s="241" t="s">
        <v>6863</v>
      </c>
      <c r="T136" s="241" t="s">
        <v>312</v>
      </c>
      <c r="U136" s="241" t="s">
        <v>24</v>
      </c>
      <c r="V136" s="241" t="s">
        <v>204</v>
      </c>
      <c r="W136" s="241" t="s">
        <v>6183</v>
      </c>
      <c r="X136" s="241" t="s">
        <v>121</v>
      </c>
      <c r="Y136" s="241" t="s">
        <v>313</v>
      </c>
      <c r="Z136" s="241" t="s">
        <v>462</v>
      </c>
      <c r="AA136" s="241" t="s">
        <v>337</v>
      </c>
      <c r="AB136" s="241" t="s">
        <v>314</v>
      </c>
      <c r="AC136" s="241" t="s">
        <v>24</v>
      </c>
      <c r="AD136" s="245">
        <v>36692</v>
      </c>
      <c r="AE136" s="241">
        <f t="shared" ca="1" si="19"/>
        <v>25</v>
      </c>
      <c r="AF136" s="246" t="s">
        <v>1960</v>
      </c>
      <c r="AG136" s="241" t="s">
        <v>1961</v>
      </c>
      <c r="AH136" s="240" t="s">
        <v>1962</v>
      </c>
      <c r="AI136" s="240"/>
      <c r="AJ136" s="240"/>
      <c r="AK136" s="241" t="s">
        <v>1963</v>
      </c>
      <c r="AL136" s="246" t="s">
        <v>1964</v>
      </c>
      <c r="AM136" s="246">
        <v>18070554060</v>
      </c>
      <c r="AN136" s="241" t="s">
        <v>4733</v>
      </c>
      <c r="AO136" s="241" t="s">
        <v>1965</v>
      </c>
      <c r="AP136" s="241" t="s">
        <v>1966</v>
      </c>
      <c r="AQ136" s="241"/>
      <c r="AR136" s="241"/>
      <c r="AS136" s="241"/>
      <c r="AT136" s="241" t="s">
        <v>306</v>
      </c>
      <c r="AU136" s="241" t="s">
        <v>306</v>
      </c>
      <c r="AV136" s="241" t="s">
        <v>306</v>
      </c>
      <c r="AW136" s="241" t="s">
        <v>306</v>
      </c>
      <c r="AX136" s="241">
        <f t="shared" si="20"/>
        <v>1</v>
      </c>
      <c r="AY136" s="241" t="str">
        <f t="shared" si="21"/>
        <v>K/1</v>
      </c>
      <c r="AZ136" s="241"/>
      <c r="BA136" s="237"/>
      <c r="BB136" s="241" t="s">
        <v>161</v>
      </c>
      <c r="BC136" s="241" t="s">
        <v>349</v>
      </c>
      <c r="BD136" s="241" t="s">
        <v>515</v>
      </c>
      <c r="BE136" s="241" t="s">
        <v>1967</v>
      </c>
      <c r="BF136" s="241">
        <v>2018</v>
      </c>
      <c r="BG136" s="241" t="s">
        <v>475</v>
      </c>
      <c r="BH136" s="241" t="s">
        <v>515</v>
      </c>
      <c r="BI136" s="241" t="s">
        <v>1967</v>
      </c>
      <c r="BJ136" s="241">
        <v>2018</v>
      </c>
      <c r="BK136" s="247"/>
      <c r="BL136" s="247"/>
      <c r="BM136" s="241" t="s">
        <v>339</v>
      </c>
      <c r="BN136" s="241">
        <v>31</v>
      </c>
      <c r="BO136" s="241">
        <v>41</v>
      </c>
      <c r="BP136" s="244"/>
      <c r="BQ136" s="244"/>
      <c r="BR136" s="244"/>
      <c r="BS136" s="244"/>
      <c r="BT136" s="241"/>
      <c r="BU136" s="241"/>
      <c r="BV136" s="241"/>
      <c r="BW136" s="241"/>
      <c r="BX136" s="241"/>
      <c r="BY136" s="241"/>
      <c r="BZ136" s="241"/>
      <c r="CA136" s="241"/>
      <c r="CB136" s="241"/>
      <c r="CC136" s="241"/>
      <c r="CD136" s="241"/>
      <c r="CE136" s="241" t="e">
        <f>VLOOKUP(D136,[1]Sertifikasi!$B$4:$I$19,8,0)</f>
        <v>#N/A</v>
      </c>
      <c r="CF136" s="13"/>
      <c r="CG136" s="13"/>
      <c r="CH136" s="13"/>
    </row>
    <row r="137" spans="1:86" ht="11.25" customHeight="1" x14ac:dyDescent="0.2">
      <c r="A137" s="13"/>
      <c r="B137" s="238">
        <v>133</v>
      </c>
      <c r="C137" s="241" t="e">
        <f ca="1">DATEDIF($E$3,P137,"D")</f>
        <v>#NUM!</v>
      </c>
      <c r="D137" s="237" t="s">
        <v>1968</v>
      </c>
      <c r="E137" s="239">
        <v>641810181</v>
      </c>
      <c r="F137" s="237">
        <v>1710004811058</v>
      </c>
      <c r="G137" s="240"/>
      <c r="H137" s="241" t="s">
        <v>25</v>
      </c>
      <c r="I137" s="241" t="s">
        <v>25</v>
      </c>
      <c r="J137" s="242">
        <v>43374</v>
      </c>
      <c r="K137" s="241"/>
      <c r="L137" s="241"/>
      <c r="M137" s="241" t="str">
        <f t="shared" si="18"/>
        <v>PKWT</v>
      </c>
      <c r="N137" s="241" t="s">
        <v>187</v>
      </c>
      <c r="O137" s="241"/>
      <c r="P137" s="243">
        <v>45565</v>
      </c>
      <c r="Q137" s="241"/>
      <c r="R137" s="241" t="s">
        <v>206</v>
      </c>
      <c r="S137" s="241" t="s">
        <v>6863</v>
      </c>
      <c r="T137" s="241" t="s">
        <v>312</v>
      </c>
      <c r="U137" s="241" t="s">
        <v>25</v>
      </c>
      <c r="V137" s="241" t="s">
        <v>443</v>
      </c>
      <c r="W137" s="241" t="s">
        <v>748</v>
      </c>
      <c r="X137" s="241" t="s">
        <v>121</v>
      </c>
      <c r="Y137" s="241" t="s">
        <v>313</v>
      </c>
      <c r="Z137" s="241"/>
      <c r="AA137" s="241" t="s">
        <v>337</v>
      </c>
      <c r="AB137" s="241" t="s">
        <v>314</v>
      </c>
      <c r="AC137" s="241" t="s">
        <v>25</v>
      </c>
      <c r="AD137" s="245">
        <v>35490</v>
      </c>
      <c r="AE137" s="241">
        <f t="shared" ca="1" si="19"/>
        <v>28</v>
      </c>
      <c r="AF137" s="246" t="s">
        <v>1969</v>
      </c>
      <c r="AG137" s="241" t="s">
        <v>1970</v>
      </c>
      <c r="AH137" s="240" t="s">
        <v>1971</v>
      </c>
      <c r="AI137" s="240"/>
      <c r="AJ137" s="240"/>
      <c r="AK137" s="241" t="s">
        <v>1972</v>
      </c>
      <c r="AL137" s="246" t="s">
        <v>1973</v>
      </c>
      <c r="AM137" s="246">
        <v>18025352297</v>
      </c>
      <c r="AN137" s="241" t="s">
        <v>4733</v>
      </c>
      <c r="AO137" s="241" t="s">
        <v>1974</v>
      </c>
      <c r="AP137" s="241"/>
      <c r="AQ137" s="241"/>
      <c r="AR137" s="241"/>
      <c r="AS137" s="241"/>
      <c r="AT137" s="241" t="s">
        <v>1975</v>
      </c>
      <c r="AU137" s="241" t="s">
        <v>1976</v>
      </c>
      <c r="AV137" s="241" t="s">
        <v>1977</v>
      </c>
      <c r="AW137" s="241" t="s">
        <v>1978</v>
      </c>
      <c r="AX137" s="241">
        <f t="shared" si="20"/>
        <v>0</v>
      </c>
      <c r="AY137" s="241" t="str">
        <f t="shared" si="21"/>
        <v>K/0</v>
      </c>
      <c r="AZ137" s="241" t="s">
        <v>1979</v>
      </c>
      <c r="BA137" s="237">
        <v>960626513301000</v>
      </c>
      <c r="BB137" s="241" t="s">
        <v>161</v>
      </c>
      <c r="BC137" s="241" t="s">
        <v>349</v>
      </c>
      <c r="BD137" s="241" t="s">
        <v>515</v>
      </c>
      <c r="BE137" s="241" t="s">
        <v>1980</v>
      </c>
      <c r="BF137" s="241">
        <v>2014</v>
      </c>
      <c r="BG137" s="241" t="s">
        <v>475</v>
      </c>
      <c r="BH137" s="241" t="s">
        <v>515</v>
      </c>
      <c r="BI137" s="241" t="s">
        <v>1980</v>
      </c>
      <c r="BJ137" s="241">
        <v>2014</v>
      </c>
      <c r="BK137" s="247"/>
      <c r="BL137" s="247"/>
      <c r="BM137" s="241" t="s">
        <v>360</v>
      </c>
      <c r="BN137" s="241">
        <v>27</v>
      </c>
      <c r="BO137" s="241">
        <v>38</v>
      </c>
      <c r="BP137" s="244"/>
      <c r="BQ137" s="244"/>
      <c r="BR137" s="244"/>
      <c r="BS137" s="244"/>
      <c r="BT137" s="241"/>
      <c r="BU137" s="241"/>
      <c r="BV137" s="241"/>
      <c r="BW137" s="241"/>
      <c r="BX137" s="241"/>
      <c r="BY137" s="241"/>
      <c r="BZ137" s="241"/>
      <c r="CA137" s="241"/>
      <c r="CB137" s="241"/>
      <c r="CC137" s="241"/>
      <c r="CD137" s="241"/>
      <c r="CE137" s="241" t="e">
        <f>VLOOKUP(D137,[1]Sertifikasi!$B$4:$I$19,8,0)</f>
        <v>#N/A</v>
      </c>
      <c r="CF137" s="13"/>
      <c r="CG137" s="13"/>
      <c r="CH137" s="13"/>
    </row>
    <row r="138" spans="1:86" ht="11.25" customHeight="1" x14ac:dyDescent="0.2">
      <c r="A138" s="13"/>
      <c r="B138" s="238">
        <v>134</v>
      </c>
      <c r="C138" s="241" t="e">
        <f ca="1">DATEDIF($E$3,P138,"D")</f>
        <v>#NUM!</v>
      </c>
      <c r="D138" s="237" t="s">
        <v>1981</v>
      </c>
      <c r="E138" s="239">
        <v>641810196</v>
      </c>
      <c r="F138" s="237">
        <v>1710004811009</v>
      </c>
      <c r="G138" s="240"/>
      <c r="H138" s="241" t="s">
        <v>25</v>
      </c>
      <c r="I138" s="241" t="s">
        <v>25</v>
      </c>
      <c r="J138" s="242">
        <v>43395</v>
      </c>
      <c r="K138" s="241"/>
      <c r="L138" s="241"/>
      <c r="M138" s="241" t="str">
        <f t="shared" si="18"/>
        <v>PKWT</v>
      </c>
      <c r="N138" s="241" t="s">
        <v>187</v>
      </c>
      <c r="O138" s="241"/>
      <c r="P138" s="243">
        <v>45586</v>
      </c>
      <c r="Q138" s="241"/>
      <c r="R138" s="241" t="s">
        <v>206</v>
      </c>
      <c r="S138" s="241" t="s">
        <v>6863</v>
      </c>
      <c r="T138" s="241" t="s">
        <v>312</v>
      </c>
      <c r="U138" s="241" t="s">
        <v>25</v>
      </c>
      <c r="V138" s="241" t="s">
        <v>443</v>
      </c>
      <c r="W138" s="241" t="s">
        <v>748</v>
      </c>
      <c r="X138" s="241" t="s">
        <v>121</v>
      </c>
      <c r="Y138" s="241" t="s">
        <v>313</v>
      </c>
      <c r="Z138" s="241"/>
      <c r="AA138" s="241" t="s">
        <v>337</v>
      </c>
      <c r="AB138" s="241" t="s">
        <v>314</v>
      </c>
      <c r="AC138" s="241" t="s">
        <v>25</v>
      </c>
      <c r="AD138" s="245">
        <v>34967</v>
      </c>
      <c r="AE138" s="241">
        <f t="shared" ca="1" si="19"/>
        <v>30</v>
      </c>
      <c r="AF138" s="246" t="s">
        <v>1982</v>
      </c>
      <c r="AG138" s="241" t="s">
        <v>1983</v>
      </c>
      <c r="AH138" s="240" t="s">
        <v>1984</v>
      </c>
      <c r="AI138" s="240"/>
      <c r="AJ138" s="240"/>
      <c r="AK138" s="241" t="s">
        <v>1985</v>
      </c>
      <c r="AL138" s="246" t="s">
        <v>1986</v>
      </c>
      <c r="AM138" s="246">
        <v>18099947626</v>
      </c>
      <c r="AN138" s="241" t="s">
        <v>4733</v>
      </c>
      <c r="AO138" s="241" t="s">
        <v>1987</v>
      </c>
      <c r="AP138" s="241" t="s">
        <v>1988</v>
      </c>
      <c r="AQ138" s="241"/>
      <c r="AR138" s="241"/>
      <c r="AS138" s="241"/>
      <c r="AT138" s="241" t="s">
        <v>1989</v>
      </c>
      <c r="AU138" s="241" t="s">
        <v>1990</v>
      </c>
      <c r="AV138" s="241" t="s">
        <v>1991</v>
      </c>
      <c r="AW138" s="241" t="s">
        <v>1992</v>
      </c>
      <c r="AX138" s="241">
        <f t="shared" si="20"/>
        <v>1</v>
      </c>
      <c r="AY138" s="241" t="str">
        <f t="shared" si="21"/>
        <v>K/1</v>
      </c>
      <c r="AZ138" s="241" t="s">
        <v>1993</v>
      </c>
      <c r="BA138" s="237" t="s">
        <v>1993</v>
      </c>
      <c r="BB138" s="241" t="s">
        <v>161</v>
      </c>
      <c r="BC138" s="241" t="s">
        <v>75</v>
      </c>
      <c r="BD138" s="241" t="s">
        <v>87</v>
      </c>
      <c r="BE138" s="241" t="s">
        <v>1994</v>
      </c>
      <c r="BF138" s="241">
        <v>2017</v>
      </c>
      <c r="BG138" s="241" t="s">
        <v>75</v>
      </c>
      <c r="BH138" s="241" t="s">
        <v>87</v>
      </c>
      <c r="BI138" s="241" t="s">
        <v>1994</v>
      </c>
      <c r="BJ138" s="241">
        <v>2017</v>
      </c>
      <c r="BK138" s="247"/>
      <c r="BL138" s="247"/>
      <c r="BM138" s="241" t="s">
        <v>360</v>
      </c>
      <c r="BN138" s="241">
        <v>31</v>
      </c>
      <c r="BO138" s="241">
        <v>39</v>
      </c>
      <c r="BP138" s="244"/>
      <c r="BQ138" s="244"/>
      <c r="BR138" s="244"/>
      <c r="BS138" s="244"/>
      <c r="BT138" s="241"/>
      <c r="BU138" s="241"/>
      <c r="BV138" s="241"/>
      <c r="BW138" s="241"/>
      <c r="BX138" s="241"/>
      <c r="BY138" s="241"/>
      <c r="BZ138" s="241"/>
      <c r="CA138" s="241"/>
      <c r="CB138" s="241"/>
      <c r="CC138" s="241"/>
      <c r="CD138" s="241"/>
      <c r="CE138" s="241" t="e">
        <f>VLOOKUP(D138,[1]Sertifikasi!$B$4:$I$19,8,0)</f>
        <v>#N/A</v>
      </c>
      <c r="CF138" s="13"/>
      <c r="CG138" s="13"/>
      <c r="CH138" s="13"/>
    </row>
    <row r="139" spans="1:86" ht="11.25" customHeight="1" x14ac:dyDescent="0.2">
      <c r="A139" s="13"/>
      <c r="B139" s="238">
        <v>135</v>
      </c>
      <c r="C139" s="241" t="e">
        <f ca="1">DATEDIF($E$3,P139,"D")</f>
        <v>#NUM!</v>
      </c>
      <c r="D139" s="237" t="s">
        <v>1995</v>
      </c>
      <c r="E139" s="239">
        <v>641810206</v>
      </c>
      <c r="F139" s="237">
        <v>1710004811132</v>
      </c>
      <c r="G139" s="240"/>
      <c r="H139" s="241" t="s">
        <v>26</v>
      </c>
      <c r="I139" s="241" t="s">
        <v>26</v>
      </c>
      <c r="J139" s="242">
        <v>43395</v>
      </c>
      <c r="K139" s="241"/>
      <c r="L139" s="241"/>
      <c r="M139" s="241" t="str">
        <f t="shared" si="18"/>
        <v>PKWT</v>
      </c>
      <c r="N139" s="241" t="s">
        <v>187</v>
      </c>
      <c r="O139" s="241" t="s">
        <v>306</v>
      </c>
      <c r="P139" s="243">
        <v>45657</v>
      </c>
      <c r="Q139" s="241"/>
      <c r="R139" s="241" t="s">
        <v>206</v>
      </c>
      <c r="S139" s="241" t="s">
        <v>6863</v>
      </c>
      <c r="T139" s="241" t="s">
        <v>312</v>
      </c>
      <c r="U139" s="241" t="s">
        <v>24</v>
      </c>
      <c r="V139" s="241" t="s">
        <v>204</v>
      </c>
      <c r="W139" s="241" t="s">
        <v>706</v>
      </c>
      <c r="X139" s="241" t="s">
        <v>121</v>
      </c>
      <c r="Y139" s="241" t="s">
        <v>313</v>
      </c>
      <c r="Z139" s="241" t="s">
        <v>445</v>
      </c>
      <c r="AA139" s="241" t="s">
        <v>337</v>
      </c>
      <c r="AB139" s="241" t="s">
        <v>314</v>
      </c>
      <c r="AC139" s="241" t="s">
        <v>26</v>
      </c>
      <c r="AD139" s="245">
        <v>33367</v>
      </c>
      <c r="AE139" s="241">
        <f t="shared" ca="1" si="19"/>
        <v>34</v>
      </c>
      <c r="AF139" s="246" t="s">
        <v>1996</v>
      </c>
      <c r="AG139" s="241" t="s">
        <v>1997</v>
      </c>
      <c r="AH139" s="240" t="s">
        <v>1998</v>
      </c>
      <c r="AI139" s="240"/>
      <c r="AJ139" s="240"/>
      <c r="AK139" s="241" t="s">
        <v>1999</v>
      </c>
      <c r="AL139" s="246" t="s">
        <v>2000</v>
      </c>
      <c r="AM139" s="246">
        <v>18099947543</v>
      </c>
      <c r="AN139" s="241" t="s">
        <v>4733</v>
      </c>
      <c r="AO139" s="241" t="s">
        <v>2001</v>
      </c>
      <c r="AP139" s="241" t="s">
        <v>2002</v>
      </c>
      <c r="AQ139" s="241" t="s">
        <v>2003</v>
      </c>
      <c r="AR139" s="241"/>
      <c r="AS139" s="241"/>
      <c r="AT139" s="241" t="s">
        <v>2004</v>
      </c>
      <c r="AU139" s="241" t="s">
        <v>2005</v>
      </c>
      <c r="AV139" s="241" t="s">
        <v>2006</v>
      </c>
      <c r="AW139" s="241" t="s">
        <v>2007</v>
      </c>
      <c r="AX139" s="241">
        <f t="shared" si="20"/>
        <v>2</v>
      </c>
      <c r="AY139" s="241" t="str">
        <f t="shared" si="21"/>
        <v>K/2</v>
      </c>
      <c r="AZ139" s="241" t="s">
        <v>2008</v>
      </c>
      <c r="BA139" s="237" t="s">
        <v>2008</v>
      </c>
      <c r="BB139" s="241" t="s">
        <v>161</v>
      </c>
      <c r="BC139" s="241" t="s">
        <v>70</v>
      </c>
      <c r="BD139" s="241" t="s">
        <v>87</v>
      </c>
      <c r="BE139" s="241" t="s">
        <v>2009</v>
      </c>
      <c r="BF139" s="241">
        <v>2012</v>
      </c>
      <c r="BG139" s="241" t="s">
        <v>70</v>
      </c>
      <c r="BH139" s="241" t="s">
        <v>87</v>
      </c>
      <c r="BI139" s="241" t="s">
        <v>2009</v>
      </c>
      <c r="BJ139" s="241">
        <v>2012</v>
      </c>
      <c r="BK139" s="247"/>
      <c r="BL139" s="247"/>
      <c r="BM139" s="241" t="s">
        <v>360</v>
      </c>
      <c r="BN139" s="241">
        <v>28</v>
      </c>
      <c r="BO139" s="241">
        <v>41</v>
      </c>
      <c r="BP139" s="244">
        <v>44365</v>
      </c>
      <c r="BQ139" s="244">
        <v>44400</v>
      </c>
      <c r="BR139" s="244"/>
      <c r="BS139" s="244"/>
      <c r="BT139" s="241"/>
      <c r="BU139" s="241"/>
      <c r="BV139" s="241"/>
      <c r="BW139" s="241"/>
      <c r="BX139" s="241"/>
      <c r="BY139" s="241"/>
      <c r="BZ139" s="241"/>
      <c r="CA139" s="241"/>
      <c r="CB139" s="241"/>
      <c r="CC139" s="241"/>
      <c r="CD139" s="241"/>
      <c r="CE139" s="241" t="str">
        <f>VLOOKUP(D139,[1]Sertifikasi!$B$4:$I$19,8,0)</f>
        <v>Pembinaan Dan Sertifikasi Calon Ahli K3 Umum</v>
      </c>
      <c r="CF139" s="13"/>
      <c r="CG139" s="13"/>
      <c r="CH139" s="13"/>
    </row>
    <row r="140" spans="1:86" ht="11.25" customHeight="1" x14ac:dyDescent="0.2">
      <c r="A140" s="13"/>
      <c r="B140" s="238">
        <v>136</v>
      </c>
      <c r="C140" s="241" t="s">
        <v>292</v>
      </c>
      <c r="D140" s="237" t="s">
        <v>2010</v>
      </c>
      <c r="E140" s="261">
        <v>972400058</v>
      </c>
      <c r="F140" s="237">
        <v>1710004810514</v>
      </c>
      <c r="G140" s="240"/>
      <c r="H140" s="241" t="s">
        <v>24</v>
      </c>
      <c r="I140" s="241" t="s">
        <v>24</v>
      </c>
      <c r="J140" s="242">
        <v>43395</v>
      </c>
      <c r="K140" s="241"/>
      <c r="L140" s="241"/>
      <c r="M140" s="241" t="s">
        <v>6856</v>
      </c>
      <c r="N140" s="241" t="s">
        <v>187</v>
      </c>
      <c r="O140" s="241" t="s">
        <v>6816</v>
      </c>
      <c r="P140" s="243">
        <v>45352</v>
      </c>
      <c r="Q140" s="241"/>
      <c r="R140" s="241" t="s">
        <v>206</v>
      </c>
      <c r="S140" s="241" t="s">
        <v>6863</v>
      </c>
      <c r="T140" s="241" t="s">
        <v>312</v>
      </c>
      <c r="U140" s="241" t="s">
        <v>24</v>
      </c>
      <c r="V140" s="241" t="s">
        <v>204</v>
      </c>
      <c r="W140" s="241" t="s">
        <v>706</v>
      </c>
      <c r="X140" s="241" t="s">
        <v>121</v>
      </c>
      <c r="Y140" s="241" t="s">
        <v>313</v>
      </c>
      <c r="Z140" s="241" t="s">
        <v>462</v>
      </c>
      <c r="AA140" s="241" t="s">
        <v>337</v>
      </c>
      <c r="AB140" s="241" t="s">
        <v>314</v>
      </c>
      <c r="AC140" s="241" t="s">
        <v>24</v>
      </c>
      <c r="AD140" s="245">
        <v>33820</v>
      </c>
      <c r="AE140" s="241">
        <f t="shared" ca="1" si="19"/>
        <v>33</v>
      </c>
      <c r="AF140" s="246" t="s">
        <v>2011</v>
      </c>
      <c r="AG140" s="241" t="s">
        <v>2012</v>
      </c>
      <c r="AH140" s="240" t="s">
        <v>2013</v>
      </c>
      <c r="AI140" s="240"/>
      <c r="AJ140" s="240"/>
      <c r="AK140" s="250" t="s">
        <v>2014</v>
      </c>
      <c r="AL140" s="246" t="s">
        <v>2015</v>
      </c>
      <c r="AM140" s="246">
        <v>18099947477</v>
      </c>
      <c r="AN140" s="241" t="s">
        <v>4733</v>
      </c>
      <c r="AO140" s="241" t="s">
        <v>2016</v>
      </c>
      <c r="AP140" s="241" t="s">
        <v>2017</v>
      </c>
      <c r="AQ140" s="241" t="s">
        <v>2018</v>
      </c>
      <c r="AR140" s="241"/>
      <c r="AS140" s="241"/>
      <c r="AT140" s="241" t="s">
        <v>2019</v>
      </c>
      <c r="AU140" s="241" t="s">
        <v>2020</v>
      </c>
      <c r="AV140" s="241" t="s">
        <v>2021</v>
      </c>
      <c r="AW140" s="241" t="s">
        <v>2022</v>
      </c>
      <c r="AX140" s="241">
        <f t="shared" si="20"/>
        <v>2</v>
      </c>
      <c r="AY140" s="241" t="str">
        <f t="shared" si="21"/>
        <v>K/2</v>
      </c>
      <c r="AZ140" s="241" t="s">
        <v>2023</v>
      </c>
      <c r="BA140" s="237" t="s">
        <v>2023</v>
      </c>
      <c r="BB140" s="241" t="s">
        <v>161</v>
      </c>
      <c r="BC140" s="241" t="s">
        <v>349</v>
      </c>
      <c r="BD140" s="241" t="s">
        <v>4502</v>
      </c>
      <c r="BE140" s="241" t="s">
        <v>2024</v>
      </c>
      <c r="BF140" s="241">
        <v>2010</v>
      </c>
      <c r="BG140" s="241" t="s">
        <v>475</v>
      </c>
      <c r="BH140" s="241" t="s">
        <v>4502</v>
      </c>
      <c r="BI140" s="241" t="s">
        <v>2024</v>
      </c>
      <c r="BJ140" s="241">
        <v>2010</v>
      </c>
      <c r="BK140" s="247">
        <v>49735</v>
      </c>
      <c r="BL140" s="247">
        <v>50100</v>
      </c>
      <c r="BM140" s="241" t="s">
        <v>351</v>
      </c>
      <c r="BN140" s="241">
        <v>32</v>
      </c>
      <c r="BO140" s="241">
        <v>42</v>
      </c>
      <c r="BP140" s="244"/>
      <c r="BQ140" s="244"/>
      <c r="BR140" s="244"/>
      <c r="BS140" s="244"/>
      <c r="BT140" s="241"/>
      <c r="BU140" s="241"/>
      <c r="BV140" s="241"/>
      <c r="BW140" s="241"/>
      <c r="BX140" s="241"/>
      <c r="BY140" s="241"/>
      <c r="BZ140" s="241"/>
      <c r="CA140" s="241"/>
      <c r="CB140" s="241"/>
      <c r="CC140" s="241"/>
      <c r="CD140" s="241"/>
      <c r="CE140" s="241" t="e">
        <f>VLOOKUP(D140,[1]Sertifikasi!$B$4:$I$19,8,0)</f>
        <v>#N/A</v>
      </c>
      <c r="CF140" s="13"/>
      <c r="CG140" s="13"/>
      <c r="CH140" s="13"/>
    </row>
    <row r="141" spans="1:86" ht="11.25" customHeight="1" x14ac:dyDescent="0.2">
      <c r="A141" s="13"/>
      <c r="B141" s="238">
        <v>137</v>
      </c>
      <c r="C141" s="241" t="e">
        <f t="shared" ref="C141:C155" ca="1" si="22">DATEDIF($E$3,P141,"D")</f>
        <v>#NUM!</v>
      </c>
      <c r="D141" s="237" t="s">
        <v>2025</v>
      </c>
      <c r="E141" s="239">
        <v>641810204</v>
      </c>
      <c r="F141" s="237">
        <v>1710004810795</v>
      </c>
      <c r="G141" s="240"/>
      <c r="H141" s="241" t="s">
        <v>25</v>
      </c>
      <c r="I141" s="241" t="s">
        <v>25</v>
      </c>
      <c r="J141" s="242">
        <v>43395</v>
      </c>
      <c r="K141" s="241"/>
      <c r="L141" s="241"/>
      <c r="M141" s="241" t="str">
        <f t="shared" ref="M141:M172" si="23">IF(LEFT(E141,2)="99","ORGANIK INKA",IF(LEFT(E141,2)="97","ORGANIK IMSS",IF(LEFT(E141,2)="75","Capeg",IF(LEFT(E141,2)="64","PKWT","Resign"))))</f>
        <v>PKWT</v>
      </c>
      <c r="N141" s="241" t="s">
        <v>187</v>
      </c>
      <c r="O141" s="241"/>
      <c r="P141" s="243">
        <v>45586</v>
      </c>
      <c r="Q141" s="241"/>
      <c r="R141" s="241" t="s">
        <v>206</v>
      </c>
      <c r="S141" s="241" t="s">
        <v>6863</v>
      </c>
      <c r="T141" s="241" t="s">
        <v>312</v>
      </c>
      <c r="U141" s="241" t="s">
        <v>25</v>
      </c>
      <c r="V141" s="241" t="s">
        <v>443</v>
      </c>
      <c r="W141" s="241" t="s">
        <v>748</v>
      </c>
      <c r="X141" s="241" t="s">
        <v>121</v>
      </c>
      <c r="Y141" s="241" t="s">
        <v>313</v>
      </c>
      <c r="Z141" s="241"/>
      <c r="AA141" s="241" t="s">
        <v>337</v>
      </c>
      <c r="AB141" s="241" t="s">
        <v>314</v>
      </c>
      <c r="AC141" s="241" t="s">
        <v>25</v>
      </c>
      <c r="AD141" s="245">
        <v>31511</v>
      </c>
      <c r="AE141" s="241">
        <f t="shared" ca="1" si="19"/>
        <v>39</v>
      </c>
      <c r="AF141" s="246" t="s">
        <v>2026</v>
      </c>
      <c r="AG141" s="241" t="s">
        <v>2027</v>
      </c>
      <c r="AH141" s="240" t="s">
        <v>2028</v>
      </c>
      <c r="AI141" s="240" t="s">
        <v>2029</v>
      </c>
      <c r="AJ141" s="240"/>
      <c r="AK141" s="241" t="s">
        <v>2030</v>
      </c>
      <c r="AL141" s="246" t="s">
        <v>2031</v>
      </c>
      <c r="AM141" s="246">
        <v>18099947576</v>
      </c>
      <c r="AN141" s="241" t="s">
        <v>4733</v>
      </c>
      <c r="AO141" s="241" t="s">
        <v>2032</v>
      </c>
      <c r="AP141" s="241" t="s">
        <v>2033</v>
      </c>
      <c r="AQ141" s="241" t="s">
        <v>2034</v>
      </c>
      <c r="AR141" s="241"/>
      <c r="AS141" s="241"/>
      <c r="AT141" s="241" t="s">
        <v>2035</v>
      </c>
      <c r="AU141" s="241" t="s">
        <v>2036</v>
      </c>
      <c r="AV141" s="241" t="s">
        <v>2037</v>
      </c>
      <c r="AW141" s="241" t="s">
        <v>2038</v>
      </c>
      <c r="AX141" s="241">
        <f t="shared" si="20"/>
        <v>2</v>
      </c>
      <c r="AY141" s="241" t="str">
        <f t="shared" si="21"/>
        <v>K/2</v>
      </c>
      <c r="AZ141" s="241" t="s">
        <v>2039</v>
      </c>
      <c r="BA141" s="237" t="s">
        <v>2039</v>
      </c>
      <c r="BB141" s="241" t="s">
        <v>161</v>
      </c>
      <c r="BC141" s="241" t="s">
        <v>349</v>
      </c>
      <c r="BD141" s="241" t="s">
        <v>4502</v>
      </c>
      <c r="BE141" s="241" t="s">
        <v>2040</v>
      </c>
      <c r="BF141" s="241">
        <v>2005</v>
      </c>
      <c r="BG141" s="241" t="s">
        <v>475</v>
      </c>
      <c r="BH141" s="241" t="s">
        <v>4502</v>
      </c>
      <c r="BI141" s="241" t="s">
        <v>2040</v>
      </c>
      <c r="BJ141" s="241">
        <v>2005</v>
      </c>
      <c r="BK141" s="247"/>
      <c r="BL141" s="247"/>
      <c r="BM141" s="241" t="s">
        <v>351</v>
      </c>
      <c r="BN141" s="241">
        <v>32</v>
      </c>
      <c r="BO141" s="241">
        <v>40</v>
      </c>
      <c r="BP141" s="244"/>
      <c r="BQ141" s="244"/>
      <c r="BR141" s="244"/>
      <c r="BS141" s="244"/>
      <c r="BT141" s="241"/>
      <c r="BU141" s="241"/>
      <c r="BV141" s="241"/>
      <c r="BW141" s="241"/>
      <c r="BX141" s="241"/>
      <c r="BY141" s="241"/>
      <c r="BZ141" s="241"/>
      <c r="CA141" s="241"/>
      <c r="CB141" s="241"/>
      <c r="CC141" s="241"/>
      <c r="CD141" s="241"/>
      <c r="CE141" s="241" t="e">
        <f>VLOOKUP(D141,[1]Sertifikasi!$B$4:$I$19,8,0)</f>
        <v>#N/A</v>
      </c>
      <c r="CF141" s="13"/>
      <c r="CG141" s="13"/>
      <c r="CH141" s="13"/>
    </row>
    <row r="142" spans="1:86" ht="11.25" customHeight="1" x14ac:dyDescent="0.2">
      <c r="A142" s="13"/>
      <c r="B142" s="238">
        <v>138</v>
      </c>
      <c r="C142" s="241" t="e">
        <f t="shared" ca="1" si="22"/>
        <v>#NUM!</v>
      </c>
      <c r="D142" s="237" t="s">
        <v>2041</v>
      </c>
      <c r="E142" s="239">
        <v>641810198</v>
      </c>
      <c r="F142" s="237">
        <v>1710004810951</v>
      </c>
      <c r="G142" s="240"/>
      <c r="H142" s="241" t="s">
        <v>25</v>
      </c>
      <c r="I142" s="241" t="s">
        <v>25</v>
      </c>
      <c r="J142" s="242">
        <v>43395</v>
      </c>
      <c r="K142" s="241"/>
      <c r="L142" s="241"/>
      <c r="M142" s="241" t="str">
        <f t="shared" si="23"/>
        <v>PKWT</v>
      </c>
      <c r="N142" s="241" t="s">
        <v>187</v>
      </c>
      <c r="O142" s="241"/>
      <c r="P142" s="243">
        <v>45586</v>
      </c>
      <c r="Q142" s="241"/>
      <c r="R142" s="241" t="s">
        <v>206</v>
      </c>
      <c r="S142" s="241" t="s">
        <v>6863</v>
      </c>
      <c r="T142" s="241" t="s">
        <v>312</v>
      </c>
      <c r="U142" s="241" t="s">
        <v>25</v>
      </c>
      <c r="V142" s="241" t="s">
        <v>443</v>
      </c>
      <c r="W142" s="241" t="s">
        <v>748</v>
      </c>
      <c r="X142" s="241" t="s">
        <v>121</v>
      </c>
      <c r="Y142" s="241" t="s">
        <v>313</v>
      </c>
      <c r="Z142" s="241"/>
      <c r="AA142" s="241" t="s">
        <v>337</v>
      </c>
      <c r="AB142" s="241" t="s">
        <v>314</v>
      </c>
      <c r="AC142" s="241" t="s">
        <v>25</v>
      </c>
      <c r="AD142" s="245">
        <v>35982</v>
      </c>
      <c r="AE142" s="241">
        <f t="shared" ca="1" si="19"/>
        <v>27</v>
      </c>
      <c r="AF142" s="246" t="s">
        <v>2042</v>
      </c>
      <c r="AG142" s="241" t="s">
        <v>2043</v>
      </c>
      <c r="AH142" s="240" t="s">
        <v>2044</v>
      </c>
      <c r="AI142" s="240"/>
      <c r="AJ142" s="240"/>
      <c r="AK142" s="241" t="s">
        <v>2045</v>
      </c>
      <c r="AL142" s="246" t="s">
        <v>2046</v>
      </c>
      <c r="AM142" s="246">
        <v>18099947634</v>
      </c>
      <c r="AN142" s="241" t="s">
        <v>4716</v>
      </c>
      <c r="AO142" s="241"/>
      <c r="AP142" s="241"/>
      <c r="AQ142" s="241"/>
      <c r="AR142" s="241"/>
      <c r="AS142" s="241"/>
      <c r="AT142" s="241" t="s">
        <v>2047</v>
      </c>
      <c r="AU142" s="241" t="s">
        <v>2048</v>
      </c>
      <c r="AV142" s="241" t="s">
        <v>306</v>
      </c>
      <c r="AW142" s="241" t="s">
        <v>306</v>
      </c>
      <c r="AX142" s="241">
        <f t="shared" si="20"/>
        <v>0</v>
      </c>
      <c r="AY142" s="241" t="str">
        <f t="shared" si="21"/>
        <v>TK/0</v>
      </c>
      <c r="AZ142" s="241" t="s">
        <v>2049</v>
      </c>
      <c r="BA142" s="237" t="s">
        <v>2049</v>
      </c>
      <c r="BB142" s="241" t="s">
        <v>161</v>
      </c>
      <c r="BC142" s="241" t="s">
        <v>349</v>
      </c>
      <c r="BD142" s="241" t="s">
        <v>4502</v>
      </c>
      <c r="BE142" s="241" t="s">
        <v>2050</v>
      </c>
      <c r="BF142" s="241">
        <v>2016</v>
      </c>
      <c r="BG142" s="241" t="s">
        <v>475</v>
      </c>
      <c r="BH142" s="241" t="s">
        <v>4502</v>
      </c>
      <c r="BI142" s="241" t="s">
        <v>2050</v>
      </c>
      <c r="BJ142" s="241">
        <v>2016</v>
      </c>
      <c r="BK142" s="247"/>
      <c r="BL142" s="247"/>
      <c r="BM142" s="241" t="s">
        <v>351</v>
      </c>
      <c r="BN142" s="241">
        <v>32</v>
      </c>
      <c r="BO142" s="241">
        <v>42</v>
      </c>
      <c r="BP142" s="244"/>
      <c r="BQ142" s="244"/>
      <c r="BR142" s="244"/>
      <c r="BS142" s="244"/>
      <c r="BT142" s="241"/>
      <c r="BU142" s="241"/>
      <c r="BV142" s="241"/>
      <c r="BW142" s="241"/>
      <c r="BX142" s="241"/>
      <c r="BY142" s="241"/>
      <c r="BZ142" s="241"/>
      <c r="CA142" s="241"/>
      <c r="CB142" s="241"/>
      <c r="CC142" s="241"/>
      <c r="CD142" s="241"/>
      <c r="CE142" s="241" t="e">
        <f>VLOOKUP(D142,[1]Sertifikasi!$B$4:$I$19,8,0)</f>
        <v>#N/A</v>
      </c>
      <c r="CF142" s="13"/>
      <c r="CG142" s="13"/>
      <c r="CH142" s="13"/>
    </row>
    <row r="143" spans="1:86" ht="11.25" customHeight="1" x14ac:dyDescent="0.2">
      <c r="A143" s="13"/>
      <c r="B143" s="238">
        <v>139</v>
      </c>
      <c r="C143" s="241" t="e">
        <f t="shared" ca="1" si="22"/>
        <v>#NUM!</v>
      </c>
      <c r="D143" s="237" t="s">
        <v>2060</v>
      </c>
      <c r="E143" s="239">
        <v>641810185</v>
      </c>
      <c r="F143" s="237">
        <v>1710004811710</v>
      </c>
      <c r="G143" s="240"/>
      <c r="H143" s="241" t="s">
        <v>24</v>
      </c>
      <c r="I143" s="241" t="s">
        <v>24</v>
      </c>
      <c r="J143" s="242">
        <v>43395</v>
      </c>
      <c r="K143" s="241"/>
      <c r="L143" s="241"/>
      <c r="M143" s="241" t="str">
        <f t="shared" si="23"/>
        <v>PKWT</v>
      </c>
      <c r="N143" s="241" t="s">
        <v>187</v>
      </c>
      <c r="O143" s="241"/>
      <c r="P143" s="243">
        <v>45657</v>
      </c>
      <c r="Q143" s="241"/>
      <c r="R143" s="241" t="s">
        <v>206</v>
      </c>
      <c r="S143" s="241" t="s">
        <v>6863</v>
      </c>
      <c r="T143" s="241" t="s">
        <v>312</v>
      </c>
      <c r="U143" s="241" t="s">
        <v>24</v>
      </c>
      <c r="V143" s="241" t="s">
        <v>443</v>
      </c>
      <c r="W143" s="241" t="s">
        <v>175</v>
      </c>
      <c r="X143" s="241" t="s">
        <v>121</v>
      </c>
      <c r="Y143" s="241" t="s">
        <v>313</v>
      </c>
      <c r="Z143" s="241" t="s">
        <v>462</v>
      </c>
      <c r="AA143" s="241" t="s">
        <v>337</v>
      </c>
      <c r="AB143" s="241" t="s">
        <v>314</v>
      </c>
      <c r="AC143" s="241" t="s">
        <v>24</v>
      </c>
      <c r="AD143" s="245">
        <v>33638</v>
      </c>
      <c r="AE143" s="241">
        <f t="shared" ca="1" si="19"/>
        <v>33</v>
      </c>
      <c r="AF143" s="246" t="s">
        <v>2061</v>
      </c>
      <c r="AG143" s="241" t="s">
        <v>2062</v>
      </c>
      <c r="AH143" s="240" t="s">
        <v>2063</v>
      </c>
      <c r="AI143" s="240"/>
      <c r="AJ143" s="240"/>
      <c r="AK143" s="241" t="s">
        <v>2064</v>
      </c>
      <c r="AL143" s="246" t="s">
        <v>2065</v>
      </c>
      <c r="AM143" s="246">
        <v>18099947535</v>
      </c>
      <c r="AN143" s="241" t="s">
        <v>4733</v>
      </c>
      <c r="AO143" s="241" t="s">
        <v>2066</v>
      </c>
      <c r="AP143" s="241" t="s">
        <v>2067</v>
      </c>
      <c r="AQ143" s="241" t="s">
        <v>2068</v>
      </c>
      <c r="AR143" s="241"/>
      <c r="AS143" s="241"/>
      <c r="AT143" s="241" t="s">
        <v>2069</v>
      </c>
      <c r="AU143" s="241" t="s">
        <v>2070</v>
      </c>
      <c r="AV143" s="241" t="s">
        <v>2071</v>
      </c>
      <c r="AW143" s="241" t="s">
        <v>2072</v>
      </c>
      <c r="AX143" s="241">
        <f t="shared" si="20"/>
        <v>2</v>
      </c>
      <c r="AY143" s="241" t="str">
        <f t="shared" si="21"/>
        <v>K/2</v>
      </c>
      <c r="AZ143" s="241" t="s">
        <v>2073</v>
      </c>
      <c r="BA143" s="237" t="s">
        <v>2073</v>
      </c>
      <c r="BB143" s="241" t="s">
        <v>161</v>
      </c>
      <c r="BC143" s="241" t="s">
        <v>349</v>
      </c>
      <c r="BD143" s="241" t="s">
        <v>4502</v>
      </c>
      <c r="BE143" s="241" t="s">
        <v>2074</v>
      </c>
      <c r="BF143" s="241">
        <v>2011</v>
      </c>
      <c r="BG143" s="241" t="s">
        <v>475</v>
      </c>
      <c r="BH143" s="241" t="s">
        <v>4502</v>
      </c>
      <c r="BI143" s="241" t="s">
        <v>2074</v>
      </c>
      <c r="BJ143" s="241">
        <v>2011</v>
      </c>
      <c r="BK143" s="247"/>
      <c r="BL143" s="247"/>
      <c r="BM143" s="241" t="s">
        <v>351</v>
      </c>
      <c r="BN143" s="241">
        <v>31</v>
      </c>
      <c r="BO143" s="241">
        <v>42</v>
      </c>
      <c r="BP143" s="244"/>
      <c r="BQ143" s="244"/>
      <c r="BR143" s="244"/>
      <c r="BS143" s="244"/>
      <c r="BT143" s="241"/>
      <c r="BU143" s="241"/>
      <c r="BV143" s="241"/>
      <c r="BW143" s="241"/>
      <c r="BX143" s="241"/>
      <c r="BY143" s="241"/>
      <c r="BZ143" s="241"/>
      <c r="CA143" s="241"/>
      <c r="CB143" s="241"/>
      <c r="CC143" s="241"/>
      <c r="CD143" s="241"/>
      <c r="CE143" s="241" t="e">
        <f>VLOOKUP(D143,[1]Sertifikasi!$B$4:$I$19,8,0)</f>
        <v>#N/A</v>
      </c>
      <c r="CF143" s="13"/>
      <c r="CG143" s="13"/>
      <c r="CH143" s="13"/>
    </row>
    <row r="144" spans="1:86" ht="11.25" customHeight="1" x14ac:dyDescent="0.2">
      <c r="A144" s="13"/>
      <c r="B144" s="238">
        <v>140</v>
      </c>
      <c r="C144" s="241" t="e">
        <f t="shared" ca="1" si="22"/>
        <v>#NUM!</v>
      </c>
      <c r="D144" s="237" t="s">
        <v>2075</v>
      </c>
      <c r="E144" s="239">
        <v>641810202</v>
      </c>
      <c r="F144" s="237">
        <v>1710004810803</v>
      </c>
      <c r="G144" s="240"/>
      <c r="H144" s="241" t="s">
        <v>25</v>
      </c>
      <c r="I144" s="241" t="s">
        <v>25</v>
      </c>
      <c r="J144" s="242">
        <v>43395</v>
      </c>
      <c r="K144" s="241"/>
      <c r="L144" s="241"/>
      <c r="M144" s="241" t="str">
        <f t="shared" si="23"/>
        <v>PKWT</v>
      </c>
      <c r="N144" s="241" t="s">
        <v>187</v>
      </c>
      <c r="O144" s="241"/>
      <c r="P144" s="243">
        <v>45586</v>
      </c>
      <c r="Q144" s="241"/>
      <c r="R144" s="241" t="s">
        <v>206</v>
      </c>
      <c r="S144" s="241" t="s">
        <v>6863</v>
      </c>
      <c r="T144" s="241" t="s">
        <v>312</v>
      </c>
      <c r="U144" s="241" t="s">
        <v>25</v>
      </c>
      <c r="V144" s="241" t="s">
        <v>443</v>
      </c>
      <c r="W144" s="241" t="s">
        <v>748</v>
      </c>
      <c r="X144" s="241" t="s">
        <v>121</v>
      </c>
      <c r="Y144" s="241" t="s">
        <v>313</v>
      </c>
      <c r="Z144" s="241"/>
      <c r="AA144" s="241" t="s">
        <v>337</v>
      </c>
      <c r="AB144" s="241" t="s">
        <v>314</v>
      </c>
      <c r="AC144" s="241" t="s">
        <v>25</v>
      </c>
      <c r="AD144" s="245">
        <v>35190</v>
      </c>
      <c r="AE144" s="241">
        <f t="shared" ca="1" si="19"/>
        <v>29</v>
      </c>
      <c r="AF144" s="246" t="s">
        <v>2076</v>
      </c>
      <c r="AG144" s="241" t="s">
        <v>2077</v>
      </c>
      <c r="AH144" s="240" t="s">
        <v>2078</v>
      </c>
      <c r="AI144" s="240"/>
      <c r="AJ144" s="240"/>
      <c r="AK144" s="241" t="s">
        <v>2079</v>
      </c>
      <c r="AL144" s="246" t="s">
        <v>2080</v>
      </c>
      <c r="AM144" s="246">
        <v>18099947584</v>
      </c>
      <c r="AN144" s="241" t="s">
        <v>4733</v>
      </c>
      <c r="AO144" s="241" t="s">
        <v>2081</v>
      </c>
      <c r="AP144" s="241" t="s">
        <v>2082</v>
      </c>
      <c r="AQ144" s="241"/>
      <c r="AR144" s="241"/>
      <c r="AS144" s="241"/>
      <c r="AT144" s="241" t="s">
        <v>2083</v>
      </c>
      <c r="AU144" s="241" t="s">
        <v>2084</v>
      </c>
      <c r="AV144" s="241" t="s">
        <v>2085</v>
      </c>
      <c r="AW144" s="241" t="s">
        <v>2086</v>
      </c>
      <c r="AX144" s="241">
        <f t="shared" si="20"/>
        <v>1</v>
      </c>
      <c r="AY144" s="241" t="str">
        <f t="shared" si="21"/>
        <v>K/1</v>
      </c>
      <c r="AZ144" s="241" t="s">
        <v>2087</v>
      </c>
      <c r="BA144" s="237">
        <v>758019160306000</v>
      </c>
      <c r="BB144" s="241" t="s">
        <v>161</v>
      </c>
      <c r="BC144" s="241" t="s">
        <v>349</v>
      </c>
      <c r="BD144" s="241" t="s">
        <v>4502</v>
      </c>
      <c r="BE144" s="241" t="s">
        <v>2088</v>
      </c>
      <c r="BF144" s="241">
        <v>2014</v>
      </c>
      <c r="BG144" s="241" t="s">
        <v>475</v>
      </c>
      <c r="BH144" s="241" t="s">
        <v>4502</v>
      </c>
      <c r="BI144" s="241" t="s">
        <v>2088</v>
      </c>
      <c r="BJ144" s="241">
        <v>2014</v>
      </c>
      <c r="BK144" s="247"/>
      <c r="BL144" s="247"/>
      <c r="BM144" s="241" t="s">
        <v>360</v>
      </c>
      <c r="BN144" s="241">
        <v>30</v>
      </c>
      <c r="BO144" s="241">
        <v>40</v>
      </c>
      <c r="BP144" s="244"/>
      <c r="BQ144" s="244"/>
      <c r="BR144" s="244"/>
      <c r="BS144" s="244"/>
      <c r="BT144" s="241"/>
      <c r="BU144" s="241"/>
      <c r="BV144" s="241"/>
      <c r="BW144" s="241"/>
      <c r="BX144" s="241"/>
      <c r="BY144" s="241"/>
      <c r="BZ144" s="241"/>
      <c r="CA144" s="241"/>
      <c r="CB144" s="241"/>
      <c r="CC144" s="241"/>
      <c r="CD144" s="241"/>
      <c r="CE144" s="241" t="e">
        <f>VLOOKUP(D144,[1]Sertifikasi!$B$4:$I$19,8,0)</f>
        <v>#N/A</v>
      </c>
      <c r="CF144" s="13"/>
      <c r="CG144" s="13"/>
      <c r="CH144" s="13"/>
    </row>
    <row r="145" spans="1:86" ht="11.25" customHeight="1" x14ac:dyDescent="0.2">
      <c r="A145" s="13"/>
      <c r="B145" s="238">
        <v>141</v>
      </c>
      <c r="C145" s="241" t="e">
        <f t="shared" ca="1" si="22"/>
        <v>#NUM!</v>
      </c>
      <c r="D145" s="237" t="s">
        <v>2089</v>
      </c>
      <c r="E145" s="239">
        <v>641810197</v>
      </c>
      <c r="F145" s="237">
        <v>1710004810977</v>
      </c>
      <c r="G145" s="240"/>
      <c r="H145" s="241" t="s">
        <v>25</v>
      </c>
      <c r="I145" s="241" t="s">
        <v>25</v>
      </c>
      <c r="J145" s="242">
        <v>43395</v>
      </c>
      <c r="K145" s="241"/>
      <c r="L145" s="241"/>
      <c r="M145" s="241" t="str">
        <f t="shared" si="23"/>
        <v>PKWT</v>
      </c>
      <c r="N145" s="241" t="s">
        <v>187</v>
      </c>
      <c r="O145" s="241"/>
      <c r="P145" s="243">
        <v>45586</v>
      </c>
      <c r="Q145" s="241"/>
      <c r="R145" s="241" t="s">
        <v>206</v>
      </c>
      <c r="S145" s="241" t="s">
        <v>6863</v>
      </c>
      <c r="T145" s="241" t="s">
        <v>312</v>
      </c>
      <c r="U145" s="241" t="s">
        <v>25</v>
      </c>
      <c r="V145" s="241" t="s">
        <v>443</v>
      </c>
      <c r="W145" s="241" t="s">
        <v>748</v>
      </c>
      <c r="X145" s="241" t="s">
        <v>121</v>
      </c>
      <c r="Y145" s="241" t="s">
        <v>313</v>
      </c>
      <c r="Z145" s="241"/>
      <c r="AA145" s="241" t="s">
        <v>337</v>
      </c>
      <c r="AB145" s="241" t="s">
        <v>314</v>
      </c>
      <c r="AC145" s="241" t="s">
        <v>1533</v>
      </c>
      <c r="AD145" s="245">
        <v>36792</v>
      </c>
      <c r="AE145" s="241">
        <f t="shared" ca="1" si="19"/>
        <v>25</v>
      </c>
      <c r="AF145" s="246" t="s">
        <v>2090</v>
      </c>
      <c r="AG145" s="241" t="s">
        <v>2091</v>
      </c>
      <c r="AH145" s="240" t="s">
        <v>2092</v>
      </c>
      <c r="AI145" s="240"/>
      <c r="AJ145" s="240"/>
      <c r="AK145" s="241" t="s">
        <v>2093</v>
      </c>
      <c r="AL145" s="246" t="s">
        <v>2094</v>
      </c>
      <c r="AM145" s="246">
        <v>18099947568</v>
      </c>
      <c r="AN145" s="241" t="s">
        <v>4716</v>
      </c>
      <c r="AO145" s="241"/>
      <c r="AP145" s="241"/>
      <c r="AQ145" s="241"/>
      <c r="AR145" s="241"/>
      <c r="AS145" s="241"/>
      <c r="AT145" s="241" t="s">
        <v>306</v>
      </c>
      <c r="AU145" s="241" t="s">
        <v>306</v>
      </c>
      <c r="AV145" s="241" t="s">
        <v>306</v>
      </c>
      <c r="AW145" s="241" t="s">
        <v>306</v>
      </c>
      <c r="AX145" s="241">
        <f t="shared" si="20"/>
        <v>0</v>
      </c>
      <c r="AY145" s="241" t="str">
        <f t="shared" si="21"/>
        <v>TK/0</v>
      </c>
      <c r="AZ145" s="241"/>
      <c r="BA145" s="237"/>
      <c r="BB145" s="241" t="s">
        <v>161</v>
      </c>
      <c r="BC145" s="241" t="s">
        <v>349</v>
      </c>
      <c r="BD145" s="241" t="s">
        <v>4502</v>
      </c>
      <c r="BE145" s="241" t="s">
        <v>1862</v>
      </c>
      <c r="BF145" s="241">
        <v>2018</v>
      </c>
      <c r="BG145" s="241" t="s">
        <v>475</v>
      </c>
      <c r="BH145" s="241" t="s">
        <v>4502</v>
      </c>
      <c r="BI145" s="241" t="s">
        <v>1862</v>
      </c>
      <c r="BJ145" s="241">
        <v>2018</v>
      </c>
      <c r="BK145" s="247"/>
      <c r="BL145" s="247"/>
      <c r="BM145" s="241" t="s">
        <v>360</v>
      </c>
      <c r="BN145" s="241">
        <v>29</v>
      </c>
      <c r="BO145" s="241">
        <v>42</v>
      </c>
      <c r="BP145" s="244">
        <v>44391</v>
      </c>
      <c r="BQ145" s="244"/>
      <c r="BR145" s="244">
        <v>44765</v>
      </c>
      <c r="BS145" s="244"/>
      <c r="BT145" s="241"/>
      <c r="BU145" s="241"/>
      <c r="BV145" s="241"/>
      <c r="BW145" s="241"/>
      <c r="BX145" s="241"/>
      <c r="BY145" s="241"/>
      <c r="BZ145" s="241"/>
      <c r="CA145" s="241"/>
      <c r="CB145" s="241"/>
      <c r="CC145" s="241"/>
      <c r="CD145" s="241"/>
      <c r="CE145" s="241" t="e">
        <f>VLOOKUP(D145,[1]Sertifikasi!$B$4:$I$19,8,0)</f>
        <v>#N/A</v>
      </c>
      <c r="CF145" s="13"/>
      <c r="CG145" s="13"/>
      <c r="CH145" s="13"/>
    </row>
    <row r="146" spans="1:86" ht="11.25" customHeight="1" x14ac:dyDescent="0.2">
      <c r="A146" s="13"/>
      <c r="B146" s="238">
        <v>142</v>
      </c>
      <c r="C146" s="241" t="e">
        <f t="shared" ca="1" si="22"/>
        <v>#NUM!</v>
      </c>
      <c r="D146" s="237" t="s">
        <v>2095</v>
      </c>
      <c r="E146" s="239">
        <v>641810201</v>
      </c>
      <c r="F146" s="237">
        <v>1710004810886</v>
      </c>
      <c r="G146" s="240"/>
      <c r="H146" s="241" t="s">
        <v>25</v>
      </c>
      <c r="I146" s="241" t="s">
        <v>25</v>
      </c>
      <c r="J146" s="242">
        <v>43395</v>
      </c>
      <c r="K146" s="241"/>
      <c r="L146" s="241"/>
      <c r="M146" s="241" t="str">
        <f t="shared" si="23"/>
        <v>PKWT</v>
      </c>
      <c r="N146" s="241" t="s">
        <v>187</v>
      </c>
      <c r="O146" s="241"/>
      <c r="P146" s="243">
        <v>45586</v>
      </c>
      <c r="Q146" s="241"/>
      <c r="R146" s="241" t="s">
        <v>206</v>
      </c>
      <c r="S146" s="241" t="s">
        <v>6863</v>
      </c>
      <c r="T146" s="241" t="s">
        <v>312</v>
      </c>
      <c r="U146" s="241" t="s">
        <v>25</v>
      </c>
      <c r="V146" s="241" t="s">
        <v>443</v>
      </c>
      <c r="W146" s="241" t="s">
        <v>748</v>
      </c>
      <c r="X146" s="241" t="s">
        <v>121</v>
      </c>
      <c r="Y146" s="241" t="s">
        <v>313</v>
      </c>
      <c r="Z146" s="241"/>
      <c r="AA146" s="241" t="s">
        <v>337</v>
      </c>
      <c r="AB146" s="241" t="s">
        <v>314</v>
      </c>
      <c r="AC146" s="241" t="s">
        <v>25</v>
      </c>
      <c r="AD146" s="245">
        <v>32948</v>
      </c>
      <c r="AE146" s="241">
        <f t="shared" ca="1" si="19"/>
        <v>35</v>
      </c>
      <c r="AF146" s="246" t="s">
        <v>2096</v>
      </c>
      <c r="AG146" s="241" t="s">
        <v>2097</v>
      </c>
      <c r="AH146" s="240" t="s">
        <v>2098</v>
      </c>
      <c r="AI146" s="240"/>
      <c r="AJ146" s="240"/>
      <c r="AK146" s="241" t="s">
        <v>2099</v>
      </c>
      <c r="AL146" s="246" t="s">
        <v>2100</v>
      </c>
      <c r="AM146" s="246">
        <v>11015247767</v>
      </c>
      <c r="AN146" s="241" t="s">
        <v>4733</v>
      </c>
      <c r="AO146" s="241"/>
      <c r="AP146" s="241"/>
      <c r="AQ146" s="241"/>
      <c r="AR146" s="241"/>
      <c r="AS146" s="241"/>
      <c r="AT146" s="241" t="s">
        <v>2101</v>
      </c>
      <c r="AU146" s="241" t="s">
        <v>2102</v>
      </c>
      <c r="AV146" s="241" t="s">
        <v>2103</v>
      </c>
      <c r="AW146" s="241" t="s">
        <v>2104</v>
      </c>
      <c r="AX146" s="241">
        <f t="shared" si="20"/>
        <v>0</v>
      </c>
      <c r="AY146" s="241" t="str">
        <f t="shared" si="21"/>
        <v>K/0</v>
      </c>
      <c r="AZ146" s="241" t="s">
        <v>2105</v>
      </c>
      <c r="BA146" s="237" t="s">
        <v>2105</v>
      </c>
      <c r="BB146" s="241" t="s">
        <v>161</v>
      </c>
      <c r="BC146" s="241" t="s">
        <v>349</v>
      </c>
      <c r="BD146" s="241" t="s">
        <v>91</v>
      </c>
      <c r="BE146" s="241" t="s">
        <v>2106</v>
      </c>
      <c r="BF146" s="241">
        <v>2009</v>
      </c>
      <c r="BG146" s="241" t="s">
        <v>475</v>
      </c>
      <c r="BH146" s="241" t="s">
        <v>91</v>
      </c>
      <c r="BI146" s="241" t="s">
        <v>2106</v>
      </c>
      <c r="BJ146" s="241">
        <v>2009</v>
      </c>
      <c r="BK146" s="247"/>
      <c r="BL146" s="247"/>
      <c r="BM146" s="241" t="s">
        <v>339</v>
      </c>
      <c r="BN146" s="241">
        <v>33</v>
      </c>
      <c r="BO146" s="241">
        <v>42</v>
      </c>
      <c r="BP146" s="244"/>
      <c r="BQ146" s="244"/>
      <c r="BR146" s="244"/>
      <c r="BS146" s="244"/>
      <c r="BT146" s="241"/>
      <c r="BU146" s="241"/>
      <c r="BV146" s="241"/>
      <c r="BW146" s="241"/>
      <c r="BX146" s="241"/>
      <c r="BY146" s="241"/>
      <c r="BZ146" s="241"/>
      <c r="CA146" s="241"/>
      <c r="CB146" s="241"/>
      <c r="CC146" s="241"/>
      <c r="CD146" s="241"/>
      <c r="CE146" s="241" t="e">
        <f>VLOOKUP(D146,[1]Sertifikasi!$B$4:$I$19,8,0)</f>
        <v>#N/A</v>
      </c>
      <c r="CF146" s="13"/>
      <c r="CG146" s="13"/>
      <c r="CH146" s="13"/>
    </row>
    <row r="147" spans="1:86" ht="11.25" customHeight="1" x14ac:dyDescent="0.2">
      <c r="A147" s="13"/>
      <c r="B147" s="238">
        <v>143</v>
      </c>
      <c r="C147" s="241" t="e">
        <f t="shared" ca="1" si="22"/>
        <v>#NUM!</v>
      </c>
      <c r="D147" s="237" t="s">
        <v>2107</v>
      </c>
      <c r="E147" s="239">
        <v>641810189</v>
      </c>
      <c r="F147" s="237">
        <v>1710004810159</v>
      </c>
      <c r="G147" s="240"/>
      <c r="H147" s="241" t="s">
        <v>24</v>
      </c>
      <c r="I147" s="241" t="s">
        <v>24</v>
      </c>
      <c r="J147" s="242">
        <v>43395</v>
      </c>
      <c r="K147" s="241"/>
      <c r="L147" s="241"/>
      <c r="M147" s="241" t="str">
        <f t="shared" si="23"/>
        <v>PKWT</v>
      </c>
      <c r="N147" s="241" t="s">
        <v>187</v>
      </c>
      <c r="O147" s="241"/>
      <c r="P147" s="243">
        <v>45657</v>
      </c>
      <c r="Q147" s="241"/>
      <c r="R147" s="241" t="s">
        <v>206</v>
      </c>
      <c r="S147" s="241" t="s">
        <v>6863</v>
      </c>
      <c r="T147" s="241" t="s">
        <v>312</v>
      </c>
      <c r="U147" s="241" t="s">
        <v>24</v>
      </c>
      <c r="V147" s="241" t="s">
        <v>443</v>
      </c>
      <c r="W147" s="241" t="s">
        <v>175</v>
      </c>
      <c r="X147" s="241" t="s">
        <v>121</v>
      </c>
      <c r="Y147" s="241" t="s">
        <v>313</v>
      </c>
      <c r="Z147" s="241" t="s">
        <v>462</v>
      </c>
      <c r="AA147" s="241" t="s">
        <v>337</v>
      </c>
      <c r="AB147" s="241" t="s">
        <v>314</v>
      </c>
      <c r="AC147" s="241" t="s">
        <v>1533</v>
      </c>
      <c r="AD147" s="245">
        <v>34006</v>
      </c>
      <c r="AE147" s="241">
        <f t="shared" ca="1" si="19"/>
        <v>32</v>
      </c>
      <c r="AF147" s="246" t="s">
        <v>2108</v>
      </c>
      <c r="AG147" s="241" t="s">
        <v>2109</v>
      </c>
      <c r="AH147" s="240" t="s">
        <v>2110</v>
      </c>
      <c r="AI147" s="240"/>
      <c r="AJ147" s="240"/>
      <c r="AK147" s="241" t="s">
        <v>2111</v>
      </c>
      <c r="AL147" s="246" t="s">
        <v>2112</v>
      </c>
      <c r="AM147" s="246">
        <v>18099947485</v>
      </c>
      <c r="AN147" s="241" t="s">
        <v>4733</v>
      </c>
      <c r="AO147" s="241" t="s">
        <v>2113</v>
      </c>
      <c r="AP147" s="241" t="s">
        <v>2114</v>
      </c>
      <c r="AQ147" s="241"/>
      <c r="AR147" s="241"/>
      <c r="AS147" s="241"/>
      <c r="AT147" s="241" t="s">
        <v>2115</v>
      </c>
      <c r="AU147" s="241" t="s">
        <v>306</v>
      </c>
      <c r="AV147" s="241" t="s">
        <v>306</v>
      </c>
      <c r="AW147" s="241" t="s">
        <v>306</v>
      </c>
      <c r="AX147" s="241">
        <f t="shared" si="20"/>
        <v>1</v>
      </c>
      <c r="AY147" s="241" t="str">
        <f t="shared" si="21"/>
        <v>K/1</v>
      </c>
      <c r="AZ147" s="241"/>
      <c r="BA147" s="237"/>
      <c r="BB147" s="241" t="s">
        <v>161</v>
      </c>
      <c r="BC147" s="241" t="s">
        <v>75</v>
      </c>
      <c r="BD147" s="241" t="s">
        <v>91</v>
      </c>
      <c r="BE147" s="241" t="s">
        <v>1553</v>
      </c>
      <c r="BF147" s="241">
        <v>2016</v>
      </c>
      <c r="BG147" s="241" t="s">
        <v>75</v>
      </c>
      <c r="BH147" s="241" t="s">
        <v>91</v>
      </c>
      <c r="BI147" s="241" t="s">
        <v>1553</v>
      </c>
      <c r="BJ147" s="241">
        <v>2016</v>
      </c>
      <c r="BK147" s="247"/>
      <c r="BL147" s="247"/>
      <c r="BM147" s="241" t="s">
        <v>360</v>
      </c>
      <c r="BN147" s="241">
        <v>28</v>
      </c>
      <c r="BO147" s="241">
        <v>40</v>
      </c>
      <c r="BP147" s="244"/>
      <c r="BQ147" s="244"/>
      <c r="BR147" s="244"/>
      <c r="BS147" s="244"/>
      <c r="BT147" s="241"/>
      <c r="BU147" s="241"/>
      <c r="BV147" s="241"/>
      <c r="BW147" s="241"/>
      <c r="BX147" s="241"/>
      <c r="BY147" s="241"/>
      <c r="BZ147" s="241"/>
      <c r="CA147" s="241"/>
      <c r="CB147" s="241"/>
      <c r="CC147" s="241"/>
      <c r="CD147" s="241"/>
      <c r="CE147" s="241" t="e">
        <f>VLOOKUP(D147,[1]Sertifikasi!$B$4:$I$19,8,0)</f>
        <v>#N/A</v>
      </c>
      <c r="CF147" s="13"/>
      <c r="CG147" s="13"/>
      <c r="CH147" s="13"/>
    </row>
    <row r="148" spans="1:86" ht="11.25" customHeight="1" x14ac:dyDescent="0.2">
      <c r="A148" s="13"/>
      <c r="B148" s="238">
        <v>144</v>
      </c>
      <c r="C148" s="241" t="e">
        <f t="shared" ca="1" si="22"/>
        <v>#NUM!</v>
      </c>
      <c r="D148" s="237" t="s">
        <v>2116</v>
      </c>
      <c r="E148" s="239">
        <v>641810205</v>
      </c>
      <c r="F148" s="237">
        <v>1710004811074</v>
      </c>
      <c r="G148" s="240"/>
      <c r="H148" s="241" t="s">
        <v>26</v>
      </c>
      <c r="I148" s="241" t="s">
        <v>26</v>
      </c>
      <c r="J148" s="242">
        <v>43395</v>
      </c>
      <c r="K148" s="241"/>
      <c r="L148" s="241"/>
      <c r="M148" s="241" t="str">
        <f t="shared" si="23"/>
        <v>PKWT</v>
      </c>
      <c r="N148" s="241" t="s">
        <v>187</v>
      </c>
      <c r="O148" s="241"/>
      <c r="P148" s="243">
        <v>45586</v>
      </c>
      <c r="Q148" s="241"/>
      <c r="R148" s="241" t="s">
        <v>206</v>
      </c>
      <c r="S148" s="241" t="s">
        <v>6863</v>
      </c>
      <c r="T148" s="241" t="s">
        <v>312</v>
      </c>
      <c r="U148" s="241" t="s">
        <v>20</v>
      </c>
      <c r="V148" s="241" t="s">
        <v>204</v>
      </c>
      <c r="W148" s="241" t="s">
        <v>1278</v>
      </c>
      <c r="X148" s="241" t="s">
        <v>122</v>
      </c>
      <c r="Y148" s="241" t="s">
        <v>313</v>
      </c>
      <c r="Z148" s="241"/>
      <c r="AA148" s="241" t="s">
        <v>337</v>
      </c>
      <c r="AB148" s="241" t="s">
        <v>314</v>
      </c>
      <c r="AC148" s="241" t="s">
        <v>2117</v>
      </c>
      <c r="AD148" s="245">
        <v>35891</v>
      </c>
      <c r="AE148" s="241">
        <f t="shared" ca="1" si="19"/>
        <v>27</v>
      </c>
      <c r="AF148" s="246" t="s">
        <v>2118</v>
      </c>
      <c r="AG148" s="241" t="s">
        <v>2119</v>
      </c>
      <c r="AH148" s="240" t="s">
        <v>2120</v>
      </c>
      <c r="AI148" s="240"/>
      <c r="AJ148" s="240"/>
      <c r="AK148" s="241" t="s">
        <v>2121</v>
      </c>
      <c r="AL148" s="246" t="s">
        <v>2122</v>
      </c>
      <c r="AM148" s="246">
        <v>18099947501</v>
      </c>
      <c r="AN148" s="241" t="s">
        <v>4716</v>
      </c>
      <c r="AO148" s="241"/>
      <c r="AP148" s="241"/>
      <c r="AQ148" s="241"/>
      <c r="AR148" s="241"/>
      <c r="AS148" s="241"/>
      <c r="AT148" s="241" t="s">
        <v>306</v>
      </c>
      <c r="AU148" s="241" t="s">
        <v>306</v>
      </c>
      <c r="AV148" s="241" t="s">
        <v>306</v>
      </c>
      <c r="AW148" s="241" t="s">
        <v>306</v>
      </c>
      <c r="AX148" s="241">
        <f t="shared" si="20"/>
        <v>0</v>
      </c>
      <c r="AY148" s="241" t="str">
        <f t="shared" si="21"/>
        <v>TK/0</v>
      </c>
      <c r="AZ148" s="241"/>
      <c r="BA148" s="237"/>
      <c r="BB148" s="241" t="s">
        <v>161</v>
      </c>
      <c r="BC148" s="241" t="s">
        <v>349</v>
      </c>
      <c r="BD148" s="241" t="s">
        <v>91</v>
      </c>
      <c r="BE148" s="241" t="s">
        <v>2123</v>
      </c>
      <c r="BF148" s="241">
        <v>2016</v>
      </c>
      <c r="BG148" s="241" t="s">
        <v>475</v>
      </c>
      <c r="BH148" s="241" t="s">
        <v>91</v>
      </c>
      <c r="BI148" s="241" t="s">
        <v>2123</v>
      </c>
      <c r="BJ148" s="241">
        <v>2016</v>
      </c>
      <c r="BK148" s="247"/>
      <c r="BL148" s="247"/>
      <c r="BM148" s="241" t="s">
        <v>360</v>
      </c>
      <c r="BN148" s="241">
        <v>29</v>
      </c>
      <c r="BO148" s="241">
        <v>40</v>
      </c>
      <c r="BP148" s="244">
        <v>44365</v>
      </c>
      <c r="BQ148" s="244">
        <v>44797</v>
      </c>
      <c r="BR148" s="244"/>
      <c r="BS148" s="244"/>
      <c r="BT148" s="241"/>
      <c r="BU148" s="241"/>
      <c r="BV148" s="241"/>
      <c r="BW148" s="241"/>
      <c r="BX148" s="241"/>
      <c r="BY148" s="241"/>
      <c r="BZ148" s="241"/>
      <c r="CA148" s="241"/>
      <c r="CB148" s="241"/>
      <c r="CC148" s="241"/>
      <c r="CD148" s="241"/>
      <c r="CE148" s="241" t="e">
        <f>VLOOKUP(D148,[1]Sertifikasi!$B$4:$I$19,8,0)</f>
        <v>#N/A</v>
      </c>
      <c r="CF148" s="13"/>
      <c r="CG148" s="13"/>
      <c r="CH148" s="13"/>
    </row>
    <row r="149" spans="1:86" ht="11.25" customHeight="1" x14ac:dyDescent="0.2">
      <c r="A149" s="13"/>
      <c r="B149" s="238">
        <v>145</v>
      </c>
      <c r="C149" s="241" t="e">
        <f t="shared" ca="1" si="22"/>
        <v>#NUM!</v>
      </c>
      <c r="D149" s="237" t="s">
        <v>2124</v>
      </c>
      <c r="E149" s="239">
        <v>641810188</v>
      </c>
      <c r="F149" s="237">
        <v>1710004810654</v>
      </c>
      <c r="G149" s="240"/>
      <c r="H149" s="241" t="s">
        <v>24</v>
      </c>
      <c r="I149" s="241" t="s">
        <v>24</v>
      </c>
      <c r="J149" s="242">
        <v>43395</v>
      </c>
      <c r="K149" s="241"/>
      <c r="L149" s="241"/>
      <c r="M149" s="241" t="str">
        <f t="shared" si="23"/>
        <v>PKWT</v>
      </c>
      <c r="N149" s="241" t="s">
        <v>187</v>
      </c>
      <c r="O149" s="241"/>
      <c r="P149" s="243">
        <v>45657</v>
      </c>
      <c r="Q149" s="241"/>
      <c r="R149" s="241" t="s">
        <v>206</v>
      </c>
      <c r="S149" s="241" t="s">
        <v>6863</v>
      </c>
      <c r="T149" s="241" t="s">
        <v>312</v>
      </c>
      <c r="U149" s="241" t="s">
        <v>24</v>
      </c>
      <c r="V149" s="241" t="s">
        <v>443</v>
      </c>
      <c r="W149" s="241" t="s">
        <v>7138</v>
      </c>
      <c r="X149" s="241" t="s">
        <v>121</v>
      </c>
      <c r="Y149" s="241" t="s">
        <v>313</v>
      </c>
      <c r="Z149" s="241"/>
      <c r="AA149" s="241" t="s">
        <v>337</v>
      </c>
      <c r="AB149" s="241" t="s">
        <v>314</v>
      </c>
      <c r="AC149" s="241" t="s">
        <v>2125</v>
      </c>
      <c r="AD149" s="245">
        <v>32956</v>
      </c>
      <c r="AE149" s="241">
        <f t="shared" ca="1" si="19"/>
        <v>35</v>
      </c>
      <c r="AF149" s="246" t="s">
        <v>2126</v>
      </c>
      <c r="AG149" s="241" t="s">
        <v>2127</v>
      </c>
      <c r="AH149" s="240" t="s">
        <v>2128</v>
      </c>
      <c r="AI149" s="240"/>
      <c r="AJ149" s="240"/>
      <c r="AK149" s="241" t="s">
        <v>2129</v>
      </c>
      <c r="AL149" s="246" t="s">
        <v>2130</v>
      </c>
      <c r="AM149" s="246">
        <v>10014453145</v>
      </c>
      <c r="AN149" s="241" t="s">
        <v>4733</v>
      </c>
      <c r="AO149" s="241" t="s">
        <v>2131</v>
      </c>
      <c r="AP149" s="241"/>
      <c r="AQ149" s="241"/>
      <c r="AR149" s="241"/>
      <c r="AS149" s="241"/>
      <c r="AT149" s="241" t="s">
        <v>2132</v>
      </c>
      <c r="AU149" s="241" t="s">
        <v>2133</v>
      </c>
      <c r="AV149" s="241" t="s">
        <v>2134</v>
      </c>
      <c r="AW149" s="241" t="s">
        <v>2135</v>
      </c>
      <c r="AX149" s="241">
        <f t="shared" si="20"/>
        <v>0</v>
      </c>
      <c r="AY149" s="241" t="str">
        <f t="shared" si="21"/>
        <v>K/0</v>
      </c>
      <c r="AZ149" s="241" t="s">
        <v>2136</v>
      </c>
      <c r="BA149" s="237" t="s">
        <v>2136</v>
      </c>
      <c r="BB149" s="241" t="s">
        <v>161</v>
      </c>
      <c r="BC149" s="241" t="s">
        <v>75</v>
      </c>
      <c r="BD149" s="241" t="s">
        <v>91</v>
      </c>
      <c r="BE149" s="241" t="s">
        <v>1553</v>
      </c>
      <c r="BF149" s="241">
        <v>2016</v>
      </c>
      <c r="BG149" s="241" t="s">
        <v>75</v>
      </c>
      <c r="BH149" s="241" t="s">
        <v>91</v>
      </c>
      <c r="BI149" s="241" t="s">
        <v>1553</v>
      </c>
      <c r="BJ149" s="241">
        <v>2016</v>
      </c>
      <c r="BK149" s="247"/>
      <c r="BL149" s="247"/>
      <c r="BM149" s="241" t="s">
        <v>351</v>
      </c>
      <c r="BN149" s="241">
        <v>30</v>
      </c>
      <c r="BO149" s="241">
        <v>40</v>
      </c>
      <c r="BP149" s="244"/>
      <c r="BQ149" s="244"/>
      <c r="BR149" s="244"/>
      <c r="BS149" s="244"/>
      <c r="BT149" s="241"/>
      <c r="BU149" s="241"/>
      <c r="BV149" s="241"/>
      <c r="BW149" s="241"/>
      <c r="BX149" s="241"/>
      <c r="BY149" s="241"/>
      <c r="BZ149" s="241"/>
      <c r="CA149" s="241"/>
      <c r="CB149" s="241"/>
      <c r="CC149" s="241"/>
      <c r="CD149" s="241"/>
      <c r="CE149" s="241" t="e">
        <f>VLOOKUP(D149,[1]Sertifikasi!$B$4:$I$19,8,0)</f>
        <v>#N/A</v>
      </c>
      <c r="CF149" s="13"/>
      <c r="CG149" s="13"/>
      <c r="CH149" s="13"/>
    </row>
    <row r="150" spans="1:86" ht="11.25" customHeight="1" x14ac:dyDescent="0.2">
      <c r="A150" s="13"/>
      <c r="B150" s="238">
        <v>146</v>
      </c>
      <c r="C150" s="241" t="e">
        <f t="shared" ca="1" si="22"/>
        <v>#NUM!</v>
      </c>
      <c r="D150" s="237" t="s">
        <v>2137</v>
      </c>
      <c r="E150" s="239">
        <v>641810190</v>
      </c>
      <c r="F150" s="237">
        <v>1710004810696</v>
      </c>
      <c r="G150" s="240"/>
      <c r="H150" s="241" t="s">
        <v>24</v>
      </c>
      <c r="I150" s="241" t="s">
        <v>24</v>
      </c>
      <c r="J150" s="242">
        <v>43395</v>
      </c>
      <c r="K150" s="241"/>
      <c r="L150" s="241"/>
      <c r="M150" s="241" t="str">
        <f t="shared" si="23"/>
        <v>PKWT</v>
      </c>
      <c r="N150" s="241" t="s">
        <v>187</v>
      </c>
      <c r="O150" s="241"/>
      <c r="P150" s="243">
        <v>45657</v>
      </c>
      <c r="Q150" s="241"/>
      <c r="R150" s="241" t="s">
        <v>206</v>
      </c>
      <c r="S150" s="241" t="s">
        <v>6863</v>
      </c>
      <c r="T150" s="241" t="s">
        <v>312</v>
      </c>
      <c r="U150" s="241" t="s">
        <v>24</v>
      </c>
      <c r="V150" s="241" t="s">
        <v>443</v>
      </c>
      <c r="W150" s="241" t="s">
        <v>175</v>
      </c>
      <c r="X150" s="241" t="s">
        <v>121</v>
      </c>
      <c r="Y150" s="241" t="s">
        <v>313</v>
      </c>
      <c r="Z150" s="241" t="s">
        <v>445</v>
      </c>
      <c r="AA150" s="241" t="s">
        <v>337</v>
      </c>
      <c r="AB150" s="241" t="s">
        <v>314</v>
      </c>
      <c r="AC150" s="241" t="s">
        <v>24</v>
      </c>
      <c r="AD150" s="245">
        <v>33188</v>
      </c>
      <c r="AE150" s="241">
        <f t="shared" ca="1" si="19"/>
        <v>34</v>
      </c>
      <c r="AF150" s="246" t="s">
        <v>2138</v>
      </c>
      <c r="AG150" s="241" t="s">
        <v>2139</v>
      </c>
      <c r="AH150" s="240" t="s">
        <v>2140</v>
      </c>
      <c r="AI150" s="240"/>
      <c r="AJ150" s="240"/>
      <c r="AK150" s="241" t="s">
        <v>2141</v>
      </c>
      <c r="AL150" s="246" t="s">
        <v>2142</v>
      </c>
      <c r="AM150" s="246">
        <v>18065352199</v>
      </c>
      <c r="AN150" s="241" t="s">
        <v>4733</v>
      </c>
      <c r="AO150" s="241" t="s">
        <v>2143</v>
      </c>
      <c r="AP150" s="241" t="s">
        <v>2144</v>
      </c>
      <c r="AQ150" s="241"/>
      <c r="AR150" s="241"/>
      <c r="AS150" s="241"/>
      <c r="AT150" s="241" t="s">
        <v>2145</v>
      </c>
      <c r="AU150" s="241" t="s">
        <v>2146</v>
      </c>
      <c r="AV150" s="241" t="s">
        <v>2147</v>
      </c>
      <c r="AW150" s="241" t="s">
        <v>2148</v>
      </c>
      <c r="AX150" s="241">
        <f t="shared" si="20"/>
        <v>1</v>
      </c>
      <c r="AY150" s="241" t="str">
        <f t="shared" si="21"/>
        <v>K/1</v>
      </c>
      <c r="AZ150" s="241" t="s">
        <v>2149</v>
      </c>
      <c r="BA150" s="241" t="s">
        <v>2149</v>
      </c>
      <c r="BB150" s="241" t="s">
        <v>161</v>
      </c>
      <c r="BC150" s="241" t="s">
        <v>75</v>
      </c>
      <c r="BD150" s="241" t="s">
        <v>91</v>
      </c>
      <c r="BE150" s="241" t="s">
        <v>1553</v>
      </c>
      <c r="BF150" s="241">
        <v>2016</v>
      </c>
      <c r="BG150" s="241" t="s">
        <v>75</v>
      </c>
      <c r="BH150" s="241" t="s">
        <v>91</v>
      </c>
      <c r="BI150" s="241" t="s">
        <v>1553</v>
      </c>
      <c r="BJ150" s="241">
        <v>2016</v>
      </c>
      <c r="BK150" s="247"/>
      <c r="BL150" s="247"/>
      <c r="BM150" s="241" t="s">
        <v>369</v>
      </c>
      <c r="BN150" s="241">
        <v>42</v>
      </c>
      <c r="BO150" s="241">
        <v>43</v>
      </c>
      <c r="BP150" s="244"/>
      <c r="BQ150" s="244"/>
      <c r="BR150" s="244"/>
      <c r="BS150" s="244"/>
      <c r="BT150" s="241"/>
      <c r="BU150" s="241"/>
      <c r="BV150" s="241"/>
      <c r="BW150" s="241"/>
      <c r="BX150" s="241"/>
      <c r="BY150" s="241"/>
      <c r="BZ150" s="241"/>
      <c r="CA150" s="241"/>
      <c r="CB150" s="241"/>
      <c r="CC150" s="241"/>
      <c r="CD150" s="241"/>
      <c r="CE150" s="241" t="str">
        <f>VLOOKUP(D150,[1]Sertifikasi!$B$4:$I$19,8,0)</f>
        <v>Pembinaan Dan Sertifikasi Calon Ahli K3 Umum</v>
      </c>
      <c r="CF150" s="13"/>
      <c r="CG150" s="13"/>
      <c r="CH150" s="13"/>
    </row>
    <row r="151" spans="1:86" ht="11.25" customHeight="1" x14ac:dyDescent="0.2">
      <c r="A151" s="13"/>
      <c r="B151" s="238">
        <v>147</v>
      </c>
      <c r="C151" s="241" t="e">
        <f t="shared" ca="1" si="22"/>
        <v>#NUM!</v>
      </c>
      <c r="D151" s="237" t="s">
        <v>2150</v>
      </c>
      <c r="E151" s="239">
        <v>641810203</v>
      </c>
      <c r="F151" s="237">
        <v>1710004810845</v>
      </c>
      <c r="G151" s="240"/>
      <c r="H151" s="241" t="s">
        <v>25</v>
      </c>
      <c r="I151" s="241" t="s">
        <v>25</v>
      </c>
      <c r="J151" s="242">
        <v>43395</v>
      </c>
      <c r="K151" s="241"/>
      <c r="L151" s="241"/>
      <c r="M151" s="241" t="str">
        <f t="shared" si="23"/>
        <v>PKWT</v>
      </c>
      <c r="N151" s="241" t="s">
        <v>187</v>
      </c>
      <c r="O151" s="241"/>
      <c r="P151" s="243">
        <v>45586</v>
      </c>
      <c r="Q151" s="241"/>
      <c r="R151" s="241" t="s">
        <v>206</v>
      </c>
      <c r="S151" s="241" t="s">
        <v>6863</v>
      </c>
      <c r="T151" s="241" t="s">
        <v>312</v>
      </c>
      <c r="U151" s="241" t="s">
        <v>25</v>
      </c>
      <c r="V151" s="241" t="s">
        <v>443</v>
      </c>
      <c r="W151" s="241" t="s">
        <v>748</v>
      </c>
      <c r="X151" s="241" t="s">
        <v>121</v>
      </c>
      <c r="Y151" s="241" t="s">
        <v>313</v>
      </c>
      <c r="Z151" s="241"/>
      <c r="AA151" s="241" t="s">
        <v>337</v>
      </c>
      <c r="AB151" s="241" t="s">
        <v>314</v>
      </c>
      <c r="AC151" s="241" t="s">
        <v>2151</v>
      </c>
      <c r="AD151" s="245">
        <v>35839</v>
      </c>
      <c r="AE151" s="241">
        <f t="shared" ca="1" si="19"/>
        <v>27</v>
      </c>
      <c r="AF151" s="246" t="s">
        <v>2152</v>
      </c>
      <c r="AG151" s="241" t="s">
        <v>2153</v>
      </c>
      <c r="AH151" s="240" t="s">
        <v>2154</v>
      </c>
      <c r="AI151" s="240" t="s">
        <v>765</v>
      </c>
      <c r="AJ151" s="240"/>
      <c r="AK151" s="241" t="s">
        <v>2155</v>
      </c>
      <c r="AL151" s="246" t="s">
        <v>2156</v>
      </c>
      <c r="AM151" s="246">
        <v>18002317727</v>
      </c>
      <c r="AN151" s="241" t="s">
        <v>4716</v>
      </c>
      <c r="AO151" s="241"/>
      <c r="AP151" s="241"/>
      <c r="AQ151" s="241"/>
      <c r="AR151" s="241"/>
      <c r="AS151" s="241"/>
      <c r="AT151" s="241" t="s">
        <v>2157</v>
      </c>
      <c r="AU151" s="241" t="s">
        <v>2158</v>
      </c>
      <c r="AV151" s="241" t="s">
        <v>306</v>
      </c>
      <c r="AW151" s="241" t="s">
        <v>306</v>
      </c>
      <c r="AX151" s="241">
        <f t="shared" si="20"/>
        <v>0</v>
      </c>
      <c r="AY151" s="241" t="str">
        <f t="shared" si="21"/>
        <v>TK/0</v>
      </c>
      <c r="AZ151" s="241" t="s">
        <v>2159</v>
      </c>
      <c r="BA151" s="237" t="s">
        <v>2159</v>
      </c>
      <c r="BB151" s="241" t="s">
        <v>161</v>
      </c>
      <c r="BC151" s="241" t="s">
        <v>349</v>
      </c>
      <c r="BD151" s="241" t="s">
        <v>515</v>
      </c>
      <c r="BE151" s="241" t="s">
        <v>1980</v>
      </c>
      <c r="BF151" s="241">
        <v>2015</v>
      </c>
      <c r="BG151" s="241" t="s">
        <v>475</v>
      </c>
      <c r="BH151" s="241" t="s">
        <v>515</v>
      </c>
      <c r="BI151" s="241" t="s">
        <v>1980</v>
      </c>
      <c r="BJ151" s="241">
        <v>2015</v>
      </c>
      <c r="BK151" s="247"/>
      <c r="BL151" s="247"/>
      <c r="BM151" s="241" t="s">
        <v>360</v>
      </c>
      <c r="BN151" s="241">
        <v>31</v>
      </c>
      <c r="BO151" s="241">
        <v>41</v>
      </c>
      <c r="BP151" s="244">
        <v>44390</v>
      </c>
      <c r="BQ151" s="244"/>
      <c r="BR151" s="244"/>
      <c r="BS151" s="244"/>
      <c r="BT151" s="241"/>
      <c r="BU151" s="241"/>
      <c r="BV151" s="241"/>
      <c r="BW151" s="241"/>
      <c r="BX151" s="241"/>
      <c r="BY151" s="241"/>
      <c r="BZ151" s="241"/>
      <c r="CA151" s="241"/>
      <c r="CB151" s="241"/>
      <c r="CC151" s="241"/>
      <c r="CD151" s="241"/>
      <c r="CE151" s="241" t="e">
        <f>VLOOKUP(D151,[1]Sertifikasi!$B$4:$I$19,8,0)</f>
        <v>#N/A</v>
      </c>
      <c r="CF151" s="13"/>
      <c r="CG151" s="13"/>
      <c r="CH151" s="13"/>
    </row>
    <row r="152" spans="1:86" ht="11.25" customHeight="1" x14ac:dyDescent="0.2">
      <c r="A152" s="13"/>
      <c r="B152" s="238">
        <v>148</v>
      </c>
      <c r="C152" s="241" t="e">
        <f t="shared" ca="1" si="22"/>
        <v>#NUM!</v>
      </c>
      <c r="D152" s="237" t="s">
        <v>2160</v>
      </c>
      <c r="E152" s="239">
        <v>641810186</v>
      </c>
      <c r="F152" s="237">
        <v>1710004810688</v>
      </c>
      <c r="G152" s="240"/>
      <c r="H152" s="241" t="s">
        <v>24</v>
      </c>
      <c r="I152" s="241" t="s">
        <v>24</v>
      </c>
      <c r="J152" s="242">
        <v>43395</v>
      </c>
      <c r="K152" s="241"/>
      <c r="L152" s="241"/>
      <c r="M152" s="241" t="str">
        <f t="shared" si="23"/>
        <v>PKWT</v>
      </c>
      <c r="N152" s="241" t="s">
        <v>187</v>
      </c>
      <c r="O152" s="241"/>
      <c r="P152" s="243">
        <v>45657</v>
      </c>
      <c r="Q152" s="241"/>
      <c r="R152" s="241" t="s">
        <v>206</v>
      </c>
      <c r="S152" s="241" t="s">
        <v>6863</v>
      </c>
      <c r="T152" s="241" t="s">
        <v>312</v>
      </c>
      <c r="U152" s="241" t="s">
        <v>24</v>
      </c>
      <c r="V152" s="241" t="s">
        <v>443</v>
      </c>
      <c r="W152" s="241" t="s">
        <v>175</v>
      </c>
      <c r="X152" s="241" t="s">
        <v>121</v>
      </c>
      <c r="Y152" s="241" t="s">
        <v>313</v>
      </c>
      <c r="Z152" s="241" t="s">
        <v>462</v>
      </c>
      <c r="AA152" s="241" t="s">
        <v>337</v>
      </c>
      <c r="AB152" s="241" t="s">
        <v>314</v>
      </c>
      <c r="AC152" s="241" t="s">
        <v>24</v>
      </c>
      <c r="AD152" s="245">
        <v>36748</v>
      </c>
      <c r="AE152" s="241">
        <f t="shared" ca="1" si="19"/>
        <v>25</v>
      </c>
      <c r="AF152" s="246" t="s">
        <v>2161</v>
      </c>
      <c r="AG152" s="241" t="s">
        <v>2162</v>
      </c>
      <c r="AH152" s="240" t="s">
        <v>2163</v>
      </c>
      <c r="AI152" s="240" t="s">
        <v>2164</v>
      </c>
      <c r="AJ152" s="240"/>
      <c r="AK152" s="241" t="s">
        <v>2165</v>
      </c>
      <c r="AL152" s="246" t="s">
        <v>2166</v>
      </c>
      <c r="AM152" s="246">
        <v>18099947436</v>
      </c>
      <c r="AN152" s="241" t="s">
        <v>4733</v>
      </c>
      <c r="AO152" s="241" t="s">
        <v>2167</v>
      </c>
      <c r="AP152" s="241" t="s">
        <v>2168</v>
      </c>
      <c r="AQ152" s="241"/>
      <c r="AR152" s="241"/>
      <c r="AS152" s="241"/>
      <c r="AT152" s="241" t="s">
        <v>2169</v>
      </c>
      <c r="AU152" s="241" t="s">
        <v>2170</v>
      </c>
      <c r="AV152" s="241" t="s">
        <v>2171</v>
      </c>
      <c r="AW152" s="241" t="s">
        <v>2172</v>
      </c>
      <c r="AX152" s="241">
        <f t="shared" si="20"/>
        <v>1</v>
      </c>
      <c r="AY152" s="241" t="str">
        <f t="shared" si="21"/>
        <v>K/1</v>
      </c>
      <c r="AZ152" s="241" t="s">
        <v>2173</v>
      </c>
      <c r="BA152" s="241" t="s">
        <v>2173</v>
      </c>
      <c r="BB152" s="241" t="s">
        <v>161</v>
      </c>
      <c r="BC152" s="241" t="s">
        <v>349</v>
      </c>
      <c r="BD152" s="241" t="s">
        <v>515</v>
      </c>
      <c r="BE152" s="241" t="s">
        <v>2174</v>
      </c>
      <c r="BF152" s="241">
        <v>2016</v>
      </c>
      <c r="BG152" s="241" t="s">
        <v>475</v>
      </c>
      <c r="BH152" s="241" t="s">
        <v>515</v>
      </c>
      <c r="BI152" s="241" t="s">
        <v>2174</v>
      </c>
      <c r="BJ152" s="241">
        <v>2016</v>
      </c>
      <c r="BK152" s="247"/>
      <c r="BL152" s="247"/>
      <c r="BM152" s="241" t="s">
        <v>351</v>
      </c>
      <c r="BN152" s="241">
        <v>30</v>
      </c>
      <c r="BO152" s="241">
        <v>41</v>
      </c>
      <c r="BP152" s="244"/>
      <c r="BQ152" s="244"/>
      <c r="BR152" s="244"/>
      <c r="BS152" s="244"/>
      <c r="BT152" s="241"/>
      <c r="BU152" s="241"/>
      <c r="BV152" s="241"/>
      <c r="BW152" s="241"/>
      <c r="BX152" s="241"/>
      <c r="BY152" s="241"/>
      <c r="BZ152" s="241"/>
      <c r="CA152" s="241"/>
      <c r="CB152" s="241"/>
      <c r="CC152" s="241"/>
      <c r="CD152" s="241"/>
      <c r="CE152" s="241" t="e">
        <f>VLOOKUP(D152,[1]Sertifikasi!$B$4:$I$19,8,0)</f>
        <v>#N/A</v>
      </c>
      <c r="CF152" s="13"/>
      <c r="CG152" s="13"/>
      <c r="CH152" s="13"/>
    </row>
    <row r="153" spans="1:86" ht="11.25" customHeight="1" x14ac:dyDescent="0.2">
      <c r="A153" s="13"/>
      <c r="B153" s="238">
        <v>149</v>
      </c>
      <c r="C153" s="241" t="e">
        <f t="shared" ca="1" si="22"/>
        <v>#NUM!</v>
      </c>
      <c r="D153" s="237" t="s">
        <v>2175</v>
      </c>
      <c r="E153" s="239">
        <v>641810193</v>
      </c>
      <c r="F153" s="237">
        <v>1710004810597</v>
      </c>
      <c r="G153" s="240"/>
      <c r="H153" s="241" t="s">
        <v>24</v>
      </c>
      <c r="I153" s="241" t="s">
        <v>24</v>
      </c>
      <c r="J153" s="242">
        <v>43395</v>
      </c>
      <c r="K153" s="241"/>
      <c r="L153" s="241"/>
      <c r="M153" s="241" t="str">
        <f t="shared" si="23"/>
        <v>PKWT</v>
      </c>
      <c r="N153" s="241" t="s">
        <v>187</v>
      </c>
      <c r="O153" s="241"/>
      <c r="P153" s="243">
        <v>45657</v>
      </c>
      <c r="Q153" s="241"/>
      <c r="R153" s="241" t="s">
        <v>206</v>
      </c>
      <c r="S153" s="241" t="s">
        <v>6863</v>
      </c>
      <c r="T153" s="241" t="s">
        <v>312</v>
      </c>
      <c r="U153" s="241" t="s">
        <v>24</v>
      </c>
      <c r="V153" s="241" t="s">
        <v>443</v>
      </c>
      <c r="W153" s="241" t="s">
        <v>175</v>
      </c>
      <c r="X153" s="241" t="s">
        <v>121</v>
      </c>
      <c r="Y153" s="241" t="s">
        <v>313</v>
      </c>
      <c r="Z153" s="241" t="s">
        <v>462</v>
      </c>
      <c r="AA153" s="241" t="s">
        <v>337</v>
      </c>
      <c r="AB153" s="241" t="s">
        <v>314</v>
      </c>
      <c r="AC153" s="241" t="s">
        <v>24</v>
      </c>
      <c r="AD153" s="245">
        <v>34977</v>
      </c>
      <c r="AE153" s="241">
        <f t="shared" ca="1" si="19"/>
        <v>29</v>
      </c>
      <c r="AF153" s="246" t="s">
        <v>2176</v>
      </c>
      <c r="AG153" s="241" t="s">
        <v>2177</v>
      </c>
      <c r="AH153" s="240" t="s">
        <v>2178</v>
      </c>
      <c r="AI153" s="240"/>
      <c r="AJ153" s="240"/>
      <c r="AK153" s="241" t="s">
        <v>2179</v>
      </c>
      <c r="AL153" s="246" t="s">
        <v>2180</v>
      </c>
      <c r="AM153" s="246">
        <v>18099947451</v>
      </c>
      <c r="AN153" s="241" t="s">
        <v>4733</v>
      </c>
      <c r="AO153" s="241" t="s">
        <v>2181</v>
      </c>
      <c r="AP153" s="241"/>
      <c r="AQ153" s="241"/>
      <c r="AR153" s="241"/>
      <c r="AS153" s="241"/>
      <c r="AT153" s="241" t="s">
        <v>2182</v>
      </c>
      <c r="AU153" s="241" t="s">
        <v>2183</v>
      </c>
      <c r="AV153" s="241" t="s">
        <v>2184</v>
      </c>
      <c r="AW153" s="241" t="s">
        <v>2185</v>
      </c>
      <c r="AX153" s="241">
        <f t="shared" si="20"/>
        <v>0</v>
      </c>
      <c r="AY153" s="241" t="str">
        <f t="shared" si="21"/>
        <v>K/0</v>
      </c>
      <c r="AZ153" s="241" t="s">
        <v>2186</v>
      </c>
      <c r="BA153" s="237">
        <v>706174182044000</v>
      </c>
      <c r="BB153" s="241" t="s">
        <v>161</v>
      </c>
      <c r="BC153" s="241" t="s">
        <v>349</v>
      </c>
      <c r="BD153" s="241" t="s">
        <v>515</v>
      </c>
      <c r="BE153" s="241" t="s">
        <v>2187</v>
      </c>
      <c r="BF153" s="241">
        <v>2014</v>
      </c>
      <c r="BG153" s="241" t="s">
        <v>475</v>
      </c>
      <c r="BH153" s="241" t="s">
        <v>515</v>
      </c>
      <c r="BI153" s="241" t="s">
        <v>2187</v>
      </c>
      <c r="BJ153" s="241">
        <v>2014</v>
      </c>
      <c r="BK153" s="247"/>
      <c r="BL153" s="247"/>
      <c r="BM153" s="241" t="s">
        <v>351</v>
      </c>
      <c r="BN153" s="241">
        <v>30</v>
      </c>
      <c r="BO153" s="241">
        <v>40</v>
      </c>
      <c r="BP153" s="244"/>
      <c r="BQ153" s="244"/>
      <c r="BR153" s="244">
        <v>44665</v>
      </c>
      <c r="BS153" s="244"/>
      <c r="BT153" s="241"/>
      <c r="BU153" s="241"/>
      <c r="BV153" s="241"/>
      <c r="BW153" s="241"/>
      <c r="BX153" s="241"/>
      <c r="BY153" s="241"/>
      <c r="BZ153" s="241"/>
      <c r="CA153" s="241"/>
      <c r="CB153" s="241"/>
      <c r="CC153" s="241"/>
      <c r="CD153" s="241"/>
      <c r="CE153" s="241" t="e">
        <f>VLOOKUP(D153,[1]Sertifikasi!$B$4:$I$19,8,0)</f>
        <v>#N/A</v>
      </c>
      <c r="CF153" s="13"/>
      <c r="CG153" s="13"/>
      <c r="CH153" s="13"/>
    </row>
    <row r="154" spans="1:86" ht="11.25" customHeight="1" x14ac:dyDescent="0.2">
      <c r="A154" s="13"/>
      <c r="B154" s="238">
        <v>150</v>
      </c>
      <c r="C154" s="241" t="e">
        <f t="shared" ca="1" si="22"/>
        <v>#NUM!</v>
      </c>
      <c r="D154" s="237" t="s">
        <v>2188</v>
      </c>
      <c r="E154" s="239">
        <v>641810192</v>
      </c>
      <c r="F154" s="237">
        <v>1710004810670</v>
      </c>
      <c r="G154" s="240"/>
      <c r="H154" s="241" t="s">
        <v>24</v>
      </c>
      <c r="I154" s="241" t="s">
        <v>2189</v>
      </c>
      <c r="J154" s="242">
        <v>43395</v>
      </c>
      <c r="K154" s="241"/>
      <c r="L154" s="241"/>
      <c r="M154" s="241" t="str">
        <f t="shared" si="23"/>
        <v>PKWT</v>
      </c>
      <c r="N154" s="241" t="s">
        <v>187</v>
      </c>
      <c r="O154" s="241"/>
      <c r="P154" s="243">
        <v>45657</v>
      </c>
      <c r="Q154" s="241"/>
      <c r="R154" s="241" t="s">
        <v>206</v>
      </c>
      <c r="S154" s="241" t="s">
        <v>6863</v>
      </c>
      <c r="T154" s="241" t="s">
        <v>312</v>
      </c>
      <c r="U154" s="241" t="s">
        <v>24</v>
      </c>
      <c r="V154" s="241" t="s">
        <v>443</v>
      </c>
      <c r="W154" s="241" t="s">
        <v>175</v>
      </c>
      <c r="X154" s="241" t="s">
        <v>121</v>
      </c>
      <c r="Y154" s="241" t="s">
        <v>313</v>
      </c>
      <c r="Z154" s="241"/>
      <c r="AA154" s="241" t="s">
        <v>337</v>
      </c>
      <c r="AB154" s="241" t="s">
        <v>314</v>
      </c>
      <c r="AC154" s="241" t="s">
        <v>2189</v>
      </c>
      <c r="AD154" s="245">
        <v>34983</v>
      </c>
      <c r="AE154" s="241">
        <f t="shared" ca="1" si="19"/>
        <v>29</v>
      </c>
      <c r="AF154" s="246" t="s">
        <v>2190</v>
      </c>
      <c r="AG154" s="241" t="s">
        <v>2191</v>
      </c>
      <c r="AH154" s="240" t="s">
        <v>2192</v>
      </c>
      <c r="AI154" s="240"/>
      <c r="AJ154" s="240"/>
      <c r="AK154" s="251" t="s">
        <v>2193</v>
      </c>
      <c r="AL154" s="246" t="s">
        <v>2194</v>
      </c>
      <c r="AM154" s="246">
        <v>16061586232</v>
      </c>
      <c r="AN154" s="241" t="s">
        <v>4716</v>
      </c>
      <c r="AO154" s="241"/>
      <c r="AP154" s="241"/>
      <c r="AQ154" s="241"/>
      <c r="AR154" s="241"/>
      <c r="AS154" s="241"/>
      <c r="AT154" s="241" t="s">
        <v>306</v>
      </c>
      <c r="AU154" s="241" t="s">
        <v>306</v>
      </c>
      <c r="AV154" s="241" t="s">
        <v>306</v>
      </c>
      <c r="AW154" s="241" t="s">
        <v>306</v>
      </c>
      <c r="AX154" s="241">
        <f t="shared" si="20"/>
        <v>0</v>
      </c>
      <c r="AY154" s="241" t="str">
        <f t="shared" si="21"/>
        <v>TK/0</v>
      </c>
      <c r="AZ154" s="241"/>
      <c r="BA154" s="237"/>
      <c r="BB154" s="241" t="s">
        <v>161</v>
      </c>
      <c r="BC154" s="241" t="s">
        <v>349</v>
      </c>
      <c r="BD154" s="241" t="s">
        <v>515</v>
      </c>
      <c r="BE154" s="241" t="s">
        <v>2195</v>
      </c>
      <c r="BF154" s="241">
        <v>2014</v>
      </c>
      <c r="BG154" s="241" t="s">
        <v>475</v>
      </c>
      <c r="BH154" s="241" t="s">
        <v>515</v>
      </c>
      <c r="BI154" s="241" t="s">
        <v>2195</v>
      </c>
      <c r="BJ154" s="241">
        <v>2014</v>
      </c>
      <c r="BK154" s="247"/>
      <c r="BL154" s="247"/>
      <c r="BM154" s="241" t="s">
        <v>351</v>
      </c>
      <c r="BN154" s="241">
        <v>31</v>
      </c>
      <c r="BO154" s="241">
        <v>42</v>
      </c>
      <c r="BP154" s="244">
        <v>44294</v>
      </c>
      <c r="BQ154" s="244">
        <v>44322</v>
      </c>
      <c r="BR154" s="244"/>
      <c r="BS154" s="244"/>
      <c r="BT154" s="241"/>
      <c r="BU154" s="241"/>
      <c r="BV154" s="241"/>
      <c r="BW154" s="241"/>
      <c r="BX154" s="241"/>
      <c r="BY154" s="241"/>
      <c r="BZ154" s="241"/>
      <c r="CA154" s="241"/>
      <c r="CB154" s="241"/>
      <c r="CC154" s="241"/>
      <c r="CD154" s="241"/>
      <c r="CE154" s="241" t="e">
        <f>VLOOKUP(D154,[1]Sertifikasi!$B$4:$I$19,8,0)</f>
        <v>#N/A</v>
      </c>
      <c r="CF154" s="13"/>
      <c r="CG154" s="13"/>
      <c r="CH154" s="13"/>
    </row>
    <row r="155" spans="1:86" ht="11.25" customHeight="1" x14ac:dyDescent="0.2">
      <c r="A155" s="13"/>
      <c r="B155" s="238">
        <v>151</v>
      </c>
      <c r="C155" s="241" t="e">
        <f t="shared" ca="1" si="22"/>
        <v>#NUM!</v>
      </c>
      <c r="D155" s="237" t="s">
        <v>2196</v>
      </c>
      <c r="E155" s="239">
        <v>641811208</v>
      </c>
      <c r="F155" s="237">
        <v>1710004908193</v>
      </c>
      <c r="G155" s="240"/>
      <c r="H155" s="241" t="s">
        <v>25</v>
      </c>
      <c r="I155" s="241" t="s">
        <v>25</v>
      </c>
      <c r="J155" s="242">
        <v>43405</v>
      </c>
      <c r="K155" s="241"/>
      <c r="L155" s="241"/>
      <c r="M155" s="241" t="str">
        <f t="shared" si="23"/>
        <v>PKWT</v>
      </c>
      <c r="N155" s="241" t="s">
        <v>187</v>
      </c>
      <c r="O155" s="241"/>
      <c r="P155" s="243">
        <v>45607</v>
      </c>
      <c r="Q155" s="241"/>
      <c r="R155" s="241" t="s">
        <v>206</v>
      </c>
      <c r="S155" s="241" t="s">
        <v>6863</v>
      </c>
      <c r="T155" s="241" t="s">
        <v>312</v>
      </c>
      <c r="U155" s="241" t="s">
        <v>25</v>
      </c>
      <c r="V155" s="241" t="s">
        <v>443</v>
      </c>
      <c r="W155" s="241" t="s">
        <v>748</v>
      </c>
      <c r="X155" s="241" t="s">
        <v>121</v>
      </c>
      <c r="Y155" s="241" t="s">
        <v>313</v>
      </c>
      <c r="Z155" s="241"/>
      <c r="AA155" s="241" t="s">
        <v>337</v>
      </c>
      <c r="AB155" s="241" t="s">
        <v>314</v>
      </c>
      <c r="AC155" s="241" t="s">
        <v>2197</v>
      </c>
      <c r="AD155" s="245">
        <v>32320</v>
      </c>
      <c r="AE155" s="241">
        <f t="shared" ca="1" si="19"/>
        <v>37</v>
      </c>
      <c r="AF155" s="246" t="s">
        <v>2198</v>
      </c>
      <c r="AG155" s="241" t="s">
        <v>2199</v>
      </c>
      <c r="AH155" s="240" t="s">
        <v>2200</v>
      </c>
      <c r="AI155" s="240"/>
      <c r="AJ155" s="240"/>
      <c r="AK155" s="241" t="s">
        <v>2201</v>
      </c>
      <c r="AL155" s="246" t="s">
        <v>2202</v>
      </c>
      <c r="AM155" s="246">
        <v>18099947592</v>
      </c>
      <c r="AN155" s="241" t="s">
        <v>4733</v>
      </c>
      <c r="AO155" s="241" t="s">
        <v>2203</v>
      </c>
      <c r="AP155" s="241" t="s">
        <v>2204</v>
      </c>
      <c r="AQ155" s="241" t="s">
        <v>2205</v>
      </c>
      <c r="AR155" s="241"/>
      <c r="AS155" s="241"/>
      <c r="AT155" s="241" t="s">
        <v>2206</v>
      </c>
      <c r="AU155" s="241" t="s">
        <v>2207</v>
      </c>
      <c r="AV155" s="241" t="s">
        <v>2208</v>
      </c>
      <c r="AW155" s="241" t="s">
        <v>2209</v>
      </c>
      <c r="AX155" s="241">
        <f t="shared" si="20"/>
        <v>2</v>
      </c>
      <c r="AY155" s="241" t="str">
        <f t="shared" si="21"/>
        <v>K/2</v>
      </c>
      <c r="AZ155" s="241" t="s">
        <v>2210</v>
      </c>
      <c r="BA155" s="237" t="s">
        <v>2210</v>
      </c>
      <c r="BB155" s="241" t="s">
        <v>161</v>
      </c>
      <c r="BC155" s="241" t="s">
        <v>349</v>
      </c>
      <c r="BD155" s="241" t="s">
        <v>515</v>
      </c>
      <c r="BE155" s="241" t="s">
        <v>2211</v>
      </c>
      <c r="BF155" s="241">
        <v>2007</v>
      </c>
      <c r="BG155" s="241" t="s">
        <v>475</v>
      </c>
      <c r="BH155" s="241" t="s">
        <v>515</v>
      </c>
      <c r="BI155" s="241" t="s">
        <v>2211</v>
      </c>
      <c r="BJ155" s="241">
        <v>2007</v>
      </c>
      <c r="BK155" s="247"/>
      <c r="BL155" s="247"/>
      <c r="BM155" s="241"/>
      <c r="BN155" s="241"/>
      <c r="BO155" s="241">
        <v>39</v>
      </c>
      <c r="BP155" s="244"/>
      <c r="BQ155" s="244"/>
      <c r="BR155" s="244"/>
      <c r="BS155" s="244"/>
      <c r="BT155" s="241"/>
      <c r="BU155" s="241"/>
      <c r="BV155" s="241"/>
      <c r="BW155" s="241"/>
      <c r="BX155" s="241"/>
      <c r="BY155" s="241"/>
      <c r="BZ155" s="241"/>
      <c r="CA155" s="241"/>
      <c r="CB155" s="241"/>
      <c r="CC155" s="241"/>
      <c r="CD155" s="241"/>
      <c r="CE155" s="241" t="e">
        <f>VLOOKUP(D155,[1]Sertifikasi!$B$4:$I$19,8,0)</f>
        <v>#N/A</v>
      </c>
      <c r="CF155" s="13"/>
      <c r="CG155" s="13"/>
      <c r="CH155" s="13"/>
    </row>
    <row r="156" spans="1:86" ht="11.25" customHeight="1" x14ac:dyDescent="0.2">
      <c r="A156" s="13"/>
      <c r="B156" s="238">
        <v>152</v>
      </c>
      <c r="C156" s="285" t="s">
        <v>292</v>
      </c>
      <c r="D156" s="237" t="s">
        <v>2212</v>
      </c>
      <c r="E156" s="239">
        <v>972000050</v>
      </c>
      <c r="F156" s="237">
        <v>1710005074813</v>
      </c>
      <c r="G156" s="240"/>
      <c r="H156" s="249" t="s">
        <v>217</v>
      </c>
      <c r="I156" s="241" t="s">
        <v>217</v>
      </c>
      <c r="J156" s="242">
        <v>43468</v>
      </c>
      <c r="K156" s="241"/>
      <c r="L156" s="241"/>
      <c r="M156" s="241" t="str">
        <f t="shared" si="23"/>
        <v>ORGANIK IMSS</v>
      </c>
      <c r="N156" s="241" t="s">
        <v>187</v>
      </c>
      <c r="O156" s="241" t="s">
        <v>777</v>
      </c>
      <c r="P156" s="243">
        <v>43899</v>
      </c>
      <c r="Q156" s="244"/>
      <c r="R156" s="288" t="s">
        <v>138</v>
      </c>
      <c r="S156" s="241" t="s">
        <v>6861</v>
      </c>
      <c r="T156" s="241" t="s">
        <v>296</v>
      </c>
      <c r="U156" s="241" t="s">
        <v>187</v>
      </c>
      <c r="V156" s="241" t="s">
        <v>1150</v>
      </c>
      <c r="W156" s="241" t="s">
        <v>1150</v>
      </c>
      <c r="X156" s="241" t="s">
        <v>6903</v>
      </c>
      <c r="Y156" s="241" t="s">
        <v>1064</v>
      </c>
      <c r="Z156" s="241"/>
      <c r="AA156" s="241"/>
      <c r="AB156" s="241" t="s">
        <v>133</v>
      </c>
      <c r="AC156" s="241" t="s">
        <v>217</v>
      </c>
      <c r="AD156" s="245">
        <v>35312</v>
      </c>
      <c r="AE156" s="241">
        <f t="shared" ca="1" si="19"/>
        <v>29</v>
      </c>
      <c r="AF156" s="246" t="s">
        <v>2213</v>
      </c>
      <c r="AG156" s="241" t="s">
        <v>2214</v>
      </c>
      <c r="AH156" s="240" t="s">
        <v>2215</v>
      </c>
      <c r="AI156" s="240"/>
      <c r="AJ156" s="240"/>
      <c r="AK156" s="250" t="s">
        <v>2216</v>
      </c>
      <c r="AL156" s="246" t="s">
        <v>2217</v>
      </c>
      <c r="AM156" s="246">
        <v>19013560693</v>
      </c>
      <c r="AN156" s="241" t="s">
        <v>4733</v>
      </c>
      <c r="AO156" s="241"/>
      <c r="AP156" s="241"/>
      <c r="AQ156" s="241"/>
      <c r="AR156" s="241"/>
      <c r="AS156" s="241"/>
      <c r="AT156" s="241" t="s">
        <v>306</v>
      </c>
      <c r="AU156" s="241" t="s">
        <v>306</v>
      </c>
      <c r="AV156" s="241" t="s">
        <v>306</v>
      </c>
      <c r="AW156" s="241" t="s">
        <v>306</v>
      </c>
      <c r="AX156" s="241">
        <f t="shared" si="20"/>
        <v>0</v>
      </c>
      <c r="AY156" s="241" t="str">
        <f t="shared" si="21"/>
        <v>K/0</v>
      </c>
      <c r="AZ156" s="241"/>
      <c r="BA156" s="237"/>
      <c r="BB156" s="249" t="s">
        <v>161</v>
      </c>
      <c r="BC156" s="241" t="s">
        <v>75</v>
      </c>
      <c r="BD156" s="241" t="s">
        <v>2218</v>
      </c>
      <c r="BE156" s="241" t="s">
        <v>77</v>
      </c>
      <c r="BF156" s="241">
        <v>2014</v>
      </c>
      <c r="BG156" s="241" t="s">
        <v>75</v>
      </c>
      <c r="BH156" s="241" t="s">
        <v>2218</v>
      </c>
      <c r="BI156" s="241" t="s">
        <v>77</v>
      </c>
      <c r="BJ156" s="241">
        <v>2014</v>
      </c>
      <c r="BK156" s="247">
        <v>55587</v>
      </c>
      <c r="BL156" s="247">
        <v>55952</v>
      </c>
      <c r="BM156" s="242"/>
      <c r="BN156" s="241"/>
      <c r="BO156" s="241"/>
      <c r="BP156" s="244">
        <v>44294</v>
      </c>
      <c r="BQ156" s="244">
        <v>44322</v>
      </c>
      <c r="BR156" s="244">
        <v>44601</v>
      </c>
      <c r="BS156" s="244"/>
      <c r="BT156" s="241"/>
      <c r="BU156" s="241"/>
      <c r="BV156" s="241"/>
      <c r="BW156" s="241"/>
      <c r="BX156" s="241"/>
      <c r="BY156" s="241"/>
      <c r="BZ156" s="241"/>
      <c r="CA156" s="241"/>
      <c r="CB156" s="241"/>
      <c r="CC156" s="241"/>
      <c r="CD156" s="241"/>
      <c r="CE156" s="241" t="e">
        <f>VLOOKUP(D156,[1]Sertifikasi!$B$4:$I$19,8,0)</f>
        <v>#N/A</v>
      </c>
      <c r="CF156" s="13"/>
      <c r="CG156" s="13"/>
      <c r="CH156" s="13"/>
    </row>
    <row r="157" spans="1:86" ht="11.25" customHeight="1" x14ac:dyDescent="0.2">
      <c r="A157" s="13"/>
      <c r="B157" s="238">
        <v>153</v>
      </c>
      <c r="C157" s="248" t="s">
        <v>292</v>
      </c>
      <c r="D157" s="237" t="s">
        <v>2219</v>
      </c>
      <c r="E157" s="239">
        <v>972000052</v>
      </c>
      <c r="F157" s="237">
        <v>1710005659951</v>
      </c>
      <c r="G157" s="240">
        <v>7178801017</v>
      </c>
      <c r="H157" s="249" t="s">
        <v>217</v>
      </c>
      <c r="I157" s="241" t="s">
        <v>1087</v>
      </c>
      <c r="J157" s="242">
        <v>43647</v>
      </c>
      <c r="K157" s="241"/>
      <c r="L157" s="241"/>
      <c r="M157" s="241" t="str">
        <f t="shared" si="23"/>
        <v>ORGANIK IMSS</v>
      </c>
      <c r="N157" s="241" t="s">
        <v>187</v>
      </c>
      <c r="O157" s="241" t="s">
        <v>777</v>
      </c>
      <c r="P157" s="243">
        <v>43899</v>
      </c>
      <c r="Q157" s="244"/>
      <c r="R157" s="284" t="s">
        <v>137</v>
      </c>
      <c r="S157" s="241" t="s">
        <v>6862</v>
      </c>
      <c r="T157" s="241" t="s">
        <v>296</v>
      </c>
      <c r="U157" s="241" t="s">
        <v>187</v>
      </c>
      <c r="V157" s="241" t="s">
        <v>6909</v>
      </c>
      <c r="W157" s="241" t="s">
        <v>6909</v>
      </c>
      <c r="X157" s="241" t="s">
        <v>59</v>
      </c>
      <c r="Y157" s="241" t="s">
        <v>313</v>
      </c>
      <c r="Z157" s="241"/>
      <c r="AA157" s="241"/>
      <c r="AB157" s="241" t="s">
        <v>132</v>
      </c>
      <c r="AC157" s="241" t="s">
        <v>1087</v>
      </c>
      <c r="AD157" s="245">
        <v>28288</v>
      </c>
      <c r="AE157" s="241">
        <f t="shared" ca="1" si="19"/>
        <v>48</v>
      </c>
      <c r="AF157" s="246" t="s">
        <v>2220</v>
      </c>
      <c r="AG157" s="241" t="s">
        <v>2221</v>
      </c>
      <c r="AH157" s="240" t="s">
        <v>2222</v>
      </c>
      <c r="AI157" s="240"/>
      <c r="AJ157" s="240"/>
      <c r="AK157" s="250" t="s">
        <v>2223</v>
      </c>
      <c r="AL157" s="246" t="s">
        <v>2224</v>
      </c>
      <c r="AM157" s="246">
        <v>17033828322</v>
      </c>
      <c r="AN157" s="241" t="s">
        <v>4733</v>
      </c>
      <c r="AO157" s="241" t="s">
        <v>2225</v>
      </c>
      <c r="AP157" s="241"/>
      <c r="AQ157" s="241"/>
      <c r="AR157" s="241"/>
      <c r="AS157" s="241"/>
      <c r="AT157" s="241" t="s">
        <v>306</v>
      </c>
      <c r="AU157" s="241" t="s">
        <v>306</v>
      </c>
      <c r="AV157" s="241" t="s">
        <v>306</v>
      </c>
      <c r="AW157" s="241" t="s">
        <v>306</v>
      </c>
      <c r="AX157" s="241">
        <f t="shared" si="20"/>
        <v>0</v>
      </c>
      <c r="AY157" s="241" t="str">
        <f t="shared" si="21"/>
        <v>K/0</v>
      </c>
      <c r="AZ157" s="241"/>
      <c r="BA157" s="237">
        <v>590132395657000</v>
      </c>
      <c r="BB157" s="249" t="s">
        <v>161</v>
      </c>
      <c r="BC157" s="241" t="s">
        <v>109</v>
      </c>
      <c r="BD157" s="241" t="s">
        <v>83</v>
      </c>
      <c r="BE157" s="241" t="s">
        <v>81</v>
      </c>
      <c r="BF157" s="241"/>
      <c r="BG157" s="241" t="s">
        <v>109</v>
      </c>
      <c r="BH157" s="241" t="s">
        <v>83</v>
      </c>
      <c r="BI157" s="241" t="s">
        <v>81</v>
      </c>
      <c r="BJ157" s="241"/>
      <c r="BK157" s="247">
        <v>48282</v>
      </c>
      <c r="BL157" s="247">
        <v>48647</v>
      </c>
      <c r="BM157" s="242"/>
      <c r="BN157" s="241"/>
      <c r="BO157" s="241"/>
      <c r="BP157" s="244">
        <v>44294</v>
      </c>
      <c r="BQ157" s="244">
        <v>44322</v>
      </c>
      <c r="BR157" s="244">
        <v>44585</v>
      </c>
      <c r="BS157" s="244"/>
      <c r="BT157" s="241"/>
      <c r="BU157" s="241"/>
      <c r="BV157" s="241"/>
      <c r="BW157" s="241"/>
      <c r="BX157" s="241"/>
      <c r="BY157" s="241"/>
      <c r="BZ157" s="241"/>
      <c r="CA157" s="241"/>
      <c r="CB157" s="241"/>
      <c r="CC157" s="241"/>
      <c r="CD157" s="241"/>
      <c r="CE157" s="241" t="str">
        <f>VLOOKUP(D157,[1]Sertifikasi!$B$4:$I$19,8,0)</f>
        <v>Pembinaan Dan Sertifikasi Calon Ahli K3 Umum</v>
      </c>
      <c r="CF157" s="13"/>
      <c r="CG157" s="13"/>
      <c r="CH157" s="13"/>
    </row>
    <row r="158" spans="1:86" ht="11.25" customHeight="1" x14ac:dyDescent="0.2">
      <c r="A158" s="13"/>
      <c r="B158" s="238">
        <v>154</v>
      </c>
      <c r="C158" s="241" t="e">
        <f t="shared" ref="C158:C182" ca="1" si="24">DATEDIF($E$3,P158,"D")</f>
        <v>#NUM!</v>
      </c>
      <c r="D158" s="237" t="s">
        <v>2226</v>
      </c>
      <c r="E158" s="239">
        <v>641907240</v>
      </c>
      <c r="F158" s="237">
        <v>1710005658441</v>
      </c>
      <c r="G158" s="240"/>
      <c r="H158" s="241" t="s">
        <v>25</v>
      </c>
      <c r="I158" s="241" t="s">
        <v>25</v>
      </c>
      <c r="J158" s="242">
        <v>43647</v>
      </c>
      <c r="K158" s="241"/>
      <c r="L158" s="241"/>
      <c r="M158" s="241" t="str">
        <f t="shared" si="23"/>
        <v>PKWT</v>
      </c>
      <c r="N158" s="241" t="s">
        <v>187</v>
      </c>
      <c r="O158" s="241"/>
      <c r="P158" s="243">
        <v>45657</v>
      </c>
      <c r="Q158" s="241"/>
      <c r="R158" s="241" t="s">
        <v>206</v>
      </c>
      <c r="S158" s="241" t="s">
        <v>6863</v>
      </c>
      <c r="T158" s="241" t="s">
        <v>312</v>
      </c>
      <c r="U158" s="241" t="s">
        <v>25</v>
      </c>
      <c r="V158" s="241" t="s">
        <v>443</v>
      </c>
      <c r="W158" s="241" t="s">
        <v>748</v>
      </c>
      <c r="X158" s="241" t="s">
        <v>121</v>
      </c>
      <c r="Y158" s="241" t="s">
        <v>313</v>
      </c>
      <c r="Z158" s="241"/>
      <c r="AA158" s="241" t="s">
        <v>337</v>
      </c>
      <c r="AB158" s="241" t="s">
        <v>314</v>
      </c>
      <c r="AC158" s="241" t="s">
        <v>25</v>
      </c>
      <c r="AD158" s="245">
        <v>36045</v>
      </c>
      <c r="AE158" s="241">
        <f t="shared" ca="1" si="19"/>
        <v>27</v>
      </c>
      <c r="AF158" s="246" t="s">
        <v>2227</v>
      </c>
      <c r="AG158" s="241" t="s">
        <v>2228</v>
      </c>
      <c r="AH158" s="240" t="s">
        <v>2229</v>
      </c>
      <c r="AI158" s="240" t="s">
        <v>2230</v>
      </c>
      <c r="AJ158" s="240"/>
      <c r="AK158" s="241" t="s">
        <v>2231</v>
      </c>
      <c r="AL158" s="246" t="s">
        <v>2232</v>
      </c>
      <c r="AM158" s="246">
        <v>19047643986</v>
      </c>
      <c r="AN158" s="241" t="s">
        <v>4716</v>
      </c>
      <c r="AO158" s="241"/>
      <c r="AP158" s="241"/>
      <c r="AQ158" s="241"/>
      <c r="AR158" s="241"/>
      <c r="AS158" s="241"/>
      <c r="AT158" s="241" t="s">
        <v>2233</v>
      </c>
      <c r="AU158" s="241" t="s">
        <v>2234</v>
      </c>
      <c r="AV158" s="241" t="s">
        <v>306</v>
      </c>
      <c r="AW158" s="241" t="s">
        <v>306</v>
      </c>
      <c r="AX158" s="241">
        <f t="shared" si="20"/>
        <v>0</v>
      </c>
      <c r="AY158" s="241" t="str">
        <f t="shared" si="21"/>
        <v>TK/0</v>
      </c>
      <c r="AZ158" s="241" t="s">
        <v>2235</v>
      </c>
      <c r="BA158" s="237" t="s">
        <v>2235</v>
      </c>
      <c r="BB158" s="241" t="s">
        <v>161</v>
      </c>
      <c r="BC158" s="241" t="s">
        <v>349</v>
      </c>
      <c r="BD158" s="241" t="s">
        <v>2236</v>
      </c>
      <c r="BE158" s="241" t="s">
        <v>1862</v>
      </c>
      <c r="BF158" s="241">
        <v>2016</v>
      </c>
      <c r="BG158" s="241" t="s">
        <v>70</v>
      </c>
      <c r="BH158" s="241" t="s">
        <v>87</v>
      </c>
      <c r="BI158" s="241" t="s">
        <v>2237</v>
      </c>
      <c r="BJ158" s="241">
        <v>2019</v>
      </c>
      <c r="BK158" s="247"/>
      <c r="BL158" s="247"/>
      <c r="BM158" s="241" t="s">
        <v>360</v>
      </c>
      <c r="BN158" s="241">
        <v>30</v>
      </c>
      <c r="BO158" s="241">
        <v>41</v>
      </c>
      <c r="BP158" s="244"/>
      <c r="BQ158" s="244"/>
      <c r="BR158" s="244"/>
      <c r="BS158" s="244"/>
      <c r="BT158" s="241"/>
      <c r="BU158" s="241"/>
      <c r="BV158" s="241"/>
      <c r="BW158" s="241"/>
      <c r="BX158" s="241"/>
      <c r="BY158" s="241"/>
      <c r="BZ158" s="241"/>
      <c r="CA158" s="241"/>
      <c r="CB158" s="241"/>
      <c r="CC158" s="241"/>
      <c r="CD158" s="241"/>
      <c r="CE158" s="241" t="e">
        <f>VLOOKUP(D158,[1]Sertifikasi!$B$4:$I$19,8,0)</f>
        <v>#N/A</v>
      </c>
      <c r="CF158" s="13"/>
      <c r="CG158" s="13"/>
      <c r="CH158" s="13"/>
    </row>
    <row r="159" spans="1:86" ht="11.25" customHeight="1" x14ac:dyDescent="0.2">
      <c r="A159" s="13"/>
      <c r="B159" s="238">
        <v>155</v>
      </c>
      <c r="C159" s="241" t="e">
        <f t="shared" ca="1" si="24"/>
        <v>#NUM!</v>
      </c>
      <c r="D159" s="237" t="s">
        <v>2238</v>
      </c>
      <c r="E159" s="239">
        <v>641907275</v>
      </c>
      <c r="F159" s="237">
        <v>1710005658359</v>
      </c>
      <c r="G159" s="240"/>
      <c r="H159" s="241" t="s">
        <v>24</v>
      </c>
      <c r="I159" s="241" t="s">
        <v>24</v>
      </c>
      <c r="J159" s="242">
        <v>43647</v>
      </c>
      <c r="K159" s="241"/>
      <c r="L159" s="241"/>
      <c r="M159" s="241" t="str">
        <f t="shared" si="23"/>
        <v>PKWT</v>
      </c>
      <c r="N159" s="241" t="s">
        <v>187</v>
      </c>
      <c r="O159" s="241"/>
      <c r="P159" s="243">
        <v>45657</v>
      </c>
      <c r="Q159" s="241"/>
      <c r="R159" s="241" t="s">
        <v>206</v>
      </c>
      <c r="S159" s="241" t="s">
        <v>6863</v>
      </c>
      <c r="T159" s="241" t="s">
        <v>312</v>
      </c>
      <c r="U159" s="241" t="s">
        <v>24</v>
      </c>
      <c r="V159" s="241" t="s">
        <v>443</v>
      </c>
      <c r="W159" s="241" t="s">
        <v>175</v>
      </c>
      <c r="X159" s="241" t="s">
        <v>121</v>
      </c>
      <c r="Y159" s="241" t="s">
        <v>313</v>
      </c>
      <c r="Z159" s="241" t="s">
        <v>462</v>
      </c>
      <c r="AA159" s="241" t="s">
        <v>337</v>
      </c>
      <c r="AB159" s="241" t="s">
        <v>314</v>
      </c>
      <c r="AC159" s="241" t="s">
        <v>2239</v>
      </c>
      <c r="AD159" s="245">
        <v>31528</v>
      </c>
      <c r="AE159" s="241">
        <f t="shared" ca="1" si="19"/>
        <v>39</v>
      </c>
      <c r="AF159" s="246" t="s">
        <v>2240</v>
      </c>
      <c r="AG159" s="241" t="s">
        <v>2241</v>
      </c>
      <c r="AH159" s="240" t="s">
        <v>2242</v>
      </c>
      <c r="AI159" s="240" t="s">
        <v>2243</v>
      </c>
      <c r="AJ159" s="240"/>
      <c r="AK159" s="241" t="s">
        <v>2244</v>
      </c>
      <c r="AL159" s="246" t="s">
        <v>2245</v>
      </c>
      <c r="AM159" s="246">
        <v>11035459152</v>
      </c>
      <c r="AN159" s="241" t="s">
        <v>4733</v>
      </c>
      <c r="AO159" s="241" t="s">
        <v>2181</v>
      </c>
      <c r="AP159" s="241" t="s">
        <v>2246</v>
      </c>
      <c r="AQ159" s="241" t="s">
        <v>2247</v>
      </c>
      <c r="AR159" s="241" t="s">
        <v>2248</v>
      </c>
      <c r="AS159" s="241"/>
      <c r="AT159" s="241" t="s">
        <v>6750</v>
      </c>
      <c r="AU159" s="241" t="s">
        <v>2249</v>
      </c>
      <c r="AV159" s="241" t="s">
        <v>2250</v>
      </c>
      <c r="AW159" s="241" t="s">
        <v>2251</v>
      </c>
      <c r="AX159" s="241">
        <f t="shared" si="20"/>
        <v>3</v>
      </c>
      <c r="AY159" s="241" t="str">
        <f t="shared" si="21"/>
        <v>K/3</v>
      </c>
      <c r="AZ159" s="241" t="s">
        <v>2252</v>
      </c>
      <c r="BA159" s="241" t="s">
        <v>2252</v>
      </c>
      <c r="BB159" s="241" t="s">
        <v>161</v>
      </c>
      <c r="BC159" s="241" t="s">
        <v>349</v>
      </c>
      <c r="BD159" s="241" t="s">
        <v>87</v>
      </c>
      <c r="BE159" s="241" t="s">
        <v>2253</v>
      </c>
      <c r="BF159" s="241">
        <v>2007</v>
      </c>
      <c r="BG159" s="241" t="s">
        <v>349</v>
      </c>
      <c r="BH159" s="241" t="s">
        <v>87</v>
      </c>
      <c r="BI159" s="241" t="s">
        <v>2253</v>
      </c>
      <c r="BJ159" s="241">
        <v>2007</v>
      </c>
      <c r="BK159" s="247"/>
      <c r="BL159" s="247"/>
      <c r="BM159" s="241" t="s">
        <v>351</v>
      </c>
      <c r="BN159" s="241">
        <v>33</v>
      </c>
      <c r="BO159" s="241">
        <v>41</v>
      </c>
      <c r="BP159" s="244"/>
      <c r="BQ159" s="244"/>
      <c r="BR159" s="244">
        <v>44805</v>
      </c>
      <c r="BS159" s="244"/>
      <c r="BT159" s="241"/>
      <c r="BU159" s="241"/>
      <c r="BV159" s="241"/>
      <c r="BW159" s="241"/>
      <c r="BX159" s="241"/>
      <c r="BY159" s="241"/>
      <c r="BZ159" s="241"/>
      <c r="CA159" s="241"/>
      <c r="CB159" s="241"/>
      <c r="CC159" s="241"/>
      <c r="CD159" s="241"/>
      <c r="CE159" s="241" t="e">
        <f>VLOOKUP(D159,[1]Sertifikasi!$B$4:$I$19,8,0)</f>
        <v>#N/A</v>
      </c>
      <c r="CF159" s="13"/>
      <c r="CG159" s="13"/>
      <c r="CH159" s="13"/>
    </row>
    <row r="160" spans="1:86" ht="11.25" customHeight="1" x14ac:dyDescent="0.2">
      <c r="A160" s="13"/>
      <c r="B160" s="238">
        <v>156</v>
      </c>
      <c r="C160" s="241" t="e">
        <f t="shared" ca="1" si="24"/>
        <v>#NUM!</v>
      </c>
      <c r="D160" s="237" t="s">
        <v>2254</v>
      </c>
      <c r="E160" s="239">
        <v>641907249</v>
      </c>
      <c r="F160" s="237">
        <v>1710005658037</v>
      </c>
      <c r="G160" s="240"/>
      <c r="H160" s="241" t="s">
        <v>30</v>
      </c>
      <c r="I160" s="241" t="s">
        <v>30</v>
      </c>
      <c r="J160" s="242">
        <v>43647</v>
      </c>
      <c r="K160" s="241"/>
      <c r="L160" s="241"/>
      <c r="M160" s="241" t="str">
        <f t="shared" si="23"/>
        <v>PKWT</v>
      </c>
      <c r="N160" s="241" t="s">
        <v>187</v>
      </c>
      <c r="O160" s="241"/>
      <c r="P160" s="243">
        <v>45657</v>
      </c>
      <c r="Q160" s="241"/>
      <c r="R160" s="241" t="s">
        <v>206</v>
      </c>
      <c r="S160" s="241" t="s">
        <v>6863</v>
      </c>
      <c r="T160" s="241" t="s">
        <v>312</v>
      </c>
      <c r="U160" s="241" t="s">
        <v>21</v>
      </c>
      <c r="V160" s="241" t="s">
        <v>547</v>
      </c>
      <c r="W160" s="241" t="s">
        <v>696</v>
      </c>
      <c r="X160" s="241" t="s">
        <v>122</v>
      </c>
      <c r="Y160" s="241" t="s">
        <v>313</v>
      </c>
      <c r="Z160" s="241"/>
      <c r="AA160" s="241" t="s">
        <v>337</v>
      </c>
      <c r="AB160" s="241" t="s">
        <v>314</v>
      </c>
      <c r="AC160" s="241" t="s">
        <v>2255</v>
      </c>
      <c r="AD160" s="245">
        <v>34184</v>
      </c>
      <c r="AE160" s="241">
        <f t="shared" ca="1" si="19"/>
        <v>32</v>
      </c>
      <c r="AF160" s="246" t="s">
        <v>2256</v>
      </c>
      <c r="AG160" s="241" t="s">
        <v>2257</v>
      </c>
      <c r="AH160" s="240" t="s">
        <v>2258</v>
      </c>
      <c r="AI160" s="240"/>
      <c r="AJ160" s="240"/>
      <c r="AK160" s="241" t="s">
        <v>2259</v>
      </c>
      <c r="AL160" s="246" t="s">
        <v>2260</v>
      </c>
      <c r="AM160" s="246">
        <v>19047644000</v>
      </c>
      <c r="AN160" s="241" t="s">
        <v>4716</v>
      </c>
      <c r="AO160" s="241"/>
      <c r="AP160" s="241"/>
      <c r="AQ160" s="241"/>
      <c r="AR160" s="241"/>
      <c r="AS160" s="241" t="s">
        <v>2261</v>
      </c>
      <c r="AT160" s="241" t="s">
        <v>2262</v>
      </c>
      <c r="AU160" s="241" t="s">
        <v>2263</v>
      </c>
      <c r="AV160" s="241" t="s">
        <v>306</v>
      </c>
      <c r="AW160" s="241" t="s">
        <v>306</v>
      </c>
      <c r="AX160" s="241">
        <f t="shared" si="20"/>
        <v>1</v>
      </c>
      <c r="AY160" s="241" t="str">
        <f t="shared" si="21"/>
        <v>TK/1</v>
      </c>
      <c r="AZ160" s="241"/>
      <c r="BA160" s="237"/>
      <c r="BB160" s="241" t="s">
        <v>161</v>
      </c>
      <c r="BC160" s="241" t="s">
        <v>349</v>
      </c>
      <c r="BD160" s="241" t="s">
        <v>87</v>
      </c>
      <c r="BE160" s="241" t="s">
        <v>2264</v>
      </c>
      <c r="BF160" s="241">
        <v>2012</v>
      </c>
      <c r="BG160" s="241" t="s">
        <v>75</v>
      </c>
      <c r="BH160" s="241" t="s">
        <v>87</v>
      </c>
      <c r="BI160" s="241" t="s">
        <v>2265</v>
      </c>
      <c r="BJ160" s="241">
        <v>2012</v>
      </c>
      <c r="BK160" s="247"/>
      <c r="BL160" s="247"/>
      <c r="BM160" s="241" t="s">
        <v>360</v>
      </c>
      <c r="BN160" s="241">
        <v>32</v>
      </c>
      <c r="BO160" s="241">
        <v>41</v>
      </c>
      <c r="BP160" s="244"/>
      <c r="BQ160" s="244">
        <v>44715</v>
      </c>
      <c r="BR160" s="244"/>
      <c r="BS160" s="244"/>
      <c r="BT160" s="241"/>
      <c r="BU160" s="241"/>
      <c r="BV160" s="241"/>
      <c r="BW160" s="241"/>
      <c r="BX160" s="241"/>
      <c r="BY160" s="241"/>
      <c r="BZ160" s="241"/>
      <c r="CA160" s="241"/>
      <c r="CB160" s="241"/>
      <c r="CC160" s="241"/>
      <c r="CD160" s="241"/>
      <c r="CE160" s="241" t="e">
        <f>VLOOKUP(D160,[1]Sertifikasi!$B$4:$I$19,8,0)</f>
        <v>#N/A</v>
      </c>
      <c r="CF160" s="13"/>
      <c r="CG160" s="13"/>
      <c r="CH160" s="13"/>
    </row>
    <row r="161" spans="1:86" ht="11.25" customHeight="1" x14ac:dyDescent="0.2">
      <c r="A161" s="13"/>
      <c r="B161" s="238">
        <v>157</v>
      </c>
      <c r="C161" s="241" t="e">
        <f t="shared" ca="1" si="24"/>
        <v>#NUM!</v>
      </c>
      <c r="D161" s="237" t="s">
        <v>2266</v>
      </c>
      <c r="E161" s="239">
        <v>641907236</v>
      </c>
      <c r="F161" s="237">
        <v>1710005657690</v>
      </c>
      <c r="G161" s="240"/>
      <c r="H161" s="241" t="s">
        <v>25</v>
      </c>
      <c r="I161" s="241" t="s">
        <v>25</v>
      </c>
      <c r="J161" s="242">
        <v>43647</v>
      </c>
      <c r="K161" s="241"/>
      <c r="L161" s="241"/>
      <c r="M161" s="241" t="str">
        <f t="shared" si="23"/>
        <v>PKWT</v>
      </c>
      <c r="N161" s="241" t="s">
        <v>187</v>
      </c>
      <c r="O161" s="241"/>
      <c r="P161" s="243">
        <v>45657</v>
      </c>
      <c r="Q161" s="241"/>
      <c r="R161" s="241" t="s">
        <v>206</v>
      </c>
      <c r="S161" s="241" t="s">
        <v>6863</v>
      </c>
      <c r="T161" s="241" t="s">
        <v>312</v>
      </c>
      <c r="U161" s="241" t="s">
        <v>25</v>
      </c>
      <c r="V161" s="241" t="s">
        <v>443</v>
      </c>
      <c r="W161" s="241" t="s">
        <v>748</v>
      </c>
      <c r="X161" s="241" t="s">
        <v>121</v>
      </c>
      <c r="Y161" s="241" t="s">
        <v>313</v>
      </c>
      <c r="Z161" s="241"/>
      <c r="AA161" s="241" t="s">
        <v>337</v>
      </c>
      <c r="AB161" s="241" t="s">
        <v>314</v>
      </c>
      <c r="AC161" s="241" t="s">
        <v>25</v>
      </c>
      <c r="AD161" s="245">
        <v>36500</v>
      </c>
      <c r="AE161" s="241">
        <f t="shared" ca="1" si="19"/>
        <v>25</v>
      </c>
      <c r="AF161" s="246" t="s">
        <v>2267</v>
      </c>
      <c r="AG161" s="241" t="s">
        <v>2268</v>
      </c>
      <c r="AH161" s="240" t="s">
        <v>2269</v>
      </c>
      <c r="AI161" s="240"/>
      <c r="AJ161" s="240"/>
      <c r="AK161" s="241" t="s">
        <v>2270</v>
      </c>
      <c r="AL161" s="246" t="s">
        <v>2271</v>
      </c>
      <c r="AM161" s="246">
        <v>19047644018</v>
      </c>
      <c r="AN161" s="241" t="s">
        <v>4716</v>
      </c>
      <c r="AO161" s="241"/>
      <c r="AP161" s="241"/>
      <c r="AQ161" s="241"/>
      <c r="AR161" s="241"/>
      <c r="AS161" s="241"/>
      <c r="AT161" s="241" t="s">
        <v>2272</v>
      </c>
      <c r="AU161" s="241" t="s">
        <v>2273</v>
      </c>
      <c r="AV161" s="241" t="s">
        <v>306</v>
      </c>
      <c r="AW161" s="241" t="s">
        <v>306</v>
      </c>
      <c r="AX161" s="241">
        <f t="shared" si="20"/>
        <v>0</v>
      </c>
      <c r="AY161" s="241" t="str">
        <f t="shared" si="21"/>
        <v>TK/0</v>
      </c>
      <c r="AZ161" s="241" t="s">
        <v>2274</v>
      </c>
      <c r="BA161" s="237" t="s">
        <v>2274</v>
      </c>
      <c r="BB161" s="241" t="s">
        <v>161</v>
      </c>
      <c r="BC161" s="241" t="s">
        <v>349</v>
      </c>
      <c r="BD161" s="241" t="s">
        <v>1742</v>
      </c>
      <c r="BE161" s="241" t="s">
        <v>1862</v>
      </c>
      <c r="BF161" s="241">
        <v>2018</v>
      </c>
      <c r="BG161" s="241" t="s">
        <v>475</v>
      </c>
      <c r="BH161" s="241" t="s">
        <v>1742</v>
      </c>
      <c r="BI161" s="241" t="s">
        <v>1862</v>
      </c>
      <c r="BJ161" s="241">
        <v>2018</v>
      </c>
      <c r="BK161" s="247"/>
      <c r="BL161" s="247"/>
      <c r="BM161" s="241" t="s">
        <v>369</v>
      </c>
      <c r="BN161" s="241">
        <v>34</v>
      </c>
      <c r="BO161" s="241">
        <v>43</v>
      </c>
      <c r="BP161" s="244"/>
      <c r="BQ161" s="244"/>
      <c r="BR161" s="244"/>
      <c r="BS161" s="244"/>
      <c r="BT161" s="241"/>
      <c r="BU161" s="241"/>
      <c r="BV161" s="241"/>
      <c r="BW161" s="241"/>
      <c r="BX161" s="241"/>
      <c r="BY161" s="241"/>
      <c r="BZ161" s="241"/>
      <c r="CA161" s="241"/>
      <c r="CB161" s="241"/>
      <c r="CC161" s="241"/>
      <c r="CD161" s="241"/>
      <c r="CE161" s="241" t="e">
        <f>VLOOKUP(D161,[1]Sertifikasi!$B$4:$I$19,8,0)</f>
        <v>#N/A</v>
      </c>
      <c r="CF161" s="13"/>
      <c r="CG161" s="13"/>
      <c r="CH161" s="13"/>
    </row>
    <row r="162" spans="1:86" ht="11.25" customHeight="1" x14ac:dyDescent="0.2">
      <c r="A162" s="13"/>
      <c r="B162" s="238">
        <v>158</v>
      </c>
      <c r="C162" s="241" t="e">
        <f t="shared" ca="1" si="24"/>
        <v>#NUM!</v>
      </c>
      <c r="D162" s="237" t="s">
        <v>2275</v>
      </c>
      <c r="E162" s="239">
        <v>641907235</v>
      </c>
      <c r="F162" s="237">
        <v>1710005657179</v>
      </c>
      <c r="G162" s="240"/>
      <c r="H162" s="241" t="s">
        <v>25</v>
      </c>
      <c r="I162" s="241" t="s">
        <v>25</v>
      </c>
      <c r="J162" s="242">
        <v>43647</v>
      </c>
      <c r="K162" s="241"/>
      <c r="L162" s="241"/>
      <c r="M162" s="241" t="str">
        <f t="shared" si="23"/>
        <v>PKWT</v>
      </c>
      <c r="N162" s="241" t="s">
        <v>187</v>
      </c>
      <c r="O162" s="241"/>
      <c r="P162" s="243">
        <v>45657</v>
      </c>
      <c r="Q162" s="241"/>
      <c r="R162" s="241" t="s">
        <v>206</v>
      </c>
      <c r="S162" s="241" t="s">
        <v>6863</v>
      </c>
      <c r="T162" s="241" t="s">
        <v>312</v>
      </c>
      <c r="U162" s="241" t="s">
        <v>25</v>
      </c>
      <c r="V162" s="241" t="s">
        <v>443</v>
      </c>
      <c r="W162" s="241" t="s">
        <v>748</v>
      </c>
      <c r="X162" s="241" t="s">
        <v>121</v>
      </c>
      <c r="Y162" s="241" t="s">
        <v>313</v>
      </c>
      <c r="Z162" s="241"/>
      <c r="AA162" s="241" t="s">
        <v>337</v>
      </c>
      <c r="AB162" s="241" t="s">
        <v>314</v>
      </c>
      <c r="AC162" s="241" t="s">
        <v>2276</v>
      </c>
      <c r="AD162" s="245">
        <v>36708</v>
      </c>
      <c r="AE162" s="241">
        <f t="shared" ca="1" si="19"/>
        <v>25</v>
      </c>
      <c r="AF162" s="246" t="s">
        <v>2277</v>
      </c>
      <c r="AG162" s="241" t="s">
        <v>2278</v>
      </c>
      <c r="AH162" s="240" t="s">
        <v>2279</v>
      </c>
      <c r="AI162" s="240"/>
      <c r="AJ162" s="240"/>
      <c r="AK162" s="241" t="s">
        <v>2280</v>
      </c>
      <c r="AL162" s="246" t="s">
        <v>2281</v>
      </c>
      <c r="AM162" s="246">
        <v>19047643978</v>
      </c>
      <c r="AN162" s="241" t="s">
        <v>4716</v>
      </c>
      <c r="AO162" s="241"/>
      <c r="AP162" s="241"/>
      <c r="AQ162" s="241"/>
      <c r="AR162" s="241"/>
      <c r="AS162" s="241"/>
      <c r="AT162" s="241" t="s">
        <v>1182</v>
      </c>
      <c r="AU162" s="241" t="s">
        <v>2282</v>
      </c>
      <c r="AV162" s="241" t="s">
        <v>306</v>
      </c>
      <c r="AW162" s="241" t="s">
        <v>306</v>
      </c>
      <c r="AX162" s="241">
        <f t="shared" si="20"/>
        <v>0</v>
      </c>
      <c r="AY162" s="241" t="str">
        <f t="shared" si="21"/>
        <v>TK/0</v>
      </c>
      <c r="AZ162" s="241" t="s">
        <v>2283</v>
      </c>
      <c r="BA162" s="237" t="s">
        <v>2283</v>
      </c>
      <c r="BB162" s="241" t="s">
        <v>161</v>
      </c>
      <c r="BC162" s="241" t="s">
        <v>349</v>
      </c>
      <c r="BD162" s="241" t="s">
        <v>4582</v>
      </c>
      <c r="BE162" s="241" t="s">
        <v>2284</v>
      </c>
      <c r="BF162" s="241">
        <v>2018</v>
      </c>
      <c r="BG162" s="241" t="s">
        <v>475</v>
      </c>
      <c r="BH162" s="241" t="s">
        <v>4582</v>
      </c>
      <c r="BI162" s="241" t="s">
        <v>2284</v>
      </c>
      <c r="BJ162" s="241">
        <v>2018</v>
      </c>
      <c r="BK162" s="247"/>
      <c r="BL162" s="247"/>
      <c r="BM162" s="241" t="s">
        <v>360</v>
      </c>
      <c r="BN162" s="241">
        <v>29</v>
      </c>
      <c r="BO162" s="241">
        <v>39</v>
      </c>
      <c r="BP162" s="244"/>
      <c r="BQ162" s="244"/>
      <c r="BR162" s="244">
        <v>44792</v>
      </c>
      <c r="BS162" s="244"/>
      <c r="BT162" s="241"/>
      <c r="BU162" s="241"/>
      <c r="BV162" s="241"/>
      <c r="BW162" s="241"/>
      <c r="BX162" s="241"/>
      <c r="BY162" s="241"/>
      <c r="BZ162" s="241"/>
      <c r="CA162" s="241"/>
      <c r="CB162" s="241"/>
      <c r="CC162" s="241"/>
      <c r="CD162" s="241"/>
      <c r="CE162" s="241" t="e">
        <f>VLOOKUP(D162,[1]Sertifikasi!$B$4:$I$19,8,0)</f>
        <v>#N/A</v>
      </c>
      <c r="CF162" s="13"/>
      <c r="CG162" s="13"/>
      <c r="CH162" s="13"/>
    </row>
    <row r="163" spans="1:86" ht="11.25" customHeight="1" x14ac:dyDescent="0.2">
      <c r="A163" s="13"/>
      <c r="B163" s="238">
        <v>159</v>
      </c>
      <c r="C163" s="241" t="e">
        <f t="shared" ca="1" si="24"/>
        <v>#NUM!</v>
      </c>
      <c r="D163" s="237" t="s">
        <v>2285</v>
      </c>
      <c r="E163" s="239">
        <v>641907269</v>
      </c>
      <c r="F163" s="237">
        <v>1710005657427</v>
      </c>
      <c r="G163" s="240"/>
      <c r="H163" s="241" t="s">
        <v>20</v>
      </c>
      <c r="I163" s="241" t="s">
        <v>311</v>
      </c>
      <c r="J163" s="242">
        <v>43647</v>
      </c>
      <c r="K163" s="241"/>
      <c r="L163" s="241"/>
      <c r="M163" s="241" t="str">
        <f t="shared" si="23"/>
        <v>PKWT</v>
      </c>
      <c r="N163" s="241" t="s">
        <v>187</v>
      </c>
      <c r="O163" s="241"/>
      <c r="P163" s="243">
        <v>45657</v>
      </c>
      <c r="Q163" s="241"/>
      <c r="R163" s="241" t="s">
        <v>206</v>
      </c>
      <c r="S163" s="241" t="s">
        <v>6863</v>
      </c>
      <c r="T163" s="241" t="s">
        <v>312</v>
      </c>
      <c r="U163" s="241" t="s">
        <v>33</v>
      </c>
      <c r="V163" s="241" t="s">
        <v>7135</v>
      </c>
      <c r="W163" s="241" t="s">
        <v>51</v>
      </c>
      <c r="X163" s="241" t="s">
        <v>121</v>
      </c>
      <c r="Y163" s="241" t="s">
        <v>313</v>
      </c>
      <c r="Z163" s="241" t="s">
        <v>173</v>
      </c>
      <c r="AA163" s="241" t="s">
        <v>337</v>
      </c>
      <c r="AB163" s="241" t="s">
        <v>314</v>
      </c>
      <c r="AC163" s="241" t="s">
        <v>311</v>
      </c>
      <c r="AD163" s="245">
        <v>36301</v>
      </c>
      <c r="AE163" s="241">
        <f t="shared" ca="1" si="19"/>
        <v>26</v>
      </c>
      <c r="AF163" s="246" t="s">
        <v>2286</v>
      </c>
      <c r="AG163" s="241" t="s">
        <v>2287</v>
      </c>
      <c r="AH163" s="240" t="s">
        <v>2288</v>
      </c>
      <c r="AI163" s="240"/>
      <c r="AJ163" s="240"/>
      <c r="AK163" s="241" t="s">
        <v>2289</v>
      </c>
      <c r="AL163" s="246" t="s">
        <v>2290</v>
      </c>
      <c r="AM163" s="246">
        <v>19047644273</v>
      </c>
      <c r="AN163" s="241" t="s">
        <v>4733</v>
      </c>
      <c r="AO163" s="241" t="s">
        <v>2291</v>
      </c>
      <c r="AP163" s="241"/>
      <c r="AQ163" s="241"/>
      <c r="AR163" s="241"/>
      <c r="AS163" s="241"/>
      <c r="AT163" s="241" t="s">
        <v>2292</v>
      </c>
      <c r="AU163" s="241" t="s">
        <v>2293</v>
      </c>
      <c r="AV163" s="241" t="s">
        <v>2294</v>
      </c>
      <c r="AW163" s="241" t="s">
        <v>2295</v>
      </c>
      <c r="AX163" s="241">
        <f t="shared" si="20"/>
        <v>0</v>
      </c>
      <c r="AY163" s="241" t="str">
        <f t="shared" si="21"/>
        <v>K/0</v>
      </c>
      <c r="AZ163" s="241" t="s">
        <v>2296</v>
      </c>
      <c r="BA163" s="237" t="s">
        <v>2296</v>
      </c>
      <c r="BB163" s="241" t="s">
        <v>161</v>
      </c>
      <c r="BC163" s="241" t="s">
        <v>349</v>
      </c>
      <c r="BD163" s="241" t="s">
        <v>6779</v>
      </c>
      <c r="BE163" s="241" t="s">
        <v>327</v>
      </c>
      <c r="BF163" s="241">
        <v>2017</v>
      </c>
      <c r="BG163" s="241" t="s">
        <v>349</v>
      </c>
      <c r="BH163" s="241" t="s">
        <v>6779</v>
      </c>
      <c r="BI163" s="241" t="s">
        <v>327</v>
      </c>
      <c r="BJ163" s="241">
        <v>2017</v>
      </c>
      <c r="BK163" s="247"/>
      <c r="BL163" s="247"/>
      <c r="BM163" s="241" t="s">
        <v>351</v>
      </c>
      <c r="BN163" s="241">
        <v>34</v>
      </c>
      <c r="BO163" s="241">
        <v>43</v>
      </c>
      <c r="BP163" s="244"/>
      <c r="BQ163" s="244"/>
      <c r="BR163" s="244"/>
      <c r="BS163" s="244"/>
      <c r="BT163" s="241"/>
      <c r="BU163" s="241"/>
      <c r="BV163" s="241"/>
      <c r="BW163" s="241"/>
      <c r="BX163" s="241"/>
      <c r="BY163" s="241"/>
      <c r="BZ163" s="241"/>
      <c r="CA163" s="241"/>
      <c r="CB163" s="241"/>
      <c r="CC163" s="241"/>
      <c r="CD163" s="241"/>
      <c r="CE163" s="241" t="e">
        <f>VLOOKUP(D163,[1]Sertifikasi!$B$4:$I$19,8,0)</f>
        <v>#N/A</v>
      </c>
      <c r="CF163" s="13"/>
      <c r="CG163" s="13"/>
      <c r="CH163" s="13"/>
    </row>
    <row r="164" spans="1:86" ht="11.25" customHeight="1" x14ac:dyDescent="0.2">
      <c r="A164" s="13"/>
      <c r="B164" s="238">
        <v>160</v>
      </c>
      <c r="C164" s="241" t="e">
        <f t="shared" ca="1" si="24"/>
        <v>#NUM!</v>
      </c>
      <c r="D164" s="237" t="s">
        <v>2297</v>
      </c>
      <c r="E164" s="239">
        <v>641907245</v>
      </c>
      <c r="F164" s="237">
        <v>1710005658417</v>
      </c>
      <c r="G164" s="240"/>
      <c r="H164" s="241" t="s">
        <v>2298</v>
      </c>
      <c r="I164" s="241" t="s">
        <v>28</v>
      </c>
      <c r="J164" s="242">
        <v>43647</v>
      </c>
      <c r="K164" s="241"/>
      <c r="L164" s="241"/>
      <c r="M164" s="241" t="str">
        <f t="shared" si="23"/>
        <v>PKWT</v>
      </c>
      <c r="N164" s="241" t="s">
        <v>187</v>
      </c>
      <c r="O164" s="241"/>
      <c r="P164" s="243">
        <v>45657</v>
      </c>
      <c r="Q164" s="241"/>
      <c r="R164" s="241" t="s">
        <v>206</v>
      </c>
      <c r="S164" s="241" t="s">
        <v>6863</v>
      </c>
      <c r="T164" s="241" t="s">
        <v>312</v>
      </c>
      <c r="U164" s="241" t="s">
        <v>23</v>
      </c>
      <c r="V164" s="241" t="s">
        <v>443</v>
      </c>
      <c r="W164" s="241" t="s">
        <v>51</v>
      </c>
      <c r="X164" s="241" t="s">
        <v>121</v>
      </c>
      <c r="Y164" s="241" t="s">
        <v>313</v>
      </c>
      <c r="Z164" s="241"/>
      <c r="AA164" s="241" t="s">
        <v>337</v>
      </c>
      <c r="AB164" s="241" t="s">
        <v>314</v>
      </c>
      <c r="AC164" s="241" t="s">
        <v>2299</v>
      </c>
      <c r="AD164" s="245">
        <v>35816</v>
      </c>
      <c r="AE164" s="241">
        <f t="shared" ca="1" si="19"/>
        <v>27</v>
      </c>
      <c r="AF164" s="246" t="s">
        <v>2300</v>
      </c>
      <c r="AG164" s="241" t="s">
        <v>2301</v>
      </c>
      <c r="AH164" s="240" t="s">
        <v>766</v>
      </c>
      <c r="AI164" s="240"/>
      <c r="AJ164" s="240"/>
      <c r="AK164" s="241" t="s">
        <v>2302</v>
      </c>
      <c r="AL164" s="246" t="s">
        <v>2303</v>
      </c>
      <c r="AM164" s="246">
        <v>19047644034</v>
      </c>
      <c r="AN164" s="241" t="s">
        <v>4716</v>
      </c>
      <c r="AO164" s="241"/>
      <c r="AP164" s="241"/>
      <c r="AQ164" s="241"/>
      <c r="AR164" s="241"/>
      <c r="AS164" s="241"/>
      <c r="AT164" s="241" t="s">
        <v>306</v>
      </c>
      <c r="AU164" s="241" t="s">
        <v>306</v>
      </c>
      <c r="AV164" s="241" t="s">
        <v>306</v>
      </c>
      <c r="AW164" s="241" t="s">
        <v>306</v>
      </c>
      <c r="AX164" s="241">
        <f t="shared" si="20"/>
        <v>0</v>
      </c>
      <c r="AY164" s="241" t="str">
        <f t="shared" si="21"/>
        <v>TK/0</v>
      </c>
      <c r="AZ164" s="241"/>
      <c r="BA164" s="237"/>
      <c r="BB164" s="241" t="s">
        <v>161</v>
      </c>
      <c r="BC164" s="241" t="s">
        <v>349</v>
      </c>
      <c r="BD164" s="241" t="s">
        <v>91</v>
      </c>
      <c r="BE164" s="241" t="s">
        <v>2304</v>
      </c>
      <c r="BF164" s="241">
        <v>2016</v>
      </c>
      <c r="BG164" s="241" t="s">
        <v>475</v>
      </c>
      <c r="BH164" s="241" t="s">
        <v>91</v>
      </c>
      <c r="BI164" s="241" t="s">
        <v>2304</v>
      </c>
      <c r="BJ164" s="241">
        <v>2016</v>
      </c>
      <c r="BK164" s="247"/>
      <c r="BL164" s="247"/>
      <c r="BM164" s="241" t="s">
        <v>351</v>
      </c>
      <c r="BN164" s="241">
        <v>32</v>
      </c>
      <c r="BO164" s="241">
        <v>41</v>
      </c>
      <c r="BP164" s="244">
        <v>44399</v>
      </c>
      <c r="BQ164" s="244">
        <v>44427</v>
      </c>
      <c r="BR164" s="244"/>
      <c r="BS164" s="244"/>
      <c r="BT164" s="241"/>
      <c r="BU164" s="241"/>
      <c r="BV164" s="241"/>
      <c r="BW164" s="241"/>
      <c r="BX164" s="241"/>
      <c r="BY164" s="241"/>
      <c r="BZ164" s="241"/>
      <c r="CA164" s="241"/>
      <c r="CB164" s="241"/>
      <c r="CC164" s="241"/>
      <c r="CD164" s="241"/>
      <c r="CE164" s="241" t="e">
        <f>VLOOKUP(D164,[1]Sertifikasi!$B$4:$I$19,8,0)</f>
        <v>#N/A</v>
      </c>
      <c r="CF164" s="13"/>
      <c r="CG164" s="13"/>
      <c r="CH164" s="13"/>
    </row>
    <row r="165" spans="1:86" ht="11.25" customHeight="1" x14ac:dyDescent="0.2">
      <c r="A165" s="13"/>
      <c r="B165" s="238">
        <v>161</v>
      </c>
      <c r="C165" s="241" t="e">
        <f t="shared" ca="1" si="24"/>
        <v>#NUM!</v>
      </c>
      <c r="D165" s="237" t="s">
        <v>2305</v>
      </c>
      <c r="E165" s="239">
        <v>641907255</v>
      </c>
      <c r="F165" s="237">
        <v>1710005658375</v>
      </c>
      <c r="G165" s="240"/>
      <c r="H165" s="241" t="s">
        <v>24</v>
      </c>
      <c r="I165" s="241" t="s">
        <v>23</v>
      </c>
      <c r="J165" s="242">
        <v>43647</v>
      </c>
      <c r="K165" s="241"/>
      <c r="L165" s="241"/>
      <c r="M165" s="241" t="str">
        <f t="shared" si="23"/>
        <v>PKWT</v>
      </c>
      <c r="N165" s="241" t="s">
        <v>187</v>
      </c>
      <c r="O165" s="241"/>
      <c r="P165" s="243">
        <v>45657</v>
      </c>
      <c r="Q165" s="241"/>
      <c r="R165" s="241" t="s">
        <v>206</v>
      </c>
      <c r="S165" s="241" t="s">
        <v>6863</v>
      </c>
      <c r="T165" s="241" t="s">
        <v>312</v>
      </c>
      <c r="U165" s="241" t="s">
        <v>24</v>
      </c>
      <c r="V165" s="241" t="s">
        <v>443</v>
      </c>
      <c r="W165" s="241" t="s">
        <v>175</v>
      </c>
      <c r="X165" s="241" t="s">
        <v>121</v>
      </c>
      <c r="Y165" s="241" t="s">
        <v>313</v>
      </c>
      <c r="Z165" s="241"/>
      <c r="AA165" s="241" t="s">
        <v>337</v>
      </c>
      <c r="AB165" s="241" t="s">
        <v>314</v>
      </c>
      <c r="AC165" s="241" t="s">
        <v>1886</v>
      </c>
      <c r="AD165" s="245">
        <v>36326</v>
      </c>
      <c r="AE165" s="241">
        <f t="shared" ca="1" si="19"/>
        <v>26</v>
      </c>
      <c r="AF165" s="246" t="s">
        <v>2306</v>
      </c>
      <c r="AG165" s="241" t="s">
        <v>2307</v>
      </c>
      <c r="AH165" s="240" t="s">
        <v>2308</v>
      </c>
      <c r="AI165" s="240"/>
      <c r="AJ165" s="240"/>
      <c r="AK165" s="241" t="s">
        <v>2309</v>
      </c>
      <c r="AL165" s="246" t="s">
        <v>2310</v>
      </c>
      <c r="AM165" s="246">
        <v>19047644281</v>
      </c>
      <c r="AN165" s="241" t="s">
        <v>4716</v>
      </c>
      <c r="AO165" s="241"/>
      <c r="AP165" s="241"/>
      <c r="AQ165" s="241"/>
      <c r="AR165" s="241"/>
      <c r="AS165" s="241"/>
      <c r="AT165" s="241" t="s">
        <v>1049</v>
      </c>
      <c r="AU165" s="241" t="s">
        <v>2311</v>
      </c>
      <c r="AV165" s="241" t="s">
        <v>306</v>
      </c>
      <c r="AW165" s="241" t="s">
        <v>306</v>
      </c>
      <c r="AX165" s="241">
        <f t="shared" si="20"/>
        <v>0</v>
      </c>
      <c r="AY165" s="241" t="str">
        <f t="shared" si="21"/>
        <v>TK/0</v>
      </c>
      <c r="AZ165" s="241" t="s">
        <v>2312</v>
      </c>
      <c r="BA165" s="237">
        <v>822278909525000</v>
      </c>
      <c r="BB165" s="241" t="s">
        <v>161</v>
      </c>
      <c r="BC165" s="241" t="s">
        <v>349</v>
      </c>
      <c r="BD165" s="241" t="s">
        <v>91</v>
      </c>
      <c r="BE165" s="241" t="s">
        <v>2313</v>
      </c>
      <c r="BF165" s="241">
        <v>2017</v>
      </c>
      <c r="BG165" s="241" t="s">
        <v>475</v>
      </c>
      <c r="BH165" s="241" t="s">
        <v>91</v>
      </c>
      <c r="BI165" s="241" t="s">
        <v>2313</v>
      </c>
      <c r="BJ165" s="241">
        <v>2017</v>
      </c>
      <c r="BK165" s="247"/>
      <c r="BL165" s="247"/>
      <c r="BM165" s="241" t="s">
        <v>351</v>
      </c>
      <c r="BN165" s="241">
        <v>30</v>
      </c>
      <c r="BO165" s="241">
        <v>43</v>
      </c>
      <c r="BP165" s="244"/>
      <c r="BQ165" s="244"/>
      <c r="BR165" s="244">
        <v>44655</v>
      </c>
      <c r="BS165" s="244"/>
      <c r="BT165" s="241"/>
      <c r="BU165" s="241"/>
      <c r="BV165" s="241"/>
      <c r="BW165" s="241"/>
      <c r="BX165" s="241"/>
      <c r="BY165" s="241"/>
      <c r="BZ165" s="241"/>
      <c r="CA165" s="241"/>
      <c r="CB165" s="241"/>
      <c r="CC165" s="241"/>
      <c r="CD165" s="241"/>
      <c r="CE165" s="241" t="e">
        <f>VLOOKUP(D165,[1]Sertifikasi!$B$4:$I$19,8,0)</f>
        <v>#N/A</v>
      </c>
      <c r="CF165" s="13"/>
      <c r="CG165" s="13"/>
      <c r="CH165" s="13"/>
    </row>
    <row r="166" spans="1:86" ht="11.25" customHeight="1" x14ac:dyDescent="0.2">
      <c r="A166" s="13"/>
      <c r="B166" s="238">
        <v>162</v>
      </c>
      <c r="C166" s="241" t="e">
        <f t="shared" ca="1" si="24"/>
        <v>#NUM!</v>
      </c>
      <c r="D166" s="237" t="s">
        <v>2314</v>
      </c>
      <c r="E166" s="239">
        <v>641907261</v>
      </c>
      <c r="F166" s="237">
        <v>1710005658243</v>
      </c>
      <c r="G166" s="240"/>
      <c r="H166" s="241" t="s">
        <v>24</v>
      </c>
      <c r="I166" s="241" t="s">
        <v>24</v>
      </c>
      <c r="J166" s="242">
        <v>43647</v>
      </c>
      <c r="K166" s="241"/>
      <c r="L166" s="241"/>
      <c r="M166" s="241" t="str">
        <f t="shared" si="23"/>
        <v>PKWT</v>
      </c>
      <c r="N166" s="241" t="s">
        <v>187</v>
      </c>
      <c r="O166" s="241"/>
      <c r="P166" s="243">
        <v>45657</v>
      </c>
      <c r="Q166" s="241"/>
      <c r="R166" s="241" t="s">
        <v>206</v>
      </c>
      <c r="S166" s="241" t="s">
        <v>6863</v>
      </c>
      <c r="T166" s="241" t="s">
        <v>312</v>
      </c>
      <c r="U166" s="241" t="s">
        <v>24</v>
      </c>
      <c r="V166" s="241" t="s">
        <v>443</v>
      </c>
      <c r="W166" s="241" t="s">
        <v>175</v>
      </c>
      <c r="X166" s="241" t="s">
        <v>121</v>
      </c>
      <c r="Y166" s="241" t="s">
        <v>313</v>
      </c>
      <c r="Z166" s="241" t="s">
        <v>462</v>
      </c>
      <c r="AA166" s="241" t="s">
        <v>337</v>
      </c>
      <c r="AB166" s="241" t="s">
        <v>314</v>
      </c>
      <c r="AC166" s="241" t="s">
        <v>23</v>
      </c>
      <c r="AD166" s="245">
        <v>32341</v>
      </c>
      <c r="AE166" s="241">
        <f t="shared" ca="1" si="19"/>
        <v>37</v>
      </c>
      <c r="AF166" s="246" t="s">
        <v>2315</v>
      </c>
      <c r="AG166" s="241" t="s">
        <v>2316</v>
      </c>
      <c r="AH166" s="240" t="s">
        <v>2317</v>
      </c>
      <c r="AI166" s="240"/>
      <c r="AJ166" s="240"/>
      <c r="AK166" s="241" t="s">
        <v>2318</v>
      </c>
      <c r="AL166" s="246" t="s">
        <v>2319</v>
      </c>
      <c r="AM166" s="246">
        <v>19047644117</v>
      </c>
      <c r="AN166" s="241" t="s">
        <v>4733</v>
      </c>
      <c r="AO166" s="241" t="s">
        <v>2320</v>
      </c>
      <c r="AP166" s="241" t="s">
        <v>2321</v>
      </c>
      <c r="AQ166" s="241"/>
      <c r="AR166" s="241"/>
      <c r="AS166" s="241"/>
      <c r="AT166" s="241" t="s">
        <v>2322</v>
      </c>
      <c r="AU166" s="241" t="s">
        <v>2323</v>
      </c>
      <c r="AV166" s="241" t="s">
        <v>2324</v>
      </c>
      <c r="AW166" s="241" t="s">
        <v>2325</v>
      </c>
      <c r="AX166" s="241">
        <f t="shared" si="20"/>
        <v>1</v>
      </c>
      <c r="AY166" s="241" t="str">
        <f t="shared" si="21"/>
        <v>K/1</v>
      </c>
      <c r="AZ166" s="241" t="s">
        <v>2326</v>
      </c>
      <c r="BA166" s="237" t="s">
        <v>2326</v>
      </c>
      <c r="BB166" s="241" t="s">
        <v>161</v>
      </c>
      <c r="BC166" s="241" t="s">
        <v>349</v>
      </c>
      <c r="BD166" s="241" t="s">
        <v>91</v>
      </c>
      <c r="BE166" s="241" t="s">
        <v>2327</v>
      </c>
      <c r="BF166" s="241">
        <v>2007</v>
      </c>
      <c r="BG166" s="241" t="s">
        <v>349</v>
      </c>
      <c r="BH166" s="241" t="s">
        <v>91</v>
      </c>
      <c r="BI166" s="241" t="s">
        <v>2327</v>
      </c>
      <c r="BJ166" s="241">
        <v>2007</v>
      </c>
      <c r="BK166" s="247"/>
      <c r="BL166" s="247"/>
      <c r="BM166" s="241" t="s">
        <v>339</v>
      </c>
      <c r="BN166" s="241">
        <v>34</v>
      </c>
      <c r="BO166" s="241">
        <v>41</v>
      </c>
      <c r="BP166" s="244"/>
      <c r="BQ166" s="244"/>
      <c r="BR166" s="244">
        <v>44651</v>
      </c>
      <c r="BS166" s="244"/>
      <c r="BT166" s="241"/>
      <c r="BU166" s="241"/>
      <c r="BV166" s="241"/>
      <c r="BW166" s="241"/>
      <c r="BX166" s="241"/>
      <c r="BY166" s="241"/>
      <c r="BZ166" s="241"/>
      <c r="CA166" s="241"/>
      <c r="CB166" s="241"/>
      <c r="CC166" s="241"/>
      <c r="CD166" s="241"/>
      <c r="CE166" s="241" t="e">
        <f>VLOOKUP(D166,[1]Sertifikasi!$B$4:$I$19,8,0)</f>
        <v>#N/A</v>
      </c>
      <c r="CF166" s="13"/>
      <c r="CG166" s="13"/>
      <c r="CH166" s="13"/>
    </row>
    <row r="167" spans="1:86" ht="11.25" customHeight="1" x14ac:dyDescent="0.2">
      <c r="A167" s="13"/>
      <c r="B167" s="238">
        <v>163</v>
      </c>
      <c r="C167" s="241" t="e">
        <f t="shared" ca="1" si="24"/>
        <v>#NUM!</v>
      </c>
      <c r="D167" s="237" t="s">
        <v>2328</v>
      </c>
      <c r="E167" s="239">
        <v>641907237</v>
      </c>
      <c r="F167" s="237">
        <v>1710005657708</v>
      </c>
      <c r="G167" s="240"/>
      <c r="H167" s="241" t="s">
        <v>25</v>
      </c>
      <c r="I167" s="241" t="s">
        <v>25</v>
      </c>
      <c r="J167" s="242">
        <v>43647</v>
      </c>
      <c r="K167" s="241"/>
      <c r="L167" s="241"/>
      <c r="M167" s="241" t="str">
        <f t="shared" si="23"/>
        <v>PKWT</v>
      </c>
      <c r="N167" s="241" t="s">
        <v>187</v>
      </c>
      <c r="O167" s="241"/>
      <c r="P167" s="243">
        <v>45657</v>
      </c>
      <c r="Q167" s="241"/>
      <c r="R167" s="241" t="s">
        <v>206</v>
      </c>
      <c r="S167" s="241" t="s">
        <v>6863</v>
      </c>
      <c r="T167" s="241" t="s">
        <v>312</v>
      </c>
      <c r="U167" s="241" t="s">
        <v>25</v>
      </c>
      <c r="V167" s="241" t="s">
        <v>443</v>
      </c>
      <c r="W167" s="241" t="s">
        <v>748</v>
      </c>
      <c r="X167" s="241" t="s">
        <v>121</v>
      </c>
      <c r="Y167" s="241" t="s">
        <v>313</v>
      </c>
      <c r="Z167" s="241"/>
      <c r="AA167" s="241" t="s">
        <v>337</v>
      </c>
      <c r="AB167" s="241" t="s">
        <v>314</v>
      </c>
      <c r="AC167" s="241" t="s">
        <v>2329</v>
      </c>
      <c r="AD167" s="245">
        <v>33801</v>
      </c>
      <c r="AE167" s="241">
        <f t="shared" ca="1" si="19"/>
        <v>33</v>
      </c>
      <c r="AF167" s="246" t="s">
        <v>2330</v>
      </c>
      <c r="AG167" s="241" t="s">
        <v>2331</v>
      </c>
      <c r="AH167" s="240" t="s">
        <v>2332</v>
      </c>
      <c r="AI167" s="240"/>
      <c r="AJ167" s="240"/>
      <c r="AK167" s="241" t="s">
        <v>2333</v>
      </c>
      <c r="AL167" s="246" t="s">
        <v>2334</v>
      </c>
      <c r="AM167" s="246">
        <v>18109752560</v>
      </c>
      <c r="AN167" s="241" t="s">
        <v>4733</v>
      </c>
      <c r="AO167" s="241" t="s">
        <v>2335</v>
      </c>
      <c r="AP167" s="241" t="s">
        <v>2336</v>
      </c>
      <c r="AQ167" s="241"/>
      <c r="AR167" s="241"/>
      <c r="AS167" s="241"/>
      <c r="AT167" s="241" t="s">
        <v>2337</v>
      </c>
      <c r="AU167" s="241" t="s">
        <v>2338</v>
      </c>
      <c r="AV167" s="241" t="s">
        <v>2339</v>
      </c>
      <c r="AW167" s="241" t="s">
        <v>1406</v>
      </c>
      <c r="AX167" s="241">
        <f t="shared" si="20"/>
        <v>1</v>
      </c>
      <c r="AY167" s="241" t="str">
        <f t="shared" si="21"/>
        <v>K/1</v>
      </c>
      <c r="AZ167" s="241" t="s">
        <v>2340</v>
      </c>
      <c r="BA167" s="237" t="s">
        <v>2340</v>
      </c>
      <c r="BB167" s="241" t="s">
        <v>161</v>
      </c>
      <c r="BC167" s="241" t="s">
        <v>349</v>
      </c>
      <c r="BD167" s="241" t="s">
        <v>91</v>
      </c>
      <c r="BE167" s="241" t="s">
        <v>2341</v>
      </c>
      <c r="BF167" s="241">
        <v>2012</v>
      </c>
      <c r="BG167" s="241" t="s">
        <v>475</v>
      </c>
      <c r="BH167" s="241" t="s">
        <v>91</v>
      </c>
      <c r="BI167" s="241" t="s">
        <v>2341</v>
      </c>
      <c r="BJ167" s="241">
        <v>2012</v>
      </c>
      <c r="BK167" s="247"/>
      <c r="BL167" s="247"/>
      <c r="BM167" s="241" t="s">
        <v>360</v>
      </c>
      <c r="BN167" s="241">
        <v>30</v>
      </c>
      <c r="BO167" s="241">
        <v>41</v>
      </c>
      <c r="BP167" s="244"/>
      <c r="BQ167" s="244"/>
      <c r="BR167" s="244"/>
      <c r="BS167" s="244"/>
      <c r="BT167" s="241"/>
      <c r="BU167" s="241"/>
      <c r="BV167" s="241"/>
      <c r="BW167" s="241"/>
      <c r="BX167" s="241"/>
      <c r="BY167" s="241"/>
      <c r="BZ167" s="241"/>
      <c r="CA167" s="241"/>
      <c r="CB167" s="241"/>
      <c r="CC167" s="241"/>
      <c r="CD167" s="241"/>
      <c r="CE167" s="241" t="e">
        <f>VLOOKUP(D167,[1]Sertifikasi!$B$4:$I$19,8,0)</f>
        <v>#N/A</v>
      </c>
      <c r="CF167" s="13"/>
      <c r="CG167" s="13"/>
      <c r="CH167" s="13"/>
    </row>
    <row r="168" spans="1:86" ht="11.25" customHeight="1" x14ac:dyDescent="0.2">
      <c r="A168" s="13"/>
      <c r="B168" s="238">
        <v>164</v>
      </c>
      <c r="C168" s="241" t="e">
        <f t="shared" ca="1" si="24"/>
        <v>#NUM!</v>
      </c>
      <c r="D168" s="237" t="s">
        <v>2342</v>
      </c>
      <c r="E168" s="239">
        <v>641907263</v>
      </c>
      <c r="F168" s="237">
        <v>1710005657971</v>
      </c>
      <c r="G168" s="240"/>
      <c r="H168" s="241" t="s">
        <v>217</v>
      </c>
      <c r="I168" s="241" t="s">
        <v>311</v>
      </c>
      <c r="J168" s="242">
        <v>43647</v>
      </c>
      <c r="K168" s="241"/>
      <c r="L168" s="241"/>
      <c r="M168" s="241" t="str">
        <f t="shared" si="23"/>
        <v>PKWT</v>
      </c>
      <c r="N168" s="241" t="s">
        <v>187</v>
      </c>
      <c r="O168" s="241"/>
      <c r="P168" s="243">
        <v>45657</v>
      </c>
      <c r="Q168" s="241"/>
      <c r="R168" s="241" t="s">
        <v>206</v>
      </c>
      <c r="S168" s="241" t="s">
        <v>6863</v>
      </c>
      <c r="T168" s="241" t="s">
        <v>312</v>
      </c>
      <c r="U168" s="241" t="s">
        <v>24</v>
      </c>
      <c r="V168" s="241" t="s">
        <v>443</v>
      </c>
      <c r="W168" s="241" t="s">
        <v>175</v>
      </c>
      <c r="X168" s="241" t="s">
        <v>121</v>
      </c>
      <c r="Y168" s="241" t="s">
        <v>313</v>
      </c>
      <c r="Z168" s="241"/>
      <c r="AA168" s="241" t="s">
        <v>337</v>
      </c>
      <c r="AB168" s="241" t="s">
        <v>314</v>
      </c>
      <c r="AC168" s="241" t="s">
        <v>311</v>
      </c>
      <c r="AD168" s="245">
        <v>34126</v>
      </c>
      <c r="AE168" s="241">
        <f t="shared" ca="1" si="19"/>
        <v>32</v>
      </c>
      <c r="AF168" s="246" t="s">
        <v>2343</v>
      </c>
      <c r="AG168" s="241" t="s">
        <v>2344</v>
      </c>
      <c r="AH168" s="240" t="s">
        <v>2345</v>
      </c>
      <c r="AI168" s="240"/>
      <c r="AJ168" s="240"/>
      <c r="AK168" s="241" t="s">
        <v>2346</v>
      </c>
      <c r="AL168" s="246" t="s">
        <v>2347</v>
      </c>
      <c r="AM168" s="246">
        <v>19047644232</v>
      </c>
      <c r="AN168" s="241" t="s">
        <v>4716</v>
      </c>
      <c r="AO168" s="241"/>
      <c r="AP168" s="241"/>
      <c r="AQ168" s="241"/>
      <c r="AR168" s="241"/>
      <c r="AS168" s="241"/>
      <c r="AT168" s="241" t="s">
        <v>306</v>
      </c>
      <c r="AU168" s="241" t="s">
        <v>306</v>
      </c>
      <c r="AV168" s="241" t="s">
        <v>306</v>
      </c>
      <c r="AW168" s="241" t="s">
        <v>306</v>
      </c>
      <c r="AX168" s="241">
        <f t="shared" si="20"/>
        <v>0</v>
      </c>
      <c r="AY168" s="241" t="str">
        <f t="shared" si="21"/>
        <v>TK/0</v>
      </c>
      <c r="AZ168" s="241"/>
      <c r="BA168" s="237"/>
      <c r="BB168" s="241" t="s">
        <v>161</v>
      </c>
      <c r="BC168" s="241" t="s">
        <v>349</v>
      </c>
      <c r="BD168" s="241" t="s">
        <v>91</v>
      </c>
      <c r="BE168" s="241" t="s">
        <v>516</v>
      </c>
      <c r="BF168" s="241">
        <v>2012</v>
      </c>
      <c r="BG168" s="241" t="s">
        <v>349</v>
      </c>
      <c r="BH168" s="241" t="s">
        <v>91</v>
      </c>
      <c r="BI168" s="241" t="s">
        <v>516</v>
      </c>
      <c r="BJ168" s="241">
        <v>2012</v>
      </c>
      <c r="BK168" s="247"/>
      <c r="BL168" s="247"/>
      <c r="BM168" s="241" t="s">
        <v>360</v>
      </c>
      <c r="BN168" s="241">
        <v>28</v>
      </c>
      <c r="BO168" s="241">
        <v>40</v>
      </c>
      <c r="BP168" s="244">
        <v>44365</v>
      </c>
      <c r="BQ168" s="244">
        <v>44400</v>
      </c>
      <c r="BR168" s="244"/>
      <c r="BS168" s="244"/>
      <c r="BT168" s="241"/>
      <c r="BU168" s="241"/>
      <c r="BV168" s="241"/>
      <c r="BW168" s="241"/>
      <c r="BX168" s="241"/>
      <c r="BY168" s="241"/>
      <c r="BZ168" s="241"/>
      <c r="CA168" s="241"/>
      <c r="CB168" s="241"/>
      <c r="CC168" s="241"/>
      <c r="CD168" s="241"/>
      <c r="CE168" s="241" t="e">
        <f>VLOOKUP(D168,[1]Sertifikasi!$B$4:$I$19,8,0)</f>
        <v>#N/A</v>
      </c>
      <c r="CF168" s="13"/>
      <c r="CG168" s="13"/>
      <c r="CH168" s="13"/>
    </row>
    <row r="169" spans="1:86" ht="11.25" customHeight="1" x14ac:dyDescent="0.2">
      <c r="A169" s="13"/>
      <c r="B169" s="238">
        <v>165</v>
      </c>
      <c r="C169" s="241" t="e">
        <f t="shared" ca="1" si="24"/>
        <v>#NUM!</v>
      </c>
      <c r="D169" s="237" t="s">
        <v>2348</v>
      </c>
      <c r="E169" s="239">
        <v>641907247</v>
      </c>
      <c r="F169" s="237">
        <v>1710005657377</v>
      </c>
      <c r="G169" s="240"/>
      <c r="H169" s="241" t="s">
        <v>30</v>
      </c>
      <c r="I169" s="241" t="s">
        <v>30</v>
      </c>
      <c r="J169" s="242">
        <v>43647</v>
      </c>
      <c r="K169" s="241"/>
      <c r="L169" s="241"/>
      <c r="M169" s="241" t="str">
        <f t="shared" si="23"/>
        <v>PKWT</v>
      </c>
      <c r="N169" s="241" t="s">
        <v>187</v>
      </c>
      <c r="O169" s="241"/>
      <c r="P169" s="243">
        <v>45657</v>
      </c>
      <c r="Q169" s="241"/>
      <c r="R169" s="241" t="s">
        <v>206</v>
      </c>
      <c r="S169" s="241" t="s">
        <v>6863</v>
      </c>
      <c r="T169" s="241" t="s">
        <v>312</v>
      </c>
      <c r="U169" s="241" t="s">
        <v>30</v>
      </c>
      <c r="V169" s="241" t="s">
        <v>7146</v>
      </c>
      <c r="W169" s="241" t="s">
        <v>7146</v>
      </c>
      <c r="X169" s="241" t="s">
        <v>122</v>
      </c>
      <c r="Y169" s="241" t="s">
        <v>313</v>
      </c>
      <c r="Z169" s="241"/>
      <c r="AA169" s="241" t="s">
        <v>337</v>
      </c>
      <c r="AB169" s="241" t="s">
        <v>314</v>
      </c>
      <c r="AC169" s="241" t="s">
        <v>2349</v>
      </c>
      <c r="AD169" s="245">
        <v>32630</v>
      </c>
      <c r="AE169" s="241">
        <f t="shared" ca="1" si="19"/>
        <v>36</v>
      </c>
      <c r="AF169" s="246" t="s">
        <v>2350</v>
      </c>
      <c r="AG169" s="241" t="s">
        <v>2351</v>
      </c>
      <c r="AH169" s="240" t="s">
        <v>2352</v>
      </c>
      <c r="AI169" s="240"/>
      <c r="AJ169" s="240"/>
      <c r="AK169" s="241" t="s">
        <v>2353</v>
      </c>
      <c r="AL169" s="246" t="s">
        <v>2354</v>
      </c>
      <c r="AM169" s="246">
        <v>18005014073</v>
      </c>
      <c r="AN169" s="241" t="s">
        <v>4733</v>
      </c>
      <c r="AO169" s="241" t="s">
        <v>2355</v>
      </c>
      <c r="AP169" s="241" t="s">
        <v>2356</v>
      </c>
      <c r="AQ169" s="241"/>
      <c r="AR169" s="241"/>
      <c r="AS169" s="241"/>
      <c r="AT169" s="241" t="s">
        <v>2357</v>
      </c>
      <c r="AU169" s="241" t="s">
        <v>2358</v>
      </c>
      <c r="AV169" s="241" t="s">
        <v>2359</v>
      </c>
      <c r="AW169" s="241" t="s">
        <v>2360</v>
      </c>
      <c r="AX169" s="241">
        <f t="shared" si="20"/>
        <v>1</v>
      </c>
      <c r="AY169" s="241" t="str">
        <f t="shared" si="21"/>
        <v>K/1</v>
      </c>
      <c r="AZ169" s="241" t="s">
        <v>2361</v>
      </c>
      <c r="BA169" s="237">
        <v>765154380113000</v>
      </c>
      <c r="BB169" s="241" t="s">
        <v>161</v>
      </c>
      <c r="BC169" s="241" t="s">
        <v>349</v>
      </c>
      <c r="BD169" s="241" t="s">
        <v>91</v>
      </c>
      <c r="BE169" s="241" t="s">
        <v>2362</v>
      </c>
      <c r="BF169" s="241">
        <v>2009</v>
      </c>
      <c r="BG169" s="241" t="s">
        <v>349</v>
      </c>
      <c r="BH169" s="241" t="s">
        <v>91</v>
      </c>
      <c r="BI169" s="241" t="s">
        <v>2362</v>
      </c>
      <c r="BJ169" s="241">
        <v>2009</v>
      </c>
      <c r="BK169" s="247"/>
      <c r="BL169" s="247"/>
      <c r="BM169" s="241" t="s">
        <v>360</v>
      </c>
      <c r="BN169" s="241">
        <v>29</v>
      </c>
      <c r="BO169" s="241">
        <v>43</v>
      </c>
      <c r="BP169" s="244"/>
      <c r="BQ169" s="244"/>
      <c r="BR169" s="244"/>
      <c r="BS169" s="244"/>
      <c r="BT169" s="241"/>
      <c r="BU169" s="241"/>
      <c r="BV169" s="241"/>
      <c r="BW169" s="241"/>
      <c r="BX169" s="241"/>
      <c r="BY169" s="241"/>
      <c r="BZ169" s="241"/>
      <c r="CA169" s="241"/>
      <c r="CB169" s="241"/>
      <c r="CC169" s="241"/>
      <c r="CD169" s="241"/>
      <c r="CE169" s="241" t="e">
        <f>VLOOKUP(D169,[1]Sertifikasi!$B$4:$I$19,8,0)</f>
        <v>#N/A</v>
      </c>
      <c r="CF169" s="13"/>
      <c r="CG169" s="13"/>
      <c r="CH169" s="13"/>
    </row>
    <row r="170" spans="1:86" ht="11.25" customHeight="1" x14ac:dyDescent="0.2">
      <c r="A170" s="13"/>
      <c r="B170" s="238">
        <v>166</v>
      </c>
      <c r="C170" s="241" t="e">
        <f t="shared" ca="1" si="24"/>
        <v>#NUM!</v>
      </c>
      <c r="D170" s="237" t="s">
        <v>2363</v>
      </c>
      <c r="E170" s="239">
        <v>641907278</v>
      </c>
      <c r="F170" s="237">
        <v>1710005926293</v>
      </c>
      <c r="G170" s="240"/>
      <c r="H170" s="241" t="s">
        <v>26</v>
      </c>
      <c r="I170" s="241" t="s">
        <v>26</v>
      </c>
      <c r="J170" s="242">
        <v>43647</v>
      </c>
      <c r="K170" s="241"/>
      <c r="L170" s="241"/>
      <c r="M170" s="241" t="str">
        <f t="shared" si="23"/>
        <v>PKWT</v>
      </c>
      <c r="N170" s="241" t="s">
        <v>187</v>
      </c>
      <c r="O170" s="241"/>
      <c r="P170" s="243">
        <v>45657</v>
      </c>
      <c r="Q170" s="241"/>
      <c r="R170" s="241" t="s">
        <v>206</v>
      </c>
      <c r="S170" s="241" t="s">
        <v>6863</v>
      </c>
      <c r="T170" s="241" t="s">
        <v>312</v>
      </c>
      <c r="U170" s="241" t="s">
        <v>20</v>
      </c>
      <c r="V170" s="241" t="s">
        <v>204</v>
      </c>
      <c r="W170" s="241" t="s">
        <v>1278</v>
      </c>
      <c r="X170" s="241" t="s">
        <v>122</v>
      </c>
      <c r="Y170" s="241" t="s">
        <v>313</v>
      </c>
      <c r="Z170" s="241"/>
      <c r="AA170" s="241"/>
      <c r="AB170" s="241" t="s">
        <v>314</v>
      </c>
      <c r="AC170" s="241" t="s">
        <v>26</v>
      </c>
      <c r="AD170" s="245">
        <v>35450</v>
      </c>
      <c r="AE170" s="241">
        <f t="shared" ca="1" si="19"/>
        <v>28</v>
      </c>
      <c r="AF170" s="246" t="s">
        <v>2364</v>
      </c>
      <c r="AG170" s="241" t="s">
        <v>2365</v>
      </c>
      <c r="AH170" s="240" t="s">
        <v>2366</v>
      </c>
      <c r="AI170" s="240"/>
      <c r="AJ170" s="240"/>
      <c r="AK170" s="241" t="s">
        <v>2367</v>
      </c>
      <c r="AL170" s="246" t="s">
        <v>2368</v>
      </c>
      <c r="AM170" s="246">
        <v>19073135030</v>
      </c>
      <c r="AN170" s="241" t="s">
        <v>4733</v>
      </c>
      <c r="AO170" s="241" t="s">
        <v>2369</v>
      </c>
      <c r="AP170" s="241" t="s">
        <v>2370</v>
      </c>
      <c r="AQ170" s="241"/>
      <c r="AR170" s="241"/>
      <c r="AS170" s="241"/>
      <c r="AT170" s="241" t="s">
        <v>2371</v>
      </c>
      <c r="AU170" s="241" t="s">
        <v>2372</v>
      </c>
      <c r="AV170" s="241" t="s">
        <v>2373</v>
      </c>
      <c r="AW170" s="241" t="s">
        <v>2374</v>
      </c>
      <c r="AX170" s="241">
        <f t="shared" si="20"/>
        <v>1</v>
      </c>
      <c r="AY170" s="241" t="str">
        <f t="shared" si="21"/>
        <v>K/1</v>
      </c>
      <c r="AZ170" s="241" t="s">
        <v>2375</v>
      </c>
      <c r="BA170" s="237" t="s">
        <v>2375</v>
      </c>
      <c r="BB170" s="241" t="s">
        <v>161</v>
      </c>
      <c r="BC170" s="241" t="s">
        <v>349</v>
      </c>
      <c r="BD170" s="241" t="s">
        <v>91</v>
      </c>
      <c r="BE170" s="241" t="s">
        <v>2123</v>
      </c>
      <c r="BF170" s="241"/>
      <c r="BG170" s="241" t="s">
        <v>349</v>
      </c>
      <c r="BH170" s="241" t="s">
        <v>91</v>
      </c>
      <c r="BI170" s="241" t="s">
        <v>2123</v>
      </c>
      <c r="BJ170" s="241"/>
      <c r="BK170" s="247"/>
      <c r="BL170" s="247"/>
      <c r="BM170" s="241"/>
      <c r="BN170" s="241"/>
      <c r="BO170" s="241">
        <v>40</v>
      </c>
      <c r="BP170" s="244">
        <v>44365</v>
      </c>
      <c r="BQ170" s="244">
        <v>44404</v>
      </c>
      <c r="BR170" s="244">
        <v>44797</v>
      </c>
      <c r="BS170" s="244"/>
      <c r="BT170" s="241"/>
      <c r="BU170" s="241"/>
      <c r="BV170" s="241"/>
      <c r="BW170" s="241"/>
      <c r="BX170" s="241"/>
      <c r="BY170" s="241"/>
      <c r="BZ170" s="241"/>
      <c r="CA170" s="241"/>
      <c r="CB170" s="241"/>
      <c r="CC170" s="241"/>
      <c r="CD170" s="241"/>
      <c r="CE170" s="241" t="e">
        <f>VLOOKUP(D170,[1]Sertifikasi!$B$4:$I$19,8,0)</f>
        <v>#N/A</v>
      </c>
      <c r="CF170" s="13"/>
      <c r="CG170" s="13"/>
      <c r="CH170" s="13"/>
    </row>
    <row r="171" spans="1:86" ht="11.25" customHeight="1" x14ac:dyDescent="0.2">
      <c r="A171" s="13"/>
      <c r="B171" s="238">
        <v>167</v>
      </c>
      <c r="C171" s="241" t="e">
        <f t="shared" ca="1" si="24"/>
        <v>#NUM!</v>
      </c>
      <c r="D171" s="237" t="s">
        <v>2376</v>
      </c>
      <c r="E171" s="239">
        <v>641907272</v>
      </c>
      <c r="F171" s="237">
        <v>1710005658458</v>
      </c>
      <c r="G171" s="240"/>
      <c r="H171" s="241" t="s">
        <v>24</v>
      </c>
      <c r="I171" s="241" t="s">
        <v>24</v>
      </c>
      <c r="J171" s="242">
        <v>43647</v>
      </c>
      <c r="K171" s="241"/>
      <c r="L171" s="241"/>
      <c r="M171" s="241" t="str">
        <f t="shared" si="23"/>
        <v>PKWT</v>
      </c>
      <c r="N171" s="241" t="s">
        <v>187</v>
      </c>
      <c r="O171" s="241"/>
      <c r="P171" s="243">
        <v>45657</v>
      </c>
      <c r="Q171" s="241"/>
      <c r="R171" s="241" t="s">
        <v>206</v>
      </c>
      <c r="S171" s="241" t="s">
        <v>6863</v>
      </c>
      <c r="T171" s="241" t="s">
        <v>312</v>
      </c>
      <c r="U171" s="241" t="s">
        <v>24</v>
      </c>
      <c r="V171" s="241" t="s">
        <v>443</v>
      </c>
      <c r="W171" s="241" t="s">
        <v>175</v>
      </c>
      <c r="X171" s="241" t="s">
        <v>121</v>
      </c>
      <c r="Y171" s="241" t="s">
        <v>313</v>
      </c>
      <c r="Z171" s="241"/>
      <c r="AA171" s="241" t="s">
        <v>337</v>
      </c>
      <c r="AB171" s="241" t="s">
        <v>314</v>
      </c>
      <c r="AC171" s="241" t="s">
        <v>2377</v>
      </c>
      <c r="AD171" s="245">
        <v>32937</v>
      </c>
      <c r="AE171" s="241">
        <f t="shared" ca="1" si="19"/>
        <v>35</v>
      </c>
      <c r="AF171" s="246" t="s">
        <v>2378</v>
      </c>
      <c r="AG171" s="241" t="s">
        <v>2379</v>
      </c>
      <c r="AH171" s="240" t="s">
        <v>2380</v>
      </c>
      <c r="AI171" s="240"/>
      <c r="AJ171" s="240"/>
      <c r="AK171" s="241" t="s">
        <v>2381</v>
      </c>
      <c r="AL171" s="246" t="s">
        <v>2382</v>
      </c>
      <c r="AM171" s="246">
        <v>19047644190</v>
      </c>
      <c r="AN171" s="241" t="s">
        <v>4733</v>
      </c>
      <c r="AO171" s="241" t="s">
        <v>2383</v>
      </c>
      <c r="AP171" s="241" t="s">
        <v>2384</v>
      </c>
      <c r="AQ171" s="241" t="s">
        <v>2385</v>
      </c>
      <c r="AR171" s="241"/>
      <c r="AS171" s="241"/>
      <c r="AT171" s="241" t="s">
        <v>2386</v>
      </c>
      <c r="AU171" s="241" t="s">
        <v>2387</v>
      </c>
      <c r="AV171" s="241" t="s">
        <v>2388</v>
      </c>
      <c r="AW171" s="241" t="s">
        <v>2058</v>
      </c>
      <c r="AX171" s="241">
        <f t="shared" si="20"/>
        <v>2</v>
      </c>
      <c r="AY171" s="241" t="str">
        <f t="shared" si="21"/>
        <v>K/2</v>
      </c>
      <c r="AZ171" s="241" t="s">
        <v>2389</v>
      </c>
      <c r="BA171" s="237" t="s">
        <v>2389</v>
      </c>
      <c r="BB171" s="241" t="s">
        <v>161</v>
      </c>
      <c r="BC171" s="241" t="s">
        <v>349</v>
      </c>
      <c r="BD171" s="241" t="s">
        <v>91</v>
      </c>
      <c r="BE171" s="241" t="s">
        <v>2390</v>
      </c>
      <c r="BF171" s="241">
        <v>2008</v>
      </c>
      <c r="BG171" s="241" t="s">
        <v>349</v>
      </c>
      <c r="BH171" s="241" t="s">
        <v>91</v>
      </c>
      <c r="BI171" s="241" t="s">
        <v>2390</v>
      </c>
      <c r="BJ171" s="241">
        <v>2008</v>
      </c>
      <c r="BK171" s="247"/>
      <c r="BL171" s="247"/>
      <c r="BM171" s="241" t="s">
        <v>360</v>
      </c>
      <c r="BN171" s="241">
        <v>31</v>
      </c>
      <c r="BO171" s="241">
        <v>42</v>
      </c>
      <c r="BP171" s="244"/>
      <c r="BQ171" s="244"/>
      <c r="BR171" s="244"/>
      <c r="BS171" s="244"/>
      <c r="BT171" s="241"/>
      <c r="BU171" s="241"/>
      <c r="BV171" s="241"/>
      <c r="BW171" s="241"/>
      <c r="BX171" s="241"/>
      <c r="BY171" s="241"/>
      <c r="BZ171" s="241"/>
      <c r="CA171" s="241"/>
      <c r="CB171" s="241"/>
      <c r="CC171" s="241"/>
      <c r="CD171" s="241"/>
      <c r="CE171" s="241" t="e">
        <f>VLOOKUP(D171,[1]Sertifikasi!$B$4:$I$19,8,0)</f>
        <v>#N/A</v>
      </c>
      <c r="CF171" s="13"/>
      <c r="CG171" s="13"/>
      <c r="CH171" s="13"/>
    </row>
    <row r="172" spans="1:86" ht="11.25" customHeight="1" x14ac:dyDescent="0.2">
      <c r="A172" s="13"/>
      <c r="B172" s="238">
        <v>168</v>
      </c>
      <c r="C172" s="241" t="e">
        <f t="shared" ca="1" si="24"/>
        <v>#NUM!</v>
      </c>
      <c r="D172" s="237" t="s">
        <v>2391</v>
      </c>
      <c r="E172" s="239">
        <v>641907252</v>
      </c>
      <c r="F172" s="237">
        <v>1710005658466</v>
      </c>
      <c r="G172" s="240"/>
      <c r="H172" s="241" t="s">
        <v>22</v>
      </c>
      <c r="I172" s="241" t="s">
        <v>22</v>
      </c>
      <c r="J172" s="242">
        <v>43647</v>
      </c>
      <c r="K172" s="241"/>
      <c r="L172" s="241"/>
      <c r="M172" s="241" t="str">
        <f t="shared" si="23"/>
        <v>PKWT</v>
      </c>
      <c r="N172" s="241" t="s">
        <v>187</v>
      </c>
      <c r="O172" s="241"/>
      <c r="P172" s="243">
        <v>45657</v>
      </c>
      <c r="Q172" s="241"/>
      <c r="R172" s="241" t="s">
        <v>206</v>
      </c>
      <c r="S172" s="241" t="s">
        <v>6863</v>
      </c>
      <c r="T172" s="241" t="s">
        <v>312</v>
      </c>
      <c r="U172" s="241" t="s">
        <v>22</v>
      </c>
      <c r="V172" s="241" t="s">
        <v>547</v>
      </c>
      <c r="W172" s="241" t="s">
        <v>78</v>
      </c>
      <c r="X172" s="241" t="s">
        <v>122</v>
      </c>
      <c r="Y172" s="241" t="s">
        <v>313</v>
      </c>
      <c r="Z172" s="241"/>
      <c r="AA172" s="241" t="s">
        <v>337</v>
      </c>
      <c r="AB172" s="241" t="s">
        <v>314</v>
      </c>
      <c r="AC172" s="241" t="s">
        <v>2392</v>
      </c>
      <c r="AD172" s="245">
        <v>36696</v>
      </c>
      <c r="AE172" s="241">
        <f t="shared" ca="1" si="19"/>
        <v>25</v>
      </c>
      <c r="AF172" s="246" t="s">
        <v>2393</v>
      </c>
      <c r="AG172" s="241" t="s">
        <v>2394</v>
      </c>
      <c r="AH172" s="240" t="s">
        <v>2395</v>
      </c>
      <c r="AI172" s="240"/>
      <c r="AJ172" s="240"/>
      <c r="AK172" s="241" t="s">
        <v>2396</v>
      </c>
      <c r="AL172" s="246" t="s">
        <v>2397</v>
      </c>
      <c r="AM172" s="246">
        <v>19047644067</v>
      </c>
      <c r="AN172" s="241" t="s">
        <v>4716</v>
      </c>
      <c r="AO172" s="241"/>
      <c r="AP172" s="241"/>
      <c r="AQ172" s="241"/>
      <c r="AR172" s="241"/>
      <c r="AS172" s="241"/>
      <c r="AT172" s="241" t="s">
        <v>306</v>
      </c>
      <c r="AU172" s="241" t="s">
        <v>306</v>
      </c>
      <c r="AV172" s="241" t="s">
        <v>306</v>
      </c>
      <c r="AW172" s="241" t="s">
        <v>306</v>
      </c>
      <c r="AX172" s="241">
        <f t="shared" si="20"/>
        <v>0</v>
      </c>
      <c r="AY172" s="241" t="str">
        <f t="shared" si="21"/>
        <v>TK/0</v>
      </c>
      <c r="AZ172" s="241"/>
      <c r="BA172" s="237"/>
      <c r="BB172" s="241" t="s">
        <v>161</v>
      </c>
      <c r="BC172" s="241" t="s">
        <v>349</v>
      </c>
      <c r="BD172" s="241" t="s">
        <v>515</v>
      </c>
      <c r="BE172" s="241" t="s">
        <v>2398</v>
      </c>
      <c r="BF172" s="241">
        <v>2018</v>
      </c>
      <c r="BG172" s="241" t="s">
        <v>475</v>
      </c>
      <c r="BH172" s="241" t="s">
        <v>515</v>
      </c>
      <c r="BI172" s="241" t="s">
        <v>2398</v>
      </c>
      <c r="BJ172" s="241">
        <v>2018</v>
      </c>
      <c r="BK172" s="247"/>
      <c r="BL172" s="247"/>
      <c r="BM172" s="241" t="s">
        <v>360</v>
      </c>
      <c r="BN172" s="241">
        <v>28</v>
      </c>
      <c r="BO172" s="241">
        <v>40</v>
      </c>
      <c r="BP172" s="244"/>
      <c r="BQ172" s="244"/>
      <c r="BR172" s="244"/>
      <c r="BS172" s="244"/>
      <c r="BT172" s="241"/>
      <c r="BU172" s="241"/>
      <c r="BV172" s="241"/>
      <c r="BW172" s="241"/>
      <c r="BX172" s="241"/>
      <c r="BY172" s="241"/>
      <c r="BZ172" s="241"/>
      <c r="CA172" s="241"/>
      <c r="CB172" s="241"/>
      <c r="CC172" s="241"/>
      <c r="CD172" s="241"/>
      <c r="CE172" s="241" t="e">
        <f>VLOOKUP(D172,[1]Sertifikasi!$B$4:$I$19,8,0)</f>
        <v>#N/A</v>
      </c>
      <c r="CF172" s="13"/>
      <c r="CG172" s="13"/>
      <c r="CH172" s="13"/>
    </row>
    <row r="173" spans="1:86" ht="11.25" customHeight="1" x14ac:dyDescent="0.2">
      <c r="A173" s="13"/>
      <c r="B173" s="238">
        <v>169</v>
      </c>
      <c r="C173" s="241" t="e">
        <f t="shared" ca="1" si="24"/>
        <v>#NUM!</v>
      </c>
      <c r="D173" s="237" t="s">
        <v>2399</v>
      </c>
      <c r="E173" s="239">
        <v>641907257</v>
      </c>
      <c r="F173" s="237">
        <v>1710005658334</v>
      </c>
      <c r="G173" s="240"/>
      <c r="H173" s="241" t="s">
        <v>217</v>
      </c>
      <c r="I173" s="241" t="s">
        <v>315</v>
      </c>
      <c r="J173" s="242">
        <v>43647</v>
      </c>
      <c r="K173" s="241"/>
      <c r="L173" s="241"/>
      <c r="M173" s="241" t="str">
        <f t="shared" ref="M173:M204" si="25">IF(LEFT(E173,2)="99","ORGANIK INKA",IF(LEFT(E173,2)="97","ORGANIK IMSS",IF(LEFT(E173,2)="75","Capeg",IF(LEFT(E173,2)="64","PKWT","Resign"))))</f>
        <v>PKWT</v>
      </c>
      <c r="N173" s="241" t="s">
        <v>187</v>
      </c>
      <c r="O173" s="241"/>
      <c r="P173" s="243">
        <v>45657</v>
      </c>
      <c r="Q173" s="241"/>
      <c r="R173" s="241" t="s">
        <v>206</v>
      </c>
      <c r="S173" s="241" t="s">
        <v>6863</v>
      </c>
      <c r="T173" s="241" t="s">
        <v>312</v>
      </c>
      <c r="U173" s="241" t="s">
        <v>23</v>
      </c>
      <c r="V173" s="241" t="s">
        <v>443</v>
      </c>
      <c r="W173" s="241" t="s">
        <v>51</v>
      </c>
      <c r="X173" s="241" t="s">
        <v>121</v>
      </c>
      <c r="Y173" s="241" t="s">
        <v>313</v>
      </c>
      <c r="Z173" s="241"/>
      <c r="AA173" s="241" t="s">
        <v>337</v>
      </c>
      <c r="AB173" s="241" t="s">
        <v>314</v>
      </c>
      <c r="AC173" s="241" t="s">
        <v>315</v>
      </c>
      <c r="AD173" s="245">
        <v>36540</v>
      </c>
      <c r="AE173" s="241">
        <f t="shared" ca="1" si="19"/>
        <v>25</v>
      </c>
      <c r="AF173" s="246" t="s">
        <v>2400</v>
      </c>
      <c r="AG173" s="241" t="s">
        <v>2401</v>
      </c>
      <c r="AH173" s="240" t="s">
        <v>2402</v>
      </c>
      <c r="AI173" s="240" t="s">
        <v>2402</v>
      </c>
      <c r="AJ173" s="240"/>
      <c r="AK173" s="241" t="s">
        <v>2403</v>
      </c>
      <c r="AL173" s="246" t="s">
        <v>2404</v>
      </c>
      <c r="AM173" s="246">
        <v>19063315980</v>
      </c>
      <c r="AN173" s="241" t="s">
        <v>4716</v>
      </c>
      <c r="AO173" s="241"/>
      <c r="AP173" s="241"/>
      <c r="AQ173" s="241"/>
      <c r="AR173" s="241"/>
      <c r="AS173" s="241"/>
      <c r="AT173" s="241" t="s">
        <v>2405</v>
      </c>
      <c r="AU173" s="241" t="s">
        <v>2406</v>
      </c>
      <c r="AV173" s="241" t="s">
        <v>306</v>
      </c>
      <c r="AW173" s="241" t="s">
        <v>306</v>
      </c>
      <c r="AX173" s="241">
        <f t="shared" si="20"/>
        <v>0</v>
      </c>
      <c r="AY173" s="241" t="str">
        <f t="shared" si="21"/>
        <v>TK/0</v>
      </c>
      <c r="AZ173" s="241" t="s">
        <v>2407</v>
      </c>
      <c r="BA173" s="237" t="s">
        <v>2408</v>
      </c>
      <c r="BB173" s="241" t="s">
        <v>161</v>
      </c>
      <c r="BC173" s="241" t="s">
        <v>349</v>
      </c>
      <c r="BD173" s="241" t="s">
        <v>515</v>
      </c>
      <c r="BE173" s="241" t="s">
        <v>1454</v>
      </c>
      <c r="BF173" s="241">
        <v>2018</v>
      </c>
      <c r="BG173" s="241" t="s">
        <v>475</v>
      </c>
      <c r="BH173" s="241" t="s">
        <v>515</v>
      </c>
      <c r="BI173" s="241" t="s">
        <v>1454</v>
      </c>
      <c r="BJ173" s="241">
        <v>2018</v>
      </c>
      <c r="BK173" s="247"/>
      <c r="BL173" s="247"/>
      <c r="BM173" s="241" t="s">
        <v>360</v>
      </c>
      <c r="BN173" s="241">
        <v>30</v>
      </c>
      <c r="BO173" s="241">
        <v>40</v>
      </c>
      <c r="BP173" s="244"/>
      <c r="BQ173" s="244"/>
      <c r="BR173" s="244"/>
      <c r="BS173" s="244"/>
      <c r="BT173" s="241"/>
      <c r="BU173" s="241"/>
      <c r="BV173" s="241"/>
      <c r="BW173" s="241"/>
      <c r="BX173" s="241"/>
      <c r="BY173" s="241"/>
      <c r="BZ173" s="241"/>
      <c r="CA173" s="241"/>
      <c r="CB173" s="241"/>
      <c r="CC173" s="241"/>
      <c r="CD173" s="241"/>
      <c r="CE173" s="241" t="e">
        <f>VLOOKUP(D173,[1]Sertifikasi!$B$4:$I$19,8,0)</f>
        <v>#N/A</v>
      </c>
      <c r="CF173" s="13"/>
      <c r="CG173" s="13"/>
      <c r="CH173" s="13"/>
    </row>
    <row r="174" spans="1:86" ht="11.25" customHeight="1" x14ac:dyDescent="0.2">
      <c r="A174" s="13"/>
      <c r="B174" s="238">
        <v>170</v>
      </c>
      <c r="C174" s="241" t="e">
        <f t="shared" ca="1" si="24"/>
        <v>#NUM!</v>
      </c>
      <c r="D174" s="237" t="s">
        <v>2409</v>
      </c>
      <c r="E174" s="239">
        <v>641907253</v>
      </c>
      <c r="F174" s="237">
        <v>1710005658326</v>
      </c>
      <c r="G174" s="240"/>
      <c r="H174" s="241" t="s">
        <v>20</v>
      </c>
      <c r="I174" s="241" t="s">
        <v>20</v>
      </c>
      <c r="J174" s="242">
        <v>43647</v>
      </c>
      <c r="K174" s="241"/>
      <c r="L174" s="241"/>
      <c r="M174" s="241" t="str">
        <f t="shared" si="25"/>
        <v>PKWT</v>
      </c>
      <c r="N174" s="241" t="s">
        <v>187</v>
      </c>
      <c r="O174" s="241"/>
      <c r="P174" s="243">
        <v>45657</v>
      </c>
      <c r="Q174" s="241"/>
      <c r="R174" s="241" t="s">
        <v>206</v>
      </c>
      <c r="S174" s="241" t="s">
        <v>6863</v>
      </c>
      <c r="T174" s="241" t="s">
        <v>312</v>
      </c>
      <c r="U174" s="241" t="s">
        <v>29</v>
      </c>
      <c r="V174" s="241" t="s">
        <v>461</v>
      </c>
      <c r="W174" s="241" t="s">
        <v>127</v>
      </c>
      <c r="X174" s="241" t="s">
        <v>121</v>
      </c>
      <c r="Y174" s="241" t="s">
        <v>313</v>
      </c>
      <c r="Z174" s="241" t="s">
        <v>462</v>
      </c>
      <c r="AA174" s="241" t="s">
        <v>337</v>
      </c>
      <c r="AB174" s="241" t="s">
        <v>314</v>
      </c>
      <c r="AC174" s="241" t="s">
        <v>1720</v>
      </c>
      <c r="AD174" s="245">
        <v>34779</v>
      </c>
      <c r="AE174" s="241">
        <f t="shared" ca="1" si="19"/>
        <v>30</v>
      </c>
      <c r="AF174" s="246" t="s">
        <v>2410</v>
      </c>
      <c r="AG174" s="241" t="s">
        <v>2411</v>
      </c>
      <c r="AH174" s="240" t="s">
        <v>2412</v>
      </c>
      <c r="AI174" s="240" t="s">
        <v>2413</v>
      </c>
      <c r="AJ174" s="240"/>
      <c r="AK174" s="241" t="s">
        <v>2414</v>
      </c>
      <c r="AL174" s="246" t="s">
        <v>2415</v>
      </c>
      <c r="AM174" s="246">
        <v>18016714695</v>
      </c>
      <c r="AN174" s="241" t="s">
        <v>4733</v>
      </c>
      <c r="AO174" s="241" t="s">
        <v>2416</v>
      </c>
      <c r="AP174" s="241" t="s">
        <v>2417</v>
      </c>
      <c r="AQ174" s="241"/>
      <c r="AR174" s="241"/>
      <c r="AS174" s="241"/>
      <c r="AT174" s="241" t="s">
        <v>2418</v>
      </c>
      <c r="AU174" s="241" t="s">
        <v>2419</v>
      </c>
      <c r="AV174" s="241" t="s">
        <v>2420</v>
      </c>
      <c r="AW174" s="241" t="s">
        <v>2421</v>
      </c>
      <c r="AX174" s="241">
        <f t="shared" si="20"/>
        <v>1</v>
      </c>
      <c r="AY174" s="241" t="str">
        <f t="shared" si="21"/>
        <v>K/1</v>
      </c>
      <c r="AZ174" s="241" t="s">
        <v>2422</v>
      </c>
      <c r="BA174" s="241" t="s">
        <v>2422</v>
      </c>
      <c r="BB174" s="241" t="s">
        <v>161</v>
      </c>
      <c r="BC174" s="241" t="s">
        <v>349</v>
      </c>
      <c r="BD174" s="241" t="s">
        <v>515</v>
      </c>
      <c r="BE174" s="241" t="s">
        <v>2423</v>
      </c>
      <c r="BF174" s="241">
        <v>2013</v>
      </c>
      <c r="BG174" s="241" t="s">
        <v>475</v>
      </c>
      <c r="BH174" s="241" t="s">
        <v>515</v>
      </c>
      <c r="BI174" s="241" t="s">
        <v>2423</v>
      </c>
      <c r="BJ174" s="241">
        <v>2013</v>
      </c>
      <c r="BK174" s="247"/>
      <c r="BL174" s="247"/>
      <c r="BM174" s="241" t="s">
        <v>351</v>
      </c>
      <c r="BN174" s="241">
        <v>34</v>
      </c>
      <c r="BO174" s="241">
        <v>43</v>
      </c>
      <c r="BP174" s="244"/>
      <c r="BQ174" s="244"/>
      <c r="BR174" s="244"/>
      <c r="BS174" s="244"/>
      <c r="BT174" s="241"/>
      <c r="BU174" s="241"/>
      <c r="BV174" s="241"/>
      <c r="BW174" s="241"/>
      <c r="BX174" s="241"/>
      <c r="BY174" s="241"/>
      <c r="BZ174" s="241"/>
      <c r="CA174" s="241"/>
      <c r="CB174" s="241"/>
      <c r="CC174" s="241"/>
      <c r="CD174" s="241"/>
      <c r="CE174" s="241" t="e">
        <f>VLOOKUP(D174,[1]Sertifikasi!$B$4:$I$19,8,0)</f>
        <v>#N/A</v>
      </c>
      <c r="CF174" s="13"/>
      <c r="CG174" s="13"/>
      <c r="CH174" s="13"/>
    </row>
    <row r="175" spans="1:86" ht="11.25" customHeight="1" x14ac:dyDescent="0.2">
      <c r="A175" s="13"/>
      <c r="B175" s="238">
        <v>171</v>
      </c>
      <c r="C175" s="241" t="e">
        <f t="shared" ca="1" si="24"/>
        <v>#NUM!</v>
      </c>
      <c r="D175" s="237" t="s">
        <v>2424</v>
      </c>
      <c r="E175" s="239">
        <v>641907259</v>
      </c>
      <c r="F175" s="237">
        <v>1710005658292</v>
      </c>
      <c r="G175" s="240"/>
      <c r="H175" s="241" t="s">
        <v>217</v>
      </c>
      <c r="I175" s="241" t="s">
        <v>432</v>
      </c>
      <c r="J175" s="242">
        <v>43647</v>
      </c>
      <c r="K175" s="241"/>
      <c r="L175" s="241"/>
      <c r="M175" s="241" t="str">
        <f t="shared" si="25"/>
        <v>PKWT</v>
      </c>
      <c r="N175" s="241" t="s">
        <v>187</v>
      </c>
      <c r="O175" s="241"/>
      <c r="P175" s="243">
        <v>45657</v>
      </c>
      <c r="Q175" s="241"/>
      <c r="R175" s="241" t="s">
        <v>206</v>
      </c>
      <c r="S175" s="241" t="s">
        <v>6863</v>
      </c>
      <c r="T175" s="241" t="s">
        <v>312</v>
      </c>
      <c r="U175" s="241" t="s">
        <v>187</v>
      </c>
      <c r="V175" s="241" t="s">
        <v>73</v>
      </c>
      <c r="W175" s="241" t="s">
        <v>73</v>
      </c>
      <c r="X175" s="241" t="s">
        <v>122</v>
      </c>
      <c r="Y175" s="241" t="s">
        <v>313</v>
      </c>
      <c r="Z175" s="241"/>
      <c r="AA175" s="241" t="s">
        <v>337</v>
      </c>
      <c r="AB175" s="241" t="s">
        <v>314</v>
      </c>
      <c r="AC175" s="241" t="s">
        <v>311</v>
      </c>
      <c r="AD175" s="245">
        <v>34683</v>
      </c>
      <c r="AE175" s="241">
        <f t="shared" ca="1" si="19"/>
        <v>30</v>
      </c>
      <c r="AF175" s="246" t="s">
        <v>2425</v>
      </c>
      <c r="AG175" s="241" t="s">
        <v>2426</v>
      </c>
      <c r="AH175" s="240" t="s">
        <v>2427</v>
      </c>
      <c r="AI175" s="240"/>
      <c r="AJ175" s="240"/>
      <c r="AK175" s="241" t="s">
        <v>2428</v>
      </c>
      <c r="AL175" s="246" t="s">
        <v>2429</v>
      </c>
      <c r="AM175" s="246">
        <v>18038345890</v>
      </c>
      <c r="AN175" s="241" t="s">
        <v>4733</v>
      </c>
      <c r="AO175" s="241" t="s">
        <v>2430</v>
      </c>
      <c r="AP175" s="241" t="s">
        <v>2431</v>
      </c>
      <c r="AQ175" s="241"/>
      <c r="AR175" s="241"/>
      <c r="AS175" s="241"/>
      <c r="AT175" s="241" t="s">
        <v>306</v>
      </c>
      <c r="AU175" s="241" t="s">
        <v>306</v>
      </c>
      <c r="AV175" s="241" t="s">
        <v>306</v>
      </c>
      <c r="AW175" s="241" t="s">
        <v>306</v>
      </c>
      <c r="AX175" s="241">
        <f t="shared" si="20"/>
        <v>1</v>
      </c>
      <c r="AY175" s="241" t="str">
        <f t="shared" si="21"/>
        <v>K/1</v>
      </c>
      <c r="AZ175" s="241"/>
      <c r="BA175" s="237"/>
      <c r="BB175" s="241" t="s">
        <v>161</v>
      </c>
      <c r="BC175" s="241" t="s">
        <v>349</v>
      </c>
      <c r="BD175" s="241" t="s">
        <v>515</v>
      </c>
      <c r="BE175" s="241" t="s">
        <v>2432</v>
      </c>
      <c r="BF175" s="241">
        <v>2013</v>
      </c>
      <c r="BG175" s="241" t="s">
        <v>349</v>
      </c>
      <c r="BH175" s="241" t="s">
        <v>515</v>
      </c>
      <c r="BI175" s="241" t="s">
        <v>2432</v>
      </c>
      <c r="BJ175" s="241">
        <v>2013</v>
      </c>
      <c r="BK175" s="247"/>
      <c r="BL175" s="247"/>
      <c r="BM175" s="241" t="s">
        <v>339</v>
      </c>
      <c r="BN175" s="241">
        <v>33</v>
      </c>
      <c r="BO175" s="241">
        <v>41</v>
      </c>
      <c r="BP175" s="244"/>
      <c r="BQ175" s="244"/>
      <c r="BR175" s="244"/>
      <c r="BS175" s="244"/>
      <c r="BT175" s="241"/>
      <c r="BU175" s="241"/>
      <c r="BV175" s="241"/>
      <c r="BW175" s="241"/>
      <c r="BX175" s="241"/>
      <c r="BY175" s="241"/>
      <c r="BZ175" s="241"/>
      <c r="CA175" s="241"/>
      <c r="CB175" s="241"/>
      <c r="CC175" s="241"/>
      <c r="CD175" s="241"/>
      <c r="CE175" s="241" t="e">
        <f>VLOOKUP(D175,[1]Sertifikasi!$B$4:$I$19,8,0)</f>
        <v>#N/A</v>
      </c>
      <c r="CF175" s="13"/>
      <c r="CG175" s="13"/>
      <c r="CH175" s="13"/>
    </row>
    <row r="176" spans="1:86" ht="11.25" customHeight="1" x14ac:dyDescent="0.2">
      <c r="A176" s="13"/>
      <c r="B176" s="238">
        <v>172</v>
      </c>
      <c r="C176" s="241" t="e">
        <f t="shared" ca="1" si="24"/>
        <v>#NUM!</v>
      </c>
      <c r="D176" s="237" t="s">
        <v>2433</v>
      </c>
      <c r="E176" s="239">
        <v>641907258</v>
      </c>
      <c r="F176" s="237">
        <v>1710005658268</v>
      </c>
      <c r="G176" s="240"/>
      <c r="H176" s="241" t="s">
        <v>24</v>
      </c>
      <c r="I176" s="241" t="s">
        <v>24</v>
      </c>
      <c r="J176" s="242">
        <v>43647</v>
      </c>
      <c r="K176" s="241"/>
      <c r="L176" s="241"/>
      <c r="M176" s="241" t="str">
        <f t="shared" si="25"/>
        <v>PKWT</v>
      </c>
      <c r="N176" s="241" t="s">
        <v>187</v>
      </c>
      <c r="O176" s="241"/>
      <c r="P176" s="243">
        <v>45657</v>
      </c>
      <c r="Q176" s="241"/>
      <c r="R176" s="241" t="s">
        <v>206</v>
      </c>
      <c r="S176" s="241" t="s">
        <v>6863</v>
      </c>
      <c r="T176" s="241" t="s">
        <v>312</v>
      </c>
      <c r="U176" s="241" t="s">
        <v>24</v>
      </c>
      <c r="V176" s="241" t="s">
        <v>443</v>
      </c>
      <c r="W176" s="241" t="s">
        <v>175</v>
      </c>
      <c r="X176" s="241" t="s">
        <v>121</v>
      </c>
      <c r="Y176" s="241" t="s">
        <v>313</v>
      </c>
      <c r="Z176" s="241" t="s">
        <v>462</v>
      </c>
      <c r="AA176" s="241" t="s">
        <v>337</v>
      </c>
      <c r="AB176" s="241" t="s">
        <v>314</v>
      </c>
      <c r="AC176" s="241" t="s">
        <v>2434</v>
      </c>
      <c r="AD176" s="245">
        <v>34500</v>
      </c>
      <c r="AE176" s="241">
        <f t="shared" ca="1" si="19"/>
        <v>31</v>
      </c>
      <c r="AF176" s="246" t="s">
        <v>2435</v>
      </c>
      <c r="AG176" s="241" t="s">
        <v>2436</v>
      </c>
      <c r="AH176" s="240" t="s">
        <v>2437</v>
      </c>
      <c r="AI176" s="240"/>
      <c r="AJ176" s="240"/>
      <c r="AK176" s="241" t="s">
        <v>2438</v>
      </c>
      <c r="AL176" s="246" t="s">
        <v>2439</v>
      </c>
      <c r="AM176" s="246">
        <v>19047644059</v>
      </c>
      <c r="AN176" s="241" t="s">
        <v>4733</v>
      </c>
      <c r="AO176" s="241" t="s">
        <v>2440</v>
      </c>
      <c r="AP176" s="241" t="s">
        <v>2441</v>
      </c>
      <c r="AQ176" s="241"/>
      <c r="AR176" s="241"/>
      <c r="AS176" s="241"/>
      <c r="AT176" s="241" t="s">
        <v>2442</v>
      </c>
      <c r="AU176" s="241" t="s">
        <v>2443</v>
      </c>
      <c r="AV176" s="241" t="s">
        <v>2444</v>
      </c>
      <c r="AW176" s="241" t="s">
        <v>2445</v>
      </c>
      <c r="AX176" s="241">
        <f t="shared" si="20"/>
        <v>1</v>
      </c>
      <c r="AY176" s="241" t="str">
        <f t="shared" si="21"/>
        <v>K/1</v>
      </c>
      <c r="AZ176" s="241" t="s">
        <v>2446</v>
      </c>
      <c r="BA176" s="237" t="s">
        <v>2446</v>
      </c>
      <c r="BB176" s="241" t="s">
        <v>161</v>
      </c>
      <c r="BC176" s="241" t="s">
        <v>349</v>
      </c>
      <c r="BD176" s="241" t="s">
        <v>515</v>
      </c>
      <c r="BE176" s="241" t="s">
        <v>2447</v>
      </c>
      <c r="BF176" s="241">
        <v>2013</v>
      </c>
      <c r="BG176" s="241" t="s">
        <v>349</v>
      </c>
      <c r="BH176" s="241" t="s">
        <v>515</v>
      </c>
      <c r="BI176" s="241" t="s">
        <v>2447</v>
      </c>
      <c r="BJ176" s="241">
        <v>2013</v>
      </c>
      <c r="BK176" s="247"/>
      <c r="BL176" s="247"/>
      <c r="BM176" s="241" t="s">
        <v>351</v>
      </c>
      <c r="BN176" s="241">
        <v>30</v>
      </c>
      <c r="BO176" s="241">
        <v>42</v>
      </c>
      <c r="BP176" s="244"/>
      <c r="BQ176" s="244"/>
      <c r="BR176" s="244"/>
      <c r="BS176" s="244"/>
      <c r="BT176" s="241"/>
      <c r="BU176" s="241"/>
      <c r="BV176" s="241"/>
      <c r="BW176" s="241"/>
      <c r="BX176" s="241"/>
      <c r="BY176" s="241"/>
      <c r="BZ176" s="241"/>
      <c r="CA176" s="241"/>
      <c r="CB176" s="241"/>
      <c r="CC176" s="241"/>
      <c r="CD176" s="241"/>
      <c r="CE176" s="241" t="e">
        <f>VLOOKUP(D176,[1]Sertifikasi!$B$4:$I$19,8,0)</f>
        <v>#N/A</v>
      </c>
      <c r="CF176" s="13"/>
      <c r="CG176" s="13"/>
      <c r="CH176" s="13"/>
    </row>
    <row r="177" spans="1:86" ht="11.25" customHeight="1" x14ac:dyDescent="0.2">
      <c r="A177" s="13"/>
      <c r="B177" s="238">
        <v>173</v>
      </c>
      <c r="C177" s="241" t="e">
        <f t="shared" ca="1" si="24"/>
        <v>#NUM!</v>
      </c>
      <c r="D177" s="237" t="s">
        <v>2448</v>
      </c>
      <c r="E177" s="239">
        <v>641907251</v>
      </c>
      <c r="F177" s="237">
        <v>1710005658391</v>
      </c>
      <c r="G177" s="240"/>
      <c r="H177" s="241" t="s">
        <v>22</v>
      </c>
      <c r="I177" s="241" t="s">
        <v>22</v>
      </c>
      <c r="J177" s="242">
        <v>43647</v>
      </c>
      <c r="K177" s="241"/>
      <c r="L177" s="241"/>
      <c r="M177" s="241" t="str">
        <f t="shared" si="25"/>
        <v>PKWT</v>
      </c>
      <c r="N177" s="241" t="s">
        <v>187</v>
      </c>
      <c r="O177" s="241"/>
      <c r="P177" s="243">
        <v>45657</v>
      </c>
      <c r="Q177" s="241"/>
      <c r="R177" s="241" t="s">
        <v>206</v>
      </c>
      <c r="S177" s="241" t="s">
        <v>6863</v>
      </c>
      <c r="T177" s="241" t="s">
        <v>312</v>
      </c>
      <c r="U177" s="241" t="s">
        <v>22</v>
      </c>
      <c r="V177" s="241" t="s">
        <v>547</v>
      </c>
      <c r="W177" s="241" t="s">
        <v>78</v>
      </c>
      <c r="X177" s="241" t="s">
        <v>122</v>
      </c>
      <c r="Y177" s="241" t="s">
        <v>313</v>
      </c>
      <c r="Z177" s="241"/>
      <c r="AA177" s="241" t="s">
        <v>337</v>
      </c>
      <c r="AB177" s="241" t="s">
        <v>314</v>
      </c>
      <c r="AC177" s="241" t="s">
        <v>2449</v>
      </c>
      <c r="AD177" s="245">
        <v>36844</v>
      </c>
      <c r="AE177" s="241">
        <f t="shared" ca="1" si="19"/>
        <v>24</v>
      </c>
      <c r="AF177" s="246" t="s">
        <v>2450</v>
      </c>
      <c r="AG177" s="241" t="s">
        <v>2451</v>
      </c>
      <c r="AH177" s="240" t="s">
        <v>2452</v>
      </c>
      <c r="AI177" s="240" t="s">
        <v>2453</v>
      </c>
      <c r="AJ177" s="240"/>
      <c r="AK177" s="241" t="s">
        <v>2454</v>
      </c>
      <c r="AL177" s="246" t="s">
        <v>2455</v>
      </c>
      <c r="AM177" s="246">
        <v>19047644075</v>
      </c>
      <c r="AN177" s="241" t="s">
        <v>4716</v>
      </c>
      <c r="AO177" s="241"/>
      <c r="AP177" s="241"/>
      <c r="AQ177" s="241"/>
      <c r="AR177" s="241"/>
      <c r="AS177" s="241"/>
      <c r="AT177" s="241" t="s">
        <v>306</v>
      </c>
      <c r="AU177" s="241" t="s">
        <v>306</v>
      </c>
      <c r="AV177" s="241" t="s">
        <v>306</v>
      </c>
      <c r="AW177" s="241" t="s">
        <v>306</v>
      </c>
      <c r="AX177" s="241">
        <f t="shared" si="20"/>
        <v>0</v>
      </c>
      <c r="AY177" s="241" t="str">
        <f t="shared" si="21"/>
        <v>TK/0</v>
      </c>
      <c r="AZ177" s="241"/>
      <c r="BA177" s="237"/>
      <c r="BB177" s="241" t="s">
        <v>161</v>
      </c>
      <c r="BC177" s="241" t="s">
        <v>349</v>
      </c>
      <c r="BD177" s="241" t="s">
        <v>515</v>
      </c>
      <c r="BE177" s="241" t="s">
        <v>2398</v>
      </c>
      <c r="BF177" s="241">
        <v>2018</v>
      </c>
      <c r="BG177" s="241" t="s">
        <v>475</v>
      </c>
      <c r="BH177" s="241" t="s">
        <v>515</v>
      </c>
      <c r="BI177" s="241" t="s">
        <v>2398</v>
      </c>
      <c r="BJ177" s="241">
        <v>2018</v>
      </c>
      <c r="BK177" s="247"/>
      <c r="BL177" s="247"/>
      <c r="BM177" s="241" t="s">
        <v>360</v>
      </c>
      <c r="BN177" s="241">
        <v>27</v>
      </c>
      <c r="BO177" s="241">
        <v>39</v>
      </c>
      <c r="BP177" s="244"/>
      <c r="BQ177" s="244"/>
      <c r="BR177" s="244"/>
      <c r="BS177" s="244"/>
      <c r="BT177" s="241"/>
      <c r="BU177" s="241"/>
      <c r="BV177" s="241"/>
      <c r="BW177" s="241"/>
      <c r="BX177" s="241"/>
      <c r="BY177" s="241"/>
      <c r="BZ177" s="241"/>
      <c r="CA177" s="241"/>
      <c r="CB177" s="241"/>
      <c r="CC177" s="241"/>
      <c r="CD177" s="241"/>
      <c r="CE177" s="241" t="e">
        <f>VLOOKUP(D177,[1]Sertifikasi!$B$4:$I$19,8,0)</f>
        <v>#N/A</v>
      </c>
      <c r="CF177" s="13"/>
      <c r="CG177" s="13"/>
      <c r="CH177" s="13"/>
    </row>
    <row r="178" spans="1:86" ht="11.25" customHeight="1" x14ac:dyDescent="0.2">
      <c r="A178" s="13"/>
      <c r="B178" s="238">
        <v>174</v>
      </c>
      <c r="C178" s="241" t="e">
        <f t="shared" ca="1" si="24"/>
        <v>#NUM!</v>
      </c>
      <c r="D178" s="237" t="s">
        <v>2456</v>
      </c>
      <c r="E178" s="239">
        <v>641907276</v>
      </c>
      <c r="F178" s="237">
        <v>1710005658045</v>
      </c>
      <c r="G178" s="240"/>
      <c r="H178" s="241" t="s">
        <v>24</v>
      </c>
      <c r="I178" s="241" t="s">
        <v>24</v>
      </c>
      <c r="J178" s="242">
        <v>43647</v>
      </c>
      <c r="K178" s="241"/>
      <c r="L178" s="241"/>
      <c r="M178" s="241" t="str">
        <f t="shared" si="25"/>
        <v>PKWT</v>
      </c>
      <c r="N178" s="241" t="s">
        <v>187</v>
      </c>
      <c r="O178" s="241"/>
      <c r="P178" s="243">
        <v>45657</v>
      </c>
      <c r="Q178" s="241"/>
      <c r="R178" s="241" t="s">
        <v>206</v>
      </c>
      <c r="S178" s="241" t="s">
        <v>6863</v>
      </c>
      <c r="T178" s="241" t="s">
        <v>312</v>
      </c>
      <c r="U178" s="241" t="s">
        <v>24</v>
      </c>
      <c r="V178" s="241" t="s">
        <v>443</v>
      </c>
      <c r="W178" s="241" t="s">
        <v>175</v>
      </c>
      <c r="X178" s="241" t="s">
        <v>121</v>
      </c>
      <c r="Y178" s="241" t="s">
        <v>313</v>
      </c>
      <c r="Z178" s="241" t="s">
        <v>462</v>
      </c>
      <c r="AA178" s="241" t="s">
        <v>337</v>
      </c>
      <c r="AB178" s="241" t="s">
        <v>314</v>
      </c>
      <c r="AC178" s="241" t="s">
        <v>2457</v>
      </c>
      <c r="AD178" s="245">
        <v>34511</v>
      </c>
      <c r="AE178" s="241">
        <f t="shared" ca="1" si="19"/>
        <v>31</v>
      </c>
      <c r="AF178" s="246" t="s">
        <v>2458</v>
      </c>
      <c r="AG178" s="241" t="s">
        <v>2459</v>
      </c>
      <c r="AH178" s="240" t="s">
        <v>2460</v>
      </c>
      <c r="AI178" s="240"/>
      <c r="AJ178" s="240"/>
      <c r="AK178" s="241" t="s">
        <v>2461</v>
      </c>
      <c r="AL178" s="246" t="s">
        <v>2462</v>
      </c>
      <c r="AM178" s="246">
        <v>12025840237</v>
      </c>
      <c r="AN178" s="241" t="s">
        <v>4733</v>
      </c>
      <c r="AO178" s="241" t="s">
        <v>2463</v>
      </c>
      <c r="AP178" s="241" t="s">
        <v>2464</v>
      </c>
      <c r="AQ178" s="241"/>
      <c r="AR178" s="241"/>
      <c r="AS178" s="241"/>
      <c r="AT178" s="241" t="s">
        <v>2465</v>
      </c>
      <c r="AU178" s="241" t="s">
        <v>2466</v>
      </c>
      <c r="AV178" s="241" t="s">
        <v>2467</v>
      </c>
      <c r="AW178" s="241" t="s">
        <v>2468</v>
      </c>
      <c r="AX178" s="241">
        <f t="shared" si="20"/>
        <v>1</v>
      </c>
      <c r="AY178" s="241" t="str">
        <f t="shared" si="21"/>
        <v>K/1</v>
      </c>
      <c r="AZ178" s="241" t="s">
        <v>2469</v>
      </c>
      <c r="BA178" s="241" t="s">
        <v>2469</v>
      </c>
      <c r="BB178" s="241" t="s">
        <v>161</v>
      </c>
      <c r="BC178" s="241" t="s">
        <v>349</v>
      </c>
      <c r="BD178" s="241" t="s">
        <v>515</v>
      </c>
      <c r="BE178" s="241" t="s">
        <v>2470</v>
      </c>
      <c r="BF178" s="241">
        <v>2012</v>
      </c>
      <c r="BG178" s="241" t="s">
        <v>70</v>
      </c>
      <c r="BH178" s="241" t="s">
        <v>91</v>
      </c>
      <c r="BI178" s="241" t="s">
        <v>2471</v>
      </c>
      <c r="BJ178" s="241">
        <v>2012</v>
      </c>
      <c r="BK178" s="247"/>
      <c r="BL178" s="247"/>
      <c r="BM178" s="241" t="s">
        <v>360</v>
      </c>
      <c r="BN178" s="241">
        <v>31</v>
      </c>
      <c r="BO178" s="241">
        <v>41</v>
      </c>
      <c r="BP178" s="244"/>
      <c r="BQ178" s="244">
        <v>44314</v>
      </c>
      <c r="BR178" s="244"/>
      <c r="BS178" s="244"/>
      <c r="BT178" s="241"/>
      <c r="BU178" s="241"/>
      <c r="BV178" s="241"/>
      <c r="BW178" s="241"/>
      <c r="BX178" s="241"/>
      <c r="BY178" s="241"/>
      <c r="BZ178" s="241"/>
      <c r="CA178" s="241"/>
      <c r="CB178" s="241"/>
      <c r="CC178" s="241"/>
      <c r="CD178" s="241"/>
      <c r="CE178" s="241" t="e">
        <f>VLOOKUP(D178,[1]Sertifikasi!$B$4:$I$19,8,0)</f>
        <v>#N/A</v>
      </c>
      <c r="CF178" s="13"/>
      <c r="CG178" s="13"/>
      <c r="CH178" s="13"/>
    </row>
    <row r="179" spans="1:86" ht="11.25" customHeight="1" x14ac:dyDescent="0.2">
      <c r="A179" s="13"/>
      <c r="B179" s="238">
        <v>175</v>
      </c>
      <c r="C179" s="241" t="e">
        <f t="shared" ca="1" si="24"/>
        <v>#NUM!</v>
      </c>
      <c r="D179" s="237" t="s">
        <v>2472</v>
      </c>
      <c r="E179" s="239">
        <v>641907248</v>
      </c>
      <c r="F179" s="237">
        <v>1710005657682</v>
      </c>
      <c r="G179" s="240"/>
      <c r="H179" s="241" t="s">
        <v>30</v>
      </c>
      <c r="I179" s="241" t="s">
        <v>30</v>
      </c>
      <c r="J179" s="242">
        <v>43647</v>
      </c>
      <c r="K179" s="241"/>
      <c r="L179" s="241"/>
      <c r="M179" s="241" t="str">
        <f t="shared" si="25"/>
        <v>PKWT</v>
      </c>
      <c r="N179" s="241" t="s">
        <v>187</v>
      </c>
      <c r="O179" s="241"/>
      <c r="P179" s="243">
        <v>45657</v>
      </c>
      <c r="Q179" s="241"/>
      <c r="R179" s="241" t="s">
        <v>206</v>
      </c>
      <c r="S179" s="241" t="s">
        <v>6863</v>
      </c>
      <c r="T179" s="241" t="s">
        <v>312</v>
      </c>
      <c r="U179" s="241" t="s">
        <v>30</v>
      </c>
      <c r="V179" s="241" t="s">
        <v>461</v>
      </c>
      <c r="W179" s="241" t="s">
        <v>128</v>
      </c>
      <c r="X179" s="241" t="s">
        <v>122</v>
      </c>
      <c r="Y179" s="241" t="s">
        <v>313</v>
      </c>
      <c r="Z179" s="241"/>
      <c r="AA179" s="241" t="s">
        <v>337</v>
      </c>
      <c r="AB179" s="241" t="s">
        <v>314</v>
      </c>
      <c r="AC179" s="241" t="s">
        <v>30</v>
      </c>
      <c r="AD179" s="245">
        <v>35270</v>
      </c>
      <c r="AE179" s="241">
        <f t="shared" ca="1" si="19"/>
        <v>29</v>
      </c>
      <c r="AF179" s="246" t="s">
        <v>2473</v>
      </c>
      <c r="AG179" s="241" t="s">
        <v>2474</v>
      </c>
      <c r="AH179" s="240" t="s">
        <v>2475</v>
      </c>
      <c r="AI179" s="240"/>
      <c r="AJ179" s="240"/>
      <c r="AK179" s="241" t="s">
        <v>2476</v>
      </c>
      <c r="AL179" s="246" t="s">
        <v>2477</v>
      </c>
      <c r="AM179" s="246">
        <v>19047644042</v>
      </c>
      <c r="AN179" s="241" t="s">
        <v>4716</v>
      </c>
      <c r="AO179" s="241"/>
      <c r="AP179" s="241"/>
      <c r="AQ179" s="241"/>
      <c r="AR179" s="241"/>
      <c r="AS179" s="241" t="s">
        <v>2478</v>
      </c>
      <c r="AT179" s="241" t="s">
        <v>306</v>
      </c>
      <c r="AU179" s="241" t="s">
        <v>306</v>
      </c>
      <c r="AV179" s="241" t="s">
        <v>306</v>
      </c>
      <c r="AW179" s="241" t="s">
        <v>306</v>
      </c>
      <c r="AX179" s="241">
        <f t="shared" si="20"/>
        <v>1</v>
      </c>
      <c r="AY179" s="241" t="str">
        <f t="shared" si="21"/>
        <v>TK/1</v>
      </c>
      <c r="AZ179" s="241"/>
      <c r="BA179" s="237"/>
      <c r="BB179" s="241" t="s">
        <v>161</v>
      </c>
      <c r="BC179" s="241" t="s">
        <v>349</v>
      </c>
      <c r="BD179" s="241" t="s">
        <v>515</v>
      </c>
      <c r="BE179" s="241" t="s">
        <v>2479</v>
      </c>
      <c r="BF179" s="241">
        <v>2016</v>
      </c>
      <c r="BG179" s="241" t="s">
        <v>475</v>
      </c>
      <c r="BH179" s="241" t="s">
        <v>515</v>
      </c>
      <c r="BI179" s="241" t="s">
        <v>2479</v>
      </c>
      <c r="BJ179" s="241">
        <v>2016</v>
      </c>
      <c r="BK179" s="247"/>
      <c r="BL179" s="247"/>
      <c r="BM179" s="241" t="s">
        <v>360</v>
      </c>
      <c r="BN179" s="241">
        <v>31</v>
      </c>
      <c r="BO179" s="241">
        <v>41</v>
      </c>
      <c r="BP179" s="244"/>
      <c r="BQ179" s="244"/>
      <c r="BR179" s="244"/>
      <c r="BS179" s="244"/>
      <c r="BT179" s="241"/>
      <c r="BU179" s="241"/>
      <c r="BV179" s="241"/>
      <c r="BW179" s="241"/>
      <c r="BX179" s="241"/>
      <c r="BY179" s="241"/>
      <c r="BZ179" s="241"/>
      <c r="CA179" s="241"/>
      <c r="CB179" s="241"/>
      <c r="CC179" s="241"/>
      <c r="CD179" s="241"/>
      <c r="CE179" s="241" t="e">
        <f>VLOOKUP(D179,[1]Sertifikasi!$B$4:$I$19,8,0)</f>
        <v>#N/A</v>
      </c>
      <c r="CF179" s="13"/>
      <c r="CG179" s="13"/>
      <c r="CH179" s="13"/>
    </row>
    <row r="180" spans="1:86" ht="11.25" customHeight="1" x14ac:dyDescent="0.2">
      <c r="A180" s="13"/>
      <c r="B180" s="238">
        <v>176</v>
      </c>
      <c r="C180" s="241" t="e">
        <f t="shared" ca="1" si="24"/>
        <v>#NUM!</v>
      </c>
      <c r="D180" s="237" t="s">
        <v>2465</v>
      </c>
      <c r="E180" s="239">
        <v>641907267</v>
      </c>
      <c r="F180" s="237">
        <v>1710005657674</v>
      </c>
      <c r="G180" s="240"/>
      <c r="H180" s="241" t="s">
        <v>24</v>
      </c>
      <c r="I180" s="241" t="s">
        <v>24</v>
      </c>
      <c r="J180" s="242">
        <v>43647</v>
      </c>
      <c r="K180" s="241"/>
      <c r="L180" s="241"/>
      <c r="M180" s="241" t="str">
        <f t="shared" si="25"/>
        <v>PKWT</v>
      </c>
      <c r="N180" s="241" t="s">
        <v>187</v>
      </c>
      <c r="O180" s="241"/>
      <c r="P180" s="243">
        <v>45657</v>
      </c>
      <c r="Q180" s="241"/>
      <c r="R180" s="241" t="s">
        <v>206</v>
      </c>
      <c r="S180" s="241" t="s">
        <v>6863</v>
      </c>
      <c r="T180" s="241" t="s">
        <v>312</v>
      </c>
      <c r="U180" s="241" t="s">
        <v>24</v>
      </c>
      <c r="V180" s="241" t="s">
        <v>443</v>
      </c>
      <c r="W180" s="241" t="s">
        <v>175</v>
      </c>
      <c r="X180" s="241" t="s">
        <v>121</v>
      </c>
      <c r="Y180" s="241" t="s">
        <v>313</v>
      </c>
      <c r="Z180" s="241"/>
      <c r="AA180" s="241" t="s">
        <v>337</v>
      </c>
      <c r="AB180" s="241" t="s">
        <v>314</v>
      </c>
      <c r="AC180" s="241" t="s">
        <v>1524</v>
      </c>
      <c r="AD180" s="245">
        <v>34265</v>
      </c>
      <c r="AE180" s="241">
        <f t="shared" ca="1" si="19"/>
        <v>31</v>
      </c>
      <c r="AF180" s="246" t="s">
        <v>2480</v>
      </c>
      <c r="AG180" s="241" t="s">
        <v>2481</v>
      </c>
      <c r="AH180" s="240" t="s">
        <v>2482</v>
      </c>
      <c r="AI180" s="240" t="s">
        <v>2483</v>
      </c>
      <c r="AJ180" s="240"/>
      <c r="AK180" s="241" t="s">
        <v>2484</v>
      </c>
      <c r="AL180" s="246" t="s">
        <v>2485</v>
      </c>
      <c r="AM180" s="246">
        <v>18114496930</v>
      </c>
      <c r="AN180" s="241" t="s">
        <v>4733</v>
      </c>
      <c r="AO180" s="241" t="s">
        <v>2486</v>
      </c>
      <c r="AP180" s="241" t="s">
        <v>2487</v>
      </c>
      <c r="AQ180" s="241"/>
      <c r="AR180" s="241"/>
      <c r="AS180" s="241"/>
      <c r="AT180" s="241" t="s">
        <v>2488</v>
      </c>
      <c r="AU180" s="241" t="s">
        <v>2489</v>
      </c>
      <c r="AV180" s="241" t="s">
        <v>306</v>
      </c>
      <c r="AW180" s="241" t="s">
        <v>306</v>
      </c>
      <c r="AX180" s="241">
        <f t="shared" si="20"/>
        <v>1</v>
      </c>
      <c r="AY180" s="241" t="str">
        <f t="shared" si="21"/>
        <v>K/1</v>
      </c>
      <c r="AZ180" s="241" t="s">
        <v>2490</v>
      </c>
      <c r="BA180" s="241" t="s">
        <v>2490</v>
      </c>
      <c r="BB180" s="241" t="s">
        <v>161</v>
      </c>
      <c r="BC180" s="241" t="s">
        <v>349</v>
      </c>
      <c r="BD180" s="241" t="s">
        <v>515</v>
      </c>
      <c r="BE180" s="241" t="s">
        <v>1531</v>
      </c>
      <c r="BF180" s="241">
        <v>2012</v>
      </c>
      <c r="BG180" s="241" t="s">
        <v>349</v>
      </c>
      <c r="BH180" s="241" t="s">
        <v>515</v>
      </c>
      <c r="BI180" s="241" t="s">
        <v>1531</v>
      </c>
      <c r="BJ180" s="241">
        <v>2012</v>
      </c>
      <c r="BK180" s="247"/>
      <c r="BL180" s="247"/>
      <c r="BM180" s="241" t="s">
        <v>351</v>
      </c>
      <c r="BN180" s="241">
        <v>30</v>
      </c>
      <c r="BO180" s="241">
        <v>41</v>
      </c>
      <c r="BP180" s="244"/>
      <c r="BQ180" s="244"/>
      <c r="BR180" s="244">
        <v>44887</v>
      </c>
      <c r="BS180" s="244"/>
      <c r="BT180" s="241"/>
      <c r="BU180" s="241"/>
      <c r="BV180" s="241"/>
      <c r="BW180" s="241"/>
      <c r="BX180" s="241"/>
      <c r="BY180" s="241"/>
      <c r="BZ180" s="241"/>
      <c r="CA180" s="241"/>
      <c r="CB180" s="241"/>
      <c r="CC180" s="241"/>
      <c r="CD180" s="241"/>
      <c r="CE180" s="241" t="e">
        <f>VLOOKUP(D180,[1]Sertifikasi!$B$4:$I$19,8,0)</f>
        <v>#N/A</v>
      </c>
      <c r="CF180" s="13"/>
      <c r="CG180" s="13"/>
      <c r="CH180" s="13"/>
    </row>
    <row r="181" spans="1:86" ht="11.25" customHeight="1" x14ac:dyDescent="0.2">
      <c r="A181" s="13"/>
      <c r="B181" s="238">
        <v>177</v>
      </c>
      <c r="C181" s="241" t="e">
        <f t="shared" ca="1" si="24"/>
        <v>#NUM!</v>
      </c>
      <c r="D181" s="237" t="s">
        <v>2491</v>
      </c>
      <c r="E181" s="239">
        <v>641907268</v>
      </c>
      <c r="F181" s="237">
        <v>1710005657534</v>
      </c>
      <c r="G181" s="240"/>
      <c r="H181" s="241" t="s">
        <v>24</v>
      </c>
      <c r="I181" s="241" t="s">
        <v>2492</v>
      </c>
      <c r="J181" s="242">
        <v>43647</v>
      </c>
      <c r="K181" s="241"/>
      <c r="L181" s="241"/>
      <c r="M181" s="241" t="str">
        <f t="shared" si="25"/>
        <v>PKWT</v>
      </c>
      <c r="N181" s="241" t="s">
        <v>187</v>
      </c>
      <c r="O181" s="241"/>
      <c r="P181" s="243">
        <v>45657</v>
      </c>
      <c r="Q181" s="241"/>
      <c r="R181" s="241" t="s">
        <v>206</v>
      </c>
      <c r="S181" s="241" t="s">
        <v>6863</v>
      </c>
      <c r="T181" s="241" t="s">
        <v>312</v>
      </c>
      <c r="U181" s="241" t="s">
        <v>24</v>
      </c>
      <c r="V181" s="241" t="s">
        <v>443</v>
      </c>
      <c r="W181" s="241" t="s">
        <v>175</v>
      </c>
      <c r="X181" s="241" t="s">
        <v>121</v>
      </c>
      <c r="Y181" s="241" t="s">
        <v>313</v>
      </c>
      <c r="Z181" s="241"/>
      <c r="AA181" s="241" t="s">
        <v>337</v>
      </c>
      <c r="AB181" s="241" t="s">
        <v>314</v>
      </c>
      <c r="AC181" s="241" t="s">
        <v>2492</v>
      </c>
      <c r="AD181" s="245">
        <v>35389</v>
      </c>
      <c r="AE181" s="241">
        <f t="shared" ca="1" si="19"/>
        <v>28</v>
      </c>
      <c r="AF181" s="246" t="s">
        <v>2493</v>
      </c>
      <c r="AG181" s="241" t="s">
        <v>2494</v>
      </c>
      <c r="AH181" s="240" t="s">
        <v>2495</v>
      </c>
      <c r="AI181" s="240"/>
      <c r="AJ181" s="240"/>
      <c r="AK181" s="241" t="s">
        <v>2496</v>
      </c>
      <c r="AL181" s="246" t="s">
        <v>2497</v>
      </c>
      <c r="AM181" s="246">
        <v>18035432733</v>
      </c>
      <c r="AN181" s="241" t="s">
        <v>4716</v>
      </c>
      <c r="AO181" s="241"/>
      <c r="AP181" s="241"/>
      <c r="AQ181" s="241"/>
      <c r="AR181" s="241"/>
      <c r="AS181" s="241"/>
      <c r="AT181" s="241" t="s">
        <v>2498</v>
      </c>
      <c r="AU181" s="241" t="s">
        <v>2499</v>
      </c>
      <c r="AV181" s="241" t="s">
        <v>306</v>
      </c>
      <c r="AW181" s="241" t="s">
        <v>306</v>
      </c>
      <c r="AX181" s="241">
        <f t="shared" si="20"/>
        <v>0</v>
      </c>
      <c r="AY181" s="241" t="str">
        <f t="shared" si="21"/>
        <v>TK/0</v>
      </c>
      <c r="AZ181" s="241" t="s">
        <v>2500</v>
      </c>
      <c r="BA181" s="237" t="s">
        <v>2500</v>
      </c>
      <c r="BB181" s="241" t="s">
        <v>161</v>
      </c>
      <c r="BC181" s="241" t="s">
        <v>349</v>
      </c>
      <c r="BD181" s="241" t="s">
        <v>515</v>
      </c>
      <c r="BE181" s="241" t="s">
        <v>2501</v>
      </c>
      <c r="BF181" s="241">
        <v>2015</v>
      </c>
      <c r="BG181" s="241" t="s">
        <v>349</v>
      </c>
      <c r="BH181" s="241" t="s">
        <v>515</v>
      </c>
      <c r="BI181" s="241" t="s">
        <v>2501</v>
      </c>
      <c r="BJ181" s="241">
        <v>2015</v>
      </c>
      <c r="BK181" s="247"/>
      <c r="BL181" s="247"/>
      <c r="BM181" s="241" t="s">
        <v>351</v>
      </c>
      <c r="BN181" s="241">
        <v>32</v>
      </c>
      <c r="BO181" s="241">
        <v>41</v>
      </c>
      <c r="BP181" s="244"/>
      <c r="BQ181" s="244"/>
      <c r="BR181" s="244"/>
      <c r="BS181" s="244"/>
      <c r="BT181" s="241"/>
      <c r="BU181" s="241"/>
      <c r="BV181" s="241"/>
      <c r="BW181" s="241"/>
      <c r="BX181" s="241"/>
      <c r="BY181" s="241"/>
      <c r="BZ181" s="241"/>
      <c r="CA181" s="241"/>
      <c r="CB181" s="241"/>
      <c r="CC181" s="241"/>
      <c r="CD181" s="241"/>
      <c r="CE181" s="241" t="e">
        <f>VLOOKUP(D181,[1]Sertifikasi!$B$4:$I$19,8,0)</f>
        <v>#N/A</v>
      </c>
      <c r="CF181" s="13"/>
      <c r="CG181" s="13"/>
      <c r="CH181" s="13"/>
    </row>
    <row r="182" spans="1:86" ht="11.25" customHeight="1" x14ac:dyDescent="0.2">
      <c r="A182" s="13"/>
      <c r="B182" s="238">
        <v>178</v>
      </c>
      <c r="C182" s="241" t="e">
        <f t="shared" ca="1" si="24"/>
        <v>#NUM!</v>
      </c>
      <c r="D182" s="237" t="s">
        <v>2502</v>
      </c>
      <c r="E182" s="239">
        <v>641907254</v>
      </c>
      <c r="F182" s="237">
        <v>1710005657880</v>
      </c>
      <c r="G182" s="240"/>
      <c r="H182" s="241" t="s">
        <v>2503</v>
      </c>
      <c r="I182" s="241" t="s">
        <v>2503</v>
      </c>
      <c r="J182" s="242">
        <v>43647</v>
      </c>
      <c r="K182" s="241"/>
      <c r="L182" s="241"/>
      <c r="M182" s="241" t="str">
        <f t="shared" si="25"/>
        <v>PKWT</v>
      </c>
      <c r="N182" s="241" t="s">
        <v>187</v>
      </c>
      <c r="O182" s="241"/>
      <c r="P182" s="243">
        <v>45657</v>
      </c>
      <c r="Q182" s="241"/>
      <c r="R182" s="241" t="s">
        <v>206</v>
      </c>
      <c r="S182" s="241" t="s">
        <v>6863</v>
      </c>
      <c r="T182" s="241" t="s">
        <v>312</v>
      </c>
      <c r="U182" s="241" t="s">
        <v>23</v>
      </c>
      <c r="V182" s="241" t="s">
        <v>443</v>
      </c>
      <c r="W182" s="241" t="s">
        <v>51</v>
      </c>
      <c r="X182" s="241" t="s">
        <v>121</v>
      </c>
      <c r="Y182" s="241" t="s">
        <v>313</v>
      </c>
      <c r="Z182" s="241"/>
      <c r="AA182" s="241" t="s">
        <v>337</v>
      </c>
      <c r="AB182" s="241" t="s">
        <v>314</v>
      </c>
      <c r="AC182" s="241" t="s">
        <v>867</v>
      </c>
      <c r="AD182" s="245">
        <v>34829</v>
      </c>
      <c r="AE182" s="241">
        <f t="shared" ca="1" si="19"/>
        <v>30</v>
      </c>
      <c r="AF182" s="246" t="s">
        <v>2504</v>
      </c>
      <c r="AG182" s="241" t="s">
        <v>2505</v>
      </c>
      <c r="AH182" s="240" t="s">
        <v>2506</v>
      </c>
      <c r="AI182" s="240"/>
      <c r="AJ182" s="240"/>
      <c r="AK182" s="241" t="s">
        <v>2507</v>
      </c>
      <c r="AL182" s="246" t="s">
        <v>2508</v>
      </c>
      <c r="AM182" s="246">
        <v>14003375376</v>
      </c>
      <c r="AN182" s="241" t="s">
        <v>4733</v>
      </c>
      <c r="AO182" s="241" t="s">
        <v>2509</v>
      </c>
      <c r="AP182" s="241" t="s">
        <v>2510</v>
      </c>
      <c r="AQ182" s="241"/>
      <c r="AR182" s="241"/>
      <c r="AS182" s="241"/>
      <c r="AT182" s="241" t="s">
        <v>306</v>
      </c>
      <c r="AU182" s="241" t="s">
        <v>306</v>
      </c>
      <c r="AV182" s="241" t="s">
        <v>306</v>
      </c>
      <c r="AW182" s="241" t="s">
        <v>306</v>
      </c>
      <c r="AX182" s="241">
        <f t="shared" si="20"/>
        <v>1</v>
      </c>
      <c r="AY182" s="241" t="str">
        <f t="shared" si="21"/>
        <v>K/1</v>
      </c>
      <c r="AZ182" s="241"/>
      <c r="BA182" s="237"/>
      <c r="BB182" s="241" t="s">
        <v>161</v>
      </c>
      <c r="BC182" s="241" t="s">
        <v>349</v>
      </c>
      <c r="BD182" s="241" t="s">
        <v>515</v>
      </c>
      <c r="BE182" s="241" t="s">
        <v>2511</v>
      </c>
      <c r="BF182" s="241">
        <v>2013</v>
      </c>
      <c r="BG182" s="241" t="s">
        <v>475</v>
      </c>
      <c r="BH182" s="241" t="s">
        <v>515</v>
      </c>
      <c r="BI182" s="241" t="s">
        <v>2511</v>
      </c>
      <c r="BJ182" s="241">
        <v>2013</v>
      </c>
      <c r="BK182" s="247"/>
      <c r="BL182" s="247"/>
      <c r="BM182" s="241" t="s">
        <v>351</v>
      </c>
      <c r="BN182" s="241">
        <v>29</v>
      </c>
      <c r="BO182" s="241">
        <v>40</v>
      </c>
      <c r="BP182" s="244">
        <v>44400</v>
      </c>
      <c r="BQ182" s="244"/>
      <c r="BR182" s="244">
        <v>44868</v>
      </c>
      <c r="BS182" s="244"/>
      <c r="BT182" s="241"/>
      <c r="BU182" s="241"/>
      <c r="BV182" s="241"/>
      <c r="BW182" s="241"/>
      <c r="BX182" s="241"/>
      <c r="BY182" s="241"/>
      <c r="BZ182" s="241"/>
      <c r="CA182" s="241"/>
      <c r="CB182" s="241"/>
      <c r="CC182" s="241"/>
      <c r="CD182" s="241"/>
      <c r="CE182" s="241" t="e">
        <f>VLOOKUP(D182,[1]Sertifikasi!$B$4:$I$19,8,0)</f>
        <v>#N/A</v>
      </c>
      <c r="CF182" s="13"/>
      <c r="CG182" s="13"/>
      <c r="CH182" s="13"/>
    </row>
    <row r="183" spans="1:86" ht="11.25" customHeight="1" x14ac:dyDescent="0.2">
      <c r="A183" s="13"/>
      <c r="B183" s="238">
        <v>179</v>
      </c>
      <c r="C183" s="248" t="s">
        <v>292</v>
      </c>
      <c r="D183" s="237" t="s">
        <v>2522</v>
      </c>
      <c r="E183" s="239">
        <v>972000057</v>
      </c>
      <c r="F183" s="237">
        <v>1710005657955</v>
      </c>
      <c r="G183" s="240"/>
      <c r="H183" s="249" t="s">
        <v>217</v>
      </c>
      <c r="I183" s="241" t="s">
        <v>1160</v>
      </c>
      <c r="J183" s="242">
        <v>43647</v>
      </c>
      <c r="K183" s="241"/>
      <c r="L183" s="241"/>
      <c r="M183" s="241" t="str">
        <f t="shared" si="25"/>
        <v>ORGANIK IMSS</v>
      </c>
      <c r="N183" s="241" t="s">
        <v>187</v>
      </c>
      <c r="O183" s="241" t="s">
        <v>2523</v>
      </c>
      <c r="P183" s="243">
        <v>43984</v>
      </c>
      <c r="Q183" s="244"/>
      <c r="R183" s="241" t="s">
        <v>139</v>
      </c>
      <c r="S183" s="241" t="s">
        <v>6863</v>
      </c>
      <c r="T183" s="241" t="s">
        <v>296</v>
      </c>
      <c r="U183" s="241" t="s">
        <v>187</v>
      </c>
      <c r="V183" s="241" t="s">
        <v>1115</v>
      </c>
      <c r="W183" s="241" t="s">
        <v>119</v>
      </c>
      <c r="X183" s="241" t="s">
        <v>120</v>
      </c>
      <c r="Y183" s="241" t="s">
        <v>313</v>
      </c>
      <c r="Z183" s="241"/>
      <c r="AA183" s="241"/>
      <c r="AB183" s="241" t="s">
        <v>132</v>
      </c>
      <c r="AC183" s="241" t="s">
        <v>1160</v>
      </c>
      <c r="AD183" s="245">
        <v>35290</v>
      </c>
      <c r="AE183" s="241">
        <f t="shared" ca="1" si="19"/>
        <v>29</v>
      </c>
      <c r="AF183" s="246" t="s">
        <v>2524</v>
      </c>
      <c r="AG183" s="241" t="s">
        <v>2525</v>
      </c>
      <c r="AH183" s="240" t="s">
        <v>2526</v>
      </c>
      <c r="AI183" s="240"/>
      <c r="AJ183" s="240"/>
      <c r="AK183" s="250" t="s">
        <v>2527</v>
      </c>
      <c r="AL183" s="246" t="s">
        <v>2528</v>
      </c>
      <c r="AM183" s="246">
        <v>19047643515</v>
      </c>
      <c r="AN183" s="241" t="s">
        <v>4716</v>
      </c>
      <c r="AO183" s="241"/>
      <c r="AP183" s="241"/>
      <c r="AQ183" s="241"/>
      <c r="AR183" s="241"/>
      <c r="AS183" s="241"/>
      <c r="AT183" s="241" t="s">
        <v>306</v>
      </c>
      <c r="AU183" s="241" t="s">
        <v>306</v>
      </c>
      <c r="AV183" s="241" t="s">
        <v>306</v>
      </c>
      <c r="AW183" s="241" t="s">
        <v>306</v>
      </c>
      <c r="AX183" s="241">
        <f t="shared" si="20"/>
        <v>0</v>
      </c>
      <c r="AY183" s="241" t="str">
        <f t="shared" si="21"/>
        <v>TK/0</v>
      </c>
      <c r="AZ183" s="241"/>
      <c r="BA183" s="237"/>
      <c r="BB183" s="249" t="s">
        <v>161</v>
      </c>
      <c r="BC183" s="241" t="s">
        <v>155</v>
      </c>
      <c r="BD183" s="241" t="s">
        <v>573</v>
      </c>
      <c r="BE183" s="241" t="s">
        <v>2529</v>
      </c>
      <c r="BF183" s="241">
        <v>2017</v>
      </c>
      <c r="BG183" s="241" t="s">
        <v>155</v>
      </c>
      <c r="BH183" s="241" t="s">
        <v>573</v>
      </c>
      <c r="BI183" s="241" t="s">
        <v>2529</v>
      </c>
      <c r="BJ183" s="241">
        <v>2017</v>
      </c>
      <c r="BK183" s="247">
        <v>55672</v>
      </c>
      <c r="BL183" s="247">
        <v>56037</v>
      </c>
      <c r="BM183" s="242"/>
      <c r="BN183" s="241"/>
      <c r="BO183" s="241">
        <v>42</v>
      </c>
      <c r="BP183" s="244">
        <v>44259</v>
      </c>
      <c r="BQ183" s="244">
        <v>44304</v>
      </c>
      <c r="BR183" s="244">
        <v>44585</v>
      </c>
      <c r="BS183" s="244"/>
      <c r="BT183" s="241"/>
      <c r="BU183" s="241"/>
      <c r="BV183" s="241"/>
      <c r="BW183" s="241"/>
      <c r="BX183" s="241"/>
      <c r="BY183" s="241"/>
      <c r="BZ183" s="241"/>
      <c r="CA183" s="241"/>
      <c r="CB183" s="241"/>
      <c r="CC183" s="241"/>
      <c r="CD183" s="241"/>
      <c r="CE183" s="241" t="e">
        <f>VLOOKUP(D183,[1]Sertifikasi!$B$4:$I$19,8,0)</f>
        <v>#N/A</v>
      </c>
      <c r="CF183" s="13"/>
      <c r="CG183" s="13"/>
      <c r="CH183" s="13"/>
    </row>
    <row r="184" spans="1:86" ht="11.25" customHeight="1" x14ac:dyDescent="0.2">
      <c r="A184" s="13"/>
      <c r="B184" s="238">
        <v>180</v>
      </c>
      <c r="C184" s="241" t="e">
        <f t="shared" ref="C184:C193" ca="1" si="26">DATEDIF($E$3,P184,"D")</f>
        <v>#NUM!</v>
      </c>
      <c r="D184" s="237" t="s">
        <v>2530</v>
      </c>
      <c r="E184" s="239">
        <v>641907279</v>
      </c>
      <c r="F184" s="237">
        <v>1710005657096</v>
      </c>
      <c r="G184" s="240"/>
      <c r="H184" s="249" t="s">
        <v>217</v>
      </c>
      <c r="I184" s="241" t="s">
        <v>25</v>
      </c>
      <c r="J184" s="242">
        <v>43661</v>
      </c>
      <c r="K184" s="241"/>
      <c r="L184" s="241"/>
      <c r="M184" s="241" t="str">
        <f t="shared" si="25"/>
        <v>PKWT</v>
      </c>
      <c r="N184" s="241" t="s">
        <v>187</v>
      </c>
      <c r="O184" s="241" t="s">
        <v>2531</v>
      </c>
      <c r="P184" s="243">
        <v>45487</v>
      </c>
      <c r="Q184" s="244"/>
      <c r="R184" s="241" t="s">
        <v>139</v>
      </c>
      <c r="S184" s="241" t="s">
        <v>6863</v>
      </c>
      <c r="T184" s="241" t="s">
        <v>296</v>
      </c>
      <c r="U184" s="241" t="s">
        <v>187</v>
      </c>
      <c r="V184" s="241" t="s">
        <v>73</v>
      </c>
      <c r="W184" s="241" t="s">
        <v>73</v>
      </c>
      <c r="X184" s="241" t="s">
        <v>122</v>
      </c>
      <c r="Y184" s="241" t="s">
        <v>313</v>
      </c>
      <c r="Z184" s="241"/>
      <c r="AA184" s="241"/>
      <c r="AB184" s="241" t="s">
        <v>132</v>
      </c>
      <c r="AC184" s="241" t="s">
        <v>25</v>
      </c>
      <c r="AD184" s="245">
        <v>32244</v>
      </c>
      <c r="AE184" s="241">
        <f t="shared" ca="1" si="19"/>
        <v>37</v>
      </c>
      <c r="AF184" s="246" t="s">
        <v>2532</v>
      </c>
      <c r="AG184" s="241" t="s">
        <v>2533</v>
      </c>
      <c r="AH184" s="240" t="s">
        <v>2534</v>
      </c>
      <c r="AI184" s="240"/>
      <c r="AJ184" s="240"/>
      <c r="AK184" s="250" t="s">
        <v>2535</v>
      </c>
      <c r="AL184" s="246" t="s">
        <v>2536</v>
      </c>
      <c r="AM184" s="246">
        <v>19063315378</v>
      </c>
      <c r="AN184" s="241" t="s">
        <v>4733</v>
      </c>
      <c r="AO184" s="241" t="s">
        <v>2537</v>
      </c>
      <c r="AP184" s="241" t="s">
        <v>2538</v>
      </c>
      <c r="AQ184" s="241" t="s">
        <v>2539</v>
      </c>
      <c r="AR184" s="241"/>
      <c r="AS184" s="241"/>
      <c r="AT184" s="241" t="s">
        <v>306</v>
      </c>
      <c r="AU184" s="241" t="s">
        <v>306</v>
      </c>
      <c r="AV184" s="241" t="s">
        <v>306</v>
      </c>
      <c r="AW184" s="241" t="s">
        <v>306</v>
      </c>
      <c r="AX184" s="241">
        <f t="shared" si="20"/>
        <v>2</v>
      </c>
      <c r="AY184" s="241" t="str">
        <f t="shared" si="21"/>
        <v>K/2</v>
      </c>
      <c r="AZ184" s="241"/>
      <c r="BA184" s="237"/>
      <c r="BB184" s="249" t="s">
        <v>161</v>
      </c>
      <c r="BC184" s="241" t="s">
        <v>75</v>
      </c>
      <c r="BD184" s="241" t="s">
        <v>91</v>
      </c>
      <c r="BE184" s="241" t="s">
        <v>1842</v>
      </c>
      <c r="BF184" s="241">
        <v>2011</v>
      </c>
      <c r="BG184" s="241" t="s">
        <v>75</v>
      </c>
      <c r="BH184" s="241" t="s">
        <v>91</v>
      </c>
      <c r="BI184" s="241" t="s">
        <v>1842</v>
      </c>
      <c r="BJ184" s="241">
        <v>2011</v>
      </c>
      <c r="BK184" s="247"/>
      <c r="BL184" s="247"/>
      <c r="BM184" s="241"/>
      <c r="BN184" s="241"/>
      <c r="BO184" s="241">
        <v>42</v>
      </c>
      <c r="BP184" s="244">
        <v>44293</v>
      </c>
      <c r="BQ184" s="244">
        <v>44322</v>
      </c>
      <c r="BR184" s="244">
        <v>44905</v>
      </c>
      <c r="BS184" s="244"/>
      <c r="BT184" s="241"/>
      <c r="BU184" s="241"/>
      <c r="BV184" s="241"/>
      <c r="BW184" s="241"/>
      <c r="BX184" s="241"/>
      <c r="BY184" s="241"/>
      <c r="BZ184" s="241"/>
      <c r="CA184" s="241"/>
      <c r="CB184" s="241"/>
      <c r="CC184" s="241"/>
      <c r="CD184" s="241"/>
      <c r="CE184" s="241" t="e">
        <f>VLOOKUP(D184,[1]Sertifikasi!$B$4:$I$19,8,0)</f>
        <v>#N/A</v>
      </c>
      <c r="CF184" s="13"/>
      <c r="CG184" s="13"/>
      <c r="CH184" s="13"/>
    </row>
    <row r="185" spans="1:86" ht="11.25" customHeight="1" x14ac:dyDescent="0.2">
      <c r="A185" s="13"/>
      <c r="B185" s="238">
        <v>181</v>
      </c>
      <c r="C185" s="241" t="e">
        <f t="shared" ca="1" si="26"/>
        <v>#NUM!</v>
      </c>
      <c r="D185" s="237" t="s">
        <v>2540</v>
      </c>
      <c r="E185" s="239">
        <v>642002073</v>
      </c>
      <c r="F185" s="237">
        <v>1710006986346</v>
      </c>
      <c r="G185" s="240"/>
      <c r="H185" s="241" t="s">
        <v>29</v>
      </c>
      <c r="I185" s="241" t="s">
        <v>29</v>
      </c>
      <c r="J185" s="242">
        <v>43878</v>
      </c>
      <c r="K185" s="241"/>
      <c r="L185" s="241"/>
      <c r="M185" s="241" t="str">
        <f t="shared" si="25"/>
        <v>PKWT</v>
      </c>
      <c r="N185" s="241" t="s">
        <v>187</v>
      </c>
      <c r="O185" s="241"/>
      <c r="P185" s="243">
        <v>45657</v>
      </c>
      <c r="Q185" s="241"/>
      <c r="R185" s="241" t="s">
        <v>206</v>
      </c>
      <c r="S185" s="241" t="s">
        <v>6863</v>
      </c>
      <c r="T185" s="241" t="s">
        <v>312</v>
      </c>
      <c r="U185" s="241" t="s">
        <v>29</v>
      </c>
      <c r="V185" s="241" t="s">
        <v>204</v>
      </c>
      <c r="W185" s="241" t="s">
        <v>41</v>
      </c>
      <c r="X185" s="241" t="s">
        <v>122</v>
      </c>
      <c r="Y185" s="241" t="s">
        <v>313</v>
      </c>
      <c r="Z185" s="241"/>
      <c r="AA185" s="241"/>
      <c r="AB185" s="241" t="s">
        <v>314</v>
      </c>
      <c r="AC185" s="241" t="s">
        <v>2541</v>
      </c>
      <c r="AD185" s="245">
        <v>33600</v>
      </c>
      <c r="AE185" s="241">
        <f t="shared" ca="1" si="19"/>
        <v>33</v>
      </c>
      <c r="AF185" s="246" t="s">
        <v>2542</v>
      </c>
      <c r="AG185" s="241" t="s">
        <v>2543</v>
      </c>
      <c r="AH185" s="240" t="s">
        <v>2544</v>
      </c>
      <c r="AI185" s="240"/>
      <c r="AJ185" s="240"/>
      <c r="AK185" s="241" t="s">
        <v>2545</v>
      </c>
      <c r="AL185" s="246" t="s">
        <v>2546</v>
      </c>
      <c r="AM185" s="246">
        <v>20024319749</v>
      </c>
      <c r="AN185" s="241" t="s">
        <v>4733</v>
      </c>
      <c r="AO185" s="241" t="s">
        <v>2547</v>
      </c>
      <c r="AP185" s="241" t="s">
        <v>2548</v>
      </c>
      <c r="AQ185" s="241"/>
      <c r="AR185" s="241"/>
      <c r="AS185" s="241"/>
      <c r="AT185" s="241" t="s">
        <v>306</v>
      </c>
      <c r="AU185" s="241" t="s">
        <v>306</v>
      </c>
      <c r="AV185" s="241" t="s">
        <v>306</v>
      </c>
      <c r="AW185" s="241" t="s">
        <v>306</v>
      </c>
      <c r="AX185" s="241">
        <f t="shared" si="20"/>
        <v>1</v>
      </c>
      <c r="AY185" s="241" t="str">
        <f t="shared" si="21"/>
        <v>K/1</v>
      </c>
      <c r="AZ185" s="241"/>
      <c r="BA185" s="237"/>
      <c r="BB185" s="241" t="s">
        <v>161</v>
      </c>
      <c r="BC185" s="241" t="s">
        <v>349</v>
      </c>
      <c r="BD185" s="241" t="s">
        <v>91</v>
      </c>
      <c r="BE185" s="241" t="s">
        <v>2549</v>
      </c>
      <c r="BF185" s="241">
        <v>2009</v>
      </c>
      <c r="BG185" s="241" t="s">
        <v>349</v>
      </c>
      <c r="BH185" s="241" t="s">
        <v>91</v>
      </c>
      <c r="BI185" s="241" t="s">
        <v>2549</v>
      </c>
      <c r="BJ185" s="241">
        <v>2009</v>
      </c>
      <c r="BK185" s="247"/>
      <c r="BL185" s="247"/>
      <c r="BM185" s="241" t="s">
        <v>360</v>
      </c>
      <c r="BN185" s="241" t="s">
        <v>360</v>
      </c>
      <c r="BO185" s="241">
        <v>29</v>
      </c>
      <c r="BP185" s="244"/>
      <c r="BQ185" s="244"/>
      <c r="BR185" s="244"/>
      <c r="BS185" s="244"/>
      <c r="BT185" s="241"/>
      <c r="BU185" s="241"/>
      <c r="BV185" s="241"/>
      <c r="BW185" s="241"/>
      <c r="BX185" s="241"/>
      <c r="BY185" s="241"/>
      <c r="BZ185" s="241"/>
      <c r="CA185" s="241"/>
      <c r="CB185" s="241"/>
      <c r="CC185" s="241"/>
      <c r="CD185" s="241"/>
      <c r="CE185" s="241" t="e">
        <f>VLOOKUP(D185,[1]Sertifikasi!$B$4:$I$19,8,0)</f>
        <v>#N/A</v>
      </c>
      <c r="CF185" s="13"/>
      <c r="CG185" s="13"/>
      <c r="CH185" s="13"/>
    </row>
    <row r="186" spans="1:86" ht="11.25" customHeight="1" x14ac:dyDescent="0.2">
      <c r="A186" s="13"/>
      <c r="B186" s="238">
        <v>182</v>
      </c>
      <c r="C186" s="241" t="e">
        <f t="shared" ca="1" si="26"/>
        <v>#NUM!</v>
      </c>
      <c r="D186" s="237" t="s">
        <v>2550</v>
      </c>
      <c r="E186" s="239">
        <v>642002074</v>
      </c>
      <c r="F186" s="237">
        <v>1710006361227</v>
      </c>
      <c r="G186" s="240"/>
      <c r="H186" s="241" t="s">
        <v>25</v>
      </c>
      <c r="I186" s="241" t="s">
        <v>25</v>
      </c>
      <c r="J186" s="242">
        <v>43880</v>
      </c>
      <c r="K186" s="241"/>
      <c r="L186" s="241"/>
      <c r="M186" s="241" t="str">
        <f t="shared" si="25"/>
        <v>PKWT</v>
      </c>
      <c r="N186" s="241" t="s">
        <v>187</v>
      </c>
      <c r="O186" s="241"/>
      <c r="P186" s="243">
        <v>45657</v>
      </c>
      <c r="Q186" s="241"/>
      <c r="R186" s="241" t="s">
        <v>206</v>
      </c>
      <c r="S186" s="241" t="s">
        <v>6863</v>
      </c>
      <c r="T186" s="241" t="s">
        <v>296</v>
      </c>
      <c r="U186" s="241" t="s">
        <v>25</v>
      </c>
      <c r="V186" s="241" t="s">
        <v>443</v>
      </c>
      <c r="W186" s="241" t="s">
        <v>748</v>
      </c>
      <c r="X186" s="241" t="s">
        <v>121</v>
      </c>
      <c r="Y186" s="241" t="s">
        <v>313</v>
      </c>
      <c r="Z186" s="241"/>
      <c r="AA186" s="241"/>
      <c r="AB186" s="241" t="s">
        <v>133</v>
      </c>
      <c r="AC186" s="241" t="s">
        <v>2276</v>
      </c>
      <c r="AD186" s="245">
        <v>34615</v>
      </c>
      <c r="AE186" s="241">
        <f t="shared" ca="1" si="19"/>
        <v>30</v>
      </c>
      <c r="AF186" s="246" t="s">
        <v>2551</v>
      </c>
      <c r="AG186" s="241" t="s">
        <v>2552</v>
      </c>
      <c r="AH186" s="240" t="s">
        <v>2553</v>
      </c>
      <c r="AI186" s="240"/>
      <c r="AJ186" s="240"/>
      <c r="AK186" s="241" t="s">
        <v>2554</v>
      </c>
      <c r="AL186" s="246" t="s">
        <v>2555</v>
      </c>
      <c r="AM186" s="246">
        <v>20024319731</v>
      </c>
      <c r="AN186" s="241" t="s">
        <v>4716</v>
      </c>
      <c r="AO186" s="241"/>
      <c r="AP186" s="241"/>
      <c r="AQ186" s="241"/>
      <c r="AR186" s="241"/>
      <c r="AS186" s="241"/>
      <c r="AT186" s="241" t="s">
        <v>306</v>
      </c>
      <c r="AU186" s="241" t="s">
        <v>2556</v>
      </c>
      <c r="AV186" s="241" t="s">
        <v>306</v>
      </c>
      <c r="AW186" s="241" t="s">
        <v>306</v>
      </c>
      <c r="AX186" s="241">
        <f t="shared" si="20"/>
        <v>0</v>
      </c>
      <c r="AY186" s="241" t="str">
        <f t="shared" si="21"/>
        <v>TK/0</v>
      </c>
      <c r="AZ186" s="241" t="s">
        <v>2557</v>
      </c>
      <c r="BA186" s="237" t="s">
        <v>2551</v>
      </c>
      <c r="BB186" s="241" t="s">
        <v>161</v>
      </c>
      <c r="BC186" s="241" t="s">
        <v>75</v>
      </c>
      <c r="BD186" s="241" t="s">
        <v>1925</v>
      </c>
      <c r="BE186" s="241" t="s">
        <v>2558</v>
      </c>
      <c r="BF186" s="241">
        <v>2016</v>
      </c>
      <c r="BG186" s="241" t="s">
        <v>75</v>
      </c>
      <c r="BH186" s="241" t="s">
        <v>1925</v>
      </c>
      <c r="BI186" s="241" t="s">
        <v>2558</v>
      </c>
      <c r="BJ186" s="241">
        <v>2016</v>
      </c>
      <c r="BK186" s="247"/>
      <c r="BL186" s="247"/>
      <c r="BM186" s="241" t="s">
        <v>351</v>
      </c>
      <c r="BN186" s="241" t="s">
        <v>351</v>
      </c>
      <c r="BO186" s="241">
        <v>29</v>
      </c>
      <c r="BP186" s="244"/>
      <c r="BQ186" s="244">
        <v>44449</v>
      </c>
      <c r="BR186" s="244"/>
      <c r="BS186" s="244"/>
      <c r="BT186" s="241"/>
      <c r="BU186" s="241"/>
      <c r="BV186" s="241"/>
      <c r="BW186" s="241"/>
      <c r="BX186" s="241"/>
      <c r="BY186" s="241"/>
      <c r="BZ186" s="241"/>
      <c r="CA186" s="241"/>
      <c r="CB186" s="241"/>
      <c r="CC186" s="241"/>
      <c r="CD186" s="241"/>
      <c r="CE186" s="241" t="e">
        <f>VLOOKUP(D186,[1]Sertifikasi!$B$4:$I$19,8,0)</f>
        <v>#N/A</v>
      </c>
      <c r="CF186" s="13"/>
      <c r="CG186" s="13"/>
      <c r="CH186" s="13"/>
    </row>
    <row r="187" spans="1:86" ht="11.25" customHeight="1" x14ac:dyDescent="0.2">
      <c r="A187" s="13"/>
      <c r="B187" s="238">
        <v>183</v>
      </c>
      <c r="C187" s="241" t="e">
        <f t="shared" ca="1" si="26"/>
        <v>#NUM!</v>
      </c>
      <c r="D187" s="237" t="s">
        <v>2559</v>
      </c>
      <c r="E187" s="239">
        <v>642002080</v>
      </c>
      <c r="F187" s="237">
        <v>1710006361268</v>
      </c>
      <c r="G187" s="240"/>
      <c r="H187" s="241" t="s">
        <v>1896</v>
      </c>
      <c r="I187" s="241" t="s">
        <v>2560</v>
      </c>
      <c r="J187" s="242">
        <v>43885</v>
      </c>
      <c r="K187" s="241"/>
      <c r="L187" s="241"/>
      <c r="M187" s="241" t="str">
        <f t="shared" si="25"/>
        <v>PKWT</v>
      </c>
      <c r="N187" s="241" t="s">
        <v>187</v>
      </c>
      <c r="O187" s="241"/>
      <c r="P187" s="243">
        <v>45657</v>
      </c>
      <c r="Q187" s="241"/>
      <c r="R187" s="241" t="s">
        <v>206</v>
      </c>
      <c r="S187" s="241" t="s">
        <v>6863</v>
      </c>
      <c r="T187" s="241" t="s">
        <v>312</v>
      </c>
      <c r="U187" s="241" t="s">
        <v>24</v>
      </c>
      <c r="V187" s="241" t="s">
        <v>443</v>
      </c>
      <c r="W187" s="241" t="s">
        <v>175</v>
      </c>
      <c r="X187" s="241" t="s">
        <v>121</v>
      </c>
      <c r="Y187" s="241" t="s">
        <v>313</v>
      </c>
      <c r="Z187" s="241"/>
      <c r="AA187" s="241"/>
      <c r="AB187" s="241" t="s">
        <v>314</v>
      </c>
      <c r="AC187" s="241" t="s">
        <v>1886</v>
      </c>
      <c r="AD187" s="245">
        <v>36331</v>
      </c>
      <c r="AE187" s="241">
        <f t="shared" ca="1" si="19"/>
        <v>26</v>
      </c>
      <c r="AF187" s="246" t="s">
        <v>2561</v>
      </c>
      <c r="AG187" s="241" t="s">
        <v>2562</v>
      </c>
      <c r="AH187" s="240" t="s">
        <v>2563</v>
      </c>
      <c r="AI187" s="240"/>
      <c r="AJ187" s="240"/>
      <c r="AK187" s="241" t="s">
        <v>2564</v>
      </c>
      <c r="AL187" s="246" t="s">
        <v>2565</v>
      </c>
      <c r="AM187" s="246">
        <v>20024319806</v>
      </c>
      <c r="AN187" s="241" t="s">
        <v>4716</v>
      </c>
      <c r="AO187" s="241"/>
      <c r="AP187" s="241"/>
      <c r="AQ187" s="241"/>
      <c r="AR187" s="241"/>
      <c r="AS187" s="241"/>
      <c r="AT187" s="241" t="s">
        <v>2566</v>
      </c>
      <c r="AU187" s="241" t="s">
        <v>2567</v>
      </c>
      <c r="AV187" s="241" t="s">
        <v>306</v>
      </c>
      <c r="AW187" s="241" t="s">
        <v>306</v>
      </c>
      <c r="AX187" s="241">
        <f t="shared" si="20"/>
        <v>0</v>
      </c>
      <c r="AY187" s="241" t="str">
        <f t="shared" si="21"/>
        <v>TK/0</v>
      </c>
      <c r="AZ187" s="241" t="s">
        <v>2568</v>
      </c>
      <c r="BA187" s="237" t="s">
        <v>2568</v>
      </c>
      <c r="BB187" s="241" t="s">
        <v>162</v>
      </c>
      <c r="BC187" s="241" t="s">
        <v>349</v>
      </c>
      <c r="BD187" s="241" t="s">
        <v>515</v>
      </c>
      <c r="BE187" s="241" t="s">
        <v>2569</v>
      </c>
      <c r="BF187" s="241">
        <v>2018</v>
      </c>
      <c r="BG187" s="241" t="s">
        <v>349</v>
      </c>
      <c r="BH187" s="241" t="s">
        <v>515</v>
      </c>
      <c r="BI187" s="241" t="s">
        <v>2569</v>
      </c>
      <c r="BJ187" s="241">
        <v>2018</v>
      </c>
      <c r="BK187" s="247"/>
      <c r="BL187" s="247"/>
      <c r="BM187" s="241"/>
      <c r="BN187" s="241"/>
      <c r="BO187" s="241">
        <v>41</v>
      </c>
      <c r="BP187" s="244"/>
      <c r="BQ187" s="244"/>
      <c r="BR187" s="244"/>
      <c r="BS187" s="244"/>
      <c r="BT187" s="241"/>
      <c r="BU187" s="241"/>
      <c r="BV187" s="241"/>
      <c r="BW187" s="241"/>
      <c r="BX187" s="241"/>
      <c r="BY187" s="241"/>
      <c r="BZ187" s="241"/>
      <c r="CA187" s="241"/>
      <c r="CB187" s="241"/>
      <c r="CC187" s="241"/>
      <c r="CD187" s="241"/>
      <c r="CE187" s="241" t="e">
        <f>VLOOKUP(D187,[1]Sertifikasi!$B$4:$I$19,8,0)</f>
        <v>#N/A</v>
      </c>
      <c r="CF187" s="13"/>
      <c r="CG187" s="13"/>
      <c r="CH187" s="13"/>
    </row>
    <row r="188" spans="1:86" ht="11.25" customHeight="1" x14ac:dyDescent="0.2">
      <c r="A188" s="13"/>
      <c r="B188" s="238">
        <v>184</v>
      </c>
      <c r="C188" s="241" t="e">
        <f t="shared" ca="1" si="26"/>
        <v>#NUM!</v>
      </c>
      <c r="D188" s="237" t="s">
        <v>2570</v>
      </c>
      <c r="E188" s="239">
        <v>642002079</v>
      </c>
      <c r="F188" s="237">
        <v>1710006361318</v>
      </c>
      <c r="G188" s="240"/>
      <c r="H188" s="241" t="s">
        <v>2298</v>
      </c>
      <c r="I188" s="241" t="s">
        <v>2298</v>
      </c>
      <c r="J188" s="242">
        <v>43885</v>
      </c>
      <c r="K188" s="241"/>
      <c r="L188" s="241"/>
      <c r="M188" s="241" t="str">
        <f t="shared" si="25"/>
        <v>PKWT</v>
      </c>
      <c r="N188" s="241" t="s">
        <v>187</v>
      </c>
      <c r="O188" s="241"/>
      <c r="P188" s="243">
        <v>45657</v>
      </c>
      <c r="Q188" s="241"/>
      <c r="R188" s="241" t="s">
        <v>206</v>
      </c>
      <c r="S188" s="241" t="s">
        <v>6863</v>
      </c>
      <c r="T188" s="241" t="s">
        <v>312</v>
      </c>
      <c r="U188" s="241" t="s">
        <v>24</v>
      </c>
      <c r="V188" s="241" t="s">
        <v>443</v>
      </c>
      <c r="W188" s="241" t="s">
        <v>175</v>
      </c>
      <c r="X188" s="241" t="s">
        <v>121</v>
      </c>
      <c r="Y188" s="241" t="s">
        <v>313</v>
      </c>
      <c r="Z188" s="241"/>
      <c r="AA188" s="241"/>
      <c r="AB188" s="241" t="s">
        <v>314</v>
      </c>
      <c r="AC188" s="241" t="s">
        <v>2571</v>
      </c>
      <c r="AD188" s="245">
        <v>33525</v>
      </c>
      <c r="AE188" s="241">
        <f t="shared" ca="1" si="19"/>
        <v>33</v>
      </c>
      <c r="AF188" s="246" t="s">
        <v>2572</v>
      </c>
      <c r="AG188" s="241" t="s">
        <v>2573</v>
      </c>
      <c r="AH188" s="240" t="s">
        <v>2574</v>
      </c>
      <c r="AI188" s="240"/>
      <c r="AJ188" s="240"/>
      <c r="AK188" s="241" t="s">
        <v>2575</v>
      </c>
      <c r="AL188" s="246" t="s">
        <v>2576</v>
      </c>
      <c r="AM188" s="246">
        <v>20024319772</v>
      </c>
      <c r="AN188" s="241" t="s">
        <v>4733</v>
      </c>
      <c r="AO188" s="241" t="s">
        <v>2577</v>
      </c>
      <c r="AP188" s="241"/>
      <c r="AQ188" s="241"/>
      <c r="AR188" s="241"/>
      <c r="AS188" s="241"/>
      <c r="AT188" s="241" t="s">
        <v>2578</v>
      </c>
      <c r="AU188" s="241" t="s">
        <v>2579</v>
      </c>
      <c r="AV188" s="241" t="s">
        <v>2580</v>
      </c>
      <c r="AW188" s="241" t="s">
        <v>2581</v>
      </c>
      <c r="AX188" s="241">
        <f t="shared" si="20"/>
        <v>0</v>
      </c>
      <c r="AY188" s="241" t="str">
        <f t="shared" si="21"/>
        <v>K/0</v>
      </c>
      <c r="AZ188" s="241"/>
      <c r="BA188" s="237"/>
      <c r="BB188" s="241" t="s">
        <v>161</v>
      </c>
      <c r="BC188" s="241" t="s">
        <v>349</v>
      </c>
      <c r="BD188" s="241" t="s">
        <v>515</v>
      </c>
      <c r="BE188" s="241" t="s">
        <v>2582</v>
      </c>
      <c r="BF188" s="241">
        <v>2010</v>
      </c>
      <c r="BG188" s="241" t="s">
        <v>349</v>
      </c>
      <c r="BH188" s="241" t="s">
        <v>515</v>
      </c>
      <c r="BI188" s="241" t="s">
        <v>2582</v>
      </c>
      <c r="BJ188" s="241">
        <v>2010</v>
      </c>
      <c r="BK188" s="247"/>
      <c r="BL188" s="247"/>
      <c r="BM188" s="241"/>
      <c r="BN188" s="241"/>
      <c r="BO188" s="241">
        <v>41</v>
      </c>
      <c r="BP188" s="244"/>
      <c r="BQ188" s="244"/>
      <c r="BR188" s="244"/>
      <c r="BS188" s="244"/>
      <c r="BT188" s="241"/>
      <c r="BU188" s="241"/>
      <c r="BV188" s="241"/>
      <c r="BW188" s="241"/>
      <c r="BX188" s="241"/>
      <c r="BY188" s="241"/>
      <c r="BZ188" s="241"/>
      <c r="CA188" s="241"/>
      <c r="CB188" s="241"/>
      <c r="CC188" s="241"/>
      <c r="CD188" s="241"/>
      <c r="CE188" s="241" t="e">
        <f>VLOOKUP(D188,[1]Sertifikasi!$B$4:$I$19,8,0)</f>
        <v>#N/A</v>
      </c>
      <c r="CF188" s="13"/>
      <c r="CG188" s="13"/>
      <c r="CH188" s="13"/>
    </row>
    <row r="189" spans="1:86" ht="11.25" customHeight="1" x14ac:dyDescent="0.2">
      <c r="A189" s="13"/>
      <c r="B189" s="238">
        <v>185</v>
      </c>
      <c r="C189" s="241" t="e">
        <f t="shared" ca="1" si="26"/>
        <v>#NUM!</v>
      </c>
      <c r="D189" s="237" t="s">
        <v>2583</v>
      </c>
      <c r="E189" s="239">
        <v>642002075</v>
      </c>
      <c r="F189" s="237">
        <v>1710006361243</v>
      </c>
      <c r="G189" s="240"/>
      <c r="H189" s="241" t="s">
        <v>26</v>
      </c>
      <c r="I189" s="241" t="s">
        <v>26</v>
      </c>
      <c r="J189" s="242">
        <v>43886</v>
      </c>
      <c r="K189" s="241"/>
      <c r="L189" s="241"/>
      <c r="M189" s="241" t="str">
        <f t="shared" si="25"/>
        <v>PKWT</v>
      </c>
      <c r="N189" s="241" t="s">
        <v>187</v>
      </c>
      <c r="O189" s="241"/>
      <c r="P189" s="243">
        <v>45657</v>
      </c>
      <c r="Q189" s="241"/>
      <c r="R189" s="241" t="s">
        <v>206</v>
      </c>
      <c r="S189" s="241" t="s">
        <v>6863</v>
      </c>
      <c r="T189" s="241" t="s">
        <v>312</v>
      </c>
      <c r="U189" s="241" t="s">
        <v>25</v>
      </c>
      <c r="V189" s="241" t="s">
        <v>443</v>
      </c>
      <c r="W189" s="241" t="s">
        <v>748</v>
      </c>
      <c r="X189" s="241" t="s">
        <v>121</v>
      </c>
      <c r="Y189" s="241" t="s">
        <v>313</v>
      </c>
      <c r="Z189" s="241"/>
      <c r="AA189" s="241"/>
      <c r="AB189" s="241" t="s">
        <v>314</v>
      </c>
      <c r="AC189" s="241" t="s">
        <v>2584</v>
      </c>
      <c r="AD189" s="245">
        <v>36531</v>
      </c>
      <c r="AE189" s="241">
        <f t="shared" ca="1" si="19"/>
        <v>25</v>
      </c>
      <c r="AF189" s="246" t="s">
        <v>2585</v>
      </c>
      <c r="AG189" s="241" t="s">
        <v>2586</v>
      </c>
      <c r="AH189" s="240" t="s">
        <v>2587</v>
      </c>
      <c r="AI189" s="240" t="s">
        <v>2588</v>
      </c>
      <c r="AJ189" s="240"/>
      <c r="AK189" s="250" t="s">
        <v>2589</v>
      </c>
      <c r="AL189" s="246" t="s">
        <v>2590</v>
      </c>
      <c r="AM189" s="246">
        <v>20024319798</v>
      </c>
      <c r="AN189" s="241" t="s">
        <v>4716</v>
      </c>
      <c r="AO189" s="241"/>
      <c r="AP189" s="241"/>
      <c r="AQ189" s="241"/>
      <c r="AR189" s="241"/>
      <c r="AS189" s="241"/>
      <c r="AT189" s="241" t="s">
        <v>2591</v>
      </c>
      <c r="AU189" s="241" t="s">
        <v>2592</v>
      </c>
      <c r="AV189" s="241" t="s">
        <v>306</v>
      </c>
      <c r="AW189" s="241" t="s">
        <v>306</v>
      </c>
      <c r="AX189" s="241">
        <f t="shared" si="20"/>
        <v>0</v>
      </c>
      <c r="AY189" s="241" t="str">
        <f t="shared" si="21"/>
        <v>TK/0</v>
      </c>
      <c r="AZ189" s="241" t="s">
        <v>2593</v>
      </c>
      <c r="BA189" s="241" t="s">
        <v>2593</v>
      </c>
      <c r="BB189" s="241" t="s">
        <v>161</v>
      </c>
      <c r="BC189" s="241" t="s">
        <v>349</v>
      </c>
      <c r="BD189" s="241" t="s">
        <v>1213</v>
      </c>
      <c r="BE189" s="241" t="s">
        <v>2123</v>
      </c>
      <c r="BF189" s="241">
        <v>2018</v>
      </c>
      <c r="BG189" s="241" t="s">
        <v>349</v>
      </c>
      <c r="BH189" s="241" t="s">
        <v>1213</v>
      </c>
      <c r="BI189" s="241" t="s">
        <v>2123</v>
      </c>
      <c r="BJ189" s="241">
        <v>2018</v>
      </c>
      <c r="BK189" s="247"/>
      <c r="BL189" s="247"/>
      <c r="BM189" s="241" t="s">
        <v>360</v>
      </c>
      <c r="BN189" s="241" t="s">
        <v>360</v>
      </c>
      <c r="BO189" s="241">
        <v>42</v>
      </c>
      <c r="BP189" s="244">
        <v>44365</v>
      </c>
      <c r="BQ189" s="244"/>
      <c r="BR189" s="244"/>
      <c r="BS189" s="244"/>
      <c r="BT189" s="241"/>
      <c r="BU189" s="241"/>
      <c r="BV189" s="241"/>
      <c r="BW189" s="241"/>
      <c r="BX189" s="241"/>
      <c r="BY189" s="241"/>
      <c r="BZ189" s="241"/>
      <c r="CA189" s="241"/>
      <c r="CB189" s="241"/>
      <c r="CC189" s="241"/>
      <c r="CD189" s="241"/>
      <c r="CE189" s="241" t="e">
        <f>VLOOKUP(D189,[1]Sertifikasi!$B$4:$I$19,8,0)</f>
        <v>#N/A</v>
      </c>
      <c r="CF189" s="13"/>
      <c r="CG189" s="13"/>
      <c r="CH189" s="13"/>
    </row>
    <row r="190" spans="1:86" ht="11.25" customHeight="1" x14ac:dyDescent="0.2">
      <c r="A190" s="13"/>
      <c r="B190" s="238">
        <v>186</v>
      </c>
      <c r="C190" s="241" t="e">
        <f t="shared" ca="1" si="26"/>
        <v>#NUM!</v>
      </c>
      <c r="D190" s="237" t="s">
        <v>2594</v>
      </c>
      <c r="E190" s="239">
        <v>642002083</v>
      </c>
      <c r="F190" s="237">
        <v>1710006361144</v>
      </c>
      <c r="G190" s="240"/>
      <c r="H190" s="241" t="s">
        <v>30</v>
      </c>
      <c r="I190" s="241" t="s">
        <v>30</v>
      </c>
      <c r="J190" s="242">
        <v>43891</v>
      </c>
      <c r="K190" s="241"/>
      <c r="L190" s="241"/>
      <c r="M190" s="241" t="str">
        <f t="shared" si="25"/>
        <v>PKWT</v>
      </c>
      <c r="N190" s="241" t="s">
        <v>187</v>
      </c>
      <c r="O190" s="241"/>
      <c r="P190" s="243">
        <v>45657</v>
      </c>
      <c r="Q190" s="241"/>
      <c r="R190" s="241" t="s">
        <v>206</v>
      </c>
      <c r="S190" s="241" t="s">
        <v>6863</v>
      </c>
      <c r="T190" s="241" t="s">
        <v>312</v>
      </c>
      <c r="U190" s="241" t="s">
        <v>25</v>
      </c>
      <c r="V190" s="241" t="s">
        <v>443</v>
      </c>
      <c r="W190" s="241" t="s">
        <v>748</v>
      </c>
      <c r="X190" s="241" t="s">
        <v>121</v>
      </c>
      <c r="Y190" s="241" t="s">
        <v>313</v>
      </c>
      <c r="Z190" s="241"/>
      <c r="AA190" s="241"/>
      <c r="AB190" s="241" t="s">
        <v>314</v>
      </c>
      <c r="AC190" s="241" t="s">
        <v>2595</v>
      </c>
      <c r="AD190" s="245">
        <v>37116</v>
      </c>
      <c r="AE190" s="241">
        <f t="shared" ca="1" si="19"/>
        <v>24</v>
      </c>
      <c r="AF190" s="246" t="s">
        <v>2596</v>
      </c>
      <c r="AG190" s="241" t="s">
        <v>2597</v>
      </c>
      <c r="AH190" s="240" t="s">
        <v>2598</v>
      </c>
      <c r="AI190" s="240"/>
      <c r="AJ190" s="240"/>
      <c r="AK190" s="241" t="s">
        <v>2599</v>
      </c>
      <c r="AL190" s="246" t="s">
        <v>2600</v>
      </c>
      <c r="AM190" s="246">
        <v>20024319855</v>
      </c>
      <c r="AN190" s="241" t="s">
        <v>4716</v>
      </c>
      <c r="AO190" s="241"/>
      <c r="AP190" s="241"/>
      <c r="AQ190" s="241"/>
      <c r="AR190" s="241"/>
      <c r="AS190" s="241"/>
      <c r="AT190" s="241" t="s">
        <v>306</v>
      </c>
      <c r="AU190" s="241" t="s">
        <v>306</v>
      </c>
      <c r="AV190" s="241" t="s">
        <v>306</v>
      </c>
      <c r="AW190" s="241" t="s">
        <v>306</v>
      </c>
      <c r="AX190" s="241">
        <f t="shared" si="20"/>
        <v>0</v>
      </c>
      <c r="AY190" s="241" t="str">
        <f t="shared" si="21"/>
        <v>TK/0</v>
      </c>
      <c r="AZ190" s="241"/>
      <c r="BA190" s="237"/>
      <c r="BB190" s="241" t="s">
        <v>161</v>
      </c>
      <c r="BC190" s="241" t="s">
        <v>349</v>
      </c>
      <c r="BD190" s="241" t="s">
        <v>515</v>
      </c>
      <c r="BE190" s="241" t="s">
        <v>2601</v>
      </c>
      <c r="BF190" s="241">
        <v>2019</v>
      </c>
      <c r="BG190" s="241" t="s">
        <v>349</v>
      </c>
      <c r="BH190" s="241" t="s">
        <v>515</v>
      </c>
      <c r="BI190" s="241" t="s">
        <v>2601</v>
      </c>
      <c r="BJ190" s="241">
        <v>2019</v>
      </c>
      <c r="BK190" s="247"/>
      <c r="BL190" s="247"/>
      <c r="BM190" s="241" t="s">
        <v>339</v>
      </c>
      <c r="BN190" s="241" t="s">
        <v>339</v>
      </c>
      <c r="BO190" s="241">
        <v>43</v>
      </c>
      <c r="BP190" s="244"/>
      <c r="BQ190" s="244"/>
      <c r="BR190" s="244"/>
      <c r="BS190" s="244"/>
      <c r="BT190" s="241"/>
      <c r="BU190" s="241"/>
      <c r="BV190" s="241"/>
      <c r="BW190" s="241"/>
      <c r="BX190" s="241"/>
      <c r="BY190" s="241"/>
      <c r="BZ190" s="241"/>
      <c r="CA190" s="241"/>
      <c r="CB190" s="241"/>
      <c r="CC190" s="241"/>
      <c r="CD190" s="241"/>
      <c r="CE190" s="241" t="e">
        <f>VLOOKUP(D190,[1]Sertifikasi!$B$4:$I$19,8,0)</f>
        <v>#N/A</v>
      </c>
      <c r="CF190" s="13"/>
      <c r="CG190" s="13"/>
      <c r="CH190" s="13"/>
    </row>
    <row r="191" spans="1:86" ht="11.25" customHeight="1" x14ac:dyDescent="0.2">
      <c r="A191" s="13"/>
      <c r="B191" s="238">
        <v>187</v>
      </c>
      <c r="C191" s="241" t="e">
        <f t="shared" ca="1" si="26"/>
        <v>#NUM!</v>
      </c>
      <c r="D191" s="237" t="s">
        <v>2602</v>
      </c>
      <c r="E191" s="239">
        <v>642002085</v>
      </c>
      <c r="F191" s="237">
        <v>1710003987743</v>
      </c>
      <c r="G191" s="240"/>
      <c r="H191" s="241" t="s">
        <v>217</v>
      </c>
      <c r="I191" s="241" t="s">
        <v>217</v>
      </c>
      <c r="J191" s="242">
        <v>43892</v>
      </c>
      <c r="K191" s="241"/>
      <c r="L191" s="241"/>
      <c r="M191" s="241" t="str">
        <f t="shared" si="25"/>
        <v>PKWT</v>
      </c>
      <c r="N191" s="241" t="s">
        <v>187</v>
      </c>
      <c r="O191" s="241"/>
      <c r="P191" s="243">
        <v>45657</v>
      </c>
      <c r="Q191" s="241"/>
      <c r="R191" s="241" t="s">
        <v>206</v>
      </c>
      <c r="S191" s="241" t="s">
        <v>6863</v>
      </c>
      <c r="T191" s="241" t="s">
        <v>312</v>
      </c>
      <c r="U191" s="241" t="s">
        <v>204</v>
      </c>
      <c r="V191" s="241" t="s">
        <v>208</v>
      </c>
      <c r="W191" s="241" t="s">
        <v>6908</v>
      </c>
      <c r="X191" s="241" t="s">
        <v>18</v>
      </c>
      <c r="Y191" s="241" t="s">
        <v>313</v>
      </c>
      <c r="Z191" s="241" t="s">
        <v>462</v>
      </c>
      <c r="AA191" s="241"/>
      <c r="AB191" s="241" t="s">
        <v>314</v>
      </c>
      <c r="AC191" s="241" t="s">
        <v>217</v>
      </c>
      <c r="AD191" s="245">
        <v>34519</v>
      </c>
      <c r="AE191" s="241">
        <f t="shared" ca="1" si="19"/>
        <v>31</v>
      </c>
      <c r="AF191" s="246" t="s">
        <v>2603</v>
      </c>
      <c r="AG191" s="241" t="s">
        <v>2604</v>
      </c>
      <c r="AH191" s="240" t="s">
        <v>2605</v>
      </c>
      <c r="AI191" s="240"/>
      <c r="AJ191" s="240"/>
      <c r="AK191" s="241" t="s">
        <v>2606</v>
      </c>
      <c r="AL191" s="246" t="s">
        <v>2607</v>
      </c>
      <c r="AM191" s="246">
        <v>17028637795</v>
      </c>
      <c r="AN191" s="241" t="s">
        <v>4733</v>
      </c>
      <c r="AO191" s="241" t="s">
        <v>2608</v>
      </c>
      <c r="AP191" s="241" t="s">
        <v>2609</v>
      </c>
      <c r="AQ191" s="241"/>
      <c r="AR191" s="241"/>
      <c r="AS191" s="241"/>
      <c r="AT191" s="241" t="s">
        <v>2610</v>
      </c>
      <c r="AU191" s="241" t="s">
        <v>2611</v>
      </c>
      <c r="AV191" s="241" t="s">
        <v>2612</v>
      </c>
      <c r="AW191" s="241" t="s">
        <v>2613</v>
      </c>
      <c r="AX191" s="241">
        <f t="shared" si="20"/>
        <v>1</v>
      </c>
      <c r="AY191" s="241" t="str">
        <f t="shared" si="21"/>
        <v>K/1</v>
      </c>
      <c r="AZ191" s="241" t="s">
        <v>2614</v>
      </c>
      <c r="BA191" s="237" t="s">
        <v>2614</v>
      </c>
      <c r="BB191" s="241" t="s">
        <v>161</v>
      </c>
      <c r="BC191" s="241" t="s">
        <v>70</v>
      </c>
      <c r="BD191" s="241" t="s">
        <v>515</v>
      </c>
      <c r="BE191" s="241" t="s">
        <v>72</v>
      </c>
      <c r="BF191" s="241">
        <v>2016</v>
      </c>
      <c r="BG191" s="241" t="s">
        <v>70</v>
      </c>
      <c r="BH191" s="241" t="s">
        <v>515</v>
      </c>
      <c r="BI191" s="241" t="s">
        <v>72</v>
      </c>
      <c r="BJ191" s="241">
        <v>2016</v>
      </c>
      <c r="BK191" s="247"/>
      <c r="BL191" s="247"/>
      <c r="BM191" s="241" t="s">
        <v>351</v>
      </c>
      <c r="BN191" s="241" t="s">
        <v>351</v>
      </c>
      <c r="BO191" s="241">
        <v>42</v>
      </c>
      <c r="BP191" s="244">
        <v>44293</v>
      </c>
      <c r="BQ191" s="244">
        <v>44322</v>
      </c>
      <c r="BR191" s="244">
        <v>44600</v>
      </c>
      <c r="BS191" s="244"/>
      <c r="BT191" s="241"/>
      <c r="BU191" s="241"/>
      <c r="BV191" s="241"/>
      <c r="BW191" s="241"/>
      <c r="BX191" s="241"/>
      <c r="BY191" s="241"/>
      <c r="BZ191" s="241"/>
      <c r="CA191" s="241"/>
      <c r="CB191" s="241"/>
      <c r="CC191" s="241"/>
      <c r="CD191" s="241"/>
      <c r="CE191" s="241" t="e">
        <f>VLOOKUP(D191,[1]Sertifikasi!$B$4:$I$19,8,0)</f>
        <v>#N/A</v>
      </c>
      <c r="CF191" s="13"/>
      <c r="CG191" s="13"/>
      <c r="CH191" s="13"/>
    </row>
    <row r="192" spans="1:86" ht="11.25" customHeight="1" x14ac:dyDescent="0.2">
      <c r="A192" s="13"/>
      <c r="B192" s="238">
        <v>188</v>
      </c>
      <c r="C192" s="241" t="e">
        <f t="shared" ca="1" si="26"/>
        <v>#NUM!</v>
      </c>
      <c r="D192" s="237" t="s">
        <v>2615</v>
      </c>
      <c r="E192" s="239">
        <v>642002086</v>
      </c>
      <c r="F192" s="237">
        <v>1660002404481</v>
      </c>
      <c r="G192" s="240"/>
      <c r="H192" s="241" t="s">
        <v>24</v>
      </c>
      <c r="I192" s="241" t="s">
        <v>24</v>
      </c>
      <c r="J192" s="242">
        <v>43893</v>
      </c>
      <c r="K192" s="241"/>
      <c r="L192" s="241"/>
      <c r="M192" s="241" t="str">
        <f t="shared" si="25"/>
        <v>PKWT</v>
      </c>
      <c r="N192" s="241" t="s">
        <v>187</v>
      </c>
      <c r="O192" s="241"/>
      <c r="P192" s="243">
        <v>45657</v>
      </c>
      <c r="Q192" s="241"/>
      <c r="R192" s="241" t="s">
        <v>206</v>
      </c>
      <c r="S192" s="241" t="s">
        <v>6863</v>
      </c>
      <c r="T192" s="241" t="s">
        <v>312</v>
      </c>
      <c r="U192" s="241" t="s">
        <v>24</v>
      </c>
      <c r="V192" s="241" t="s">
        <v>443</v>
      </c>
      <c r="W192" s="241" t="s">
        <v>175</v>
      </c>
      <c r="X192" s="241" t="s">
        <v>121</v>
      </c>
      <c r="Y192" s="241" t="s">
        <v>313</v>
      </c>
      <c r="Z192" s="241"/>
      <c r="AA192" s="241"/>
      <c r="AB192" s="241" t="s">
        <v>314</v>
      </c>
      <c r="AC192" s="241" t="s">
        <v>2616</v>
      </c>
      <c r="AD192" s="245">
        <v>36536</v>
      </c>
      <c r="AE192" s="241">
        <f t="shared" ca="1" si="19"/>
        <v>25</v>
      </c>
      <c r="AF192" s="246" t="s">
        <v>2617</v>
      </c>
      <c r="AG192" s="241" t="s">
        <v>2618</v>
      </c>
      <c r="AH192" s="240" t="s">
        <v>2619</v>
      </c>
      <c r="AI192" s="240"/>
      <c r="AJ192" s="240"/>
      <c r="AK192" s="241" t="s">
        <v>2620</v>
      </c>
      <c r="AL192" s="246" t="s">
        <v>2621</v>
      </c>
      <c r="AM192" s="246">
        <v>20024319848</v>
      </c>
      <c r="AN192" s="241" t="s">
        <v>4716</v>
      </c>
      <c r="AO192" s="241"/>
      <c r="AP192" s="241"/>
      <c r="AQ192" s="241"/>
      <c r="AR192" s="241"/>
      <c r="AS192" s="241"/>
      <c r="AT192" s="241" t="s">
        <v>2622</v>
      </c>
      <c r="AU192" s="241" t="s">
        <v>2623</v>
      </c>
      <c r="AV192" s="241" t="s">
        <v>306</v>
      </c>
      <c r="AW192" s="241" t="s">
        <v>306</v>
      </c>
      <c r="AX192" s="241">
        <f t="shared" si="20"/>
        <v>0</v>
      </c>
      <c r="AY192" s="241" t="str">
        <f t="shared" si="21"/>
        <v>TK/0</v>
      </c>
      <c r="AZ192" s="241" t="s">
        <v>2624</v>
      </c>
      <c r="BA192" s="237" t="s">
        <v>2624</v>
      </c>
      <c r="BB192" s="241" t="s">
        <v>161</v>
      </c>
      <c r="BC192" s="241" t="s">
        <v>349</v>
      </c>
      <c r="BD192" s="241" t="s">
        <v>1742</v>
      </c>
      <c r="BE192" s="241" t="s">
        <v>2625</v>
      </c>
      <c r="BF192" s="241">
        <v>2017</v>
      </c>
      <c r="BG192" s="241" t="s">
        <v>349</v>
      </c>
      <c r="BH192" s="241" t="s">
        <v>1742</v>
      </c>
      <c r="BI192" s="241" t="s">
        <v>2625</v>
      </c>
      <c r="BJ192" s="241">
        <v>2017</v>
      </c>
      <c r="BK192" s="247"/>
      <c r="BL192" s="247"/>
      <c r="BM192" s="241" t="s">
        <v>360</v>
      </c>
      <c r="BN192" s="241" t="s">
        <v>360</v>
      </c>
      <c r="BO192" s="241">
        <v>39</v>
      </c>
      <c r="BP192" s="244"/>
      <c r="BQ192" s="244"/>
      <c r="BR192" s="244"/>
      <c r="BS192" s="244"/>
      <c r="BT192" s="241"/>
      <c r="BU192" s="241"/>
      <c r="BV192" s="241"/>
      <c r="BW192" s="241"/>
      <c r="BX192" s="241"/>
      <c r="BY192" s="241"/>
      <c r="BZ192" s="241"/>
      <c r="CA192" s="241"/>
      <c r="CB192" s="241"/>
      <c r="CC192" s="241"/>
      <c r="CD192" s="241"/>
      <c r="CE192" s="241" t="e">
        <f>VLOOKUP(D192,[1]Sertifikasi!$B$4:$I$19,8,0)</f>
        <v>#N/A</v>
      </c>
      <c r="CF192" s="13"/>
      <c r="CG192" s="13"/>
      <c r="CH192" s="13"/>
    </row>
    <row r="193" spans="1:86" ht="11.25" customHeight="1" x14ac:dyDescent="0.2">
      <c r="A193" s="13"/>
      <c r="B193" s="238">
        <v>189</v>
      </c>
      <c r="C193" s="241" t="e">
        <f t="shared" ca="1" si="26"/>
        <v>#NUM!</v>
      </c>
      <c r="D193" s="237" t="s">
        <v>2626</v>
      </c>
      <c r="E193" s="239">
        <v>642003087</v>
      </c>
      <c r="F193" s="237">
        <v>1440009032522</v>
      </c>
      <c r="G193" s="240"/>
      <c r="H193" s="241" t="s">
        <v>217</v>
      </c>
      <c r="I193" s="241" t="s">
        <v>217</v>
      </c>
      <c r="J193" s="242">
        <v>43905</v>
      </c>
      <c r="K193" s="241"/>
      <c r="L193" s="241"/>
      <c r="M193" s="241" t="str">
        <f t="shared" si="25"/>
        <v>PKWT</v>
      </c>
      <c r="N193" s="241" t="s">
        <v>187</v>
      </c>
      <c r="O193" s="241"/>
      <c r="P193" s="243">
        <v>45657</v>
      </c>
      <c r="Q193" s="241"/>
      <c r="R193" s="241" t="s">
        <v>139</v>
      </c>
      <c r="S193" s="241" t="s">
        <v>6863</v>
      </c>
      <c r="T193" s="241" t="s">
        <v>296</v>
      </c>
      <c r="U193" s="241" t="s">
        <v>187</v>
      </c>
      <c r="V193" s="241" t="s">
        <v>115</v>
      </c>
      <c r="W193" s="241" t="s">
        <v>7136</v>
      </c>
      <c r="X193" s="241" t="s">
        <v>7136</v>
      </c>
      <c r="Y193" s="241" t="s">
        <v>313</v>
      </c>
      <c r="Z193" s="241"/>
      <c r="AA193" s="241"/>
      <c r="AB193" s="241" t="s">
        <v>314</v>
      </c>
      <c r="AC193" s="241" t="s">
        <v>577</v>
      </c>
      <c r="AD193" s="245">
        <v>32788</v>
      </c>
      <c r="AE193" s="241">
        <f t="shared" ca="1" si="19"/>
        <v>35</v>
      </c>
      <c r="AF193" s="246" t="s">
        <v>2627</v>
      </c>
      <c r="AG193" s="241" t="s">
        <v>2628</v>
      </c>
      <c r="AH193" s="240" t="s">
        <v>2629</v>
      </c>
      <c r="AI193" s="240"/>
      <c r="AJ193" s="240"/>
      <c r="AK193" s="241" t="s">
        <v>2630</v>
      </c>
      <c r="AL193" s="246" t="s">
        <v>2631</v>
      </c>
      <c r="AM193" s="246">
        <v>20029482799</v>
      </c>
      <c r="AN193" s="241" t="s">
        <v>4716</v>
      </c>
      <c r="AO193" s="241"/>
      <c r="AP193" s="241"/>
      <c r="AQ193" s="241"/>
      <c r="AR193" s="241"/>
      <c r="AS193" s="241"/>
      <c r="AT193" s="241" t="s">
        <v>2632</v>
      </c>
      <c r="AU193" s="241" t="s">
        <v>2633</v>
      </c>
      <c r="AV193" s="241" t="s">
        <v>306</v>
      </c>
      <c r="AW193" s="241" t="s">
        <v>306</v>
      </c>
      <c r="AX193" s="241">
        <f t="shared" si="20"/>
        <v>0</v>
      </c>
      <c r="AY193" s="241" t="str">
        <f t="shared" si="21"/>
        <v>TK/0</v>
      </c>
      <c r="AZ193" s="241" t="s">
        <v>2634</v>
      </c>
      <c r="BA193" s="237" t="s">
        <v>2634</v>
      </c>
      <c r="BB193" s="241" t="s">
        <v>161</v>
      </c>
      <c r="BC193" s="241" t="s">
        <v>75</v>
      </c>
      <c r="BD193" s="241" t="s">
        <v>2635</v>
      </c>
      <c r="BE193" s="241" t="s">
        <v>402</v>
      </c>
      <c r="BF193" s="241">
        <v>2016</v>
      </c>
      <c r="BG193" s="241" t="s">
        <v>75</v>
      </c>
      <c r="BH193" s="241" t="s">
        <v>2635</v>
      </c>
      <c r="BI193" s="241" t="s">
        <v>402</v>
      </c>
      <c r="BJ193" s="241">
        <v>2016</v>
      </c>
      <c r="BK193" s="247"/>
      <c r="BL193" s="247"/>
      <c r="BM193" s="241"/>
      <c r="BN193" s="241"/>
      <c r="BO193" s="241">
        <v>41</v>
      </c>
      <c r="BP193" s="244">
        <v>44294</v>
      </c>
      <c r="BQ193" s="244">
        <v>44322</v>
      </c>
      <c r="BR193" s="244">
        <v>44672</v>
      </c>
      <c r="BS193" s="244"/>
      <c r="BT193" s="241"/>
      <c r="BU193" s="241"/>
      <c r="BV193" s="241"/>
      <c r="BW193" s="241"/>
      <c r="BX193" s="241"/>
      <c r="BY193" s="241"/>
      <c r="BZ193" s="241"/>
      <c r="CA193" s="241"/>
      <c r="CB193" s="241"/>
      <c r="CC193" s="241"/>
      <c r="CD193" s="241"/>
      <c r="CE193" s="241" t="e">
        <f>VLOOKUP(D193,[1]Sertifikasi!$B$4:$I$19,8,0)</f>
        <v>#N/A</v>
      </c>
      <c r="CF193" s="13"/>
      <c r="CG193" s="13"/>
      <c r="CH193" s="13"/>
    </row>
    <row r="194" spans="1:86" ht="11.25" customHeight="1" x14ac:dyDescent="0.2">
      <c r="A194" s="13"/>
      <c r="B194" s="238">
        <v>190</v>
      </c>
      <c r="C194" s="248" t="s">
        <v>292</v>
      </c>
      <c r="D194" s="237" t="s">
        <v>2636</v>
      </c>
      <c r="E194" s="239">
        <v>999800003</v>
      </c>
      <c r="F194" s="237">
        <v>1440001094520</v>
      </c>
      <c r="G194" s="240"/>
      <c r="H194" s="249" t="s">
        <v>204</v>
      </c>
      <c r="I194" s="241" t="s">
        <v>217</v>
      </c>
      <c r="J194" s="242">
        <v>43987</v>
      </c>
      <c r="K194" s="241"/>
      <c r="L194" s="241"/>
      <c r="M194" s="241" t="str">
        <f t="shared" si="25"/>
        <v>ORGANIK INKA</v>
      </c>
      <c r="N194" s="241" t="s">
        <v>204</v>
      </c>
      <c r="O194" s="241" t="s">
        <v>2637</v>
      </c>
      <c r="P194" s="243">
        <v>36039</v>
      </c>
      <c r="Q194" s="241" t="s">
        <v>295</v>
      </c>
      <c r="R194" s="284" t="s">
        <v>137</v>
      </c>
      <c r="S194" s="241" t="s">
        <v>6862</v>
      </c>
      <c r="T194" s="241" t="s">
        <v>296</v>
      </c>
      <c r="U194" s="241" t="s">
        <v>187</v>
      </c>
      <c r="V194" s="241" t="s">
        <v>7136</v>
      </c>
      <c r="W194" s="241" t="s">
        <v>7136</v>
      </c>
      <c r="X194" s="241" t="s">
        <v>7136</v>
      </c>
      <c r="Y194" s="241" t="s">
        <v>298</v>
      </c>
      <c r="Z194" s="241"/>
      <c r="AA194" s="241"/>
      <c r="AB194" s="241" t="s">
        <v>132</v>
      </c>
      <c r="AC194" s="241" t="s">
        <v>311</v>
      </c>
      <c r="AD194" s="245">
        <v>26319</v>
      </c>
      <c r="AE194" s="241">
        <f t="shared" ca="1" si="19"/>
        <v>53</v>
      </c>
      <c r="AF194" s="246" t="s">
        <v>2638</v>
      </c>
      <c r="AG194" s="241" t="s">
        <v>2639</v>
      </c>
      <c r="AH194" s="240" t="s">
        <v>2640</v>
      </c>
      <c r="AI194" s="240"/>
      <c r="AJ194" s="240"/>
      <c r="AK194" s="241" t="s">
        <v>2641</v>
      </c>
      <c r="AL194" s="246" t="s">
        <v>2642</v>
      </c>
      <c r="AM194" s="246" t="s">
        <v>2643</v>
      </c>
      <c r="AN194" s="241" t="s">
        <v>4733</v>
      </c>
      <c r="AO194" s="241" t="s">
        <v>2644</v>
      </c>
      <c r="AP194" s="241" t="s">
        <v>2645</v>
      </c>
      <c r="AQ194" s="241" t="s">
        <v>2646</v>
      </c>
      <c r="AR194" s="241" t="s">
        <v>2647</v>
      </c>
      <c r="AS194" s="241"/>
      <c r="AT194" s="241" t="s">
        <v>306</v>
      </c>
      <c r="AU194" s="241" t="s">
        <v>306</v>
      </c>
      <c r="AV194" s="241" t="s">
        <v>306</v>
      </c>
      <c r="AW194" s="241" t="s">
        <v>306</v>
      </c>
      <c r="AX194" s="241">
        <f t="shared" si="20"/>
        <v>3</v>
      </c>
      <c r="AY194" s="241" t="str">
        <f t="shared" si="21"/>
        <v>K/3</v>
      </c>
      <c r="AZ194" s="241"/>
      <c r="BA194" s="237" t="s">
        <v>2648</v>
      </c>
      <c r="BB194" s="249" t="s">
        <v>161</v>
      </c>
      <c r="BC194" s="241" t="s">
        <v>75</v>
      </c>
      <c r="BD194" s="241" t="s">
        <v>87</v>
      </c>
      <c r="BE194" s="241" t="s">
        <v>1902</v>
      </c>
      <c r="BF194" s="241">
        <v>1997</v>
      </c>
      <c r="BG194" s="241" t="s">
        <v>75</v>
      </c>
      <c r="BH194" s="241" t="s">
        <v>87</v>
      </c>
      <c r="BI194" s="241" t="s">
        <v>1902</v>
      </c>
      <c r="BJ194" s="241">
        <v>1997</v>
      </c>
      <c r="BK194" s="247">
        <v>46419</v>
      </c>
      <c r="BL194" s="247">
        <v>46784</v>
      </c>
      <c r="BM194" s="241"/>
      <c r="BN194" s="241"/>
      <c r="BO194" s="241">
        <v>41</v>
      </c>
      <c r="BP194" s="244">
        <v>44294</v>
      </c>
      <c r="BQ194" s="244">
        <v>44322</v>
      </c>
      <c r="BR194" s="244">
        <v>44585</v>
      </c>
      <c r="BS194" s="244"/>
      <c r="BT194" s="241"/>
      <c r="BU194" s="241"/>
      <c r="BV194" s="241"/>
      <c r="BW194" s="241"/>
      <c r="BX194" s="241"/>
      <c r="BY194" s="241"/>
      <c r="BZ194" s="241"/>
      <c r="CA194" s="241"/>
      <c r="CB194" s="241"/>
      <c r="CC194" s="241"/>
      <c r="CD194" s="241"/>
      <c r="CE194" s="241" t="e">
        <f>VLOOKUP(D194,[1]Sertifikasi!$B$4:$I$19,8,0)</f>
        <v>#N/A</v>
      </c>
      <c r="CF194" s="13"/>
      <c r="CG194" s="13"/>
      <c r="CH194" s="13"/>
    </row>
    <row r="195" spans="1:86" ht="11.25" customHeight="1" x14ac:dyDescent="0.2">
      <c r="A195" s="13"/>
      <c r="B195" s="238">
        <v>191</v>
      </c>
      <c r="C195" s="248" t="s">
        <v>292</v>
      </c>
      <c r="D195" s="237" t="s">
        <v>2660</v>
      </c>
      <c r="E195" s="239">
        <v>999200045</v>
      </c>
      <c r="F195" s="237">
        <v>1440001093159</v>
      </c>
      <c r="G195" s="240"/>
      <c r="H195" s="249" t="s">
        <v>204</v>
      </c>
      <c r="I195" s="241" t="s">
        <v>217</v>
      </c>
      <c r="J195" s="242">
        <v>43987</v>
      </c>
      <c r="K195" s="241"/>
      <c r="L195" s="241"/>
      <c r="M195" s="241" t="str">
        <f t="shared" si="25"/>
        <v>ORGANIK INKA</v>
      </c>
      <c r="N195" s="241" t="s">
        <v>204</v>
      </c>
      <c r="O195" s="241" t="s">
        <v>2637</v>
      </c>
      <c r="P195" s="243">
        <v>34820</v>
      </c>
      <c r="Q195" s="241" t="s">
        <v>295</v>
      </c>
      <c r="R195" s="284" t="s">
        <v>137</v>
      </c>
      <c r="S195" s="241" t="s">
        <v>6862</v>
      </c>
      <c r="T195" s="241" t="s">
        <v>296</v>
      </c>
      <c r="U195" s="241" t="s">
        <v>187</v>
      </c>
      <c r="V195" s="241" t="s">
        <v>116</v>
      </c>
      <c r="W195" s="241" t="s">
        <v>116</v>
      </c>
      <c r="X195" s="241" t="s">
        <v>116</v>
      </c>
      <c r="Y195" s="241" t="s">
        <v>298</v>
      </c>
      <c r="Z195" s="241"/>
      <c r="AA195" s="241"/>
      <c r="AB195" s="241" t="s">
        <v>133</v>
      </c>
      <c r="AC195" s="241" t="s">
        <v>217</v>
      </c>
      <c r="AD195" s="245">
        <v>26489</v>
      </c>
      <c r="AE195" s="241">
        <f t="shared" ca="1" si="19"/>
        <v>53</v>
      </c>
      <c r="AF195" s="246" t="s">
        <v>2661</v>
      </c>
      <c r="AG195" s="241" t="s">
        <v>2662</v>
      </c>
      <c r="AH195" s="240" t="s">
        <v>2663</v>
      </c>
      <c r="AI195" s="240"/>
      <c r="AJ195" s="240"/>
      <c r="AK195" s="241" t="s">
        <v>2664</v>
      </c>
      <c r="AL195" s="246" t="s">
        <v>2665</v>
      </c>
      <c r="AM195" s="246" t="s">
        <v>2666</v>
      </c>
      <c r="AN195" s="241" t="s">
        <v>4733</v>
      </c>
      <c r="AO195" s="241"/>
      <c r="AP195" s="241"/>
      <c r="AQ195" s="241"/>
      <c r="AR195" s="241"/>
      <c r="AS195" s="241"/>
      <c r="AT195" s="241" t="s">
        <v>306</v>
      </c>
      <c r="AU195" s="241" t="s">
        <v>306</v>
      </c>
      <c r="AV195" s="241" t="s">
        <v>306</v>
      </c>
      <c r="AW195" s="241" t="s">
        <v>306</v>
      </c>
      <c r="AX195" s="241">
        <f t="shared" si="20"/>
        <v>0</v>
      </c>
      <c r="AY195" s="241" t="str">
        <f t="shared" si="21"/>
        <v>K/0</v>
      </c>
      <c r="AZ195" s="241"/>
      <c r="BA195" s="237">
        <v>478617210621000</v>
      </c>
      <c r="BB195" s="249" t="s">
        <v>163</v>
      </c>
      <c r="BC195" s="241" t="s">
        <v>307</v>
      </c>
      <c r="BD195" s="241" t="s">
        <v>308</v>
      </c>
      <c r="BE195" s="241" t="s">
        <v>6844</v>
      </c>
      <c r="BF195" s="241"/>
      <c r="BG195" s="241" t="s">
        <v>307</v>
      </c>
      <c r="BH195" s="241"/>
      <c r="BI195" s="241"/>
      <c r="BJ195" s="241"/>
      <c r="BK195" s="247"/>
      <c r="BL195" s="247"/>
      <c r="BM195" s="241"/>
      <c r="BN195" s="241"/>
      <c r="BO195" s="241"/>
      <c r="BP195" s="244"/>
      <c r="BQ195" s="244"/>
      <c r="BR195" s="244">
        <v>44601</v>
      </c>
      <c r="BS195" s="244"/>
      <c r="BT195" s="241"/>
      <c r="BU195" s="241"/>
      <c r="BV195" s="241"/>
      <c r="BW195" s="241"/>
      <c r="BX195" s="241"/>
      <c r="BY195" s="241"/>
      <c r="BZ195" s="241"/>
      <c r="CA195" s="241"/>
      <c r="CB195" s="241"/>
      <c r="CC195" s="241"/>
      <c r="CD195" s="241"/>
      <c r="CE195" s="241" t="e">
        <f>VLOOKUP(D195,[1]Sertifikasi!$B$4:$I$19,8,0)</f>
        <v>#N/A</v>
      </c>
      <c r="CF195" s="13"/>
      <c r="CG195" s="13"/>
      <c r="CH195" s="13"/>
    </row>
    <row r="196" spans="1:86" ht="11.25" customHeight="1" x14ac:dyDescent="0.2">
      <c r="A196" s="13"/>
      <c r="B196" s="238">
        <v>192</v>
      </c>
      <c r="C196" s="285" t="s">
        <v>292</v>
      </c>
      <c r="D196" s="237" t="s">
        <v>2667</v>
      </c>
      <c r="E196" s="239">
        <v>991100025</v>
      </c>
      <c r="F196" s="237">
        <v>1440013093429</v>
      </c>
      <c r="G196" s="240"/>
      <c r="H196" s="249" t="s">
        <v>204</v>
      </c>
      <c r="I196" s="241" t="s">
        <v>441</v>
      </c>
      <c r="J196" s="242">
        <v>43987</v>
      </c>
      <c r="K196" s="241"/>
      <c r="L196" s="241"/>
      <c r="M196" s="241" t="str">
        <f t="shared" si="25"/>
        <v>ORGANIK INKA</v>
      </c>
      <c r="N196" s="241" t="s">
        <v>204</v>
      </c>
      <c r="O196" s="241" t="s">
        <v>2637</v>
      </c>
      <c r="P196" s="243">
        <v>40907</v>
      </c>
      <c r="Q196" s="241" t="s">
        <v>295</v>
      </c>
      <c r="R196" s="282" t="s">
        <v>142</v>
      </c>
      <c r="S196" s="241" t="s">
        <v>6860</v>
      </c>
      <c r="T196" s="241" t="s">
        <v>296</v>
      </c>
      <c r="U196" s="241" t="s">
        <v>187</v>
      </c>
      <c r="V196" s="241" t="s">
        <v>120</v>
      </c>
      <c r="W196" s="241" t="s">
        <v>120</v>
      </c>
      <c r="X196" s="241" t="s">
        <v>120</v>
      </c>
      <c r="Y196" s="241" t="s">
        <v>313</v>
      </c>
      <c r="Z196" s="241"/>
      <c r="AA196" s="241"/>
      <c r="AB196" s="241" t="s">
        <v>132</v>
      </c>
      <c r="AC196" s="241" t="s">
        <v>441</v>
      </c>
      <c r="AD196" s="245">
        <v>31574</v>
      </c>
      <c r="AE196" s="241">
        <f t="shared" ca="1" si="19"/>
        <v>39</v>
      </c>
      <c r="AF196" s="246" t="s">
        <v>2668</v>
      </c>
      <c r="AG196" s="241" t="s">
        <v>2669</v>
      </c>
      <c r="AH196" s="240" t="s">
        <v>2670</v>
      </c>
      <c r="AI196" s="240"/>
      <c r="AJ196" s="240"/>
      <c r="AK196" s="241" t="s">
        <v>2671</v>
      </c>
      <c r="AL196" s="246" t="s">
        <v>2672</v>
      </c>
      <c r="AM196" s="246">
        <v>7007856193</v>
      </c>
      <c r="AN196" s="241" t="s">
        <v>4733</v>
      </c>
      <c r="AO196" s="241"/>
      <c r="AP196" s="241"/>
      <c r="AQ196" s="241"/>
      <c r="AR196" s="241"/>
      <c r="AS196" s="241"/>
      <c r="AT196" s="241" t="s">
        <v>306</v>
      </c>
      <c r="AU196" s="241" t="s">
        <v>306</v>
      </c>
      <c r="AV196" s="241" t="s">
        <v>306</v>
      </c>
      <c r="AW196" s="241" t="s">
        <v>306</v>
      </c>
      <c r="AX196" s="241">
        <f t="shared" si="20"/>
        <v>0</v>
      </c>
      <c r="AY196" s="241" t="str">
        <f t="shared" si="21"/>
        <v>K/0</v>
      </c>
      <c r="AZ196" s="241"/>
      <c r="BA196" s="237" t="s">
        <v>2673</v>
      </c>
      <c r="BB196" s="249" t="s">
        <v>161</v>
      </c>
      <c r="BC196" s="241" t="s">
        <v>75</v>
      </c>
      <c r="BD196" s="241" t="s">
        <v>87</v>
      </c>
      <c r="BE196" s="241" t="s">
        <v>1902</v>
      </c>
      <c r="BF196" s="241">
        <v>2011</v>
      </c>
      <c r="BG196" s="241" t="s">
        <v>75</v>
      </c>
      <c r="BH196" s="241" t="s">
        <v>87</v>
      </c>
      <c r="BI196" s="241" t="s">
        <v>1902</v>
      </c>
      <c r="BJ196" s="241">
        <v>2011</v>
      </c>
      <c r="BK196" s="247">
        <v>51683</v>
      </c>
      <c r="BL196" s="247">
        <v>52048</v>
      </c>
      <c r="BM196" s="241"/>
      <c r="BN196" s="241"/>
      <c r="BO196" s="241">
        <v>39</v>
      </c>
      <c r="BP196" s="244">
        <v>44294</v>
      </c>
      <c r="BQ196" s="244">
        <v>44322</v>
      </c>
      <c r="BR196" s="244">
        <v>44585</v>
      </c>
      <c r="BS196" s="244"/>
      <c r="BT196" s="241"/>
      <c r="BU196" s="241"/>
      <c r="BV196" s="241"/>
      <c r="BW196" s="241"/>
      <c r="BX196" s="241"/>
      <c r="BY196" s="241"/>
      <c r="BZ196" s="241"/>
      <c r="CA196" s="241"/>
      <c r="CB196" s="241"/>
      <c r="CC196" s="241"/>
      <c r="CD196" s="241"/>
      <c r="CE196" s="241" t="e">
        <f>VLOOKUP(D196,[1]Sertifikasi!$B$4:$I$19,8,0)</f>
        <v>#N/A</v>
      </c>
      <c r="CF196" s="13"/>
      <c r="CG196" s="13"/>
      <c r="CH196" s="13"/>
    </row>
    <row r="197" spans="1:86" ht="11.25" customHeight="1" x14ac:dyDescent="0.2">
      <c r="A197" s="13"/>
      <c r="B197" s="238">
        <v>193</v>
      </c>
      <c r="C197" s="285" t="s">
        <v>292</v>
      </c>
      <c r="D197" s="237" t="s">
        <v>2674</v>
      </c>
      <c r="E197" s="239">
        <v>999500021</v>
      </c>
      <c r="F197" s="237">
        <v>1440001094504</v>
      </c>
      <c r="G197" s="240"/>
      <c r="H197" s="249" t="s">
        <v>204</v>
      </c>
      <c r="I197" s="241" t="s">
        <v>217</v>
      </c>
      <c r="J197" s="242">
        <v>43987</v>
      </c>
      <c r="K197" s="241"/>
      <c r="L197" s="241"/>
      <c r="M197" s="241" t="str">
        <f t="shared" si="25"/>
        <v>ORGANIK INKA</v>
      </c>
      <c r="N197" s="241" t="s">
        <v>204</v>
      </c>
      <c r="O197" s="241" t="s">
        <v>2637</v>
      </c>
      <c r="P197" s="243">
        <v>34820</v>
      </c>
      <c r="Q197" s="241" t="s">
        <v>295</v>
      </c>
      <c r="R197" s="282" t="s">
        <v>142</v>
      </c>
      <c r="S197" s="241" t="s">
        <v>6860</v>
      </c>
      <c r="T197" s="241" t="s">
        <v>296</v>
      </c>
      <c r="U197" s="241" t="s">
        <v>187</v>
      </c>
      <c r="V197" s="241" t="s">
        <v>73</v>
      </c>
      <c r="W197" s="241" t="s">
        <v>73</v>
      </c>
      <c r="X197" s="241" t="s">
        <v>122</v>
      </c>
      <c r="Y197" s="241" t="s">
        <v>313</v>
      </c>
      <c r="Z197" s="241"/>
      <c r="AA197" s="241"/>
      <c r="AB197" s="241" t="s">
        <v>132</v>
      </c>
      <c r="AC197" s="241" t="s">
        <v>2675</v>
      </c>
      <c r="AD197" s="245">
        <v>25869</v>
      </c>
      <c r="AE197" s="241">
        <f t="shared" ref="AE197:AE260" ca="1" si="27">DATEDIF(AD197,$E$3,"y")</f>
        <v>54</v>
      </c>
      <c r="AF197" s="246" t="s">
        <v>2676</v>
      </c>
      <c r="AG197" s="241" t="s">
        <v>300</v>
      </c>
      <c r="AH197" s="240" t="s">
        <v>2677</v>
      </c>
      <c r="AI197" s="240"/>
      <c r="AJ197" s="240"/>
      <c r="AK197" s="241" t="s">
        <v>2678</v>
      </c>
      <c r="AL197" s="246" t="s">
        <v>2679</v>
      </c>
      <c r="AM197" s="246" t="s">
        <v>2680</v>
      </c>
      <c r="AN197" s="241" t="s">
        <v>4733</v>
      </c>
      <c r="AO197" s="241" t="s">
        <v>2681</v>
      </c>
      <c r="AP197" s="241" t="s">
        <v>2682</v>
      </c>
      <c r="AQ197" s="241" t="s">
        <v>2683</v>
      </c>
      <c r="AR197" s="241" t="s">
        <v>2684</v>
      </c>
      <c r="AS197" s="241"/>
      <c r="AT197" s="241" t="s">
        <v>306</v>
      </c>
      <c r="AU197" s="241" t="s">
        <v>306</v>
      </c>
      <c r="AV197" s="241" t="s">
        <v>306</v>
      </c>
      <c r="AW197" s="241" t="s">
        <v>306</v>
      </c>
      <c r="AX197" s="241">
        <f t="shared" ref="AX197:AX260" si="28">COUNTA(AP197:AS197)</f>
        <v>3</v>
      </c>
      <c r="AY197" s="241" t="str">
        <f t="shared" ref="AY197:AY260" si="29">IF(AN197="Menikah","K","TK")&amp;"/"&amp;AX197</f>
        <v>K/3</v>
      </c>
      <c r="AZ197" s="241"/>
      <c r="BA197" s="237">
        <v>576323406643000</v>
      </c>
      <c r="BB197" s="249" t="s">
        <v>161</v>
      </c>
      <c r="BC197" s="241" t="s">
        <v>70</v>
      </c>
      <c r="BD197" s="241" t="s">
        <v>87</v>
      </c>
      <c r="BE197" s="241" t="s">
        <v>81</v>
      </c>
      <c r="BF197" s="241">
        <v>1992</v>
      </c>
      <c r="BG197" s="241" t="s">
        <v>70</v>
      </c>
      <c r="BH197" s="241" t="s">
        <v>87</v>
      </c>
      <c r="BI197" s="241" t="s">
        <v>81</v>
      </c>
      <c r="BJ197" s="241">
        <v>1992</v>
      </c>
      <c r="BK197" s="247">
        <v>45962</v>
      </c>
      <c r="BL197" s="247">
        <v>46327</v>
      </c>
      <c r="BM197" s="241"/>
      <c r="BN197" s="241"/>
      <c r="BO197" s="241">
        <v>42</v>
      </c>
      <c r="BP197" s="244">
        <v>44294</v>
      </c>
      <c r="BQ197" s="244">
        <v>44322</v>
      </c>
      <c r="BR197" s="244">
        <v>44585</v>
      </c>
      <c r="BS197" s="244"/>
      <c r="BT197" s="241"/>
      <c r="BU197" s="241"/>
      <c r="BV197" s="241"/>
      <c r="BW197" s="241"/>
      <c r="BX197" s="241"/>
      <c r="BY197" s="241"/>
      <c r="BZ197" s="241"/>
      <c r="CA197" s="241"/>
      <c r="CB197" s="241"/>
      <c r="CC197" s="241"/>
      <c r="CD197" s="241"/>
      <c r="CE197" s="241" t="e">
        <f>VLOOKUP(D197,[1]Sertifikasi!$B$4:$I$19,8,0)</f>
        <v>#N/A</v>
      </c>
      <c r="CF197" s="13"/>
      <c r="CG197" s="13"/>
      <c r="CH197" s="13"/>
    </row>
    <row r="198" spans="1:86" ht="11.25" customHeight="1" x14ac:dyDescent="0.2">
      <c r="A198" s="13"/>
      <c r="B198" s="238">
        <v>194</v>
      </c>
      <c r="C198" s="248" t="s">
        <v>292</v>
      </c>
      <c r="D198" s="237" t="s">
        <v>90</v>
      </c>
      <c r="E198" s="239">
        <v>999200022</v>
      </c>
      <c r="F198" s="237">
        <v>1440001093357</v>
      </c>
      <c r="G198" s="240"/>
      <c r="H198" s="249" t="s">
        <v>204</v>
      </c>
      <c r="I198" s="241" t="s">
        <v>217</v>
      </c>
      <c r="J198" s="242">
        <v>43987</v>
      </c>
      <c r="K198" s="241"/>
      <c r="L198" s="241"/>
      <c r="M198" s="241" t="str">
        <f t="shared" si="25"/>
        <v>ORGANIK INKA</v>
      </c>
      <c r="N198" s="241" t="s">
        <v>204</v>
      </c>
      <c r="O198" s="241" t="s">
        <v>2685</v>
      </c>
      <c r="P198" s="243">
        <v>33909</v>
      </c>
      <c r="Q198" s="241" t="s">
        <v>2686</v>
      </c>
      <c r="R198" s="282" t="s">
        <v>142</v>
      </c>
      <c r="S198" s="241" t="s">
        <v>6860</v>
      </c>
      <c r="T198" s="241" t="s">
        <v>296</v>
      </c>
      <c r="U198" s="241" t="s">
        <v>187</v>
      </c>
      <c r="V198" s="241" t="s">
        <v>59</v>
      </c>
      <c r="W198" s="241" t="s">
        <v>59</v>
      </c>
      <c r="X198" s="241" t="s">
        <v>59</v>
      </c>
      <c r="Y198" s="241" t="s">
        <v>298</v>
      </c>
      <c r="Z198" s="241"/>
      <c r="AA198" s="241"/>
      <c r="AB198" s="241" t="s">
        <v>132</v>
      </c>
      <c r="AC198" s="241" t="s">
        <v>2687</v>
      </c>
      <c r="AD198" s="245">
        <v>26032</v>
      </c>
      <c r="AE198" s="241">
        <f t="shared" ca="1" si="27"/>
        <v>54</v>
      </c>
      <c r="AF198" s="246" t="s">
        <v>2688</v>
      </c>
      <c r="AG198" s="241" t="s">
        <v>2689</v>
      </c>
      <c r="AH198" s="240" t="s">
        <v>2690</v>
      </c>
      <c r="AI198" s="240"/>
      <c r="AJ198" s="240"/>
      <c r="AK198" s="241" t="s">
        <v>2691</v>
      </c>
      <c r="AL198" s="246" t="s">
        <v>2692</v>
      </c>
      <c r="AM198" s="246" t="s">
        <v>2693</v>
      </c>
      <c r="AN198" s="241" t="s">
        <v>4733</v>
      </c>
      <c r="AO198" s="241" t="s">
        <v>2694</v>
      </c>
      <c r="AP198" s="241" t="s">
        <v>2695</v>
      </c>
      <c r="AQ198" s="241" t="s">
        <v>2696</v>
      </c>
      <c r="AR198" s="241" t="s">
        <v>2697</v>
      </c>
      <c r="AS198" s="241" t="s">
        <v>2698</v>
      </c>
      <c r="AT198" s="241" t="s">
        <v>2699</v>
      </c>
      <c r="AU198" s="241" t="s">
        <v>2700</v>
      </c>
      <c r="AV198" s="241" t="s">
        <v>2701</v>
      </c>
      <c r="AW198" s="241" t="s">
        <v>306</v>
      </c>
      <c r="AX198" s="241">
        <f t="shared" si="28"/>
        <v>4</v>
      </c>
      <c r="AY198" s="241" t="str">
        <f t="shared" si="29"/>
        <v>K/4</v>
      </c>
      <c r="AZ198" s="241" t="s">
        <v>2702</v>
      </c>
      <c r="BA198" s="241" t="s">
        <v>2702</v>
      </c>
      <c r="BB198" s="249" t="s">
        <v>161</v>
      </c>
      <c r="BC198" s="241" t="s">
        <v>75</v>
      </c>
      <c r="BD198" s="241" t="s">
        <v>91</v>
      </c>
      <c r="BE198" s="241" t="s">
        <v>92</v>
      </c>
      <c r="BF198" s="241"/>
      <c r="BG198" s="241" t="s">
        <v>75</v>
      </c>
      <c r="BH198" s="241" t="s">
        <v>91</v>
      </c>
      <c r="BI198" s="241" t="s">
        <v>92</v>
      </c>
      <c r="BJ198" s="241"/>
      <c r="BK198" s="247">
        <v>46143</v>
      </c>
      <c r="BL198" s="247" t="s">
        <v>2703</v>
      </c>
      <c r="BM198" s="241"/>
      <c r="BN198" s="241"/>
      <c r="BO198" s="241">
        <v>40</v>
      </c>
      <c r="BP198" s="244">
        <v>44294</v>
      </c>
      <c r="BQ198" s="244">
        <v>44322</v>
      </c>
      <c r="BR198" s="244">
        <v>44585</v>
      </c>
      <c r="BS198" s="244"/>
      <c r="BT198" s="241"/>
      <c r="BU198" s="241"/>
      <c r="BV198" s="241"/>
      <c r="BW198" s="241"/>
      <c r="BX198" s="241"/>
      <c r="BY198" s="241"/>
      <c r="BZ198" s="241"/>
      <c r="CA198" s="241"/>
      <c r="CB198" s="241"/>
      <c r="CC198" s="241"/>
      <c r="CD198" s="241"/>
      <c r="CE198" s="241" t="e">
        <f>VLOOKUP(D198,[1]Sertifikasi!$B$4:$I$19,8,0)</f>
        <v>#N/A</v>
      </c>
      <c r="CF198" s="13"/>
      <c r="CG198" s="13"/>
      <c r="CH198" s="13"/>
    </row>
    <row r="199" spans="1:86" ht="11.25" customHeight="1" x14ac:dyDescent="0.2">
      <c r="A199" s="13"/>
      <c r="B199" s="238">
        <v>195</v>
      </c>
      <c r="C199" s="285" t="s">
        <v>292</v>
      </c>
      <c r="D199" s="237" t="s">
        <v>2704</v>
      </c>
      <c r="E199" s="239">
        <v>999800078</v>
      </c>
      <c r="F199" s="237">
        <v>1440011136048</v>
      </c>
      <c r="G199" s="240"/>
      <c r="H199" s="249" t="s">
        <v>204</v>
      </c>
      <c r="I199" s="241" t="s">
        <v>217</v>
      </c>
      <c r="J199" s="242">
        <v>43987</v>
      </c>
      <c r="K199" s="241"/>
      <c r="L199" s="241"/>
      <c r="M199" s="241" t="str">
        <f t="shared" si="25"/>
        <v>ORGANIK INKA</v>
      </c>
      <c r="N199" s="241" t="s">
        <v>204</v>
      </c>
      <c r="O199" s="241" t="s">
        <v>2637</v>
      </c>
      <c r="P199" s="243">
        <v>36312</v>
      </c>
      <c r="Q199" s="241" t="s">
        <v>295</v>
      </c>
      <c r="R199" s="282" t="s">
        <v>142</v>
      </c>
      <c r="S199" s="241" t="s">
        <v>6860</v>
      </c>
      <c r="T199" s="241" t="s">
        <v>296</v>
      </c>
      <c r="U199" s="241" t="s">
        <v>187</v>
      </c>
      <c r="V199" s="241" t="s">
        <v>65</v>
      </c>
      <c r="W199" s="241" t="s">
        <v>65</v>
      </c>
      <c r="X199" s="241" t="s">
        <v>121</v>
      </c>
      <c r="Y199" s="241" t="s">
        <v>313</v>
      </c>
      <c r="Z199" s="241"/>
      <c r="AA199" s="241"/>
      <c r="AB199" s="241" t="s">
        <v>132</v>
      </c>
      <c r="AC199" s="241" t="s">
        <v>217</v>
      </c>
      <c r="AD199" s="245">
        <v>27124</v>
      </c>
      <c r="AE199" s="241">
        <f t="shared" ca="1" si="27"/>
        <v>51</v>
      </c>
      <c r="AF199" s="246" t="s">
        <v>2705</v>
      </c>
      <c r="AG199" s="241" t="s">
        <v>2706</v>
      </c>
      <c r="AH199" s="240" t="s">
        <v>2707</v>
      </c>
      <c r="AI199" s="240"/>
      <c r="AJ199" s="240"/>
      <c r="AK199" s="241" t="s">
        <v>2708</v>
      </c>
      <c r="AL199" s="246" t="s">
        <v>2709</v>
      </c>
      <c r="AM199" s="246" t="s">
        <v>2710</v>
      </c>
      <c r="AN199" s="241" t="s">
        <v>4733</v>
      </c>
      <c r="AO199" s="241" t="s">
        <v>2711</v>
      </c>
      <c r="AP199" s="241" t="s">
        <v>2712</v>
      </c>
      <c r="AQ199" s="241" t="s">
        <v>2713</v>
      </c>
      <c r="AR199" s="241"/>
      <c r="AS199" s="241"/>
      <c r="AT199" s="241" t="s">
        <v>306</v>
      </c>
      <c r="AU199" s="241" t="s">
        <v>306</v>
      </c>
      <c r="AV199" s="241" t="s">
        <v>306</v>
      </c>
      <c r="AW199" s="241" t="s">
        <v>306</v>
      </c>
      <c r="AX199" s="241">
        <f t="shared" si="28"/>
        <v>2</v>
      </c>
      <c r="AY199" s="241" t="str">
        <f t="shared" si="29"/>
        <v>K/2</v>
      </c>
      <c r="AZ199" s="241"/>
      <c r="BA199" s="237" t="s">
        <v>2714</v>
      </c>
      <c r="BB199" s="249" t="s">
        <v>161</v>
      </c>
      <c r="BC199" s="241" t="s">
        <v>349</v>
      </c>
      <c r="BD199" s="241" t="s">
        <v>2715</v>
      </c>
      <c r="BE199" s="241" t="s">
        <v>516</v>
      </c>
      <c r="BF199" s="241"/>
      <c r="BG199" s="241" t="s">
        <v>349</v>
      </c>
      <c r="BH199" s="241" t="s">
        <v>2715</v>
      </c>
      <c r="BI199" s="241" t="s">
        <v>2716</v>
      </c>
      <c r="BJ199" s="241"/>
      <c r="BK199" s="247">
        <v>47239</v>
      </c>
      <c r="BL199" s="247" t="s">
        <v>2717</v>
      </c>
      <c r="BM199" s="241"/>
      <c r="BN199" s="241"/>
      <c r="BO199" s="241"/>
      <c r="BP199" s="244">
        <v>44294</v>
      </c>
      <c r="BQ199" s="244">
        <v>44322</v>
      </c>
      <c r="BR199" s="244"/>
      <c r="BS199" s="244"/>
      <c r="BT199" s="241"/>
      <c r="BU199" s="241"/>
      <c r="BV199" s="241"/>
      <c r="BW199" s="241"/>
      <c r="BX199" s="241"/>
      <c r="BY199" s="241"/>
      <c r="BZ199" s="241"/>
      <c r="CA199" s="241"/>
      <c r="CB199" s="241"/>
      <c r="CC199" s="241"/>
      <c r="CD199" s="241"/>
      <c r="CE199" s="241" t="e">
        <f>VLOOKUP(D199,[1]Sertifikasi!$B$4:$I$19,8,0)</f>
        <v>#N/A</v>
      </c>
      <c r="CF199" s="13"/>
      <c r="CG199" s="13"/>
      <c r="CH199" s="13"/>
    </row>
    <row r="200" spans="1:86" ht="11.25" customHeight="1" x14ac:dyDescent="0.2">
      <c r="A200" s="13"/>
      <c r="B200" s="238">
        <v>196</v>
      </c>
      <c r="C200" s="248" t="s">
        <v>292</v>
      </c>
      <c r="D200" s="237" t="s">
        <v>2718</v>
      </c>
      <c r="E200" s="239">
        <v>999800090</v>
      </c>
      <c r="F200" s="237">
        <v>1440001099685</v>
      </c>
      <c r="G200" s="240">
        <v>7174352288</v>
      </c>
      <c r="H200" s="249" t="s">
        <v>204</v>
      </c>
      <c r="I200" s="241" t="s">
        <v>217</v>
      </c>
      <c r="J200" s="242">
        <v>43987</v>
      </c>
      <c r="K200" s="241"/>
      <c r="L200" s="241"/>
      <c r="M200" s="241" t="str">
        <f t="shared" si="25"/>
        <v>ORGANIK INKA</v>
      </c>
      <c r="N200" s="241" t="s">
        <v>204</v>
      </c>
      <c r="O200" s="241" t="s">
        <v>2649</v>
      </c>
      <c r="P200" s="243">
        <v>36312</v>
      </c>
      <c r="Q200" s="241" t="s">
        <v>139</v>
      </c>
      <c r="R200" s="241" t="s">
        <v>206</v>
      </c>
      <c r="S200" s="241" t="s">
        <v>6863</v>
      </c>
      <c r="T200" s="241" t="s">
        <v>312</v>
      </c>
      <c r="U200" s="241" t="s">
        <v>187</v>
      </c>
      <c r="V200" s="241" t="s">
        <v>73</v>
      </c>
      <c r="W200" s="241" t="s">
        <v>73</v>
      </c>
      <c r="X200" s="241" t="s">
        <v>122</v>
      </c>
      <c r="Y200" s="241" t="s">
        <v>313</v>
      </c>
      <c r="Z200" s="241" t="s">
        <v>306</v>
      </c>
      <c r="AA200" s="241"/>
      <c r="AB200" s="241" t="s">
        <v>132</v>
      </c>
      <c r="AC200" s="241" t="s">
        <v>1886</v>
      </c>
      <c r="AD200" s="245">
        <v>26382</v>
      </c>
      <c r="AE200" s="241">
        <f t="shared" ca="1" si="27"/>
        <v>53</v>
      </c>
      <c r="AF200" s="246" t="s">
        <v>2719</v>
      </c>
      <c r="AG200" s="241" t="s">
        <v>2720</v>
      </c>
      <c r="AH200" s="240" t="s">
        <v>2721</v>
      </c>
      <c r="AI200" s="240"/>
      <c r="AJ200" s="240"/>
      <c r="AK200" s="241" t="s">
        <v>2722</v>
      </c>
      <c r="AL200" s="246" t="s">
        <v>2723</v>
      </c>
      <c r="AM200" s="246" t="s">
        <v>2724</v>
      </c>
      <c r="AN200" s="241" t="s">
        <v>4733</v>
      </c>
      <c r="AO200" s="241" t="s">
        <v>2725</v>
      </c>
      <c r="AP200" s="241" t="s">
        <v>2726</v>
      </c>
      <c r="AQ200" s="241" t="s">
        <v>2727</v>
      </c>
      <c r="AR200" s="241"/>
      <c r="AS200" s="241"/>
      <c r="AT200" s="241" t="s">
        <v>2728</v>
      </c>
      <c r="AU200" s="241" t="s">
        <v>306</v>
      </c>
      <c r="AV200" s="241" t="s">
        <v>306</v>
      </c>
      <c r="AW200" s="241" t="s">
        <v>306</v>
      </c>
      <c r="AX200" s="241">
        <f t="shared" si="28"/>
        <v>2</v>
      </c>
      <c r="AY200" s="241" t="str">
        <f t="shared" si="29"/>
        <v>K/2</v>
      </c>
      <c r="AZ200" s="241"/>
      <c r="BA200" s="237" t="s">
        <v>2729</v>
      </c>
      <c r="BB200" s="249" t="s">
        <v>161</v>
      </c>
      <c r="BC200" s="241" t="s">
        <v>349</v>
      </c>
      <c r="BD200" s="241" t="s">
        <v>2730</v>
      </c>
      <c r="BE200" s="241" t="s">
        <v>2731</v>
      </c>
      <c r="BF200" s="241">
        <v>1991</v>
      </c>
      <c r="BG200" s="241" t="s">
        <v>349</v>
      </c>
      <c r="BH200" s="241" t="s">
        <v>2730</v>
      </c>
      <c r="BI200" s="241" t="s">
        <v>2731</v>
      </c>
      <c r="BJ200" s="241">
        <v>1991</v>
      </c>
      <c r="BK200" s="247">
        <v>46478</v>
      </c>
      <c r="BL200" s="247">
        <v>46844</v>
      </c>
      <c r="BM200" s="241"/>
      <c r="BN200" s="241"/>
      <c r="BO200" s="241">
        <v>40</v>
      </c>
      <c r="BP200" s="244">
        <v>44294</v>
      </c>
      <c r="BQ200" s="244">
        <v>44322</v>
      </c>
      <c r="BR200" s="244">
        <v>44662</v>
      </c>
      <c r="BS200" s="244"/>
      <c r="BT200" s="241"/>
      <c r="BU200" s="241"/>
      <c r="BV200" s="241"/>
      <c r="BW200" s="241"/>
      <c r="BX200" s="241"/>
      <c r="BY200" s="241"/>
      <c r="BZ200" s="241"/>
      <c r="CA200" s="241"/>
      <c r="CB200" s="241"/>
      <c r="CC200" s="241"/>
      <c r="CD200" s="241"/>
      <c r="CE200" s="241" t="e">
        <f>VLOOKUP(D200,[1]Sertifikasi!$B$4:$I$19,8,0)</f>
        <v>#N/A</v>
      </c>
      <c r="CF200" s="13"/>
      <c r="CG200" s="13"/>
      <c r="CH200" s="13"/>
    </row>
    <row r="201" spans="1:86" ht="11.25" customHeight="1" x14ac:dyDescent="0.2">
      <c r="A201" s="13"/>
      <c r="B201" s="238">
        <v>197</v>
      </c>
      <c r="C201" s="248" t="s">
        <v>292</v>
      </c>
      <c r="D201" s="237" t="s">
        <v>2732</v>
      </c>
      <c r="E201" s="239">
        <v>991700024</v>
      </c>
      <c r="F201" s="237">
        <v>1710000383490</v>
      </c>
      <c r="G201" s="240">
        <v>7173615908</v>
      </c>
      <c r="H201" s="249" t="s">
        <v>204</v>
      </c>
      <c r="I201" s="241" t="s">
        <v>217</v>
      </c>
      <c r="J201" s="242">
        <v>43987</v>
      </c>
      <c r="K201" s="241"/>
      <c r="L201" s="241"/>
      <c r="M201" s="241" t="str">
        <f t="shared" si="25"/>
        <v>ORGANIK INKA</v>
      </c>
      <c r="N201" s="241" t="s">
        <v>204</v>
      </c>
      <c r="O201" s="241" t="s">
        <v>2649</v>
      </c>
      <c r="P201" s="243">
        <v>42767</v>
      </c>
      <c r="Q201" s="241" t="s">
        <v>139</v>
      </c>
      <c r="R201" s="241" t="s">
        <v>139</v>
      </c>
      <c r="S201" s="241" t="s">
        <v>6863</v>
      </c>
      <c r="T201" s="241" t="s">
        <v>312</v>
      </c>
      <c r="U201" s="241" t="s">
        <v>20</v>
      </c>
      <c r="V201" s="241" t="s">
        <v>547</v>
      </c>
      <c r="W201" s="241" t="s">
        <v>78</v>
      </c>
      <c r="X201" s="241" t="s">
        <v>122</v>
      </c>
      <c r="Y201" s="241" t="s">
        <v>313</v>
      </c>
      <c r="Z201" s="241"/>
      <c r="AA201" s="241"/>
      <c r="AB201" s="241" t="s">
        <v>132</v>
      </c>
      <c r="AC201" s="241" t="s">
        <v>217</v>
      </c>
      <c r="AD201" s="245">
        <v>33401</v>
      </c>
      <c r="AE201" s="241">
        <f t="shared" ca="1" si="27"/>
        <v>34</v>
      </c>
      <c r="AF201" s="246" t="s">
        <v>2733</v>
      </c>
      <c r="AG201" s="241" t="s">
        <v>2734</v>
      </c>
      <c r="AH201" s="240" t="s">
        <v>2735</v>
      </c>
      <c r="AI201" s="240"/>
      <c r="AJ201" s="240"/>
      <c r="AK201" s="241" t="s">
        <v>2736</v>
      </c>
      <c r="AL201" s="246" t="s">
        <v>2737</v>
      </c>
      <c r="AM201" s="246">
        <v>12022232693</v>
      </c>
      <c r="AN201" s="241" t="s">
        <v>4733</v>
      </c>
      <c r="AO201" s="241" t="s">
        <v>2738</v>
      </c>
      <c r="AP201" s="241" t="s">
        <v>2739</v>
      </c>
      <c r="AQ201" s="241"/>
      <c r="AR201" s="241"/>
      <c r="AS201" s="241"/>
      <c r="AT201" s="241" t="s">
        <v>306</v>
      </c>
      <c r="AU201" s="241" t="s">
        <v>306</v>
      </c>
      <c r="AV201" s="241" t="s">
        <v>306</v>
      </c>
      <c r="AW201" s="241" t="s">
        <v>306</v>
      </c>
      <c r="AX201" s="241">
        <f t="shared" si="28"/>
        <v>1</v>
      </c>
      <c r="AY201" s="241" t="str">
        <f t="shared" si="29"/>
        <v>K/1</v>
      </c>
      <c r="AZ201" s="241"/>
      <c r="BA201" s="237" t="s">
        <v>2740</v>
      </c>
      <c r="BB201" s="249" t="s">
        <v>161</v>
      </c>
      <c r="BC201" s="241" t="s">
        <v>349</v>
      </c>
      <c r="BD201" s="241" t="s">
        <v>91</v>
      </c>
      <c r="BE201" s="241" t="s">
        <v>350</v>
      </c>
      <c r="BF201" s="241">
        <v>2010</v>
      </c>
      <c r="BG201" s="241" t="s">
        <v>349</v>
      </c>
      <c r="BH201" s="241" t="s">
        <v>91</v>
      </c>
      <c r="BI201" s="241" t="s">
        <v>350</v>
      </c>
      <c r="BJ201" s="241">
        <v>2010</v>
      </c>
      <c r="BK201" s="247">
        <v>49126</v>
      </c>
      <c r="BL201" s="247">
        <v>49491</v>
      </c>
      <c r="BM201" s="241"/>
      <c r="BN201" s="241"/>
      <c r="BO201" s="241">
        <v>43</v>
      </c>
      <c r="BP201" s="244">
        <v>44294</v>
      </c>
      <c r="BQ201" s="244">
        <v>44322</v>
      </c>
      <c r="BR201" s="244">
        <v>44585</v>
      </c>
      <c r="BS201" s="244"/>
      <c r="BT201" s="241"/>
      <c r="BU201" s="241"/>
      <c r="BV201" s="241"/>
      <c r="BW201" s="241"/>
      <c r="BX201" s="241"/>
      <c r="BY201" s="241"/>
      <c r="BZ201" s="241"/>
      <c r="CA201" s="241"/>
      <c r="CB201" s="241"/>
      <c r="CC201" s="241"/>
      <c r="CD201" s="241"/>
      <c r="CE201" s="241" t="e">
        <f>VLOOKUP(D201,[1]Sertifikasi!$B$4:$I$19,8,0)</f>
        <v>#N/A</v>
      </c>
      <c r="CF201" s="13"/>
      <c r="CG201" s="13"/>
      <c r="CH201" s="13"/>
    </row>
    <row r="202" spans="1:86" ht="11.25" customHeight="1" x14ac:dyDescent="0.2">
      <c r="A202" s="13"/>
      <c r="B202" s="238">
        <v>198</v>
      </c>
      <c r="C202" s="248" t="s">
        <v>292</v>
      </c>
      <c r="D202" s="237" t="s">
        <v>2741</v>
      </c>
      <c r="E202" s="239">
        <v>999800030</v>
      </c>
      <c r="F202" s="237">
        <v>1440011135446</v>
      </c>
      <c r="G202" s="240"/>
      <c r="H202" s="249" t="s">
        <v>204</v>
      </c>
      <c r="I202" s="241" t="s">
        <v>217</v>
      </c>
      <c r="J202" s="242">
        <v>43987</v>
      </c>
      <c r="K202" s="241"/>
      <c r="L202" s="241"/>
      <c r="M202" s="241" t="str">
        <f t="shared" si="25"/>
        <v>ORGANIK INKA</v>
      </c>
      <c r="N202" s="241" t="s">
        <v>204</v>
      </c>
      <c r="O202" s="241" t="s">
        <v>2649</v>
      </c>
      <c r="P202" s="243">
        <v>36039</v>
      </c>
      <c r="Q202" s="241" t="s">
        <v>139</v>
      </c>
      <c r="R202" s="241" t="s">
        <v>139</v>
      </c>
      <c r="S202" s="241" t="s">
        <v>6863</v>
      </c>
      <c r="T202" s="241" t="s">
        <v>296</v>
      </c>
      <c r="U202" s="241" t="s">
        <v>187</v>
      </c>
      <c r="V202" s="241" t="s">
        <v>49</v>
      </c>
      <c r="W202" s="241" t="s">
        <v>54</v>
      </c>
      <c r="X202" s="241" t="s">
        <v>120</v>
      </c>
      <c r="Y202" s="241" t="s">
        <v>313</v>
      </c>
      <c r="Z202" s="241"/>
      <c r="AA202" s="241"/>
      <c r="AB202" s="241" t="s">
        <v>132</v>
      </c>
      <c r="AC202" s="241" t="s">
        <v>217</v>
      </c>
      <c r="AD202" s="245">
        <v>25757</v>
      </c>
      <c r="AE202" s="241">
        <f t="shared" ca="1" si="27"/>
        <v>55</v>
      </c>
      <c r="AF202" s="246" t="s">
        <v>2742</v>
      </c>
      <c r="AG202" s="241" t="s">
        <v>2743</v>
      </c>
      <c r="AH202" s="240" t="s">
        <v>2744</v>
      </c>
      <c r="AI202" s="240"/>
      <c r="AJ202" s="240"/>
      <c r="AK202" s="241" t="s">
        <v>2745</v>
      </c>
      <c r="AL202" s="246" t="s">
        <v>2746</v>
      </c>
      <c r="AM202" s="246" t="s">
        <v>2747</v>
      </c>
      <c r="AN202" s="241" t="s">
        <v>4733</v>
      </c>
      <c r="AO202" s="241" t="s">
        <v>2748</v>
      </c>
      <c r="AP202" s="241" t="s">
        <v>2749</v>
      </c>
      <c r="AQ202" s="241"/>
      <c r="AR202" s="241"/>
      <c r="AS202" s="241"/>
      <c r="AT202" s="241" t="s">
        <v>306</v>
      </c>
      <c r="AU202" s="241" t="s">
        <v>306</v>
      </c>
      <c r="AV202" s="241" t="s">
        <v>306</v>
      </c>
      <c r="AW202" s="241" t="s">
        <v>306</v>
      </c>
      <c r="AX202" s="241">
        <f t="shared" si="28"/>
        <v>1</v>
      </c>
      <c r="AY202" s="241" t="str">
        <f t="shared" si="29"/>
        <v>K/1</v>
      </c>
      <c r="AZ202" s="241"/>
      <c r="BA202" s="237" t="s">
        <v>2750</v>
      </c>
      <c r="BB202" s="249" t="s">
        <v>161</v>
      </c>
      <c r="BC202" s="241" t="s">
        <v>349</v>
      </c>
      <c r="BD202" s="241" t="s">
        <v>2730</v>
      </c>
      <c r="BE202" s="241" t="s">
        <v>2751</v>
      </c>
      <c r="BF202" s="241">
        <v>1990</v>
      </c>
      <c r="BG202" s="241" t="s">
        <v>349</v>
      </c>
      <c r="BH202" s="241" t="s">
        <v>2730</v>
      </c>
      <c r="BI202" s="241" t="s">
        <v>2751</v>
      </c>
      <c r="BJ202" s="241">
        <v>1990</v>
      </c>
      <c r="BK202" s="247">
        <v>45870</v>
      </c>
      <c r="BL202" s="247" t="s">
        <v>2752</v>
      </c>
      <c r="BM202" s="241"/>
      <c r="BN202" s="241"/>
      <c r="BO202" s="241">
        <v>40</v>
      </c>
      <c r="BP202" s="244">
        <v>44294</v>
      </c>
      <c r="BQ202" s="244">
        <v>44322</v>
      </c>
      <c r="BR202" s="244">
        <v>44585</v>
      </c>
      <c r="BS202" s="244"/>
      <c r="BT202" s="241"/>
      <c r="BU202" s="241"/>
      <c r="BV202" s="241"/>
      <c r="BW202" s="241"/>
      <c r="BX202" s="241"/>
      <c r="BY202" s="241"/>
      <c r="BZ202" s="241"/>
      <c r="CA202" s="241"/>
      <c r="CB202" s="241"/>
      <c r="CC202" s="241"/>
      <c r="CD202" s="241"/>
      <c r="CE202" s="241" t="e">
        <f>VLOOKUP(D202,[1]Sertifikasi!$B$4:$I$19,8,0)</f>
        <v>#N/A</v>
      </c>
      <c r="CF202" s="13"/>
      <c r="CG202" s="13"/>
      <c r="CH202" s="13"/>
    </row>
    <row r="203" spans="1:86" ht="11.25" customHeight="1" x14ac:dyDescent="0.2">
      <c r="A203" s="13"/>
      <c r="B203" s="238">
        <v>199</v>
      </c>
      <c r="C203" s="241" t="e">
        <f ca="1">DATEDIF($E$3,P203,"D")</f>
        <v>#NUM!</v>
      </c>
      <c r="D203" s="237" t="s">
        <v>2753</v>
      </c>
      <c r="E203" s="239">
        <v>642007090</v>
      </c>
      <c r="F203" s="237">
        <v>1710000416969</v>
      </c>
      <c r="G203" s="240"/>
      <c r="H203" s="241" t="s">
        <v>217</v>
      </c>
      <c r="I203" s="241" t="s">
        <v>217</v>
      </c>
      <c r="J203" s="242">
        <v>44013</v>
      </c>
      <c r="K203" s="241"/>
      <c r="L203" s="241"/>
      <c r="M203" s="241" t="str">
        <f t="shared" si="25"/>
        <v>PKWT</v>
      </c>
      <c r="N203" s="241" t="s">
        <v>187</v>
      </c>
      <c r="O203" s="241"/>
      <c r="P203" s="243">
        <v>45839</v>
      </c>
      <c r="Q203" s="241"/>
      <c r="R203" s="241" t="s">
        <v>206</v>
      </c>
      <c r="S203" s="241" t="s">
        <v>6863</v>
      </c>
      <c r="T203" s="241" t="s">
        <v>312</v>
      </c>
      <c r="U203" s="241" t="s">
        <v>204</v>
      </c>
      <c r="V203" s="241" t="s">
        <v>6012</v>
      </c>
      <c r="W203" s="241" t="s">
        <v>6908</v>
      </c>
      <c r="X203" s="241" t="s">
        <v>18</v>
      </c>
      <c r="Y203" s="241" t="s">
        <v>313</v>
      </c>
      <c r="Z203" s="241" t="s">
        <v>854</v>
      </c>
      <c r="AA203" s="241"/>
      <c r="AB203" s="241" t="s">
        <v>314</v>
      </c>
      <c r="AC203" s="241" t="s">
        <v>217</v>
      </c>
      <c r="AD203" s="245">
        <v>33206</v>
      </c>
      <c r="AE203" s="241">
        <f t="shared" ca="1" si="27"/>
        <v>34</v>
      </c>
      <c r="AF203" s="246" t="s">
        <v>2754</v>
      </c>
      <c r="AG203" s="241" t="s">
        <v>2755</v>
      </c>
      <c r="AH203" s="240" t="s">
        <v>2756</v>
      </c>
      <c r="AI203" s="240"/>
      <c r="AJ203" s="240"/>
      <c r="AK203" s="241" t="s">
        <v>2757</v>
      </c>
      <c r="AL203" s="246" t="s">
        <v>2758</v>
      </c>
      <c r="AM203" s="246">
        <v>14022429428</v>
      </c>
      <c r="AN203" s="241" t="s">
        <v>4733</v>
      </c>
      <c r="AO203" s="241" t="s">
        <v>2759</v>
      </c>
      <c r="AP203" s="241" t="s">
        <v>2760</v>
      </c>
      <c r="AQ203" s="241"/>
      <c r="AR203" s="241"/>
      <c r="AS203" s="241"/>
      <c r="AT203" s="241" t="s">
        <v>306</v>
      </c>
      <c r="AU203" s="241" t="s">
        <v>306</v>
      </c>
      <c r="AV203" s="241" t="s">
        <v>306</v>
      </c>
      <c r="AW203" s="241" t="s">
        <v>306</v>
      </c>
      <c r="AX203" s="241">
        <f t="shared" si="28"/>
        <v>1</v>
      </c>
      <c r="AY203" s="241" t="str">
        <f t="shared" si="29"/>
        <v>K/1</v>
      </c>
      <c r="AZ203" s="241"/>
      <c r="BA203" s="237" t="s">
        <v>2761</v>
      </c>
      <c r="BB203" s="241" t="s">
        <v>161</v>
      </c>
      <c r="BC203" s="241" t="s">
        <v>349</v>
      </c>
      <c r="BD203" s="241" t="s">
        <v>6779</v>
      </c>
      <c r="BE203" s="241" t="s">
        <v>1292</v>
      </c>
      <c r="BF203" s="241">
        <v>2010</v>
      </c>
      <c r="BG203" s="241" t="s">
        <v>349</v>
      </c>
      <c r="BH203" s="241" t="s">
        <v>6779</v>
      </c>
      <c r="BI203" s="241" t="s">
        <v>1292</v>
      </c>
      <c r="BJ203" s="241">
        <v>2010</v>
      </c>
      <c r="BK203" s="247"/>
      <c r="BL203" s="247"/>
      <c r="BM203" s="241"/>
      <c r="BN203" s="241"/>
      <c r="BO203" s="241">
        <v>40</v>
      </c>
      <c r="BP203" s="244">
        <v>44293</v>
      </c>
      <c r="BQ203" s="244">
        <v>44322</v>
      </c>
      <c r="BR203" s="244">
        <v>44565</v>
      </c>
      <c r="BS203" s="244"/>
      <c r="BT203" s="241"/>
      <c r="BU203" s="241"/>
      <c r="BV203" s="241"/>
      <c r="BW203" s="241" t="s">
        <v>2762</v>
      </c>
      <c r="BX203" s="241"/>
      <c r="BY203" s="241"/>
      <c r="BZ203" s="241"/>
      <c r="CA203" s="241"/>
      <c r="CB203" s="241"/>
      <c r="CC203" s="241"/>
      <c r="CD203" s="241"/>
      <c r="CE203" s="241" t="e">
        <f>VLOOKUP(D203,[1]Sertifikasi!$B$4:$I$19,8,0)</f>
        <v>#N/A</v>
      </c>
      <c r="CF203" s="13"/>
      <c r="CG203" s="13"/>
      <c r="CH203" s="13"/>
    </row>
    <row r="204" spans="1:86" ht="11.25" customHeight="1" x14ac:dyDescent="0.2">
      <c r="A204" s="13"/>
      <c r="B204" s="238">
        <v>200</v>
      </c>
      <c r="C204" s="241" t="e">
        <f ca="1">DATEDIF($E$3,P204,"D")</f>
        <v>#NUM!</v>
      </c>
      <c r="D204" s="237" t="s">
        <v>2763</v>
      </c>
      <c r="E204" s="239">
        <v>642007089</v>
      </c>
      <c r="F204" s="237">
        <v>1710000713522</v>
      </c>
      <c r="G204" s="240"/>
      <c r="H204" s="241" t="s">
        <v>217</v>
      </c>
      <c r="I204" s="241" t="s">
        <v>217</v>
      </c>
      <c r="J204" s="242">
        <v>44013</v>
      </c>
      <c r="K204" s="241"/>
      <c r="L204" s="241"/>
      <c r="M204" s="241" t="str">
        <f t="shared" si="25"/>
        <v>PKWT</v>
      </c>
      <c r="N204" s="241" t="s">
        <v>187</v>
      </c>
      <c r="O204" s="241"/>
      <c r="P204" s="243">
        <v>45839</v>
      </c>
      <c r="Q204" s="241"/>
      <c r="R204" s="241" t="s">
        <v>206</v>
      </c>
      <c r="S204" s="241" t="s">
        <v>6863</v>
      </c>
      <c r="T204" s="241" t="s">
        <v>312</v>
      </c>
      <c r="U204" s="241" t="s">
        <v>204</v>
      </c>
      <c r="V204" s="241" t="s">
        <v>208</v>
      </c>
      <c r="W204" s="241" t="s">
        <v>6908</v>
      </c>
      <c r="X204" s="241" t="s">
        <v>18</v>
      </c>
      <c r="Y204" s="241" t="s">
        <v>313</v>
      </c>
      <c r="Z204" s="241"/>
      <c r="AA204" s="241"/>
      <c r="AB204" s="241" t="s">
        <v>314</v>
      </c>
      <c r="AC204" s="241" t="s">
        <v>217</v>
      </c>
      <c r="AD204" s="245">
        <v>33146</v>
      </c>
      <c r="AE204" s="241">
        <f t="shared" ca="1" si="27"/>
        <v>35</v>
      </c>
      <c r="AF204" s="246" t="s">
        <v>2764</v>
      </c>
      <c r="AG204" s="241" t="s">
        <v>2765</v>
      </c>
      <c r="AH204" s="240" t="s">
        <v>2766</v>
      </c>
      <c r="AI204" s="240"/>
      <c r="AJ204" s="240"/>
      <c r="AK204" s="241" t="s">
        <v>2767</v>
      </c>
      <c r="AL204" s="246" t="s">
        <v>2768</v>
      </c>
      <c r="AM204" s="246">
        <v>15010091765</v>
      </c>
      <c r="AN204" s="241" t="s">
        <v>4733</v>
      </c>
      <c r="AO204" s="241"/>
      <c r="AP204" s="241"/>
      <c r="AQ204" s="241"/>
      <c r="AR204" s="241"/>
      <c r="AS204" s="241"/>
      <c r="AT204" s="241" t="s">
        <v>2769</v>
      </c>
      <c r="AU204" s="241" t="s">
        <v>2770</v>
      </c>
      <c r="AV204" s="241" t="s">
        <v>306</v>
      </c>
      <c r="AW204" s="241" t="s">
        <v>306</v>
      </c>
      <c r="AX204" s="241">
        <f t="shared" si="28"/>
        <v>0</v>
      </c>
      <c r="AY204" s="241" t="str">
        <f t="shared" si="29"/>
        <v>K/0</v>
      </c>
      <c r="AZ204" s="241"/>
      <c r="BA204" s="237" t="s">
        <v>2771</v>
      </c>
      <c r="BB204" s="241" t="s">
        <v>161</v>
      </c>
      <c r="BC204" s="241" t="s">
        <v>349</v>
      </c>
      <c r="BD204" s="241" t="s">
        <v>4502</v>
      </c>
      <c r="BE204" s="241" t="s">
        <v>663</v>
      </c>
      <c r="BF204" s="241">
        <v>2009</v>
      </c>
      <c r="BG204" s="241" t="s">
        <v>349</v>
      </c>
      <c r="BH204" s="241" t="s">
        <v>4502</v>
      </c>
      <c r="BI204" s="241" t="s">
        <v>663</v>
      </c>
      <c r="BJ204" s="241">
        <v>2009</v>
      </c>
      <c r="BK204" s="247"/>
      <c r="BL204" s="247"/>
      <c r="BM204" s="241"/>
      <c r="BN204" s="241"/>
      <c r="BO204" s="241">
        <v>41</v>
      </c>
      <c r="BP204" s="244">
        <v>44294</v>
      </c>
      <c r="BQ204" s="244">
        <v>44322</v>
      </c>
      <c r="BR204" s="244">
        <v>44600</v>
      </c>
      <c r="BS204" s="244"/>
      <c r="BT204" s="241"/>
      <c r="BU204" s="241"/>
      <c r="BV204" s="241"/>
      <c r="BW204" s="241" t="s">
        <v>2772</v>
      </c>
      <c r="BX204" s="241"/>
      <c r="BY204" s="241"/>
      <c r="BZ204" s="241"/>
      <c r="CA204" s="241"/>
      <c r="CB204" s="241"/>
      <c r="CC204" s="241"/>
      <c r="CD204" s="241"/>
      <c r="CE204" s="241" t="e">
        <f>VLOOKUP(D204,[1]Sertifikasi!$B$4:$I$19,8,0)</f>
        <v>#N/A</v>
      </c>
      <c r="CF204" s="13"/>
      <c r="CG204" s="13"/>
      <c r="CH204" s="13"/>
    </row>
    <row r="205" spans="1:86" ht="11.25" customHeight="1" x14ac:dyDescent="0.2">
      <c r="A205" s="13"/>
      <c r="B205" s="238">
        <v>201</v>
      </c>
      <c r="C205" s="241" t="s">
        <v>292</v>
      </c>
      <c r="D205" s="237" t="s">
        <v>2773</v>
      </c>
      <c r="E205" s="261">
        <v>972400065</v>
      </c>
      <c r="F205" s="237">
        <v>1710002914334</v>
      </c>
      <c r="G205" s="240"/>
      <c r="H205" s="249" t="s">
        <v>217</v>
      </c>
      <c r="I205" s="241" t="s">
        <v>217</v>
      </c>
      <c r="J205" s="242">
        <v>44044</v>
      </c>
      <c r="K205" s="241"/>
      <c r="L205" s="241"/>
      <c r="M205" s="241" t="s">
        <v>6856</v>
      </c>
      <c r="N205" s="241" t="s">
        <v>187</v>
      </c>
      <c r="O205" s="241" t="s">
        <v>6817</v>
      </c>
      <c r="P205" s="245">
        <v>45352</v>
      </c>
      <c r="Q205" s="241"/>
      <c r="R205" s="242" t="s">
        <v>139</v>
      </c>
      <c r="S205" s="241" t="s">
        <v>6863</v>
      </c>
      <c r="T205" s="241" t="s">
        <v>296</v>
      </c>
      <c r="U205" s="241" t="s">
        <v>187</v>
      </c>
      <c r="V205" s="241" t="s">
        <v>563</v>
      </c>
      <c r="W205" s="241" t="s">
        <v>54</v>
      </c>
      <c r="X205" s="241" t="s">
        <v>120</v>
      </c>
      <c r="Y205" s="241" t="s">
        <v>313</v>
      </c>
      <c r="Z205" s="241"/>
      <c r="AA205" s="241"/>
      <c r="AB205" s="241" t="s">
        <v>133</v>
      </c>
      <c r="AC205" s="241" t="s">
        <v>217</v>
      </c>
      <c r="AD205" s="245">
        <v>33950</v>
      </c>
      <c r="AE205" s="241">
        <f t="shared" ca="1" si="27"/>
        <v>32</v>
      </c>
      <c r="AF205" s="246" t="s">
        <v>2775</v>
      </c>
      <c r="AG205" s="241" t="s">
        <v>2776</v>
      </c>
      <c r="AH205" s="240" t="s">
        <v>2777</v>
      </c>
      <c r="AI205" s="240"/>
      <c r="AJ205" s="240"/>
      <c r="AK205" s="241" t="s">
        <v>2778</v>
      </c>
      <c r="AL205" s="246" t="s">
        <v>2779</v>
      </c>
      <c r="AM205" s="246">
        <v>17023994910</v>
      </c>
      <c r="AN205" s="241" t="s">
        <v>4733</v>
      </c>
      <c r="AO205" s="241"/>
      <c r="AP205" s="241"/>
      <c r="AQ205" s="241"/>
      <c r="AR205" s="241"/>
      <c r="AS205" s="241"/>
      <c r="AT205" s="241" t="s">
        <v>306</v>
      </c>
      <c r="AU205" s="241" t="s">
        <v>306</v>
      </c>
      <c r="AV205" s="241" t="s">
        <v>306</v>
      </c>
      <c r="AW205" s="241" t="s">
        <v>306</v>
      </c>
      <c r="AX205" s="241">
        <f t="shared" si="28"/>
        <v>0</v>
      </c>
      <c r="AY205" s="241" t="str">
        <f t="shared" si="29"/>
        <v>K/0</v>
      </c>
      <c r="AZ205" s="241"/>
      <c r="BA205" s="237"/>
      <c r="BB205" s="249" t="s">
        <v>161</v>
      </c>
      <c r="BC205" s="241" t="s">
        <v>349</v>
      </c>
      <c r="BD205" s="241" t="s">
        <v>43</v>
      </c>
      <c r="BE205" s="241" t="s">
        <v>852</v>
      </c>
      <c r="BF205" s="241"/>
      <c r="BG205" s="241" t="s">
        <v>349</v>
      </c>
      <c r="BH205" s="241" t="s">
        <v>43</v>
      </c>
      <c r="BI205" s="241" t="s">
        <v>852</v>
      </c>
      <c r="BJ205" s="241"/>
      <c r="BK205" s="247">
        <v>50100</v>
      </c>
      <c r="BL205" s="247">
        <v>50465</v>
      </c>
      <c r="BM205" s="241"/>
      <c r="BN205" s="241"/>
      <c r="BO205" s="241"/>
      <c r="BP205" s="244">
        <v>44294</v>
      </c>
      <c r="BQ205" s="244">
        <v>44322</v>
      </c>
      <c r="BR205" s="244">
        <v>44585</v>
      </c>
      <c r="BS205" s="244"/>
      <c r="BT205" s="241"/>
      <c r="BU205" s="241"/>
      <c r="BV205" s="241"/>
      <c r="BW205" s="241"/>
      <c r="BX205" s="241"/>
      <c r="BY205" s="241"/>
      <c r="BZ205" s="241"/>
      <c r="CA205" s="241"/>
      <c r="CB205" s="241"/>
      <c r="CC205" s="241"/>
      <c r="CD205" s="241"/>
      <c r="CE205" s="241" t="e">
        <f>VLOOKUP(D205,[1]Sertifikasi!$B$4:$I$19,8,0)</f>
        <v>#N/A</v>
      </c>
      <c r="CF205" s="13"/>
      <c r="CG205" s="13"/>
      <c r="CH205" s="13"/>
    </row>
    <row r="206" spans="1:86" ht="11.25" customHeight="1" x14ac:dyDescent="0.2">
      <c r="A206" s="13"/>
      <c r="B206" s="238">
        <v>202</v>
      </c>
      <c r="C206" s="241" t="e">
        <f t="shared" ref="C206:C230" ca="1" si="30">DATEDIF($E$3,P206,"D")</f>
        <v>#NUM!</v>
      </c>
      <c r="D206" s="237" t="s">
        <v>2780</v>
      </c>
      <c r="E206" s="239">
        <v>642101100</v>
      </c>
      <c r="F206" s="237">
        <v>1710002926403</v>
      </c>
      <c r="G206" s="240"/>
      <c r="H206" s="241" t="s">
        <v>217</v>
      </c>
      <c r="I206" s="241" t="s">
        <v>217</v>
      </c>
      <c r="J206" s="242">
        <v>44200</v>
      </c>
      <c r="K206" s="241"/>
      <c r="L206" s="241"/>
      <c r="M206" s="241" t="str">
        <f t="shared" ref="M206:M237" si="31">IF(LEFT(E206,2)="99","ORGANIK INKA",IF(LEFT(E206,2)="97","ORGANIK IMSS",IF(LEFT(E206,2)="75","Capeg",IF(LEFT(E206,2)="64","PKWT","Resign"))))</f>
        <v>PKWT</v>
      </c>
      <c r="N206" s="241" t="s">
        <v>187</v>
      </c>
      <c r="O206" s="241"/>
      <c r="P206" s="243">
        <v>45657</v>
      </c>
      <c r="Q206" s="241"/>
      <c r="R206" s="241" t="s">
        <v>206</v>
      </c>
      <c r="S206" s="241" t="s">
        <v>6863</v>
      </c>
      <c r="T206" s="241" t="s">
        <v>312</v>
      </c>
      <c r="U206" s="241" t="s">
        <v>187</v>
      </c>
      <c r="V206" s="241" t="s">
        <v>73</v>
      </c>
      <c r="W206" s="241" t="s">
        <v>73</v>
      </c>
      <c r="X206" s="241" t="s">
        <v>122</v>
      </c>
      <c r="Y206" s="241" t="s">
        <v>313</v>
      </c>
      <c r="Z206" s="241"/>
      <c r="AA206" s="241"/>
      <c r="AB206" s="241" t="s">
        <v>314</v>
      </c>
      <c r="AC206" s="241" t="s">
        <v>1779</v>
      </c>
      <c r="AD206" s="245">
        <v>35641</v>
      </c>
      <c r="AE206" s="241">
        <f t="shared" ca="1" si="27"/>
        <v>28</v>
      </c>
      <c r="AF206" s="246" t="s">
        <v>2781</v>
      </c>
      <c r="AG206" s="241" t="s">
        <v>2782</v>
      </c>
      <c r="AH206" s="240" t="s">
        <v>2783</v>
      </c>
      <c r="AI206" s="240"/>
      <c r="AJ206" s="240"/>
      <c r="AK206" s="241" t="s">
        <v>2784</v>
      </c>
      <c r="AL206" s="246" t="s">
        <v>2785</v>
      </c>
      <c r="AM206" s="246">
        <v>21013284779</v>
      </c>
      <c r="AN206" s="241" t="s">
        <v>4716</v>
      </c>
      <c r="AO206" s="241"/>
      <c r="AP206" s="241"/>
      <c r="AQ206" s="241"/>
      <c r="AR206" s="241"/>
      <c r="AS206" s="241"/>
      <c r="AT206" s="241" t="s">
        <v>306</v>
      </c>
      <c r="AU206" s="241" t="s">
        <v>306</v>
      </c>
      <c r="AV206" s="241" t="s">
        <v>306</v>
      </c>
      <c r="AW206" s="241" t="s">
        <v>306</v>
      </c>
      <c r="AX206" s="241">
        <f t="shared" si="28"/>
        <v>0</v>
      </c>
      <c r="AY206" s="241" t="str">
        <f t="shared" si="29"/>
        <v>TK/0</v>
      </c>
      <c r="AZ206" s="241"/>
      <c r="BA206" s="237"/>
      <c r="BB206" s="241" t="s">
        <v>161</v>
      </c>
      <c r="BC206" s="241" t="s">
        <v>349</v>
      </c>
      <c r="BD206" s="241" t="s">
        <v>87</v>
      </c>
      <c r="BE206" s="241" t="s">
        <v>516</v>
      </c>
      <c r="BF206" s="241">
        <v>2016</v>
      </c>
      <c r="BG206" s="241" t="s">
        <v>349</v>
      </c>
      <c r="BH206" s="241" t="s">
        <v>87</v>
      </c>
      <c r="BI206" s="241" t="s">
        <v>516</v>
      </c>
      <c r="BJ206" s="241">
        <v>2016</v>
      </c>
      <c r="BK206" s="247"/>
      <c r="BL206" s="247"/>
      <c r="BM206" s="241"/>
      <c r="BN206" s="241"/>
      <c r="BO206" s="241">
        <v>42</v>
      </c>
      <c r="BP206" s="244">
        <v>44259</v>
      </c>
      <c r="BQ206" s="244">
        <v>44304</v>
      </c>
      <c r="BR206" s="244">
        <v>44729</v>
      </c>
      <c r="BS206" s="244"/>
      <c r="BT206" s="241"/>
      <c r="BU206" s="241"/>
      <c r="BV206" s="241"/>
      <c r="BW206" s="241" t="s">
        <v>2786</v>
      </c>
      <c r="BX206" s="241"/>
      <c r="BY206" s="241"/>
      <c r="BZ206" s="241"/>
      <c r="CA206" s="241"/>
      <c r="CB206" s="241"/>
      <c r="CC206" s="241"/>
      <c r="CD206" s="241"/>
      <c r="CE206" s="241" t="e">
        <f>VLOOKUP(D206,[1]Sertifikasi!$B$4:$I$19,8,0)</f>
        <v>#N/A</v>
      </c>
      <c r="CF206" s="13"/>
      <c r="CG206" s="13"/>
      <c r="CH206" s="13"/>
    </row>
    <row r="207" spans="1:86" ht="11.25" customHeight="1" x14ac:dyDescent="0.2">
      <c r="A207" s="13"/>
      <c r="B207" s="238">
        <v>203</v>
      </c>
      <c r="C207" s="241" t="e">
        <f t="shared" ca="1" si="30"/>
        <v>#NUM!</v>
      </c>
      <c r="D207" s="237" t="s">
        <v>2787</v>
      </c>
      <c r="E207" s="239">
        <v>642101094</v>
      </c>
      <c r="F207" s="237">
        <v>1710000644610</v>
      </c>
      <c r="G207" s="240"/>
      <c r="H207" s="241" t="s">
        <v>217</v>
      </c>
      <c r="I207" s="241" t="s">
        <v>311</v>
      </c>
      <c r="J207" s="242">
        <v>44200</v>
      </c>
      <c r="K207" s="241"/>
      <c r="L207" s="241"/>
      <c r="M207" s="241" t="str">
        <f t="shared" si="31"/>
        <v>PKWT</v>
      </c>
      <c r="N207" s="241" t="s">
        <v>187</v>
      </c>
      <c r="O207" s="241"/>
      <c r="P207" s="243">
        <v>45657</v>
      </c>
      <c r="Q207" s="241"/>
      <c r="R207" s="241" t="s">
        <v>206</v>
      </c>
      <c r="S207" s="241" t="s">
        <v>6863</v>
      </c>
      <c r="T207" s="241" t="s">
        <v>312</v>
      </c>
      <c r="U207" s="241" t="s">
        <v>204</v>
      </c>
      <c r="V207" s="241" t="s">
        <v>208</v>
      </c>
      <c r="W207" s="241" t="s">
        <v>6908</v>
      </c>
      <c r="X207" s="241" t="s">
        <v>18</v>
      </c>
      <c r="Y207" s="241" t="s">
        <v>313</v>
      </c>
      <c r="Z207" s="241"/>
      <c r="AA207" s="241"/>
      <c r="AB207" s="241" t="s">
        <v>314</v>
      </c>
      <c r="AC207" s="241" t="s">
        <v>311</v>
      </c>
      <c r="AD207" s="245">
        <v>33022</v>
      </c>
      <c r="AE207" s="241">
        <f t="shared" ca="1" si="27"/>
        <v>35</v>
      </c>
      <c r="AF207" s="246" t="s">
        <v>2788</v>
      </c>
      <c r="AG207" s="241" t="s">
        <v>2789</v>
      </c>
      <c r="AH207" s="240" t="s">
        <v>2790</v>
      </c>
      <c r="AI207" s="240"/>
      <c r="AJ207" s="240"/>
      <c r="AK207" s="241" t="s">
        <v>2791</v>
      </c>
      <c r="AL207" s="246" t="s">
        <v>2792</v>
      </c>
      <c r="AM207" s="246">
        <v>14041228579</v>
      </c>
      <c r="AN207" s="241" t="s">
        <v>4716</v>
      </c>
      <c r="AO207" s="241" t="s">
        <v>2793</v>
      </c>
      <c r="AP207" s="241" t="s">
        <v>2794</v>
      </c>
      <c r="AQ207" s="241"/>
      <c r="AR207" s="241"/>
      <c r="AS207" s="241"/>
      <c r="AT207" s="241" t="s">
        <v>306</v>
      </c>
      <c r="AU207" s="241" t="s">
        <v>306</v>
      </c>
      <c r="AV207" s="241" t="s">
        <v>306</v>
      </c>
      <c r="AW207" s="241" t="s">
        <v>306</v>
      </c>
      <c r="AX207" s="241">
        <f t="shared" si="28"/>
        <v>1</v>
      </c>
      <c r="AY207" s="241" t="str">
        <f t="shared" si="29"/>
        <v>TK/1</v>
      </c>
      <c r="AZ207" s="241"/>
      <c r="BA207" s="237"/>
      <c r="BB207" s="241" t="s">
        <v>161</v>
      </c>
      <c r="BC207" s="241" t="s">
        <v>349</v>
      </c>
      <c r="BD207" s="241" t="s">
        <v>91</v>
      </c>
      <c r="BE207" s="241" t="s">
        <v>516</v>
      </c>
      <c r="BF207" s="241"/>
      <c r="BG207" s="241" t="s">
        <v>349</v>
      </c>
      <c r="BH207" s="241" t="s">
        <v>91</v>
      </c>
      <c r="BI207" s="241" t="s">
        <v>516</v>
      </c>
      <c r="BJ207" s="241"/>
      <c r="BK207" s="247"/>
      <c r="BL207" s="247"/>
      <c r="BM207" s="241"/>
      <c r="BN207" s="241"/>
      <c r="BO207" s="241">
        <v>41</v>
      </c>
      <c r="BP207" s="244">
        <v>44294</v>
      </c>
      <c r="BQ207" s="244">
        <v>44322</v>
      </c>
      <c r="BR207" s="244">
        <v>44600</v>
      </c>
      <c r="BS207" s="244"/>
      <c r="BT207" s="241"/>
      <c r="BU207" s="241"/>
      <c r="BV207" s="241"/>
      <c r="BW207" s="241" t="s">
        <v>2795</v>
      </c>
      <c r="BX207" s="241"/>
      <c r="BY207" s="241"/>
      <c r="BZ207" s="241"/>
      <c r="CA207" s="241"/>
      <c r="CB207" s="241"/>
      <c r="CC207" s="241"/>
      <c r="CD207" s="241"/>
      <c r="CE207" s="241" t="e">
        <f>VLOOKUP(D207,[1]Sertifikasi!$B$4:$I$19,8,0)</f>
        <v>#N/A</v>
      </c>
      <c r="CF207" s="13"/>
      <c r="CG207" s="13"/>
      <c r="CH207" s="13"/>
    </row>
    <row r="208" spans="1:86" ht="11.25" customHeight="1" x14ac:dyDescent="0.2">
      <c r="A208" s="13"/>
      <c r="B208" s="238">
        <v>204</v>
      </c>
      <c r="C208" s="241" t="e">
        <f t="shared" ca="1" si="30"/>
        <v>#NUM!</v>
      </c>
      <c r="D208" s="237" t="s">
        <v>2796</v>
      </c>
      <c r="E208" s="239">
        <v>642101096</v>
      </c>
      <c r="F208" s="237">
        <v>1710007726758</v>
      </c>
      <c r="G208" s="240"/>
      <c r="H208" s="241" t="s">
        <v>217</v>
      </c>
      <c r="I208" s="241" t="s">
        <v>217</v>
      </c>
      <c r="J208" s="242">
        <v>44200</v>
      </c>
      <c r="K208" s="241"/>
      <c r="L208" s="241"/>
      <c r="M208" s="241" t="str">
        <f t="shared" si="31"/>
        <v>PKWT</v>
      </c>
      <c r="N208" s="241" t="s">
        <v>187</v>
      </c>
      <c r="O208" s="241"/>
      <c r="P208" s="243">
        <v>45657</v>
      </c>
      <c r="Q208" s="241"/>
      <c r="R208" s="241" t="s">
        <v>206</v>
      </c>
      <c r="S208" s="241" t="s">
        <v>6863</v>
      </c>
      <c r="T208" s="241" t="s">
        <v>312</v>
      </c>
      <c r="U208" s="241" t="s">
        <v>204</v>
      </c>
      <c r="V208" s="241" t="s">
        <v>208</v>
      </c>
      <c r="W208" s="241" t="s">
        <v>6908</v>
      </c>
      <c r="X208" s="241" t="s">
        <v>18</v>
      </c>
      <c r="Y208" s="241" t="s">
        <v>313</v>
      </c>
      <c r="Z208" s="241"/>
      <c r="AA208" s="241"/>
      <c r="AB208" s="241" t="s">
        <v>314</v>
      </c>
      <c r="AC208" s="241" t="s">
        <v>311</v>
      </c>
      <c r="AD208" s="245">
        <v>35957</v>
      </c>
      <c r="AE208" s="241">
        <f t="shared" ca="1" si="27"/>
        <v>27</v>
      </c>
      <c r="AF208" s="246" t="s">
        <v>2797</v>
      </c>
      <c r="AG208" s="241" t="s">
        <v>2798</v>
      </c>
      <c r="AH208" s="240" t="s">
        <v>2799</v>
      </c>
      <c r="AI208" s="240"/>
      <c r="AJ208" s="240"/>
      <c r="AK208" s="241" t="s">
        <v>2800</v>
      </c>
      <c r="AL208" s="246" t="s">
        <v>2801</v>
      </c>
      <c r="AM208" s="246">
        <v>19045215407</v>
      </c>
      <c r="AN208" s="241" t="s">
        <v>4716</v>
      </c>
      <c r="AO208" s="241"/>
      <c r="AP208" s="241"/>
      <c r="AQ208" s="241"/>
      <c r="AR208" s="241"/>
      <c r="AS208" s="241"/>
      <c r="AT208" s="241" t="s">
        <v>2802</v>
      </c>
      <c r="AU208" s="241" t="s">
        <v>306</v>
      </c>
      <c r="AV208" s="241" t="s">
        <v>306</v>
      </c>
      <c r="AW208" s="241" t="s">
        <v>306</v>
      </c>
      <c r="AX208" s="241">
        <f t="shared" si="28"/>
        <v>0</v>
      </c>
      <c r="AY208" s="241" t="str">
        <f t="shared" si="29"/>
        <v>TK/0</v>
      </c>
      <c r="AZ208" s="241"/>
      <c r="BA208" s="237"/>
      <c r="BB208" s="241" t="s">
        <v>161</v>
      </c>
      <c r="BC208" s="241" t="s">
        <v>349</v>
      </c>
      <c r="BD208" s="241" t="s">
        <v>91</v>
      </c>
      <c r="BE208" s="241" t="s">
        <v>327</v>
      </c>
      <c r="BF208" s="241"/>
      <c r="BG208" s="241" t="s">
        <v>349</v>
      </c>
      <c r="BH208" s="241" t="s">
        <v>91</v>
      </c>
      <c r="BI208" s="241" t="s">
        <v>327</v>
      </c>
      <c r="BJ208" s="241"/>
      <c r="BK208" s="247"/>
      <c r="BL208" s="247"/>
      <c r="BM208" s="241"/>
      <c r="BN208" s="241"/>
      <c r="BO208" s="241">
        <v>42</v>
      </c>
      <c r="BP208" s="244">
        <v>44294</v>
      </c>
      <c r="BQ208" s="244">
        <v>44322</v>
      </c>
      <c r="BR208" s="244">
        <v>44600</v>
      </c>
      <c r="BS208" s="244"/>
      <c r="BT208" s="241"/>
      <c r="BU208" s="241"/>
      <c r="BV208" s="241"/>
      <c r="BW208" s="241" t="s">
        <v>2803</v>
      </c>
      <c r="BX208" s="241"/>
      <c r="BY208" s="241"/>
      <c r="BZ208" s="241"/>
      <c r="CA208" s="241"/>
      <c r="CB208" s="241"/>
      <c r="CC208" s="241"/>
      <c r="CD208" s="241"/>
      <c r="CE208" s="241" t="e">
        <f>VLOOKUP(D208,[1]Sertifikasi!$B$4:$I$19,8,0)</f>
        <v>#N/A</v>
      </c>
      <c r="CF208" s="13"/>
      <c r="CG208" s="13"/>
      <c r="CH208" s="13"/>
    </row>
    <row r="209" spans="1:86" ht="11.25" customHeight="1" x14ac:dyDescent="0.2">
      <c r="A209" s="13"/>
      <c r="B209" s="238">
        <v>205</v>
      </c>
      <c r="C209" s="241" t="e">
        <f t="shared" ca="1" si="30"/>
        <v>#NUM!</v>
      </c>
      <c r="D209" s="237" t="s">
        <v>2804</v>
      </c>
      <c r="E209" s="239">
        <v>642101101</v>
      </c>
      <c r="F209" s="237">
        <v>1710002933326</v>
      </c>
      <c r="G209" s="240"/>
      <c r="H209" s="241" t="s">
        <v>217</v>
      </c>
      <c r="I209" s="241" t="s">
        <v>24</v>
      </c>
      <c r="J209" s="242">
        <v>44200</v>
      </c>
      <c r="K209" s="241"/>
      <c r="L209" s="241"/>
      <c r="M209" s="241" t="str">
        <f t="shared" si="31"/>
        <v>PKWT</v>
      </c>
      <c r="N209" s="241" t="s">
        <v>187</v>
      </c>
      <c r="O209" s="241"/>
      <c r="P209" s="243">
        <v>45657</v>
      </c>
      <c r="Q209" s="241"/>
      <c r="R209" s="241" t="s">
        <v>206</v>
      </c>
      <c r="S209" s="241" t="s">
        <v>6863</v>
      </c>
      <c r="T209" s="241" t="s">
        <v>312</v>
      </c>
      <c r="U209" s="241" t="s">
        <v>20</v>
      </c>
      <c r="V209" s="241" t="s">
        <v>204</v>
      </c>
      <c r="W209" s="241" t="s">
        <v>2805</v>
      </c>
      <c r="X209" s="241" t="s">
        <v>122</v>
      </c>
      <c r="Y209" s="241" t="s">
        <v>313</v>
      </c>
      <c r="Z209" s="241"/>
      <c r="AA209" s="241"/>
      <c r="AB209" s="241" t="s">
        <v>314</v>
      </c>
      <c r="AC209" s="241" t="s">
        <v>24</v>
      </c>
      <c r="AD209" s="245">
        <v>35647</v>
      </c>
      <c r="AE209" s="241">
        <f t="shared" ca="1" si="27"/>
        <v>28</v>
      </c>
      <c r="AF209" s="246" t="s">
        <v>2806</v>
      </c>
      <c r="AG209" s="241" t="s">
        <v>2807</v>
      </c>
      <c r="AH209" s="240" t="s">
        <v>2808</v>
      </c>
      <c r="AI209" s="240"/>
      <c r="AJ209" s="240"/>
      <c r="AK209" s="241" t="s">
        <v>2809</v>
      </c>
      <c r="AL209" s="246" t="s">
        <v>2810</v>
      </c>
      <c r="AM209" s="246">
        <v>21013284787</v>
      </c>
      <c r="AN209" s="241" t="s">
        <v>4733</v>
      </c>
      <c r="AO209" s="241" t="s">
        <v>2811</v>
      </c>
      <c r="AP209" s="241"/>
      <c r="AQ209" s="241"/>
      <c r="AR209" s="241"/>
      <c r="AS209" s="241"/>
      <c r="AT209" s="241" t="s">
        <v>759</v>
      </c>
      <c r="AU209" s="241" t="s">
        <v>2812</v>
      </c>
      <c r="AV209" s="241" t="s">
        <v>2813</v>
      </c>
      <c r="AW209" s="241" t="s">
        <v>2814</v>
      </c>
      <c r="AX209" s="241">
        <f t="shared" si="28"/>
        <v>0</v>
      </c>
      <c r="AY209" s="241" t="str">
        <f t="shared" si="29"/>
        <v>K/0</v>
      </c>
      <c r="AZ209" s="241" t="s">
        <v>2815</v>
      </c>
      <c r="BA209" s="237" t="s">
        <v>2815</v>
      </c>
      <c r="BB209" s="241" t="s">
        <v>161</v>
      </c>
      <c r="BC209" s="241" t="s">
        <v>349</v>
      </c>
      <c r="BD209" s="241" t="s">
        <v>91</v>
      </c>
      <c r="BE209" s="241" t="s">
        <v>6781</v>
      </c>
      <c r="BF209" s="241">
        <v>2016</v>
      </c>
      <c r="BG209" s="241" t="s">
        <v>349</v>
      </c>
      <c r="BH209" s="241" t="s">
        <v>91</v>
      </c>
      <c r="BI209" s="241" t="s">
        <v>6781</v>
      </c>
      <c r="BJ209" s="241">
        <v>2016</v>
      </c>
      <c r="BK209" s="247"/>
      <c r="BL209" s="247"/>
      <c r="BM209" s="241"/>
      <c r="BN209" s="241"/>
      <c r="BO209" s="241">
        <v>42</v>
      </c>
      <c r="BP209" s="244">
        <v>44259</v>
      </c>
      <c r="BQ209" s="244">
        <v>44304</v>
      </c>
      <c r="BR209" s="244"/>
      <c r="BS209" s="244"/>
      <c r="BT209" s="241"/>
      <c r="BU209" s="241"/>
      <c r="BV209" s="241"/>
      <c r="BW209" s="241" t="s">
        <v>2816</v>
      </c>
      <c r="BX209" s="241"/>
      <c r="BY209" s="241"/>
      <c r="BZ209" s="241"/>
      <c r="CA209" s="241"/>
      <c r="CB209" s="241"/>
      <c r="CC209" s="241"/>
      <c r="CD209" s="241"/>
      <c r="CE209" s="241" t="e">
        <f>VLOOKUP(D209,[1]Sertifikasi!$B$4:$I$19,8,0)</f>
        <v>#N/A</v>
      </c>
      <c r="CF209" s="13"/>
      <c r="CG209" s="13"/>
      <c r="CH209" s="13"/>
    </row>
    <row r="210" spans="1:86" ht="11.25" customHeight="1" x14ac:dyDescent="0.2">
      <c r="A210" s="13"/>
      <c r="B210" s="238">
        <v>206</v>
      </c>
      <c r="C210" s="241" t="e">
        <f t="shared" ca="1" si="30"/>
        <v>#NUM!</v>
      </c>
      <c r="D210" s="237" t="s">
        <v>2817</v>
      </c>
      <c r="E210" s="239">
        <v>642101097</v>
      </c>
      <c r="F210" s="237">
        <v>1710000713431</v>
      </c>
      <c r="G210" s="240"/>
      <c r="H210" s="249" t="s">
        <v>217</v>
      </c>
      <c r="I210" s="241" t="s">
        <v>217</v>
      </c>
      <c r="J210" s="242">
        <v>44200</v>
      </c>
      <c r="K210" s="241"/>
      <c r="L210" s="241"/>
      <c r="M210" s="241" t="str">
        <f t="shared" si="31"/>
        <v>PKWT</v>
      </c>
      <c r="N210" s="241" t="s">
        <v>187</v>
      </c>
      <c r="O210" s="241"/>
      <c r="P210" s="243">
        <v>45657</v>
      </c>
      <c r="Q210" s="241"/>
      <c r="R210" s="241" t="s">
        <v>139</v>
      </c>
      <c r="S210" s="241" t="s">
        <v>6863</v>
      </c>
      <c r="T210" s="241" t="s">
        <v>296</v>
      </c>
      <c r="U210" s="241" t="s">
        <v>204</v>
      </c>
      <c r="V210" s="241" t="s">
        <v>208</v>
      </c>
      <c r="W210" s="241" t="s">
        <v>6908</v>
      </c>
      <c r="X210" s="241" t="s">
        <v>18</v>
      </c>
      <c r="Y210" s="241" t="s">
        <v>313</v>
      </c>
      <c r="Z210" s="241"/>
      <c r="AA210" s="241"/>
      <c r="AB210" s="241" t="s">
        <v>133</v>
      </c>
      <c r="AC210" s="241" t="s">
        <v>217</v>
      </c>
      <c r="AD210" s="245">
        <v>34511</v>
      </c>
      <c r="AE210" s="241">
        <f t="shared" ca="1" si="27"/>
        <v>31</v>
      </c>
      <c r="AF210" s="246" t="s">
        <v>2818</v>
      </c>
      <c r="AG210" s="241" t="s">
        <v>2819</v>
      </c>
      <c r="AH210" s="240" t="s">
        <v>2820</v>
      </c>
      <c r="AI210" s="240"/>
      <c r="AJ210" s="240"/>
      <c r="AK210" s="250" t="s">
        <v>2821</v>
      </c>
      <c r="AL210" s="246" t="s">
        <v>2822</v>
      </c>
      <c r="AM210" s="246">
        <v>21008126308</v>
      </c>
      <c r="AN210" s="241" t="s">
        <v>4733</v>
      </c>
      <c r="AO210" s="241" t="s">
        <v>2823</v>
      </c>
      <c r="AP210" s="241"/>
      <c r="AQ210" s="241"/>
      <c r="AR210" s="241"/>
      <c r="AS210" s="241"/>
      <c r="AT210" s="241" t="s">
        <v>306</v>
      </c>
      <c r="AU210" s="241" t="s">
        <v>306</v>
      </c>
      <c r="AV210" s="241" t="s">
        <v>306</v>
      </c>
      <c r="AW210" s="241" t="s">
        <v>306</v>
      </c>
      <c r="AX210" s="241">
        <f t="shared" si="28"/>
        <v>0</v>
      </c>
      <c r="AY210" s="241" t="str">
        <f t="shared" si="29"/>
        <v>K/0</v>
      </c>
      <c r="AZ210" s="241" t="s">
        <v>2824</v>
      </c>
      <c r="BA210" s="237" t="s">
        <v>2824</v>
      </c>
      <c r="BB210" s="249" t="s">
        <v>161</v>
      </c>
      <c r="BC210" s="241" t="s">
        <v>349</v>
      </c>
      <c r="BD210" s="241" t="s">
        <v>851</v>
      </c>
      <c r="BE210" s="241" t="s">
        <v>2825</v>
      </c>
      <c r="BF210" s="241"/>
      <c r="BG210" s="241" t="s">
        <v>75</v>
      </c>
      <c r="BH210" s="241" t="s">
        <v>83</v>
      </c>
      <c r="BI210" s="241" t="s">
        <v>77</v>
      </c>
      <c r="BJ210" s="241"/>
      <c r="BK210" s="247"/>
      <c r="BL210" s="247"/>
      <c r="BM210" s="241"/>
      <c r="BN210" s="241"/>
      <c r="BO210" s="241"/>
      <c r="BP210" s="244" t="s">
        <v>1072</v>
      </c>
      <c r="BQ210" s="244" t="s">
        <v>1072</v>
      </c>
      <c r="BR210" s="244"/>
      <c r="BS210" s="244"/>
      <c r="BT210" s="241"/>
      <c r="BU210" s="241"/>
      <c r="BV210" s="241"/>
      <c r="BW210" s="241"/>
      <c r="BX210" s="241"/>
      <c r="BY210" s="241"/>
      <c r="BZ210" s="241"/>
      <c r="CA210" s="241"/>
      <c r="CB210" s="241"/>
      <c r="CC210" s="241"/>
      <c r="CD210" s="241"/>
      <c r="CE210" s="241" t="e">
        <f>VLOOKUP(D210,[1]Sertifikasi!$B$4:$I$19,8,0)</f>
        <v>#N/A</v>
      </c>
      <c r="CF210" s="13"/>
      <c r="CG210" s="13"/>
      <c r="CH210" s="13"/>
    </row>
    <row r="211" spans="1:86" ht="11.25" customHeight="1" x14ac:dyDescent="0.2">
      <c r="A211" s="13"/>
      <c r="B211" s="238">
        <v>207</v>
      </c>
      <c r="C211" s="241" t="e">
        <f t="shared" ca="1" si="30"/>
        <v>#NUM!</v>
      </c>
      <c r="D211" s="237" t="s">
        <v>2826</v>
      </c>
      <c r="E211" s="239">
        <v>642101093</v>
      </c>
      <c r="F211" s="237">
        <v>1710005976744</v>
      </c>
      <c r="G211" s="240"/>
      <c r="H211" s="249" t="s">
        <v>217</v>
      </c>
      <c r="I211" s="241" t="s">
        <v>217</v>
      </c>
      <c r="J211" s="242">
        <v>44200</v>
      </c>
      <c r="K211" s="241"/>
      <c r="L211" s="241"/>
      <c r="M211" s="241" t="str">
        <f t="shared" si="31"/>
        <v>PKWT</v>
      </c>
      <c r="N211" s="241" t="s">
        <v>187</v>
      </c>
      <c r="O211" s="241"/>
      <c r="P211" s="243">
        <v>45657</v>
      </c>
      <c r="Q211" s="241"/>
      <c r="R211" s="241" t="s">
        <v>139</v>
      </c>
      <c r="S211" s="241" t="s">
        <v>6863</v>
      </c>
      <c r="T211" s="241" t="s">
        <v>296</v>
      </c>
      <c r="U211" s="241" t="s">
        <v>187</v>
      </c>
      <c r="V211" s="241" t="s">
        <v>2827</v>
      </c>
      <c r="W211" s="241" t="s">
        <v>119</v>
      </c>
      <c r="X211" s="241" t="s">
        <v>120</v>
      </c>
      <c r="Y211" s="241" t="s">
        <v>313</v>
      </c>
      <c r="Z211" s="241"/>
      <c r="AA211" s="241"/>
      <c r="AB211" s="241" t="s">
        <v>132</v>
      </c>
      <c r="AC211" s="241" t="s">
        <v>217</v>
      </c>
      <c r="AD211" s="245">
        <v>35302</v>
      </c>
      <c r="AE211" s="241">
        <f t="shared" ca="1" si="27"/>
        <v>29</v>
      </c>
      <c r="AF211" s="246" t="s">
        <v>2828</v>
      </c>
      <c r="AG211" s="241" t="s">
        <v>2829</v>
      </c>
      <c r="AH211" s="240" t="s">
        <v>2830</v>
      </c>
      <c r="AI211" s="240"/>
      <c r="AJ211" s="240"/>
      <c r="AK211" s="241" t="s">
        <v>2831</v>
      </c>
      <c r="AL211" s="246" t="s">
        <v>2832</v>
      </c>
      <c r="AM211" s="246">
        <v>19095813127</v>
      </c>
      <c r="AN211" s="241" t="s">
        <v>4733</v>
      </c>
      <c r="AO211" s="241"/>
      <c r="AP211" s="241"/>
      <c r="AQ211" s="241"/>
      <c r="AR211" s="241"/>
      <c r="AS211" s="241"/>
      <c r="AT211" s="241" t="s">
        <v>306</v>
      </c>
      <c r="AU211" s="241" t="s">
        <v>306</v>
      </c>
      <c r="AV211" s="241" t="s">
        <v>306</v>
      </c>
      <c r="AW211" s="241" t="s">
        <v>306</v>
      </c>
      <c r="AX211" s="241">
        <f t="shared" si="28"/>
        <v>0</v>
      </c>
      <c r="AY211" s="241" t="str">
        <f t="shared" si="29"/>
        <v>K/0</v>
      </c>
      <c r="AZ211" s="241"/>
      <c r="BA211" s="237" t="s">
        <v>2833</v>
      </c>
      <c r="BB211" s="249" t="s">
        <v>161</v>
      </c>
      <c r="BC211" s="241" t="s">
        <v>70</v>
      </c>
      <c r="BD211" s="241" t="s">
        <v>2834</v>
      </c>
      <c r="BE211" s="241" t="s">
        <v>72</v>
      </c>
      <c r="BF211" s="241">
        <v>2018</v>
      </c>
      <c r="BG211" s="241" t="s">
        <v>70</v>
      </c>
      <c r="BH211" s="241" t="s">
        <v>2834</v>
      </c>
      <c r="BI211" s="241" t="s">
        <v>72</v>
      </c>
      <c r="BJ211" s="241">
        <v>2018</v>
      </c>
      <c r="BK211" s="247"/>
      <c r="BL211" s="247"/>
      <c r="BM211" s="241"/>
      <c r="BN211" s="241"/>
      <c r="BO211" s="241"/>
      <c r="BP211" s="244">
        <v>44294</v>
      </c>
      <c r="BQ211" s="244">
        <v>44322</v>
      </c>
      <c r="BR211" s="244">
        <v>44657</v>
      </c>
      <c r="BS211" s="244"/>
      <c r="BT211" s="241"/>
      <c r="BU211" s="241"/>
      <c r="BV211" s="241"/>
      <c r="BW211" s="241"/>
      <c r="BX211" s="241"/>
      <c r="BY211" s="241"/>
      <c r="BZ211" s="241"/>
      <c r="CA211" s="241"/>
      <c r="CB211" s="241"/>
      <c r="CC211" s="241"/>
      <c r="CD211" s="241"/>
      <c r="CE211" s="241" t="e">
        <f>VLOOKUP(D211,[1]Sertifikasi!$B$4:$I$19,8,0)</f>
        <v>#N/A</v>
      </c>
      <c r="CF211" s="13"/>
      <c r="CG211" s="13"/>
      <c r="CH211" s="13"/>
    </row>
    <row r="212" spans="1:86" ht="11.25" customHeight="1" x14ac:dyDescent="0.2">
      <c r="A212" s="13"/>
      <c r="B212" s="238">
        <v>208</v>
      </c>
      <c r="C212" s="241" t="e">
        <f t="shared" ca="1" si="30"/>
        <v>#NUM!</v>
      </c>
      <c r="D212" s="237" t="s">
        <v>2835</v>
      </c>
      <c r="E212" s="239">
        <v>642101102</v>
      </c>
      <c r="F212" s="237">
        <v>1710003987511</v>
      </c>
      <c r="G212" s="240"/>
      <c r="H212" s="241" t="s">
        <v>217</v>
      </c>
      <c r="I212" s="241" t="s">
        <v>217</v>
      </c>
      <c r="J212" s="242">
        <v>44230</v>
      </c>
      <c r="K212" s="241"/>
      <c r="L212" s="241"/>
      <c r="M212" s="241" t="str">
        <f t="shared" si="31"/>
        <v>PKWT</v>
      </c>
      <c r="N212" s="241" t="s">
        <v>187</v>
      </c>
      <c r="O212" s="241"/>
      <c r="P212" s="243">
        <v>45657</v>
      </c>
      <c r="Q212" s="241"/>
      <c r="R212" s="241" t="s">
        <v>206</v>
      </c>
      <c r="S212" s="241" t="s">
        <v>6863</v>
      </c>
      <c r="T212" s="241" t="s">
        <v>312</v>
      </c>
      <c r="U212" s="241" t="s">
        <v>23</v>
      </c>
      <c r="V212" s="241" t="s">
        <v>443</v>
      </c>
      <c r="W212" s="241" t="s">
        <v>51</v>
      </c>
      <c r="X212" s="241" t="s">
        <v>121</v>
      </c>
      <c r="Y212" s="241" t="s">
        <v>313</v>
      </c>
      <c r="Z212" s="241"/>
      <c r="AA212" s="241"/>
      <c r="AB212" s="241" t="s">
        <v>314</v>
      </c>
      <c r="AC212" s="241" t="s">
        <v>217</v>
      </c>
      <c r="AD212" s="245">
        <v>35744</v>
      </c>
      <c r="AE212" s="241">
        <f t="shared" ca="1" si="27"/>
        <v>27</v>
      </c>
      <c r="AF212" s="246" t="s">
        <v>2836</v>
      </c>
      <c r="AG212" s="241" t="s">
        <v>2837</v>
      </c>
      <c r="AH212" s="240" t="s">
        <v>2838</v>
      </c>
      <c r="AI212" s="240"/>
      <c r="AJ212" s="240"/>
      <c r="AK212" s="250" t="s">
        <v>2839</v>
      </c>
      <c r="AL212" s="246" t="s">
        <v>2840</v>
      </c>
      <c r="AM212" s="246">
        <v>21013284795</v>
      </c>
      <c r="AN212" s="241" t="s">
        <v>4716</v>
      </c>
      <c r="AO212" s="241"/>
      <c r="AP212" s="241"/>
      <c r="AQ212" s="241"/>
      <c r="AR212" s="241"/>
      <c r="AS212" s="241"/>
      <c r="AT212" s="241" t="s">
        <v>2841</v>
      </c>
      <c r="AU212" s="241" t="s">
        <v>2842</v>
      </c>
      <c r="AV212" s="241" t="s">
        <v>306</v>
      </c>
      <c r="AW212" s="241" t="s">
        <v>306</v>
      </c>
      <c r="AX212" s="241">
        <f t="shared" si="28"/>
        <v>0</v>
      </c>
      <c r="AY212" s="241" t="str">
        <f t="shared" si="29"/>
        <v>TK/0</v>
      </c>
      <c r="AZ212" s="241" t="s">
        <v>2843</v>
      </c>
      <c r="BA212" s="237" t="s">
        <v>2844</v>
      </c>
      <c r="BB212" s="241" t="s">
        <v>161</v>
      </c>
      <c r="BC212" s="241" t="s">
        <v>349</v>
      </c>
      <c r="BD212" s="241" t="s">
        <v>91</v>
      </c>
      <c r="BE212" s="241" t="s">
        <v>350</v>
      </c>
      <c r="BF212" s="241">
        <v>2016</v>
      </c>
      <c r="BG212" s="241" t="s">
        <v>349</v>
      </c>
      <c r="BH212" s="241" t="s">
        <v>91</v>
      </c>
      <c r="BI212" s="241" t="s">
        <v>350</v>
      </c>
      <c r="BJ212" s="241">
        <v>2016</v>
      </c>
      <c r="BK212" s="247"/>
      <c r="BL212" s="247"/>
      <c r="BM212" s="241"/>
      <c r="BN212" s="241"/>
      <c r="BO212" s="241">
        <v>42</v>
      </c>
      <c r="BP212" s="244"/>
      <c r="BQ212" s="244"/>
      <c r="BR212" s="244"/>
      <c r="BS212" s="244"/>
      <c r="BT212" s="241"/>
      <c r="BU212" s="241"/>
      <c r="BV212" s="241"/>
      <c r="BW212" s="241" t="s">
        <v>2845</v>
      </c>
      <c r="BX212" s="241"/>
      <c r="BY212" s="241"/>
      <c r="BZ212" s="241"/>
      <c r="CA212" s="241"/>
      <c r="CB212" s="241"/>
      <c r="CC212" s="241"/>
      <c r="CD212" s="241"/>
      <c r="CE212" s="241" t="e">
        <f>VLOOKUP(D212,[1]Sertifikasi!$B$4:$I$19,8,0)</f>
        <v>#N/A</v>
      </c>
      <c r="CF212" s="13"/>
      <c r="CG212" s="13"/>
      <c r="CH212" s="13"/>
    </row>
    <row r="213" spans="1:86" ht="11.25" customHeight="1" x14ac:dyDescent="0.2">
      <c r="A213" s="13"/>
      <c r="B213" s="238">
        <v>209</v>
      </c>
      <c r="C213" s="241" t="e">
        <f t="shared" ca="1" si="30"/>
        <v>#NUM!</v>
      </c>
      <c r="D213" s="237" t="s">
        <v>2846</v>
      </c>
      <c r="E213" s="239">
        <v>642102107</v>
      </c>
      <c r="F213" s="237">
        <v>1710002922428</v>
      </c>
      <c r="G213" s="240"/>
      <c r="H213" s="241" t="s">
        <v>217</v>
      </c>
      <c r="I213" s="241" t="s">
        <v>217</v>
      </c>
      <c r="J213" s="242">
        <v>44242</v>
      </c>
      <c r="K213" s="241"/>
      <c r="L213" s="241"/>
      <c r="M213" s="241" t="str">
        <f t="shared" si="31"/>
        <v>PKWT</v>
      </c>
      <c r="N213" s="241" t="s">
        <v>187</v>
      </c>
      <c r="O213" s="241"/>
      <c r="P213" s="243">
        <v>45702</v>
      </c>
      <c r="Q213" s="241"/>
      <c r="R213" s="241" t="s">
        <v>206</v>
      </c>
      <c r="S213" s="241" t="s">
        <v>6863</v>
      </c>
      <c r="T213" s="241" t="s">
        <v>312</v>
      </c>
      <c r="U213" s="241" t="s">
        <v>23</v>
      </c>
      <c r="V213" s="241" t="s">
        <v>443</v>
      </c>
      <c r="W213" s="241" t="s">
        <v>51</v>
      </c>
      <c r="X213" s="241" t="s">
        <v>121</v>
      </c>
      <c r="Y213" s="241" t="s">
        <v>313</v>
      </c>
      <c r="Z213" s="241"/>
      <c r="AA213" s="241"/>
      <c r="AB213" s="241" t="s">
        <v>314</v>
      </c>
      <c r="AC213" s="241" t="s">
        <v>217</v>
      </c>
      <c r="AD213" s="245">
        <v>34979</v>
      </c>
      <c r="AE213" s="241">
        <f t="shared" ca="1" si="27"/>
        <v>29</v>
      </c>
      <c r="AF213" s="246" t="s">
        <v>2847</v>
      </c>
      <c r="AG213" s="241" t="s">
        <v>2848</v>
      </c>
      <c r="AH213" s="240" t="s">
        <v>2849</v>
      </c>
      <c r="AI213" s="240"/>
      <c r="AJ213" s="240"/>
      <c r="AK213" s="241" t="s">
        <v>2850</v>
      </c>
      <c r="AL213" s="246" t="s">
        <v>2851</v>
      </c>
      <c r="AM213" s="246">
        <v>21013284738</v>
      </c>
      <c r="AN213" s="241" t="s">
        <v>4716</v>
      </c>
      <c r="AO213" s="241"/>
      <c r="AP213" s="241"/>
      <c r="AQ213" s="241"/>
      <c r="AR213" s="241"/>
      <c r="AS213" s="241"/>
      <c r="AT213" s="241" t="s">
        <v>2852</v>
      </c>
      <c r="AU213" s="241" t="s">
        <v>2853</v>
      </c>
      <c r="AV213" s="241" t="s">
        <v>306</v>
      </c>
      <c r="AW213" s="241" t="s">
        <v>306</v>
      </c>
      <c r="AX213" s="241">
        <f t="shared" si="28"/>
        <v>0</v>
      </c>
      <c r="AY213" s="241" t="str">
        <f t="shared" si="29"/>
        <v>TK/0</v>
      </c>
      <c r="AZ213" s="241" t="s">
        <v>2854</v>
      </c>
      <c r="BA213" s="237" t="s">
        <v>2855</v>
      </c>
      <c r="BB213" s="241" t="s">
        <v>161</v>
      </c>
      <c r="BC213" s="241" t="s">
        <v>349</v>
      </c>
      <c r="BD213" s="241" t="s">
        <v>91</v>
      </c>
      <c r="BE213" s="241" t="s">
        <v>350</v>
      </c>
      <c r="BF213" s="241">
        <v>2014</v>
      </c>
      <c r="BG213" s="241" t="s">
        <v>349</v>
      </c>
      <c r="BH213" s="241" t="s">
        <v>91</v>
      </c>
      <c r="BI213" s="241" t="s">
        <v>350</v>
      </c>
      <c r="BJ213" s="241">
        <v>2014</v>
      </c>
      <c r="BK213" s="247"/>
      <c r="BL213" s="247"/>
      <c r="BM213" s="241" t="s">
        <v>351</v>
      </c>
      <c r="BN213" s="241">
        <v>35</v>
      </c>
      <c r="BO213" s="241">
        <v>41</v>
      </c>
      <c r="BP213" s="244"/>
      <c r="BQ213" s="244"/>
      <c r="BR213" s="244"/>
      <c r="BS213" s="244"/>
      <c r="BT213" s="241"/>
      <c r="BU213" s="241"/>
      <c r="BV213" s="241"/>
      <c r="BW213" s="241" t="s">
        <v>2856</v>
      </c>
      <c r="BX213" s="241"/>
      <c r="BY213" s="241"/>
      <c r="BZ213" s="241"/>
      <c r="CA213" s="241"/>
      <c r="CB213" s="241"/>
      <c r="CC213" s="241"/>
      <c r="CD213" s="241"/>
      <c r="CE213" s="241" t="e">
        <f>VLOOKUP(D213,[1]Sertifikasi!$B$4:$I$19,8,0)</f>
        <v>#N/A</v>
      </c>
      <c r="CF213" s="13"/>
      <c r="CG213" s="13"/>
      <c r="CH213" s="13"/>
    </row>
    <row r="214" spans="1:86" ht="11.25" customHeight="1" x14ac:dyDescent="0.2">
      <c r="A214" s="13"/>
      <c r="B214" s="238">
        <v>210</v>
      </c>
      <c r="C214" s="241" t="e">
        <f t="shared" ca="1" si="30"/>
        <v>#NUM!</v>
      </c>
      <c r="D214" s="237" t="s">
        <v>2857</v>
      </c>
      <c r="E214" s="239">
        <v>642102105</v>
      </c>
      <c r="F214" s="237">
        <v>1710000376304</v>
      </c>
      <c r="G214" s="240"/>
      <c r="H214" s="241" t="s">
        <v>217</v>
      </c>
      <c r="I214" s="241" t="s">
        <v>217</v>
      </c>
      <c r="J214" s="242">
        <v>44242</v>
      </c>
      <c r="K214" s="241"/>
      <c r="L214" s="241"/>
      <c r="M214" s="241" t="str">
        <f t="shared" si="31"/>
        <v>PKWT</v>
      </c>
      <c r="N214" s="241" t="s">
        <v>187</v>
      </c>
      <c r="O214" s="241"/>
      <c r="P214" s="243">
        <v>45702</v>
      </c>
      <c r="Q214" s="241"/>
      <c r="R214" s="241" t="s">
        <v>206</v>
      </c>
      <c r="S214" s="241" t="s">
        <v>6863</v>
      </c>
      <c r="T214" s="241" t="s">
        <v>312</v>
      </c>
      <c r="U214" s="241" t="s">
        <v>204</v>
      </c>
      <c r="V214" s="241" t="s">
        <v>208</v>
      </c>
      <c r="W214" s="241" t="s">
        <v>6908</v>
      </c>
      <c r="X214" s="241" t="s">
        <v>18</v>
      </c>
      <c r="Y214" s="241" t="s">
        <v>313</v>
      </c>
      <c r="Z214" s="241" t="s">
        <v>854</v>
      </c>
      <c r="AA214" s="241"/>
      <c r="AB214" s="241" t="s">
        <v>314</v>
      </c>
      <c r="AC214" s="241" t="s">
        <v>217</v>
      </c>
      <c r="AD214" s="245">
        <v>33290</v>
      </c>
      <c r="AE214" s="241">
        <f t="shared" ca="1" si="27"/>
        <v>34</v>
      </c>
      <c r="AF214" s="246" t="s">
        <v>2858</v>
      </c>
      <c r="AG214" s="241" t="s">
        <v>2859</v>
      </c>
      <c r="AH214" s="240" t="s">
        <v>2860</v>
      </c>
      <c r="AI214" s="240"/>
      <c r="AJ214" s="240"/>
      <c r="AK214" s="241" t="s">
        <v>2861</v>
      </c>
      <c r="AL214" s="246" t="s">
        <v>2862</v>
      </c>
      <c r="AM214" s="246">
        <v>21013284746</v>
      </c>
      <c r="AN214" s="241" t="s">
        <v>4733</v>
      </c>
      <c r="AO214" s="241" t="s">
        <v>2863</v>
      </c>
      <c r="AP214" s="241" t="s">
        <v>2864</v>
      </c>
      <c r="AQ214" s="241" t="s">
        <v>2865</v>
      </c>
      <c r="AR214" s="241"/>
      <c r="AS214" s="241"/>
      <c r="AT214" s="241" t="s">
        <v>306</v>
      </c>
      <c r="AU214" s="241" t="s">
        <v>306</v>
      </c>
      <c r="AV214" s="241" t="s">
        <v>306</v>
      </c>
      <c r="AW214" s="241" t="s">
        <v>306</v>
      </c>
      <c r="AX214" s="241">
        <f t="shared" si="28"/>
        <v>2</v>
      </c>
      <c r="AY214" s="241" t="str">
        <f t="shared" si="29"/>
        <v>K/2</v>
      </c>
      <c r="AZ214" s="241"/>
      <c r="BA214" s="237"/>
      <c r="BB214" s="241" t="s">
        <v>161</v>
      </c>
      <c r="BC214" s="241" t="s">
        <v>349</v>
      </c>
      <c r="BD214" s="241" t="s">
        <v>91</v>
      </c>
      <c r="BE214" s="241" t="s">
        <v>516</v>
      </c>
      <c r="BF214" s="241">
        <v>2009</v>
      </c>
      <c r="BG214" s="241" t="s">
        <v>349</v>
      </c>
      <c r="BH214" s="241" t="s">
        <v>91</v>
      </c>
      <c r="BI214" s="241" t="s">
        <v>516</v>
      </c>
      <c r="BJ214" s="241">
        <v>2009</v>
      </c>
      <c r="BK214" s="247"/>
      <c r="BL214" s="247"/>
      <c r="BM214" s="241" t="s">
        <v>351</v>
      </c>
      <c r="BN214" s="241">
        <v>32</v>
      </c>
      <c r="BO214" s="241">
        <v>40</v>
      </c>
      <c r="BP214" s="244"/>
      <c r="BQ214" s="244"/>
      <c r="BR214" s="244">
        <v>44601</v>
      </c>
      <c r="BS214" s="244"/>
      <c r="BT214" s="241"/>
      <c r="BU214" s="241"/>
      <c r="BV214" s="241"/>
      <c r="BW214" s="241" t="s">
        <v>2866</v>
      </c>
      <c r="BX214" s="241"/>
      <c r="BY214" s="241"/>
      <c r="BZ214" s="241"/>
      <c r="CA214" s="241"/>
      <c r="CB214" s="241"/>
      <c r="CC214" s="241"/>
      <c r="CD214" s="241"/>
      <c r="CE214" s="241" t="e">
        <f>VLOOKUP(D214,[1]Sertifikasi!$B$4:$I$19,8,0)</f>
        <v>#N/A</v>
      </c>
      <c r="CF214" s="13"/>
      <c r="CG214" s="13"/>
      <c r="CH214" s="13"/>
    </row>
    <row r="215" spans="1:86" ht="11.25" customHeight="1" x14ac:dyDescent="0.2">
      <c r="A215" s="13"/>
      <c r="B215" s="238">
        <v>211</v>
      </c>
      <c r="C215" s="241" t="e">
        <f t="shared" ca="1" si="30"/>
        <v>#NUM!</v>
      </c>
      <c r="D215" s="237" t="s">
        <v>2867</v>
      </c>
      <c r="E215" s="239">
        <v>642102106</v>
      </c>
      <c r="F215" s="237">
        <v>1710000376288</v>
      </c>
      <c r="G215" s="240"/>
      <c r="H215" s="241" t="s">
        <v>217</v>
      </c>
      <c r="I215" s="241" t="s">
        <v>217</v>
      </c>
      <c r="J215" s="242">
        <v>44242</v>
      </c>
      <c r="K215" s="241"/>
      <c r="L215" s="241"/>
      <c r="M215" s="241" t="str">
        <f t="shared" si="31"/>
        <v>PKWT</v>
      </c>
      <c r="N215" s="241" t="s">
        <v>187</v>
      </c>
      <c r="O215" s="241"/>
      <c r="P215" s="243">
        <v>45702</v>
      </c>
      <c r="Q215" s="241"/>
      <c r="R215" s="241" t="s">
        <v>206</v>
      </c>
      <c r="S215" s="241" t="s">
        <v>6863</v>
      </c>
      <c r="T215" s="241" t="s">
        <v>312</v>
      </c>
      <c r="U215" s="241" t="s">
        <v>204</v>
      </c>
      <c r="V215" s="241" t="s">
        <v>208</v>
      </c>
      <c r="W215" s="241" t="s">
        <v>6908</v>
      </c>
      <c r="X215" s="241" t="s">
        <v>18</v>
      </c>
      <c r="Y215" s="241" t="s">
        <v>313</v>
      </c>
      <c r="Z215" s="241"/>
      <c r="AA215" s="241"/>
      <c r="AB215" s="241" t="s">
        <v>314</v>
      </c>
      <c r="AC215" s="241" t="s">
        <v>217</v>
      </c>
      <c r="AD215" s="245">
        <v>30967</v>
      </c>
      <c r="AE215" s="241">
        <f t="shared" ca="1" si="27"/>
        <v>40</v>
      </c>
      <c r="AF215" s="246" t="s">
        <v>2868</v>
      </c>
      <c r="AG215" s="241" t="s">
        <v>2869</v>
      </c>
      <c r="AH215" s="240" t="s">
        <v>2870</v>
      </c>
      <c r="AI215" s="240"/>
      <c r="AJ215" s="240"/>
      <c r="AK215" s="241" t="s">
        <v>2871</v>
      </c>
      <c r="AL215" s="246" t="s">
        <v>2872</v>
      </c>
      <c r="AM215" s="246">
        <v>21013284803</v>
      </c>
      <c r="AN215" s="241" t="s">
        <v>6821</v>
      </c>
      <c r="AO215" s="241"/>
      <c r="AP215" s="241" t="s">
        <v>2873</v>
      </c>
      <c r="AQ215" s="241" t="s">
        <v>2874</v>
      </c>
      <c r="AR215" s="241"/>
      <c r="AS215" s="241"/>
      <c r="AT215" s="241" t="s">
        <v>2875</v>
      </c>
      <c r="AU215" s="241" t="s">
        <v>2876</v>
      </c>
      <c r="AV215" s="241" t="s">
        <v>306</v>
      </c>
      <c r="AW215" s="241" t="s">
        <v>306</v>
      </c>
      <c r="AX215" s="241">
        <f t="shared" si="28"/>
        <v>2</v>
      </c>
      <c r="AY215" s="241" t="str">
        <f t="shared" si="29"/>
        <v>TK/2</v>
      </c>
      <c r="AZ215" s="241" t="s">
        <v>2877</v>
      </c>
      <c r="BA215" s="237" t="s">
        <v>2877</v>
      </c>
      <c r="BB215" s="241" t="s">
        <v>161</v>
      </c>
      <c r="BC215" s="241" t="s">
        <v>349</v>
      </c>
      <c r="BD215" s="241" t="s">
        <v>91</v>
      </c>
      <c r="BE215" s="241" t="s">
        <v>663</v>
      </c>
      <c r="BF215" s="241">
        <v>2002</v>
      </c>
      <c r="BG215" s="241" t="s">
        <v>349</v>
      </c>
      <c r="BH215" s="241" t="s">
        <v>91</v>
      </c>
      <c r="BI215" s="241" t="s">
        <v>663</v>
      </c>
      <c r="BJ215" s="241">
        <v>2002</v>
      </c>
      <c r="BK215" s="247"/>
      <c r="BL215" s="247"/>
      <c r="BM215" s="241" t="s">
        <v>339</v>
      </c>
      <c r="BN215" s="241">
        <v>32</v>
      </c>
      <c r="BO215" s="241">
        <v>40</v>
      </c>
      <c r="BP215" s="244"/>
      <c r="BQ215" s="244"/>
      <c r="BR215" s="244">
        <v>44806</v>
      </c>
      <c r="BS215" s="244"/>
      <c r="BT215" s="241"/>
      <c r="BU215" s="241"/>
      <c r="BV215" s="241"/>
      <c r="BW215" s="241" t="s">
        <v>2878</v>
      </c>
      <c r="BX215" s="241"/>
      <c r="BY215" s="241"/>
      <c r="BZ215" s="241"/>
      <c r="CA215" s="241"/>
      <c r="CB215" s="241"/>
      <c r="CC215" s="241"/>
      <c r="CD215" s="241"/>
      <c r="CE215" s="241" t="e">
        <f>VLOOKUP(D215,[1]Sertifikasi!$B$4:$I$19,8,0)</f>
        <v>#N/A</v>
      </c>
      <c r="CF215" s="13"/>
      <c r="CG215" s="13"/>
      <c r="CH215" s="13"/>
    </row>
    <row r="216" spans="1:86" ht="11.25" customHeight="1" x14ac:dyDescent="0.2">
      <c r="A216" s="13"/>
      <c r="B216" s="238">
        <v>212</v>
      </c>
      <c r="C216" s="241" t="e">
        <f t="shared" ca="1" si="30"/>
        <v>#NUM!</v>
      </c>
      <c r="D216" s="237" t="s">
        <v>2879</v>
      </c>
      <c r="E216" s="239">
        <v>642102103</v>
      </c>
      <c r="F216" s="237">
        <v>1710000376239</v>
      </c>
      <c r="G216" s="240"/>
      <c r="H216" s="241" t="s">
        <v>217</v>
      </c>
      <c r="I216" s="241" t="s">
        <v>311</v>
      </c>
      <c r="J216" s="242">
        <v>44242</v>
      </c>
      <c r="K216" s="241"/>
      <c r="L216" s="241"/>
      <c r="M216" s="241" t="str">
        <f t="shared" si="31"/>
        <v>PKWT</v>
      </c>
      <c r="N216" s="241" t="s">
        <v>187</v>
      </c>
      <c r="O216" s="241"/>
      <c r="P216" s="243">
        <v>45336</v>
      </c>
      <c r="Q216" s="241"/>
      <c r="R216" s="241" t="s">
        <v>206</v>
      </c>
      <c r="S216" s="241" t="s">
        <v>6863</v>
      </c>
      <c r="T216" s="241" t="s">
        <v>312</v>
      </c>
      <c r="U216" s="241" t="s">
        <v>204</v>
      </c>
      <c r="V216" s="241" t="s">
        <v>208</v>
      </c>
      <c r="W216" s="241" t="s">
        <v>6908</v>
      </c>
      <c r="X216" s="241" t="s">
        <v>18</v>
      </c>
      <c r="Y216" s="241" t="s">
        <v>313</v>
      </c>
      <c r="Z216" s="241" t="s">
        <v>854</v>
      </c>
      <c r="AA216" s="241"/>
      <c r="AB216" s="241" t="s">
        <v>314</v>
      </c>
      <c r="AC216" s="241" t="s">
        <v>311</v>
      </c>
      <c r="AD216" s="245">
        <v>31812</v>
      </c>
      <c r="AE216" s="241">
        <f t="shared" ca="1" si="27"/>
        <v>38</v>
      </c>
      <c r="AF216" s="246" t="s">
        <v>2880</v>
      </c>
      <c r="AG216" s="241" t="s">
        <v>2881</v>
      </c>
      <c r="AH216" s="240" t="s">
        <v>2882</v>
      </c>
      <c r="AI216" s="240"/>
      <c r="AJ216" s="240"/>
      <c r="AK216" s="241" t="s">
        <v>2883</v>
      </c>
      <c r="AL216" s="246" t="s">
        <v>2884</v>
      </c>
      <c r="AM216" s="246">
        <v>21013284761</v>
      </c>
      <c r="AN216" s="241" t="s">
        <v>4733</v>
      </c>
      <c r="AO216" s="241" t="s">
        <v>2885</v>
      </c>
      <c r="AP216" s="241" t="s">
        <v>2886</v>
      </c>
      <c r="AQ216" s="241" t="s">
        <v>2887</v>
      </c>
      <c r="AR216" s="241"/>
      <c r="AS216" s="241"/>
      <c r="AT216" s="241" t="s">
        <v>306</v>
      </c>
      <c r="AU216" s="241" t="s">
        <v>306</v>
      </c>
      <c r="AV216" s="241" t="s">
        <v>306</v>
      </c>
      <c r="AW216" s="241" t="s">
        <v>306</v>
      </c>
      <c r="AX216" s="241">
        <f t="shared" si="28"/>
        <v>2</v>
      </c>
      <c r="AY216" s="241" t="str">
        <f t="shared" si="29"/>
        <v>K/2</v>
      </c>
      <c r="AZ216" s="241"/>
      <c r="BA216" s="237"/>
      <c r="BB216" s="241" t="s">
        <v>161</v>
      </c>
      <c r="BC216" s="241" t="s">
        <v>349</v>
      </c>
      <c r="BD216" s="241" t="s">
        <v>91</v>
      </c>
      <c r="BE216" s="241" t="s">
        <v>516</v>
      </c>
      <c r="BF216" s="241">
        <v>2006</v>
      </c>
      <c r="BG216" s="241" t="s">
        <v>349</v>
      </c>
      <c r="BH216" s="241" t="s">
        <v>91</v>
      </c>
      <c r="BI216" s="241" t="s">
        <v>516</v>
      </c>
      <c r="BJ216" s="241">
        <v>2006</v>
      </c>
      <c r="BK216" s="247"/>
      <c r="BL216" s="247"/>
      <c r="BM216" s="241" t="s">
        <v>351</v>
      </c>
      <c r="BN216" s="241">
        <v>40</v>
      </c>
      <c r="BO216" s="241">
        <v>41</v>
      </c>
      <c r="BP216" s="244"/>
      <c r="BQ216" s="244"/>
      <c r="BR216" s="244">
        <v>44601</v>
      </c>
      <c r="BS216" s="244"/>
      <c r="BT216" s="241"/>
      <c r="BU216" s="241"/>
      <c r="BV216" s="241"/>
      <c r="BW216" s="241" t="s">
        <v>2888</v>
      </c>
      <c r="BX216" s="241"/>
      <c r="BY216" s="241"/>
      <c r="BZ216" s="241"/>
      <c r="CA216" s="241"/>
      <c r="CB216" s="241"/>
      <c r="CC216" s="241"/>
      <c r="CD216" s="241"/>
      <c r="CE216" s="241" t="e">
        <f>VLOOKUP(D216,[1]Sertifikasi!$B$4:$I$19,8,0)</f>
        <v>#N/A</v>
      </c>
      <c r="CF216" s="13"/>
      <c r="CG216" s="13"/>
      <c r="CH216" s="13"/>
    </row>
    <row r="217" spans="1:86" ht="11.25" customHeight="1" x14ac:dyDescent="0.2">
      <c r="A217" s="13"/>
      <c r="B217" s="238">
        <v>213</v>
      </c>
      <c r="C217" s="241" t="e">
        <f t="shared" ca="1" si="30"/>
        <v>#NUM!</v>
      </c>
      <c r="D217" s="237" t="s">
        <v>2889</v>
      </c>
      <c r="E217" s="239">
        <v>642102104</v>
      </c>
      <c r="F217" s="237">
        <v>1710000376494</v>
      </c>
      <c r="G217" s="240"/>
      <c r="H217" s="241" t="s">
        <v>217</v>
      </c>
      <c r="I217" s="241" t="s">
        <v>217</v>
      </c>
      <c r="J217" s="242">
        <v>44242</v>
      </c>
      <c r="K217" s="241"/>
      <c r="L217" s="241"/>
      <c r="M217" s="241" t="str">
        <f t="shared" si="31"/>
        <v>PKWT</v>
      </c>
      <c r="N217" s="241" t="s">
        <v>187</v>
      </c>
      <c r="O217" s="241"/>
      <c r="P217" s="243">
        <v>45702</v>
      </c>
      <c r="Q217" s="241"/>
      <c r="R217" s="241" t="s">
        <v>206</v>
      </c>
      <c r="S217" s="241" t="s">
        <v>6863</v>
      </c>
      <c r="T217" s="241" t="s">
        <v>312</v>
      </c>
      <c r="U217" s="241" t="s">
        <v>204</v>
      </c>
      <c r="V217" s="241" t="s">
        <v>208</v>
      </c>
      <c r="W217" s="241" t="s">
        <v>6908</v>
      </c>
      <c r="X217" s="241" t="s">
        <v>18</v>
      </c>
      <c r="Y217" s="241" t="s">
        <v>313</v>
      </c>
      <c r="Z217" s="241" t="s">
        <v>854</v>
      </c>
      <c r="AA217" s="241"/>
      <c r="AB217" s="241" t="s">
        <v>314</v>
      </c>
      <c r="AC217" s="241" t="s">
        <v>217</v>
      </c>
      <c r="AD217" s="245">
        <v>32762</v>
      </c>
      <c r="AE217" s="241">
        <f t="shared" ca="1" si="27"/>
        <v>36</v>
      </c>
      <c r="AF217" s="246" t="s">
        <v>2890</v>
      </c>
      <c r="AG217" s="241" t="s">
        <v>2891</v>
      </c>
      <c r="AH217" s="240" t="s">
        <v>2892</v>
      </c>
      <c r="AI217" s="240"/>
      <c r="AJ217" s="240"/>
      <c r="AK217" s="241" t="s">
        <v>2893</v>
      </c>
      <c r="AL217" s="246" t="s">
        <v>2894</v>
      </c>
      <c r="AM217" s="246">
        <v>12016187119</v>
      </c>
      <c r="AN217" s="241" t="s">
        <v>4716</v>
      </c>
      <c r="AO217" s="241"/>
      <c r="AP217" s="241"/>
      <c r="AQ217" s="241"/>
      <c r="AR217" s="241"/>
      <c r="AS217" s="241" t="s">
        <v>2895</v>
      </c>
      <c r="AT217" s="241" t="s">
        <v>2896</v>
      </c>
      <c r="AU217" s="241" t="s">
        <v>2897</v>
      </c>
      <c r="AV217" s="241" t="s">
        <v>306</v>
      </c>
      <c r="AW217" s="241" t="s">
        <v>306</v>
      </c>
      <c r="AX217" s="241">
        <f t="shared" si="28"/>
        <v>1</v>
      </c>
      <c r="AY217" s="241" t="str">
        <f t="shared" si="29"/>
        <v>TK/1</v>
      </c>
      <c r="AZ217" s="241"/>
      <c r="BA217" s="237"/>
      <c r="BB217" s="241" t="s">
        <v>161</v>
      </c>
      <c r="BC217" s="241" t="s">
        <v>349</v>
      </c>
      <c r="BD217" s="241" t="s">
        <v>91</v>
      </c>
      <c r="BE217" s="241" t="s">
        <v>516</v>
      </c>
      <c r="BF217" s="241">
        <v>2008</v>
      </c>
      <c r="BG217" s="241" t="s">
        <v>349</v>
      </c>
      <c r="BH217" s="241" t="s">
        <v>91</v>
      </c>
      <c r="BI217" s="241" t="s">
        <v>516</v>
      </c>
      <c r="BJ217" s="241">
        <v>2008</v>
      </c>
      <c r="BK217" s="247"/>
      <c r="BL217" s="247"/>
      <c r="BM217" s="241" t="s">
        <v>369</v>
      </c>
      <c r="BN217" s="241" t="s">
        <v>2898</v>
      </c>
      <c r="BO217" s="241">
        <v>40</v>
      </c>
      <c r="BP217" s="244"/>
      <c r="BQ217" s="244" t="s">
        <v>306</v>
      </c>
      <c r="BR217" s="244">
        <v>44601</v>
      </c>
      <c r="BS217" s="244"/>
      <c r="BT217" s="241"/>
      <c r="BU217" s="241"/>
      <c r="BV217" s="241"/>
      <c r="BW217" s="241" t="s">
        <v>2899</v>
      </c>
      <c r="BX217" s="241"/>
      <c r="BY217" s="241"/>
      <c r="BZ217" s="241"/>
      <c r="CA217" s="241"/>
      <c r="CB217" s="241"/>
      <c r="CC217" s="241"/>
      <c r="CD217" s="241"/>
      <c r="CE217" s="241" t="e">
        <f>VLOOKUP(D217,[1]Sertifikasi!$B$4:$I$19,8,0)</f>
        <v>#N/A</v>
      </c>
      <c r="CF217" s="13"/>
      <c r="CG217" s="13"/>
      <c r="CH217" s="13"/>
    </row>
    <row r="218" spans="1:86" ht="11.25" customHeight="1" x14ac:dyDescent="0.2">
      <c r="A218" s="13"/>
      <c r="B218" s="238">
        <v>214</v>
      </c>
      <c r="C218" s="241" t="e">
        <f t="shared" ca="1" si="30"/>
        <v>#NUM!</v>
      </c>
      <c r="D218" s="237" t="s">
        <v>2900</v>
      </c>
      <c r="E218" s="239">
        <v>642105110</v>
      </c>
      <c r="F218" s="237" t="s">
        <v>2901</v>
      </c>
      <c r="G218" s="240"/>
      <c r="H218" s="241" t="s">
        <v>217</v>
      </c>
      <c r="I218" s="241" t="s">
        <v>867</v>
      </c>
      <c r="J218" s="242">
        <v>44319</v>
      </c>
      <c r="K218" s="241"/>
      <c r="L218" s="241"/>
      <c r="M218" s="241" t="str">
        <f t="shared" si="31"/>
        <v>PKWT</v>
      </c>
      <c r="N218" s="241" t="s">
        <v>187</v>
      </c>
      <c r="O218" s="241"/>
      <c r="P218" s="243">
        <v>45414</v>
      </c>
      <c r="Q218" s="241"/>
      <c r="R218" s="241" t="s">
        <v>206</v>
      </c>
      <c r="S218" s="241" t="s">
        <v>6863</v>
      </c>
      <c r="T218" s="241" t="s">
        <v>312</v>
      </c>
      <c r="U218" s="241" t="s">
        <v>204</v>
      </c>
      <c r="V218" s="241" t="s">
        <v>208</v>
      </c>
      <c r="W218" s="241" t="s">
        <v>6908</v>
      </c>
      <c r="X218" s="241" t="s">
        <v>18</v>
      </c>
      <c r="Y218" s="241" t="s">
        <v>313</v>
      </c>
      <c r="Z218" s="241" t="s">
        <v>173</v>
      </c>
      <c r="AA218" s="241"/>
      <c r="AB218" s="241" t="s">
        <v>314</v>
      </c>
      <c r="AC218" s="241" t="s">
        <v>867</v>
      </c>
      <c r="AD218" s="245">
        <v>32433</v>
      </c>
      <c r="AE218" s="241">
        <f t="shared" ca="1" si="27"/>
        <v>36</v>
      </c>
      <c r="AF218" s="246" t="s">
        <v>2902</v>
      </c>
      <c r="AG218" s="241" t="s">
        <v>2903</v>
      </c>
      <c r="AH218" s="240">
        <v>89665487696</v>
      </c>
      <c r="AI218" s="240"/>
      <c r="AJ218" s="240"/>
      <c r="AK218" s="241" t="s">
        <v>2904</v>
      </c>
      <c r="AL218" s="246" t="s">
        <v>2905</v>
      </c>
      <c r="AM218" s="246">
        <v>7002905128</v>
      </c>
      <c r="AN218" s="241" t="s">
        <v>4733</v>
      </c>
      <c r="AO218" s="241" t="s">
        <v>2906</v>
      </c>
      <c r="AP218" s="241" t="s">
        <v>2907</v>
      </c>
      <c r="AQ218" s="241" t="s">
        <v>2908</v>
      </c>
      <c r="AR218" s="241"/>
      <c r="AS218" s="241"/>
      <c r="AT218" s="241" t="s">
        <v>306</v>
      </c>
      <c r="AU218" s="241" t="s">
        <v>306</v>
      </c>
      <c r="AV218" s="241" t="s">
        <v>306</v>
      </c>
      <c r="AW218" s="241" t="s">
        <v>306</v>
      </c>
      <c r="AX218" s="241">
        <f t="shared" si="28"/>
        <v>2</v>
      </c>
      <c r="AY218" s="241" t="str">
        <f t="shared" si="29"/>
        <v>K/2</v>
      </c>
      <c r="AZ218" s="241"/>
      <c r="BA218" s="237"/>
      <c r="BB218" s="241" t="s">
        <v>161</v>
      </c>
      <c r="BC218" s="241" t="s">
        <v>349</v>
      </c>
      <c r="BD218" s="241" t="s">
        <v>91</v>
      </c>
      <c r="BE218" s="241" t="s">
        <v>876</v>
      </c>
      <c r="BF218" s="241"/>
      <c r="BG218" s="241" t="s">
        <v>349</v>
      </c>
      <c r="BH218" s="241" t="s">
        <v>91</v>
      </c>
      <c r="BI218" s="241" t="s">
        <v>876</v>
      </c>
      <c r="BJ218" s="241"/>
      <c r="BK218" s="247"/>
      <c r="BL218" s="247"/>
      <c r="BM218" s="241" t="s">
        <v>360</v>
      </c>
      <c r="BN218" s="241"/>
      <c r="BO218" s="241">
        <v>40</v>
      </c>
      <c r="BP218" s="244"/>
      <c r="BQ218" s="244"/>
      <c r="BR218" s="244">
        <v>44601</v>
      </c>
      <c r="BS218" s="244"/>
      <c r="BT218" s="241"/>
      <c r="BU218" s="241"/>
      <c r="BV218" s="241"/>
      <c r="BW218" s="241" t="s">
        <v>2909</v>
      </c>
      <c r="BX218" s="241"/>
      <c r="BY218" s="241"/>
      <c r="BZ218" s="241"/>
      <c r="CA218" s="241"/>
      <c r="CB218" s="241"/>
      <c r="CC218" s="241"/>
      <c r="CD218" s="241"/>
      <c r="CE218" s="241" t="e">
        <f>VLOOKUP(D218,[1]Sertifikasi!$B$4:$I$19,8,0)</f>
        <v>#N/A</v>
      </c>
      <c r="CF218" s="13"/>
      <c r="CG218" s="13"/>
      <c r="CH218" s="13"/>
    </row>
    <row r="219" spans="1:86" ht="11.25" customHeight="1" x14ac:dyDescent="0.2">
      <c r="A219" s="13"/>
      <c r="B219" s="238">
        <v>215</v>
      </c>
      <c r="C219" s="241" t="e">
        <f t="shared" ca="1" si="30"/>
        <v>#NUM!</v>
      </c>
      <c r="D219" s="237" t="s">
        <v>2910</v>
      </c>
      <c r="E219" s="239">
        <v>642109111</v>
      </c>
      <c r="F219" s="237">
        <v>1710001911331</v>
      </c>
      <c r="G219" s="240"/>
      <c r="H219" s="241" t="s">
        <v>217</v>
      </c>
      <c r="I219" s="241" t="s">
        <v>25</v>
      </c>
      <c r="J219" s="242">
        <v>44440</v>
      </c>
      <c r="K219" s="241"/>
      <c r="L219" s="241"/>
      <c r="M219" s="241" t="str">
        <f t="shared" si="31"/>
        <v>PKWT</v>
      </c>
      <c r="N219" s="241" t="s">
        <v>187</v>
      </c>
      <c r="O219" s="241"/>
      <c r="P219" s="243">
        <v>45535</v>
      </c>
      <c r="Q219" s="241"/>
      <c r="R219" s="241" t="s">
        <v>206</v>
      </c>
      <c r="S219" s="241" t="s">
        <v>6863</v>
      </c>
      <c r="T219" s="241" t="s">
        <v>312</v>
      </c>
      <c r="U219" s="241" t="s">
        <v>25</v>
      </c>
      <c r="V219" s="241" t="s">
        <v>443</v>
      </c>
      <c r="W219" s="241" t="s">
        <v>748</v>
      </c>
      <c r="X219" s="241" t="s">
        <v>121</v>
      </c>
      <c r="Y219" s="241" t="s">
        <v>313</v>
      </c>
      <c r="Z219" s="241"/>
      <c r="AA219" s="241"/>
      <c r="AB219" s="241" t="s">
        <v>314</v>
      </c>
      <c r="AC219" s="241" t="s">
        <v>25</v>
      </c>
      <c r="AD219" s="245">
        <v>32961</v>
      </c>
      <c r="AE219" s="241">
        <f t="shared" ca="1" si="27"/>
        <v>35</v>
      </c>
      <c r="AF219" s="246" t="s">
        <v>2911</v>
      </c>
      <c r="AG219" s="241" t="s">
        <v>2912</v>
      </c>
      <c r="AH219" s="240" t="s">
        <v>2913</v>
      </c>
      <c r="AI219" s="240" t="s">
        <v>2914</v>
      </c>
      <c r="AJ219" s="240"/>
      <c r="AK219" s="241" t="s">
        <v>2915</v>
      </c>
      <c r="AL219" s="246" t="s">
        <v>2916</v>
      </c>
      <c r="AM219" s="246">
        <v>21067065405</v>
      </c>
      <c r="AN219" s="241" t="s">
        <v>4733</v>
      </c>
      <c r="AO219" s="241" t="s">
        <v>2917</v>
      </c>
      <c r="AP219" s="241"/>
      <c r="AQ219" s="241"/>
      <c r="AR219" s="241"/>
      <c r="AS219" s="241"/>
      <c r="AT219" s="241" t="s">
        <v>2918</v>
      </c>
      <c r="AU219" s="241" t="s">
        <v>2919</v>
      </c>
      <c r="AV219" s="241" t="s">
        <v>2920</v>
      </c>
      <c r="AW219" s="241" t="s">
        <v>2921</v>
      </c>
      <c r="AX219" s="241">
        <f t="shared" si="28"/>
        <v>0</v>
      </c>
      <c r="AY219" s="241" t="str">
        <f t="shared" si="29"/>
        <v>K/0</v>
      </c>
      <c r="AZ219" s="241" t="s">
        <v>2922</v>
      </c>
      <c r="BA219" s="237" t="s">
        <v>2922</v>
      </c>
      <c r="BB219" s="241" t="s">
        <v>161</v>
      </c>
      <c r="BC219" s="241" t="s">
        <v>349</v>
      </c>
      <c r="BD219" s="241" t="s">
        <v>91</v>
      </c>
      <c r="BE219" s="241" t="s">
        <v>2923</v>
      </c>
      <c r="BF219" s="241">
        <v>2008</v>
      </c>
      <c r="BG219" s="241" t="s">
        <v>349</v>
      </c>
      <c r="BH219" s="241" t="s">
        <v>91</v>
      </c>
      <c r="BI219" s="241" t="s">
        <v>2923</v>
      </c>
      <c r="BJ219" s="241">
        <v>2008</v>
      </c>
      <c r="BK219" s="247"/>
      <c r="BL219" s="247"/>
      <c r="BM219" s="241"/>
      <c r="BN219" s="241"/>
      <c r="BO219" s="241">
        <v>44</v>
      </c>
      <c r="BP219" s="244"/>
      <c r="BQ219" s="244"/>
      <c r="BR219" s="244"/>
      <c r="BS219" s="244"/>
      <c r="BT219" s="241"/>
      <c r="BU219" s="241"/>
      <c r="BV219" s="241"/>
      <c r="BW219" s="241" t="s">
        <v>2924</v>
      </c>
      <c r="BX219" s="241"/>
      <c r="BY219" s="241"/>
      <c r="BZ219" s="241"/>
      <c r="CA219" s="241"/>
      <c r="CB219" s="241"/>
      <c r="CC219" s="241"/>
      <c r="CD219" s="241"/>
      <c r="CE219" s="241" t="e">
        <f>VLOOKUP(D219,[1]Sertifikasi!$B$4:$I$19,8,0)</f>
        <v>#N/A</v>
      </c>
      <c r="CF219" s="13"/>
      <c r="CG219" s="13"/>
      <c r="CH219" s="13"/>
    </row>
    <row r="220" spans="1:86" ht="11.25" customHeight="1" x14ac:dyDescent="0.2">
      <c r="A220" s="13"/>
      <c r="B220" s="238">
        <v>216</v>
      </c>
      <c r="C220" s="241" t="e">
        <f t="shared" ca="1" si="30"/>
        <v>#NUM!</v>
      </c>
      <c r="D220" s="237" t="s">
        <v>2925</v>
      </c>
      <c r="E220" s="239">
        <v>642109112</v>
      </c>
      <c r="F220" s="237">
        <v>1710002243494</v>
      </c>
      <c r="G220" s="240"/>
      <c r="H220" s="241" t="s">
        <v>217</v>
      </c>
      <c r="I220" s="241" t="s">
        <v>315</v>
      </c>
      <c r="J220" s="242">
        <v>44466</v>
      </c>
      <c r="K220" s="241"/>
      <c r="L220" s="241"/>
      <c r="M220" s="241" t="str">
        <f t="shared" si="31"/>
        <v>PKWT</v>
      </c>
      <c r="N220" s="241" t="s">
        <v>187</v>
      </c>
      <c r="O220" s="241"/>
      <c r="P220" s="243">
        <v>45561</v>
      </c>
      <c r="Q220" s="241"/>
      <c r="R220" s="241" t="s">
        <v>206</v>
      </c>
      <c r="S220" s="241" t="s">
        <v>6863</v>
      </c>
      <c r="T220" s="241" t="s">
        <v>312</v>
      </c>
      <c r="U220" s="241" t="s">
        <v>25</v>
      </c>
      <c r="V220" s="241" t="s">
        <v>443</v>
      </c>
      <c r="W220" s="241" t="s">
        <v>748</v>
      </c>
      <c r="X220" s="241" t="s">
        <v>121</v>
      </c>
      <c r="Y220" s="241" t="s">
        <v>313</v>
      </c>
      <c r="Z220" s="241"/>
      <c r="AA220" s="241"/>
      <c r="AB220" s="241" t="s">
        <v>314</v>
      </c>
      <c r="AC220" s="241" t="s">
        <v>315</v>
      </c>
      <c r="AD220" s="245">
        <v>35440</v>
      </c>
      <c r="AE220" s="241">
        <f t="shared" ca="1" si="27"/>
        <v>28</v>
      </c>
      <c r="AF220" s="246" t="s">
        <v>2926</v>
      </c>
      <c r="AG220" s="241" t="s">
        <v>2927</v>
      </c>
      <c r="AH220" s="240" t="s">
        <v>2928</v>
      </c>
      <c r="AI220" s="240"/>
      <c r="AJ220" s="240"/>
      <c r="AK220" s="241" t="s">
        <v>2929</v>
      </c>
      <c r="AL220" s="246" t="s">
        <v>2930</v>
      </c>
      <c r="AM220" s="246">
        <v>16058376050</v>
      </c>
      <c r="AN220" s="241" t="s">
        <v>4716</v>
      </c>
      <c r="AO220" s="241"/>
      <c r="AP220" s="241"/>
      <c r="AQ220" s="241"/>
      <c r="AR220" s="241"/>
      <c r="AS220" s="241"/>
      <c r="AT220" s="241" t="s">
        <v>306</v>
      </c>
      <c r="AU220" s="241" t="s">
        <v>306</v>
      </c>
      <c r="AV220" s="241" t="s">
        <v>306</v>
      </c>
      <c r="AW220" s="241" t="s">
        <v>306</v>
      </c>
      <c r="AX220" s="241">
        <f t="shared" si="28"/>
        <v>0</v>
      </c>
      <c r="AY220" s="241" t="str">
        <f t="shared" si="29"/>
        <v>TK/0</v>
      </c>
      <c r="AZ220" s="241"/>
      <c r="BA220" s="237"/>
      <c r="BB220" s="241" t="s">
        <v>161</v>
      </c>
      <c r="BC220" s="241" t="s">
        <v>349</v>
      </c>
      <c r="BD220" s="241" t="s">
        <v>1742</v>
      </c>
      <c r="BE220" s="241" t="s">
        <v>2931</v>
      </c>
      <c r="BF220" s="241"/>
      <c r="BG220" s="241" t="s">
        <v>349</v>
      </c>
      <c r="BH220" s="241" t="s">
        <v>1742</v>
      </c>
      <c r="BI220" s="241" t="s">
        <v>2931</v>
      </c>
      <c r="BJ220" s="241"/>
      <c r="BK220" s="247"/>
      <c r="BL220" s="247"/>
      <c r="BM220" s="241"/>
      <c r="BN220" s="241"/>
      <c r="BO220" s="241">
        <v>40</v>
      </c>
      <c r="BP220" s="244"/>
      <c r="BQ220" s="244"/>
      <c r="BR220" s="244"/>
      <c r="BS220" s="244"/>
      <c r="BT220" s="241"/>
      <c r="BU220" s="241"/>
      <c r="BV220" s="241"/>
      <c r="BW220" s="241" t="s">
        <v>2932</v>
      </c>
      <c r="BX220" s="241"/>
      <c r="BY220" s="241"/>
      <c r="BZ220" s="241"/>
      <c r="CA220" s="241"/>
      <c r="CB220" s="241"/>
      <c r="CC220" s="241"/>
      <c r="CD220" s="241"/>
      <c r="CE220" s="241" t="e">
        <f>VLOOKUP(D220,[1]Sertifikasi!$B$4:$I$19,8,0)</f>
        <v>#N/A</v>
      </c>
      <c r="CF220" s="13"/>
      <c r="CG220" s="13"/>
      <c r="CH220" s="13"/>
    </row>
    <row r="221" spans="1:86" ht="11.25" customHeight="1" x14ac:dyDescent="0.2">
      <c r="A221" s="13"/>
      <c r="B221" s="238">
        <v>217</v>
      </c>
      <c r="C221" s="241" t="e">
        <f t="shared" ca="1" si="30"/>
        <v>#NUM!</v>
      </c>
      <c r="D221" s="237" t="s">
        <v>2933</v>
      </c>
      <c r="E221" s="239">
        <v>642109113</v>
      </c>
      <c r="F221" s="237">
        <v>1710001953895</v>
      </c>
      <c r="G221" s="240"/>
      <c r="H221" s="241" t="s">
        <v>217</v>
      </c>
      <c r="I221" s="241" t="s">
        <v>315</v>
      </c>
      <c r="J221" s="242">
        <v>44466</v>
      </c>
      <c r="K221" s="241"/>
      <c r="L221" s="241"/>
      <c r="M221" s="241" t="str">
        <f t="shared" si="31"/>
        <v>PKWT</v>
      </c>
      <c r="N221" s="241" t="s">
        <v>187</v>
      </c>
      <c r="O221" s="241"/>
      <c r="P221" s="243">
        <v>45561</v>
      </c>
      <c r="Q221" s="241"/>
      <c r="R221" s="241" t="s">
        <v>206</v>
      </c>
      <c r="S221" s="241" t="s">
        <v>6863</v>
      </c>
      <c r="T221" s="241" t="s">
        <v>312</v>
      </c>
      <c r="U221" s="241" t="s">
        <v>25</v>
      </c>
      <c r="V221" s="241" t="s">
        <v>443</v>
      </c>
      <c r="W221" s="241" t="s">
        <v>748</v>
      </c>
      <c r="X221" s="241" t="s">
        <v>121</v>
      </c>
      <c r="Y221" s="241" t="s">
        <v>313</v>
      </c>
      <c r="Z221" s="241"/>
      <c r="AA221" s="241"/>
      <c r="AB221" s="241" t="s">
        <v>314</v>
      </c>
      <c r="AC221" s="241" t="s">
        <v>315</v>
      </c>
      <c r="AD221" s="245">
        <v>35904</v>
      </c>
      <c r="AE221" s="241">
        <f t="shared" ca="1" si="27"/>
        <v>27</v>
      </c>
      <c r="AF221" s="246" t="s">
        <v>2934</v>
      </c>
      <c r="AG221" s="241" t="s">
        <v>2935</v>
      </c>
      <c r="AH221" s="240" t="s">
        <v>2936</v>
      </c>
      <c r="AI221" s="240"/>
      <c r="AJ221" s="240"/>
      <c r="AK221" s="241" t="s">
        <v>2937</v>
      </c>
      <c r="AL221" s="246" t="s">
        <v>2938</v>
      </c>
      <c r="AM221" s="246">
        <v>21076296108</v>
      </c>
      <c r="AN221" s="241" t="s">
        <v>4716</v>
      </c>
      <c r="AO221" s="241"/>
      <c r="AP221" s="241"/>
      <c r="AQ221" s="241"/>
      <c r="AR221" s="241"/>
      <c r="AS221" s="241"/>
      <c r="AT221" s="241" t="s">
        <v>2939</v>
      </c>
      <c r="AU221" s="241" t="s">
        <v>2940</v>
      </c>
      <c r="AV221" s="241" t="s">
        <v>306</v>
      </c>
      <c r="AW221" s="241" t="s">
        <v>306</v>
      </c>
      <c r="AX221" s="241">
        <f t="shared" si="28"/>
        <v>0</v>
      </c>
      <c r="AY221" s="241" t="str">
        <f t="shared" si="29"/>
        <v>TK/0</v>
      </c>
      <c r="AZ221" s="241" t="s">
        <v>2941</v>
      </c>
      <c r="BA221" s="237" t="s">
        <v>2942</v>
      </c>
      <c r="BB221" s="241" t="s">
        <v>161</v>
      </c>
      <c r="BC221" s="241" t="s">
        <v>349</v>
      </c>
      <c r="BD221" s="241" t="s">
        <v>91</v>
      </c>
      <c r="BE221" s="241" t="s">
        <v>2931</v>
      </c>
      <c r="BF221" s="241">
        <v>2016</v>
      </c>
      <c r="BG221" s="241" t="s">
        <v>349</v>
      </c>
      <c r="BH221" s="241" t="s">
        <v>91</v>
      </c>
      <c r="BI221" s="241" t="s">
        <v>2931</v>
      </c>
      <c r="BJ221" s="241">
        <v>2016</v>
      </c>
      <c r="BK221" s="247"/>
      <c r="BL221" s="247"/>
      <c r="BM221" s="241"/>
      <c r="BN221" s="241"/>
      <c r="BO221" s="241">
        <v>39</v>
      </c>
      <c r="BP221" s="244"/>
      <c r="BQ221" s="244"/>
      <c r="BR221" s="244"/>
      <c r="BS221" s="244"/>
      <c r="BT221" s="241"/>
      <c r="BU221" s="241"/>
      <c r="BV221" s="241"/>
      <c r="BW221" s="241" t="s">
        <v>2943</v>
      </c>
      <c r="BX221" s="241"/>
      <c r="BY221" s="241"/>
      <c r="BZ221" s="241"/>
      <c r="CA221" s="241"/>
      <c r="CB221" s="241"/>
      <c r="CC221" s="241"/>
      <c r="CD221" s="241"/>
      <c r="CE221" s="241" t="e">
        <f>VLOOKUP(D221,[1]Sertifikasi!$B$4:$I$19,8,0)</f>
        <v>#N/A</v>
      </c>
      <c r="CF221" s="13"/>
      <c r="CG221" s="13"/>
      <c r="CH221" s="13"/>
    </row>
    <row r="222" spans="1:86" ht="11.25" customHeight="1" x14ac:dyDescent="0.2">
      <c r="A222" s="13"/>
      <c r="B222" s="238">
        <v>218</v>
      </c>
      <c r="C222" s="241" t="e">
        <f t="shared" ca="1" si="30"/>
        <v>#NUM!</v>
      </c>
      <c r="D222" s="237" t="s">
        <v>2944</v>
      </c>
      <c r="E222" s="239">
        <v>642109114</v>
      </c>
      <c r="F222" s="237">
        <v>1710001957854</v>
      </c>
      <c r="G222" s="240"/>
      <c r="H222" s="241" t="s">
        <v>217</v>
      </c>
      <c r="I222" s="241" t="s">
        <v>311</v>
      </c>
      <c r="J222" s="242">
        <v>44466</v>
      </c>
      <c r="K222" s="241"/>
      <c r="L222" s="241"/>
      <c r="M222" s="241" t="str">
        <f t="shared" si="31"/>
        <v>PKWT</v>
      </c>
      <c r="N222" s="241" t="s">
        <v>187</v>
      </c>
      <c r="O222" s="241"/>
      <c r="P222" s="243">
        <v>45561</v>
      </c>
      <c r="Q222" s="241"/>
      <c r="R222" s="241" t="s">
        <v>206</v>
      </c>
      <c r="S222" s="241" t="s">
        <v>6863</v>
      </c>
      <c r="T222" s="241" t="s">
        <v>312</v>
      </c>
      <c r="U222" s="241" t="s">
        <v>25</v>
      </c>
      <c r="V222" s="241" t="s">
        <v>443</v>
      </c>
      <c r="W222" s="241" t="s">
        <v>748</v>
      </c>
      <c r="X222" s="241" t="s">
        <v>121</v>
      </c>
      <c r="Y222" s="241" t="s">
        <v>313</v>
      </c>
      <c r="Z222" s="241"/>
      <c r="AA222" s="241"/>
      <c r="AB222" s="241" t="s">
        <v>314</v>
      </c>
      <c r="AC222" s="241" t="s">
        <v>311</v>
      </c>
      <c r="AD222" s="245">
        <v>35730</v>
      </c>
      <c r="AE222" s="241">
        <f t="shared" ca="1" si="27"/>
        <v>27</v>
      </c>
      <c r="AF222" s="246" t="s">
        <v>2945</v>
      </c>
      <c r="AG222" s="241" t="s">
        <v>2946</v>
      </c>
      <c r="AH222" s="240" t="s">
        <v>2947</v>
      </c>
      <c r="AI222" s="240"/>
      <c r="AJ222" s="240"/>
      <c r="AK222" s="241" t="s">
        <v>2948</v>
      </c>
      <c r="AL222" s="246" t="s">
        <v>2949</v>
      </c>
      <c r="AM222" s="246">
        <v>21076296116</v>
      </c>
      <c r="AN222" s="241" t="s">
        <v>4716</v>
      </c>
      <c r="AO222" s="241"/>
      <c r="AP222" s="241"/>
      <c r="AQ222" s="241"/>
      <c r="AR222" s="241"/>
      <c r="AS222" s="241"/>
      <c r="AT222" s="241" t="s">
        <v>306</v>
      </c>
      <c r="AU222" s="241" t="s">
        <v>306</v>
      </c>
      <c r="AV222" s="241" t="s">
        <v>306</v>
      </c>
      <c r="AW222" s="241" t="s">
        <v>306</v>
      </c>
      <c r="AX222" s="241">
        <f t="shared" si="28"/>
        <v>0</v>
      </c>
      <c r="AY222" s="241" t="str">
        <f t="shared" si="29"/>
        <v>TK/0</v>
      </c>
      <c r="AZ222" s="241"/>
      <c r="BA222" s="237"/>
      <c r="BB222" s="241" t="s">
        <v>161</v>
      </c>
      <c r="BC222" s="241" t="s">
        <v>349</v>
      </c>
      <c r="BD222" s="241" t="s">
        <v>515</v>
      </c>
      <c r="BE222" s="241" t="s">
        <v>775</v>
      </c>
      <c r="BF222" s="241">
        <v>2016</v>
      </c>
      <c r="BG222" s="241" t="s">
        <v>349</v>
      </c>
      <c r="BH222" s="241" t="s">
        <v>515</v>
      </c>
      <c r="BI222" s="241" t="s">
        <v>775</v>
      </c>
      <c r="BJ222" s="241">
        <v>2016</v>
      </c>
      <c r="BK222" s="247"/>
      <c r="BL222" s="247"/>
      <c r="BM222" s="241"/>
      <c r="BN222" s="241"/>
      <c r="BO222" s="241">
        <v>42</v>
      </c>
      <c r="BP222" s="244"/>
      <c r="BQ222" s="244"/>
      <c r="BR222" s="244">
        <v>44765</v>
      </c>
      <c r="BS222" s="244"/>
      <c r="BT222" s="241"/>
      <c r="BU222" s="241"/>
      <c r="BV222" s="241"/>
      <c r="BW222" s="241" t="s">
        <v>2950</v>
      </c>
      <c r="BX222" s="241"/>
      <c r="BY222" s="241"/>
      <c r="BZ222" s="241"/>
      <c r="CA222" s="241"/>
      <c r="CB222" s="241"/>
      <c r="CC222" s="241"/>
      <c r="CD222" s="241"/>
      <c r="CE222" s="241" t="e">
        <f>VLOOKUP(D222,[1]Sertifikasi!$B$4:$I$19,8,0)</f>
        <v>#N/A</v>
      </c>
      <c r="CF222" s="13"/>
      <c r="CG222" s="13"/>
      <c r="CH222" s="13"/>
    </row>
    <row r="223" spans="1:86" ht="11.25" customHeight="1" x14ac:dyDescent="0.2">
      <c r="A223" s="13"/>
      <c r="B223" s="238">
        <v>219</v>
      </c>
      <c r="C223" s="241" t="e">
        <f t="shared" ca="1" si="30"/>
        <v>#NUM!</v>
      </c>
      <c r="D223" s="237" t="s">
        <v>2951</v>
      </c>
      <c r="E223" s="239">
        <v>642109117</v>
      </c>
      <c r="F223" s="237">
        <v>1380019932644</v>
      </c>
      <c r="G223" s="240"/>
      <c r="H223" s="241" t="s">
        <v>23</v>
      </c>
      <c r="I223" s="241" t="s">
        <v>23</v>
      </c>
      <c r="J223" s="242">
        <v>44487</v>
      </c>
      <c r="K223" s="241"/>
      <c r="L223" s="241"/>
      <c r="M223" s="241" t="str">
        <f t="shared" si="31"/>
        <v>PKWT</v>
      </c>
      <c r="N223" s="241" t="s">
        <v>187</v>
      </c>
      <c r="O223" s="241"/>
      <c r="P223" s="243">
        <v>45582</v>
      </c>
      <c r="Q223" s="241"/>
      <c r="R223" s="241" t="s">
        <v>206</v>
      </c>
      <c r="S223" s="241" t="s">
        <v>6863</v>
      </c>
      <c r="T223" s="241" t="s">
        <v>312</v>
      </c>
      <c r="U223" s="241" t="s">
        <v>23</v>
      </c>
      <c r="V223" s="241" t="s">
        <v>443</v>
      </c>
      <c r="W223" s="241" t="s">
        <v>51</v>
      </c>
      <c r="X223" s="241" t="s">
        <v>121</v>
      </c>
      <c r="Y223" s="241" t="s">
        <v>313</v>
      </c>
      <c r="Z223" s="241"/>
      <c r="AA223" s="241"/>
      <c r="AB223" s="241" t="s">
        <v>314</v>
      </c>
      <c r="AC223" s="241" t="s">
        <v>23</v>
      </c>
      <c r="AD223" s="245">
        <v>35858</v>
      </c>
      <c r="AE223" s="241">
        <f t="shared" ca="1" si="27"/>
        <v>27</v>
      </c>
      <c r="AF223" s="246" t="s">
        <v>2952</v>
      </c>
      <c r="AG223" s="241" t="s">
        <v>2953</v>
      </c>
      <c r="AH223" s="240" t="s">
        <v>2954</v>
      </c>
      <c r="AI223" s="240"/>
      <c r="AJ223" s="240"/>
      <c r="AK223" s="241" t="s">
        <v>2955</v>
      </c>
      <c r="AL223" s="246" t="s">
        <v>2956</v>
      </c>
      <c r="AM223" s="246">
        <v>20026352011</v>
      </c>
      <c r="AN223" s="241" t="s">
        <v>4716</v>
      </c>
      <c r="AO223" s="241"/>
      <c r="AP223" s="241"/>
      <c r="AQ223" s="241"/>
      <c r="AR223" s="241"/>
      <c r="AS223" s="241"/>
      <c r="AT223" s="241" t="s">
        <v>2957</v>
      </c>
      <c r="AU223" s="241" t="s">
        <v>2958</v>
      </c>
      <c r="AV223" s="241" t="s">
        <v>306</v>
      </c>
      <c r="AW223" s="241" t="s">
        <v>306</v>
      </c>
      <c r="AX223" s="241">
        <f t="shared" si="28"/>
        <v>0</v>
      </c>
      <c r="AY223" s="241" t="str">
        <f t="shared" si="29"/>
        <v>TK/0</v>
      </c>
      <c r="AZ223" s="241" t="s">
        <v>2959</v>
      </c>
      <c r="BA223" s="237" t="s">
        <v>2959</v>
      </c>
      <c r="BB223" s="241" t="s">
        <v>161</v>
      </c>
      <c r="BC223" s="241" t="s">
        <v>349</v>
      </c>
      <c r="BD223" s="241" t="s">
        <v>4502</v>
      </c>
      <c r="BE223" s="241" t="s">
        <v>2960</v>
      </c>
      <c r="BF223" s="241">
        <v>2017</v>
      </c>
      <c r="BG223" s="241" t="s">
        <v>349</v>
      </c>
      <c r="BH223" s="241" t="s">
        <v>4502</v>
      </c>
      <c r="BI223" s="241" t="s">
        <v>2960</v>
      </c>
      <c r="BJ223" s="241">
        <v>2017</v>
      </c>
      <c r="BK223" s="247"/>
      <c r="BL223" s="247"/>
      <c r="BM223" s="241"/>
      <c r="BN223" s="241"/>
      <c r="BO223" s="241">
        <v>42</v>
      </c>
      <c r="BP223" s="244"/>
      <c r="BQ223" s="244"/>
      <c r="BR223" s="244">
        <v>44781</v>
      </c>
      <c r="BS223" s="244"/>
      <c r="BT223" s="241"/>
      <c r="BU223" s="241"/>
      <c r="BV223" s="241"/>
      <c r="BW223" s="241" t="s">
        <v>2961</v>
      </c>
      <c r="BX223" s="241"/>
      <c r="BY223" s="241"/>
      <c r="BZ223" s="241"/>
      <c r="CA223" s="241"/>
      <c r="CB223" s="241"/>
      <c r="CC223" s="241"/>
      <c r="CD223" s="241"/>
      <c r="CE223" s="241" t="e">
        <f>VLOOKUP(D223,[1]Sertifikasi!$B$4:$I$19,8,0)</f>
        <v>#N/A</v>
      </c>
      <c r="CF223" s="13"/>
      <c r="CG223" s="13"/>
      <c r="CH223" s="13"/>
    </row>
    <row r="224" spans="1:86" ht="11.25" customHeight="1" x14ac:dyDescent="0.2">
      <c r="A224" s="13"/>
      <c r="B224" s="238">
        <v>220</v>
      </c>
      <c r="C224" s="241" t="e">
        <f t="shared" ca="1" si="30"/>
        <v>#NUM!</v>
      </c>
      <c r="D224" s="237" t="s">
        <v>2962</v>
      </c>
      <c r="E224" s="239">
        <v>642109115</v>
      </c>
      <c r="F224" s="237">
        <v>1380019792501</v>
      </c>
      <c r="G224" s="240"/>
      <c r="H224" s="241" t="s">
        <v>23</v>
      </c>
      <c r="I224" s="241" t="s">
        <v>23</v>
      </c>
      <c r="J224" s="242">
        <v>44487</v>
      </c>
      <c r="K224" s="241"/>
      <c r="L224" s="241"/>
      <c r="M224" s="241" t="str">
        <f t="shared" si="31"/>
        <v>PKWT</v>
      </c>
      <c r="N224" s="241" t="s">
        <v>187</v>
      </c>
      <c r="O224" s="241"/>
      <c r="P224" s="243">
        <v>45582</v>
      </c>
      <c r="Q224" s="241"/>
      <c r="R224" s="241" t="s">
        <v>206</v>
      </c>
      <c r="S224" s="241" t="s">
        <v>6863</v>
      </c>
      <c r="T224" s="241" t="s">
        <v>312</v>
      </c>
      <c r="U224" s="241" t="s">
        <v>23</v>
      </c>
      <c r="V224" s="241" t="s">
        <v>443</v>
      </c>
      <c r="W224" s="241" t="s">
        <v>51</v>
      </c>
      <c r="X224" s="241" t="s">
        <v>121</v>
      </c>
      <c r="Y224" s="241" t="s">
        <v>313</v>
      </c>
      <c r="Z224" s="241"/>
      <c r="AA224" s="241"/>
      <c r="AB224" s="241" t="s">
        <v>314</v>
      </c>
      <c r="AC224" s="241" t="s">
        <v>23</v>
      </c>
      <c r="AD224" s="245">
        <v>35594</v>
      </c>
      <c r="AE224" s="241">
        <f t="shared" ca="1" si="27"/>
        <v>28</v>
      </c>
      <c r="AF224" s="246" t="s">
        <v>2963</v>
      </c>
      <c r="AG224" s="241" t="s">
        <v>2964</v>
      </c>
      <c r="AH224" s="240" t="s">
        <v>2965</v>
      </c>
      <c r="AI224" s="240"/>
      <c r="AJ224" s="240"/>
      <c r="AK224" s="241" t="s">
        <v>2966</v>
      </c>
      <c r="AL224" s="246" t="s">
        <v>2967</v>
      </c>
      <c r="AM224" s="246">
        <v>21076296124</v>
      </c>
      <c r="AN224" s="241" t="s">
        <v>4733</v>
      </c>
      <c r="AO224" s="241" t="s">
        <v>2968</v>
      </c>
      <c r="AP224" s="241" t="s">
        <v>2969</v>
      </c>
      <c r="AQ224" s="241"/>
      <c r="AR224" s="241"/>
      <c r="AS224" s="241"/>
      <c r="AT224" s="241" t="s">
        <v>2970</v>
      </c>
      <c r="AU224" s="241" t="s">
        <v>2971</v>
      </c>
      <c r="AV224" s="241" t="s">
        <v>2972</v>
      </c>
      <c r="AW224" s="241" t="s">
        <v>2973</v>
      </c>
      <c r="AX224" s="241">
        <f t="shared" si="28"/>
        <v>1</v>
      </c>
      <c r="AY224" s="241" t="str">
        <f t="shared" si="29"/>
        <v>K/1</v>
      </c>
      <c r="AZ224" s="241" t="s">
        <v>2974</v>
      </c>
      <c r="BA224" s="237" t="s">
        <v>2974</v>
      </c>
      <c r="BB224" s="241" t="s">
        <v>161</v>
      </c>
      <c r="BC224" s="241" t="s">
        <v>349</v>
      </c>
      <c r="BD224" s="241" t="s">
        <v>515</v>
      </c>
      <c r="BE224" s="241" t="s">
        <v>2975</v>
      </c>
      <c r="BF224" s="241">
        <v>2015</v>
      </c>
      <c r="BG224" s="241" t="s">
        <v>349</v>
      </c>
      <c r="BH224" s="241" t="s">
        <v>515</v>
      </c>
      <c r="BI224" s="241" t="s">
        <v>2975</v>
      </c>
      <c r="BJ224" s="241">
        <v>2015</v>
      </c>
      <c r="BK224" s="247"/>
      <c r="BL224" s="247"/>
      <c r="BM224" s="241"/>
      <c r="BN224" s="241"/>
      <c r="BO224" s="241">
        <v>42</v>
      </c>
      <c r="BP224" s="244"/>
      <c r="BQ224" s="244"/>
      <c r="BR224" s="244"/>
      <c r="BS224" s="244"/>
      <c r="BT224" s="241"/>
      <c r="BU224" s="241"/>
      <c r="BV224" s="241"/>
      <c r="BW224" s="241" t="s">
        <v>2976</v>
      </c>
      <c r="BX224" s="241"/>
      <c r="BY224" s="241"/>
      <c r="BZ224" s="241"/>
      <c r="CA224" s="241"/>
      <c r="CB224" s="241"/>
      <c r="CC224" s="241"/>
      <c r="CD224" s="241"/>
      <c r="CE224" s="241" t="e">
        <f>VLOOKUP(D224,[1]Sertifikasi!$B$4:$I$19,8,0)</f>
        <v>#N/A</v>
      </c>
      <c r="CF224" s="13"/>
      <c r="CG224" s="13"/>
      <c r="CH224" s="13"/>
    </row>
    <row r="225" spans="1:86" ht="11.25" customHeight="1" x14ac:dyDescent="0.2">
      <c r="A225" s="13"/>
      <c r="B225" s="238">
        <v>221</v>
      </c>
      <c r="C225" s="241" t="e">
        <f t="shared" ca="1" si="30"/>
        <v>#NUM!</v>
      </c>
      <c r="D225" s="237" t="s">
        <v>2977</v>
      </c>
      <c r="E225" s="239">
        <v>642109118</v>
      </c>
      <c r="F225" s="237">
        <v>1130012336792</v>
      </c>
      <c r="G225" s="240"/>
      <c r="H225" s="241" t="s">
        <v>25</v>
      </c>
      <c r="I225" s="241" t="s">
        <v>25</v>
      </c>
      <c r="J225" s="242">
        <v>44490</v>
      </c>
      <c r="K225" s="241"/>
      <c r="L225" s="241"/>
      <c r="M225" s="241" t="str">
        <f t="shared" si="31"/>
        <v>PKWT</v>
      </c>
      <c r="N225" s="241" t="s">
        <v>187</v>
      </c>
      <c r="O225" s="241"/>
      <c r="P225" s="243">
        <v>45585</v>
      </c>
      <c r="Q225" s="241"/>
      <c r="R225" s="241" t="s">
        <v>206</v>
      </c>
      <c r="S225" s="241" t="s">
        <v>6863</v>
      </c>
      <c r="T225" s="241" t="s">
        <v>312</v>
      </c>
      <c r="U225" s="241" t="s">
        <v>25</v>
      </c>
      <c r="V225" s="241" t="s">
        <v>443</v>
      </c>
      <c r="W225" s="241" t="s">
        <v>748</v>
      </c>
      <c r="X225" s="241" t="s">
        <v>121</v>
      </c>
      <c r="Y225" s="241" t="s">
        <v>313</v>
      </c>
      <c r="Z225" s="241"/>
      <c r="AA225" s="241"/>
      <c r="AB225" s="241" t="s">
        <v>314</v>
      </c>
      <c r="AC225" s="241" t="s">
        <v>25</v>
      </c>
      <c r="AD225" s="245">
        <v>36562</v>
      </c>
      <c r="AE225" s="241">
        <f t="shared" ca="1" si="27"/>
        <v>25</v>
      </c>
      <c r="AF225" s="246" t="s">
        <v>2978</v>
      </c>
      <c r="AG225" s="241" t="s">
        <v>2979</v>
      </c>
      <c r="AH225" s="240" t="s">
        <v>2980</v>
      </c>
      <c r="AI225" s="240"/>
      <c r="AJ225" s="240"/>
      <c r="AK225" s="241" t="s">
        <v>2981</v>
      </c>
      <c r="AL225" s="246" t="s">
        <v>2982</v>
      </c>
      <c r="AM225" s="246">
        <v>21087895757</v>
      </c>
      <c r="AN225" s="241" t="s">
        <v>4716</v>
      </c>
      <c r="AO225" s="241"/>
      <c r="AP225" s="241"/>
      <c r="AQ225" s="241"/>
      <c r="AR225" s="241"/>
      <c r="AS225" s="241"/>
      <c r="AT225" s="241" t="s">
        <v>306</v>
      </c>
      <c r="AU225" s="241" t="s">
        <v>306</v>
      </c>
      <c r="AV225" s="241" t="s">
        <v>306</v>
      </c>
      <c r="AW225" s="241" t="s">
        <v>306</v>
      </c>
      <c r="AX225" s="241">
        <f t="shared" si="28"/>
        <v>0</v>
      </c>
      <c r="AY225" s="241" t="str">
        <f t="shared" si="29"/>
        <v>TK/0</v>
      </c>
      <c r="AZ225" s="241"/>
      <c r="BA225" s="237"/>
      <c r="BB225" s="241" t="s">
        <v>161</v>
      </c>
      <c r="BC225" s="241" t="s">
        <v>349</v>
      </c>
      <c r="BD225" s="241" t="s">
        <v>4502</v>
      </c>
      <c r="BE225" s="241" t="s">
        <v>1862</v>
      </c>
      <c r="BF225" s="241">
        <v>2017</v>
      </c>
      <c r="BG225" s="241" t="s">
        <v>349</v>
      </c>
      <c r="BH225" s="241" t="s">
        <v>4502</v>
      </c>
      <c r="BI225" s="241" t="s">
        <v>1862</v>
      </c>
      <c r="BJ225" s="241">
        <v>2017</v>
      </c>
      <c r="BK225" s="247"/>
      <c r="BL225" s="247"/>
      <c r="BM225" s="241"/>
      <c r="BN225" s="241"/>
      <c r="BO225" s="241">
        <v>42</v>
      </c>
      <c r="BP225" s="244"/>
      <c r="BQ225" s="244"/>
      <c r="BR225" s="244"/>
      <c r="BS225" s="244"/>
      <c r="BT225" s="241"/>
      <c r="BU225" s="241"/>
      <c r="BV225" s="241"/>
      <c r="BW225" s="241" t="s">
        <v>2983</v>
      </c>
      <c r="BX225" s="241"/>
      <c r="BY225" s="241"/>
      <c r="BZ225" s="241"/>
      <c r="CA225" s="241"/>
      <c r="CB225" s="241"/>
      <c r="CC225" s="241"/>
      <c r="CD225" s="241"/>
      <c r="CE225" s="241" t="e">
        <f>VLOOKUP(D225,[1]Sertifikasi!$B$4:$I$19,8,0)</f>
        <v>#N/A</v>
      </c>
      <c r="CF225" s="13"/>
      <c r="CG225" s="13"/>
      <c r="CH225" s="13"/>
    </row>
    <row r="226" spans="1:86" ht="11.25" customHeight="1" x14ac:dyDescent="0.2">
      <c r="A226" s="13"/>
      <c r="B226" s="238">
        <v>222</v>
      </c>
      <c r="C226" s="241" t="e">
        <f t="shared" ca="1" si="30"/>
        <v>#NUM!</v>
      </c>
      <c r="D226" s="237" t="s">
        <v>2984</v>
      </c>
      <c r="E226" s="239">
        <v>642111121</v>
      </c>
      <c r="F226" s="237"/>
      <c r="G226" s="240">
        <v>7182599365</v>
      </c>
      <c r="H226" s="241" t="s">
        <v>24</v>
      </c>
      <c r="I226" s="241" t="s">
        <v>24</v>
      </c>
      <c r="J226" s="242">
        <v>44517</v>
      </c>
      <c r="K226" s="241"/>
      <c r="L226" s="241"/>
      <c r="M226" s="241" t="str">
        <f t="shared" si="31"/>
        <v>PKWT</v>
      </c>
      <c r="N226" s="241" t="s">
        <v>187</v>
      </c>
      <c r="O226" s="241"/>
      <c r="P226" s="243">
        <v>45535</v>
      </c>
      <c r="Q226" s="241"/>
      <c r="R226" s="241" t="s">
        <v>206</v>
      </c>
      <c r="S226" s="241" t="s">
        <v>6863</v>
      </c>
      <c r="T226" s="241" t="s">
        <v>312</v>
      </c>
      <c r="U226" s="241" t="s">
        <v>24</v>
      </c>
      <c r="V226" s="241" t="s">
        <v>204</v>
      </c>
      <c r="W226" s="241" t="s">
        <v>629</v>
      </c>
      <c r="X226" s="241" t="s">
        <v>121</v>
      </c>
      <c r="Y226" s="241" t="s">
        <v>313</v>
      </c>
      <c r="Z226" s="241" t="s">
        <v>1218</v>
      </c>
      <c r="AA226" s="241"/>
      <c r="AB226" s="241" t="s">
        <v>314</v>
      </c>
      <c r="AC226" s="241" t="s">
        <v>2492</v>
      </c>
      <c r="AD226" s="245">
        <v>33673</v>
      </c>
      <c r="AE226" s="241">
        <f t="shared" ca="1" si="27"/>
        <v>33</v>
      </c>
      <c r="AF226" s="246" t="s">
        <v>2985</v>
      </c>
      <c r="AG226" s="241" t="s">
        <v>2986</v>
      </c>
      <c r="AH226" s="240" t="s">
        <v>2987</v>
      </c>
      <c r="AI226" s="240"/>
      <c r="AJ226" s="240"/>
      <c r="AK226" s="241" t="s">
        <v>2988</v>
      </c>
      <c r="AL226" s="246" t="s">
        <v>2989</v>
      </c>
      <c r="AM226" s="246">
        <v>18000340887</v>
      </c>
      <c r="AN226" s="241" t="s">
        <v>4716</v>
      </c>
      <c r="AO226" s="241"/>
      <c r="AP226" s="241"/>
      <c r="AQ226" s="241"/>
      <c r="AR226" s="241"/>
      <c r="AS226" s="241"/>
      <c r="AT226" s="241" t="s">
        <v>2990</v>
      </c>
      <c r="AU226" s="241" t="s">
        <v>2991</v>
      </c>
      <c r="AV226" s="241" t="s">
        <v>306</v>
      </c>
      <c r="AW226" s="241" t="s">
        <v>306</v>
      </c>
      <c r="AX226" s="241">
        <f t="shared" si="28"/>
        <v>0</v>
      </c>
      <c r="AY226" s="241" t="str">
        <f t="shared" si="29"/>
        <v>TK/0</v>
      </c>
      <c r="AZ226" s="241" t="s">
        <v>2992</v>
      </c>
      <c r="BA226" s="237" t="s">
        <v>2993</v>
      </c>
      <c r="BB226" s="241" t="s">
        <v>161</v>
      </c>
      <c r="BC226" s="241" t="s">
        <v>349</v>
      </c>
      <c r="BD226" s="241" t="s">
        <v>87</v>
      </c>
      <c r="BE226" s="241" t="s">
        <v>2994</v>
      </c>
      <c r="BF226" s="241">
        <v>2009</v>
      </c>
      <c r="BG226" s="241" t="s">
        <v>2995</v>
      </c>
      <c r="BH226" s="241" t="s">
        <v>1925</v>
      </c>
      <c r="BI226" s="241" t="s">
        <v>2996</v>
      </c>
      <c r="BJ226" s="241">
        <v>2009</v>
      </c>
      <c r="BK226" s="247"/>
      <c r="BL226" s="247"/>
      <c r="BM226" s="241"/>
      <c r="BN226" s="241"/>
      <c r="BO226" s="241">
        <v>41</v>
      </c>
      <c r="BP226" s="244"/>
      <c r="BQ226" s="244"/>
      <c r="BR226" s="244">
        <v>44667</v>
      </c>
      <c r="BS226" s="244"/>
      <c r="BT226" s="241"/>
      <c r="BU226" s="241"/>
      <c r="BV226" s="241"/>
      <c r="BW226" s="241" t="s">
        <v>2997</v>
      </c>
      <c r="BX226" s="241"/>
      <c r="BY226" s="241"/>
      <c r="BZ226" s="241"/>
      <c r="CA226" s="241"/>
      <c r="CB226" s="241"/>
      <c r="CC226" s="241"/>
      <c r="CD226" s="241"/>
      <c r="CE226" s="241" t="e">
        <f>VLOOKUP(D226,[1]Sertifikasi!$B$4:$I$19,8,0)</f>
        <v>#N/A</v>
      </c>
      <c r="CF226" s="13"/>
      <c r="CG226" s="13"/>
      <c r="CH226" s="13"/>
    </row>
    <row r="227" spans="1:86" ht="11.25" customHeight="1" x14ac:dyDescent="0.2">
      <c r="A227" s="13"/>
      <c r="B227" s="238">
        <v>223</v>
      </c>
      <c r="C227" s="241" t="e">
        <f t="shared" ca="1" si="30"/>
        <v>#NUM!</v>
      </c>
      <c r="D227" s="237" t="s">
        <v>95</v>
      </c>
      <c r="E227" s="239">
        <v>642201127</v>
      </c>
      <c r="F227" s="237">
        <v>1710007727160</v>
      </c>
      <c r="G227" s="240"/>
      <c r="H227" s="249" t="s">
        <v>217</v>
      </c>
      <c r="I227" s="241" t="s">
        <v>217</v>
      </c>
      <c r="J227" s="242">
        <v>44565</v>
      </c>
      <c r="K227" s="241"/>
      <c r="L227" s="241"/>
      <c r="M227" s="241" t="str">
        <f t="shared" si="31"/>
        <v>PKWT</v>
      </c>
      <c r="N227" s="241" t="s">
        <v>187</v>
      </c>
      <c r="O227" s="241"/>
      <c r="P227" s="243">
        <v>45657</v>
      </c>
      <c r="Q227" s="241"/>
      <c r="R227" s="241" t="s">
        <v>139</v>
      </c>
      <c r="S227" s="241" t="s">
        <v>6863</v>
      </c>
      <c r="T227" s="241" t="s">
        <v>296</v>
      </c>
      <c r="U227" s="241" t="s">
        <v>187</v>
      </c>
      <c r="V227" s="241" t="s">
        <v>6996</v>
      </c>
      <c r="W227" s="241" t="s">
        <v>6996</v>
      </c>
      <c r="X227" s="241" t="s">
        <v>59</v>
      </c>
      <c r="Y227" s="241" t="s">
        <v>298</v>
      </c>
      <c r="Z227" s="241"/>
      <c r="AA227" s="241"/>
      <c r="AB227" s="241" t="s">
        <v>133</v>
      </c>
      <c r="AC227" s="241" t="s">
        <v>217</v>
      </c>
      <c r="AD227" s="245">
        <v>36447</v>
      </c>
      <c r="AE227" s="241">
        <f t="shared" ca="1" si="27"/>
        <v>25</v>
      </c>
      <c r="AF227" s="246" t="s">
        <v>2998</v>
      </c>
      <c r="AG227" s="241" t="s">
        <v>2999</v>
      </c>
      <c r="AH227" s="240" t="s">
        <v>3000</v>
      </c>
      <c r="AI227" s="240"/>
      <c r="AJ227" s="240"/>
      <c r="AK227" s="241" t="s">
        <v>3001</v>
      </c>
      <c r="AL227" s="246" t="s">
        <v>3002</v>
      </c>
      <c r="AM227" s="246">
        <v>22017333539</v>
      </c>
      <c r="AN227" s="241" t="s">
        <v>4716</v>
      </c>
      <c r="AO227" s="241"/>
      <c r="AP227" s="241"/>
      <c r="AQ227" s="241"/>
      <c r="AR227" s="241"/>
      <c r="AS227" s="241"/>
      <c r="AT227" s="241" t="s">
        <v>3003</v>
      </c>
      <c r="AU227" s="241" t="s">
        <v>3004</v>
      </c>
      <c r="AV227" s="241" t="s">
        <v>306</v>
      </c>
      <c r="AW227" s="241" t="s">
        <v>306</v>
      </c>
      <c r="AX227" s="241">
        <f t="shared" si="28"/>
        <v>0</v>
      </c>
      <c r="AY227" s="241" t="str">
        <f t="shared" si="29"/>
        <v>TK/0</v>
      </c>
      <c r="AZ227" s="241" t="s">
        <v>3005</v>
      </c>
      <c r="BA227" s="237" t="s">
        <v>3006</v>
      </c>
      <c r="BB227" s="249" t="s">
        <v>161</v>
      </c>
      <c r="BC227" s="241" t="s">
        <v>70</v>
      </c>
      <c r="BD227" s="241" t="s">
        <v>96</v>
      </c>
      <c r="BE227" s="241" t="s">
        <v>72</v>
      </c>
      <c r="BF227" s="241">
        <v>2021</v>
      </c>
      <c r="BG227" s="241" t="s">
        <v>70</v>
      </c>
      <c r="BH227" s="241" t="s">
        <v>96</v>
      </c>
      <c r="BI227" s="241" t="s">
        <v>72</v>
      </c>
      <c r="BJ227" s="241">
        <v>2021</v>
      </c>
      <c r="BK227" s="247"/>
      <c r="BL227" s="247"/>
      <c r="BM227" s="241"/>
      <c r="BN227" s="241"/>
      <c r="BO227" s="241"/>
      <c r="BP227" s="244"/>
      <c r="BQ227" s="244"/>
      <c r="BR227" s="244">
        <v>44611</v>
      </c>
      <c r="BS227" s="244"/>
      <c r="BT227" s="241"/>
      <c r="BU227" s="241"/>
      <c r="BV227" s="241"/>
      <c r="BW227" s="241"/>
      <c r="BX227" s="241"/>
      <c r="BY227" s="241"/>
      <c r="BZ227" s="241"/>
      <c r="CA227" s="241"/>
      <c r="CB227" s="241"/>
      <c r="CC227" s="241"/>
      <c r="CD227" s="241"/>
      <c r="CE227" s="241" t="e">
        <f>VLOOKUP(D227,[1]Sertifikasi!$B$4:$I$19,8,0)</f>
        <v>#N/A</v>
      </c>
      <c r="CF227" s="13"/>
      <c r="CG227" s="13"/>
      <c r="CH227" s="13"/>
    </row>
    <row r="228" spans="1:86" ht="11.25" customHeight="1" x14ac:dyDescent="0.2">
      <c r="A228" s="13"/>
      <c r="B228" s="238">
        <v>224</v>
      </c>
      <c r="C228" s="241" t="e">
        <f t="shared" ca="1" si="30"/>
        <v>#NUM!</v>
      </c>
      <c r="D228" s="237" t="s">
        <v>3007</v>
      </c>
      <c r="E228" s="239">
        <v>642201129</v>
      </c>
      <c r="F228" s="237">
        <v>1710007726907</v>
      </c>
      <c r="G228" s="240"/>
      <c r="H228" s="249" t="s">
        <v>217</v>
      </c>
      <c r="I228" s="241" t="s">
        <v>217</v>
      </c>
      <c r="J228" s="242">
        <v>44565</v>
      </c>
      <c r="K228" s="241"/>
      <c r="L228" s="241"/>
      <c r="M228" s="241" t="str">
        <f t="shared" si="31"/>
        <v>PKWT</v>
      </c>
      <c r="N228" s="241" t="s">
        <v>187</v>
      </c>
      <c r="O228" s="241"/>
      <c r="P228" s="243">
        <v>45657</v>
      </c>
      <c r="Q228" s="241"/>
      <c r="R228" s="241" t="s">
        <v>139</v>
      </c>
      <c r="S228" s="241" t="s">
        <v>6863</v>
      </c>
      <c r="T228" s="241" t="s">
        <v>296</v>
      </c>
      <c r="U228" s="241" t="s">
        <v>187</v>
      </c>
      <c r="V228" s="241" t="s">
        <v>5933</v>
      </c>
      <c r="W228" s="241" t="s">
        <v>50</v>
      </c>
      <c r="X228" s="241" t="s">
        <v>6116</v>
      </c>
      <c r="Y228" s="241" t="s">
        <v>1064</v>
      </c>
      <c r="Z228" s="241"/>
      <c r="AA228" s="241"/>
      <c r="AB228" s="241" t="s">
        <v>133</v>
      </c>
      <c r="AC228" s="241" t="s">
        <v>217</v>
      </c>
      <c r="AD228" s="245">
        <v>36567</v>
      </c>
      <c r="AE228" s="241">
        <f t="shared" ca="1" si="27"/>
        <v>25</v>
      </c>
      <c r="AF228" s="246" t="s">
        <v>3009</v>
      </c>
      <c r="AG228" s="241" t="s">
        <v>3010</v>
      </c>
      <c r="AH228" s="240" t="s">
        <v>3011</v>
      </c>
      <c r="AI228" s="240"/>
      <c r="AJ228" s="240"/>
      <c r="AK228" s="241" t="s">
        <v>3012</v>
      </c>
      <c r="AL228" s="246" t="s">
        <v>3013</v>
      </c>
      <c r="AM228" s="246">
        <v>22017333588</v>
      </c>
      <c r="AN228" s="241" t="s">
        <v>4716</v>
      </c>
      <c r="AO228" s="241"/>
      <c r="AP228" s="241"/>
      <c r="AQ228" s="241"/>
      <c r="AR228" s="241"/>
      <c r="AS228" s="241"/>
      <c r="AT228" s="241" t="s">
        <v>306</v>
      </c>
      <c r="AU228" s="241" t="s">
        <v>306</v>
      </c>
      <c r="AV228" s="241" t="s">
        <v>306</v>
      </c>
      <c r="AW228" s="241" t="s">
        <v>306</v>
      </c>
      <c r="AX228" s="241">
        <f t="shared" si="28"/>
        <v>0</v>
      </c>
      <c r="AY228" s="241" t="str">
        <f t="shared" si="29"/>
        <v>TK/0</v>
      </c>
      <c r="AZ228" s="241"/>
      <c r="BA228" s="237"/>
      <c r="BB228" s="249" t="s">
        <v>161</v>
      </c>
      <c r="BC228" s="241" t="s">
        <v>70</v>
      </c>
      <c r="BD228" s="241" t="s">
        <v>3014</v>
      </c>
      <c r="BE228" s="241" t="s">
        <v>72</v>
      </c>
      <c r="BF228" s="241">
        <v>2021</v>
      </c>
      <c r="BG228" s="241" t="s">
        <v>70</v>
      </c>
      <c r="BH228" s="241" t="s">
        <v>3014</v>
      </c>
      <c r="BI228" s="241" t="s">
        <v>72</v>
      </c>
      <c r="BJ228" s="241">
        <v>2021</v>
      </c>
      <c r="BK228" s="247"/>
      <c r="BL228" s="247"/>
      <c r="BM228" s="241"/>
      <c r="BN228" s="241"/>
      <c r="BO228" s="241"/>
      <c r="BP228" s="244"/>
      <c r="BQ228" s="244"/>
      <c r="BR228" s="244">
        <v>44950</v>
      </c>
      <c r="BS228" s="244"/>
      <c r="BT228" s="241"/>
      <c r="BU228" s="241"/>
      <c r="BV228" s="241"/>
      <c r="BW228" s="241"/>
      <c r="BX228" s="241"/>
      <c r="BY228" s="241"/>
      <c r="BZ228" s="241"/>
      <c r="CA228" s="241"/>
      <c r="CB228" s="241"/>
      <c r="CC228" s="241"/>
      <c r="CD228" s="241"/>
      <c r="CE228" s="241" t="e">
        <f>VLOOKUP(D228,[1]Sertifikasi!$B$4:$I$19,8,0)</f>
        <v>#N/A</v>
      </c>
      <c r="CF228" s="13"/>
      <c r="CG228" s="13"/>
      <c r="CH228" s="13"/>
    </row>
    <row r="229" spans="1:86" ht="11.25" customHeight="1" x14ac:dyDescent="0.2">
      <c r="A229" s="13"/>
      <c r="B229" s="238">
        <v>225</v>
      </c>
      <c r="C229" s="241" t="e">
        <f t="shared" ca="1" si="30"/>
        <v>#NUM!</v>
      </c>
      <c r="D229" s="237" t="s">
        <v>3015</v>
      </c>
      <c r="E229" s="239">
        <v>642201128</v>
      </c>
      <c r="F229" s="237">
        <v>1710007727012</v>
      </c>
      <c r="G229" s="240"/>
      <c r="H229" s="249" t="s">
        <v>217</v>
      </c>
      <c r="I229" s="241" t="s">
        <v>217</v>
      </c>
      <c r="J229" s="242">
        <v>44565</v>
      </c>
      <c r="K229" s="241"/>
      <c r="L229" s="241"/>
      <c r="M229" s="241" t="str">
        <f t="shared" si="31"/>
        <v>PKWT</v>
      </c>
      <c r="N229" s="241" t="s">
        <v>187</v>
      </c>
      <c r="O229" s="241"/>
      <c r="P229" s="243">
        <v>45657</v>
      </c>
      <c r="Q229" s="241"/>
      <c r="R229" s="241" t="s">
        <v>139</v>
      </c>
      <c r="S229" s="241" t="s">
        <v>6863</v>
      </c>
      <c r="T229" s="241" t="s">
        <v>296</v>
      </c>
      <c r="U229" s="241" t="s">
        <v>187</v>
      </c>
      <c r="V229" s="241" t="s">
        <v>1074</v>
      </c>
      <c r="W229" s="241" t="s">
        <v>1074</v>
      </c>
      <c r="X229" s="241" t="s">
        <v>6903</v>
      </c>
      <c r="Y229" s="241" t="s">
        <v>1064</v>
      </c>
      <c r="Z229" s="241"/>
      <c r="AA229" s="241"/>
      <c r="AB229" s="241" t="s">
        <v>133</v>
      </c>
      <c r="AC229" s="241" t="s">
        <v>217</v>
      </c>
      <c r="AD229" s="245">
        <v>36297</v>
      </c>
      <c r="AE229" s="241">
        <f t="shared" ca="1" si="27"/>
        <v>26</v>
      </c>
      <c r="AF229" s="246" t="s">
        <v>3016</v>
      </c>
      <c r="AG229" s="241" t="s">
        <v>3017</v>
      </c>
      <c r="AH229" s="240" t="s">
        <v>3018</v>
      </c>
      <c r="AI229" s="240"/>
      <c r="AJ229" s="240"/>
      <c r="AK229" s="241" t="s">
        <v>3019</v>
      </c>
      <c r="AL229" s="246" t="s">
        <v>3020</v>
      </c>
      <c r="AM229" s="246">
        <v>22017333554</v>
      </c>
      <c r="AN229" s="241" t="s">
        <v>4716</v>
      </c>
      <c r="AO229" s="241"/>
      <c r="AP229" s="241"/>
      <c r="AQ229" s="241"/>
      <c r="AR229" s="241"/>
      <c r="AS229" s="241"/>
      <c r="AT229" s="241" t="s">
        <v>306</v>
      </c>
      <c r="AU229" s="241" t="s">
        <v>306</v>
      </c>
      <c r="AV229" s="241" t="s">
        <v>306</v>
      </c>
      <c r="AW229" s="241" t="s">
        <v>306</v>
      </c>
      <c r="AX229" s="241">
        <f t="shared" si="28"/>
        <v>0</v>
      </c>
      <c r="AY229" s="241" t="str">
        <f t="shared" si="29"/>
        <v>TK/0</v>
      </c>
      <c r="AZ229" s="241"/>
      <c r="BA229" s="237"/>
      <c r="BB229" s="249" t="s">
        <v>161</v>
      </c>
      <c r="BC229" s="241" t="s">
        <v>70</v>
      </c>
      <c r="BD229" s="241" t="s">
        <v>3014</v>
      </c>
      <c r="BE229" s="241" t="s">
        <v>72</v>
      </c>
      <c r="BF229" s="241">
        <v>2021</v>
      </c>
      <c r="BG229" s="241" t="s">
        <v>70</v>
      </c>
      <c r="BH229" s="241" t="s">
        <v>3014</v>
      </c>
      <c r="BI229" s="241" t="s">
        <v>72</v>
      </c>
      <c r="BJ229" s="241">
        <v>2021</v>
      </c>
      <c r="BK229" s="247"/>
      <c r="BL229" s="247"/>
      <c r="BM229" s="241"/>
      <c r="BN229" s="241"/>
      <c r="BO229" s="241"/>
      <c r="BP229" s="244"/>
      <c r="BQ229" s="244"/>
      <c r="BR229" s="244">
        <v>44601</v>
      </c>
      <c r="BS229" s="244"/>
      <c r="BT229" s="241"/>
      <c r="BU229" s="241"/>
      <c r="BV229" s="241"/>
      <c r="BW229" s="241"/>
      <c r="BX229" s="241"/>
      <c r="BY229" s="241"/>
      <c r="BZ229" s="241"/>
      <c r="CA229" s="241"/>
      <c r="CB229" s="241"/>
      <c r="CC229" s="241"/>
      <c r="CD229" s="241"/>
      <c r="CE229" s="241" t="e">
        <f>VLOOKUP(D229,[1]Sertifikasi!$B$4:$I$19,8,0)</f>
        <v>#N/A</v>
      </c>
      <c r="CF229" s="13"/>
      <c r="CG229" s="13"/>
      <c r="CH229" s="13"/>
    </row>
    <row r="230" spans="1:86" ht="11.25" customHeight="1" x14ac:dyDescent="0.2">
      <c r="A230" s="13"/>
      <c r="B230" s="238">
        <v>226</v>
      </c>
      <c r="C230" s="241" t="e">
        <f t="shared" ca="1" si="30"/>
        <v>#NUM!</v>
      </c>
      <c r="D230" s="237" t="s">
        <v>3021</v>
      </c>
      <c r="E230" s="239">
        <v>642201126</v>
      </c>
      <c r="F230" s="237">
        <v>1710007727087</v>
      </c>
      <c r="G230" s="240"/>
      <c r="H230" s="249" t="s">
        <v>217</v>
      </c>
      <c r="I230" s="241" t="s">
        <v>217</v>
      </c>
      <c r="J230" s="242">
        <v>44565</v>
      </c>
      <c r="K230" s="241"/>
      <c r="L230" s="241"/>
      <c r="M230" s="241" t="str">
        <f t="shared" si="31"/>
        <v>PKWT</v>
      </c>
      <c r="N230" s="241" t="s">
        <v>187</v>
      </c>
      <c r="O230" s="241"/>
      <c r="P230" s="243">
        <v>45657</v>
      </c>
      <c r="Q230" s="241"/>
      <c r="R230" s="241" t="s">
        <v>139</v>
      </c>
      <c r="S230" s="241" t="s">
        <v>6863</v>
      </c>
      <c r="T230" s="241" t="s">
        <v>296</v>
      </c>
      <c r="U230" s="241" t="s">
        <v>187</v>
      </c>
      <c r="V230" s="241" t="s">
        <v>7149</v>
      </c>
      <c r="W230" s="241" t="s">
        <v>107</v>
      </c>
      <c r="X230" s="241" t="s">
        <v>107</v>
      </c>
      <c r="Y230" s="241" t="s">
        <v>298</v>
      </c>
      <c r="Z230" s="241"/>
      <c r="AA230" s="241"/>
      <c r="AB230" s="241" t="s">
        <v>133</v>
      </c>
      <c r="AC230" s="241" t="s">
        <v>217</v>
      </c>
      <c r="AD230" s="245">
        <v>36188</v>
      </c>
      <c r="AE230" s="241">
        <f t="shared" ca="1" si="27"/>
        <v>26</v>
      </c>
      <c r="AF230" s="246" t="s">
        <v>3022</v>
      </c>
      <c r="AG230" s="241" t="s">
        <v>3023</v>
      </c>
      <c r="AH230" s="240" t="s">
        <v>3024</v>
      </c>
      <c r="AI230" s="240"/>
      <c r="AJ230" s="240"/>
      <c r="AK230" s="241" t="s">
        <v>3025</v>
      </c>
      <c r="AL230" s="246" t="s">
        <v>3026</v>
      </c>
      <c r="AM230" s="246">
        <v>22017333562</v>
      </c>
      <c r="AN230" s="241" t="s">
        <v>4716</v>
      </c>
      <c r="AO230" s="241"/>
      <c r="AP230" s="241"/>
      <c r="AQ230" s="241"/>
      <c r="AR230" s="241"/>
      <c r="AS230" s="241"/>
      <c r="AT230" s="241" t="s">
        <v>306</v>
      </c>
      <c r="AU230" s="241" t="s">
        <v>306</v>
      </c>
      <c r="AV230" s="241" t="s">
        <v>306</v>
      </c>
      <c r="AW230" s="241" t="s">
        <v>306</v>
      </c>
      <c r="AX230" s="241">
        <f t="shared" si="28"/>
        <v>0</v>
      </c>
      <c r="AY230" s="241" t="str">
        <f t="shared" si="29"/>
        <v>TK/0</v>
      </c>
      <c r="AZ230" s="241"/>
      <c r="BA230" s="237"/>
      <c r="BB230" s="249" t="s">
        <v>161</v>
      </c>
      <c r="BC230" s="241" t="s">
        <v>70</v>
      </c>
      <c r="BD230" s="241" t="s">
        <v>3475</v>
      </c>
      <c r="BE230" s="241" t="s">
        <v>100</v>
      </c>
      <c r="BF230" s="241">
        <v>2020</v>
      </c>
      <c r="BG230" s="241" t="s">
        <v>70</v>
      </c>
      <c r="BH230" s="241" t="s">
        <v>3475</v>
      </c>
      <c r="BI230" s="241" t="s">
        <v>3027</v>
      </c>
      <c r="BJ230" s="241">
        <v>2020</v>
      </c>
      <c r="BK230" s="247"/>
      <c r="BL230" s="247"/>
      <c r="BM230" s="241"/>
      <c r="BN230" s="241"/>
      <c r="BO230" s="241"/>
      <c r="BP230" s="244"/>
      <c r="BQ230" s="244"/>
      <c r="BR230" s="244">
        <v>44601</v>
      </c>
      <c r="BS230" s="244"/>
      <c r="BT230" s="241"/>
      <c r="BU230" s="241"/>
      <c r="BV230" s="241"/>
      <c r="BW230" s="241"/>
      <c r="BX230" s="241"/>
      <c r="BY230" s="241"/>
      <c r="BZ230" s="241"/>
      <c r="CA230" s="241"/>
      <c r="CB230" s="241"/>
      <c r="CC230" s="241"/>
      <c r="CD230" s="241"/>
      <c r="CE230" s="241" t="e">
        <f>VLOOKUP(D230,[1]Sertifikasi!$B$4:$I$19,8,0)</f>
        <v>#N/A</v>
      </c>
      <c r="CF230" s="13"/>
      <c r="CG230" s="13"/>
      <c r="CH230" s="13"/>
    </row>
    <row r="231" spans="1:86" ht="11.25" customHeight="1" x14ac:dyDescent="0.2">
      <c r="A231" s="13"/>
      <c r="B231" s="238">
        <v>227</v>
      </c>
      <c r="C231" s="248" t="s">
        <v>292</v>
      </c>
      <c r="D231" s="237" t="s">
        <v>3028</v>
      </c>
      <c r="E231" s="239">
        <v>991000002</v>
      </c>
      <c r="F231" s="237" t="s">
        <v>3029</v>
      </c>
      <c r="G231" s="240"/>
      <c r="H231" s="241" t="s">
        <v>204</v>
      </c>
      <c r="I231" s="241" t="s">
        <v>432</v>
      </c>
      <c r="J231" s="242">
        <v>44575</v>
      </c>
      <c r="K231" s="241"/>
      <c r="L231" s="241"/>
      <c r="M231" s="241" t="str">
        <f t="shared" si="31"/>
        <v>ORGANIK INKA</v>
      </c>
      <c r="N231" s="241" t="s">
        <v>204</v>
      </c>
      <c r="O231" s="241" t="s">
        <v>294</v>
      </c>
      <c r="P231" s="243">
        <v>40210</v>
      </c>
      <c r="Q231" s="241" t="s">
        <v>2686</v>
      </c>
      <c r="R231" s="241" t="s">
        <v>11</v>
      </c>
      <c r="S231" s="241" t="s">
        <v>6859</v>
      </c>
      <c r="T231" s="241" t="s">
        <v>296</v>
      </c>
      <c r="U231" s="241" t="s">
        <v>187</v>
      </c>
      <c r="V231" s="241" t="s">
        <v>298</v>
      </c>
      <c r="W231" s="241" t="s">
        <v>298</v>
      </c>
      <c r="X231" s="241" t="s">
        <v>11</v>
      </c>
      <c r="Y231" s="241" t="s">
        <v>298</v>
      </c>
      <c r="Z231" s="241"/>
      <c r="AA231" s="241"/>
      <c r="AB231" s="241" t="s">
        <v>132</v>
      </c>
      <c r="AC231" s="241" t="s">
        <v>217</v>
      </c>
      <c r="AD231" s="245">
        <v>30825</v>
      </c>
      <c r="AE231" s="241">
        <f t="shared" ca="1" si="27"/>
        <v>41</v>
      </c>
      <c r="AF231" s="246" t="s">
        <v>3030</v>
      </c>
      <c r="AG231" s="241" t="s">
        <v>3031</v>
      </c>
      <c r="AH231" s="240" t="s">
        <v>3032</v>
      </c>
      <c r="AI231" s="240"/>
      <c r="AJ231" s="240"/>
      <c r="AK231" s="241" t="s">
        <v>3033</v>
      </c>
      <c r="AL231" s="246" t="s">
        <v>6841</v>
      </c>
      <c r="AM231" s="246" t="s">
        <v>3034</v>
      </c>
      <c r="AN231" s="241" t="s">
        <v>4733</v>
      </c>
      <c r="AO231" s="241" t="s">
        <v>3035</v>
      </c>
      <c r="AP231" s="241"/>
      <c r="AQ231" s="241"/>
      <c r="AR231" s="241"/>
      <c r="AS231" s="241"/>
      <c r="AT231" s="241" t="s">
        <v>306</v>
      </c>
      <c r="AU231" s="241" t="s">
        <v>306</v>
      </c>
      <c r="AV231" s="241" t="s">
        <v>306</v>
      </c>
      <c r="AW231" s="241" t="s">
        <v>306</v>
      </c>
      <c r="AX231" s="241">
        <f t="shared" si="28"/>
        <v>0</v>
      </c>
      <c r="AY231" s="241" t="str">
        <f t="shared" si="29"/>
        <v>K/0</v>
      </c>
      <c r="AZ231" s="241"/>
      <c r="BA231" s="237" t="s">
        <v>3036</v>
      </c>
      <c r="BB231" s="241" t="s">
        <v>161</v>
      </c>
      <c r="BC231" s="241" t="s">
        <v>75</v>
      </c>
      <c r="BD231" s="241" t="s">
        <v>87</v>
      </c>
      <c r="BE231" s="241" t="s">
        <v>1902</v>
      </c>
      <c r="BF231" s="241"/>
      <c r="BG231" s="241" t="s">
        <v>75</v>
      </c>
      <c r="BH231" s="241" t="s">
        <v>87</v>
      </c>
      <c r="BI231" s="241" t="s">
        <v>1902</v>
      </c>
      <c r="BJ231" s="241"/>
      <c r="BK231" s="247">
        <v>50922</v>
      </c>
      <c r="BL231" s="247">
        <v>15373</v>
      </c>
      <c r="BM231" s="241"/>
      <c r="BN231" s="241"/>
      <c r="BO231" s="241"/>
      <c r="BP231" s="244"/>
      <c r="BQ231" s="244"/>
      <c r="BR231" s="244"/>
      <c r="BS231" s="244"/>
      <c r="BT231" s="241"/>
      <c r="BU231" s="241"/>
      <c r="BV231" s="241"/>
      <c r="BW231" s="241"/>
      <c r="BX231" s="241"/>
      <c r="BY231" s="241"/>
      <c r="BZ231" s="241"/>
      <c r="CA231" s="241"/>
      <c r="CB231" s="241"/>
      <c r="CC231" s="241"/>
      <c r="CD231" s="241"/>
      <c r="CE231" s="241" t="e">
        <f>VLOOKUP(D231,[1]Sertifikasi!$B$4:$I$19,8,0)</f>
        <v>#N/A</v>
      </c>
      <c r="CF231" s="13"/>
      <c r="CG231" s="13"/>
      <c r="CH231" s="13"/>
    </row>
    <row r="232" spans="1:86" ht="11.25" customHeight="1" x14ac:dyDescent="0.2">
      <c r="A232" s="13"/>
      <c r="B232" s="238">
        <v>228</v>
      </c>
      <c r="C232" s="241" t="e">
        <f ca="1">DATEDIF($E$3,P232,"D")</f>
        <v>#NUM!</v>
      </c>
      <c r="D232" s="237" t="s">
        <v>3038</v>
      </c>
      <c r="E232" s="239">
        <v>642201149</v>
      </c>
      <c r="F232" s="237">
        <v>1710001954604</v>
      </c>
      <c r="G232" s="240"/>
      <c r="H232" s="241" t="s">
        <v>217</v>
      </c>
      <c r="I232" s="241" t="s">
        <v>217</v>
      </c>
      <c r="J232" s="242">
        <v>44575</v>
      </c>
      <c r="K232" s="241"/>
      <c r="L232" s="241"/>
      <c r="M232" s="241" t="str">
        <f t="shared" si="31"/>
        <v>PKWT</v>
      </c>
      <c r="N232" s="241" t="s">
        <v>187</v>
      </c>
      <c r="O232" s="241"/>
      <c r="P232" s="243">
        <v>45657</v>
      </c>
      <c r="Q232" s="241"/>
      <c r="R232" s="241" t="s">
        <v>206</v>
      </c>
      <c r="S232" s="241" t="s">
        <v>6863</v>
      </c>
      <c r="T232" s="241" t="s">
        <v>296</v>
      </c>
      <c r="U232" s="241" t="s">
        <v>187</v>
      </c>
      <c r="V232" s="241" t="s">
        <v>1150</v>
      </c>
      <c r="W232" s="241" t="s">
        <v>1150</v>
      </c>
      <c r="X232" s="241" t="s">
        <v>6903</v>
      </c>
      <c r="Y232" s="241" t="s">
        <v>1064</v>
      </c>
      <c r="Z232" s="241"/>
      <c r="AA232" s="241"/>
      <c r="AB232" s="241" t="s">
        <v>314</v>
      </c>
      <c r="AC232" s="241" t="s">
        <v>217</v>
      </c>
      <c r="AD232" s="245">
        <v>36074</v>
      </c>
      <c r="AE232" s="241">
        <f t="shared" ca="1" si="27"/>
        <v>26</v>
      </c>
      <c r="AF232" s="246" t="s">
        <v>3039</v>
      </c>
      <c r="AG232" s="241" t="s">
        <v>3040</v>
      </c>
      <c r="AH232" s="240" t="s">
        <v>3041</v>
      </c>
      <c r="AI232" s="240"/>
      <c r="AJ232" s="240"/>
      <c r="AK232" s="241" t="s">
        <v>3042</v>
      </c>
      <c r="AL232" s="246" t="s">
        <v>3043</v>
      </c>
      <c r="AM232" s="246">
        <v>22017333810</v>
      </c>
      <c r="AN232" s="241" t="s">
        <v>4716</v>
      </c>
      <c r="AO232" s="241"/>
      <c r="AP232" s="241"/>
      <c r="AQ232" s="241"/>
      <c r="AR232" s="241"/>
      <c r="AS232" s="241"/>
      <c r="AT232" s="241" t="s">
        <v>306</v>
      </c>
      <c r="AU232" s="241" t="s">
        <v>306</v>
      </c>
      <c r="AV232" s="241" t="s">
        <v>306</v>
      </c>
      <c r="AW232" s="241" t="s">
        <v>306</v>
      </c>
      <c r="AX232" s="241">
        <f t="shared" si="28"/>
        <v>0</v>
      </c>
      <c r="AY232" s="241" t="str">
        <f t="shared" si="29"/>
        <v>TK/0</v>
      </c>
      <c r="AZ232" s="241"/>
      <c r="BA232" s="237"/>
      <c r="BB232" s="241" t="s">
        <v>161</v>
      </c>
      <c r="BC232" s="241" t="s">
        <v>349</v>
      </c>
      <c r="BD232" s="241" t="s">
        <v>515</v>
      </c>
      <c r="BE232" s="241" t="s">
        <v>775</v>
      </c>
      <c r="BF232" s="241">
        <v>2016</v>
      </c>
      <c r="BG232" s="241" t="s">
        <v>349</v>
      </c>
      <c r="BH232" s="241" t="s">
        <v>515</v>
      </c>
      <c r="BI232" s="241" t="s">
        <v>775</v>
      </c>
      <c r="BJ232" s="241">
        <v>2016</v>
      </c>
      <c r="BK232" s="247"/>
      <c r="BL232" s="247"/>
      <c r="BM232" s="241"/>
      <c r="BN232" s="241"/>
      <c r="BO232" s="241">
        <v>43</v>
      </c>
      <c r="BP232" s="244"/>
      <c r="BQ232" s="244"/>
      <c r="BR232" s="244"/>
      <c r="BS232" s="244"/>
      <c r="BT232" s="241"/>
      <c r="BU232" s="241"/>
      <c r="BV232" s="241"/>
      <c r="BW232" s="241" t="s">
        <v>3044</v>
      </c>
      <c r="BX232" s="241"/>
      <c r="BY232" s="241"/>
      <c r="BZ232" s="241"/>
      <c r="CA232" s="241"/>
      <c r="CB232" s="241"/>
      <c r="CC232" s="241"/>
      <c r="CD232" s="241"/>
      <c r="CE232" s="241" t="e">
        <f>VLOOKUP(D232,[1]Sertifikasi!$B$4:$I$19,8,0)</f>
        <v>#N/A</v>
      </c>
      <c r="CF232" s="13"/>
      <c r="CG232" s="13"/>
      <c r="CH232" s="13"/>
    </row>
    <row r="233" spans="1:86" ht="11.25" customHeight="1" x14ac:dyDescent="0.2">
      <c r="A233" s="13"/>
      <c r="B233" s="238">
        <v>229</v>
      </c>
      <c r="C233" s="248" t="s">
        <v>292</v>
      </c>
      <c r="D233" s="237" t="s">
        <v>293</v>
      </c>
      <c r="E233" s="239">
        <v>999600056</v>
      </c>
      <c r="F233" s="237"/>
      <c r="G233" s="240"/>
      <c r="H233" s="249" t="s">
        <v>204</v>
      </c>
      <c r="I233" s="241" t="s">
        <v>217</v>
      </c>
      <c r="J233" s="242">
        <v>44575</v>
      </c>
      <c r="K233" s="241"/>
      <c r="L233" s="241"/>
      <c r="M233" s="241" t="str">
        <f t="shared" si="31"/>
        <v>ORGANIK INKA</v>
      </c>
      <c r="N233" s="241" t="s">
        <v>204</v>
      </c>
      <c r="O233" s="241" t="s">
        <v>294</v>
      </c>
      <c r="P233" s="243">
        <v>35125</v>
      </c>
      <c r="Q233" s="241" t="s">
        <v>295</v>
      </c>
      <c r="R233" s="241" t="s">
        <v>139</v>
      </c>
      <c r="S233" s="241" t="s">
        <v>6863</v>
      </c>
      <c r="T233" s="241" t="s">
        <v>296</v>
      </c>
      <c r="U233" s="241" t="s">
        <v>19</v>
      </c>
      <c r="V233" s="241" t="s">
        <v>297</v>
      </c>
      <c r="W233" s="241" t="s">
        <v>297</v>
      </c>
      <c r="X233" s="241" t="s">
        <v>297</v>
      </c>
      <c r="Y233" s="241" t="s">
        <v>298</v>
      </c>
      <c r="Z233" s="241"/>
      <c r="AA233" s="241"/>
      <c r="AB233" s="241" t="s">
        <v>133</v>
      </c>
      <c r="AC233" s="241" t="s">
        <v>217</v>
      </c>
      <c r="AD233" s="245">
        <v>25628</v>
      </c>
      <c r="AE233" s="241">
        <f t="shared" ca="1" si="27"/>
        <v>55</v>
      </c>
      <c r="AF233" s="246" t="s">
        <v>299</v>
      </c>
      <c r="AG233" s="241" t="s">
        <v>300</v>
      </c>
      <c r="AH233" s="240" t="s">
        <v>301</v>
      </c>
      <c r="AI233" s="240"/>
      <c r="AJ233" s="240"/>
      <c r="AK233" s="241"/>
      <c r="AL233" s="246" t="s">
        <v>302</v>
      </c>
      <c r="AM233" s="246"/>
      <c r="AN233" s="241" t="s">
        <v>4733</v>
      </c>
      <c r="AO233" s="241" t="s">
        <v>303</v>
      </c>
      <c r="AP233" s="241" t="s">
        <v>304</v>
      </c>
      <c r="AQ233" s="241" t="s">
        <v>305</v>
      </c>
      <c r="AR233" s="241"/>
      <c r="AS233" s="241"/>
      <c r="AT233" s="241" t="s">
        <v>306</v>
      </c>
      <c r="AU233" s="241" t="s">
        <v>306</v>
      </c>
      <c r="AV233" s="241" t="s">
        <v>306</v>
      </c>
      <c r="AW233" s="241" t="s">
        <v>306</v>
      </c>
      <c r="AX233" s="241">
        <f t="shared" si="28"/>
        <v>2</v>
      </c>
      <c r="AY233" s="241" t="str">
        <f t="shared" si="29"/>
        <v>K/2</v>
      </c>
      <c r="AZ233" s="241"/>
      <c r="BA233" s="237"/>
      <c r="BB233" s="241" t="s">
        <v>161</v>
      </c>
      <c r="BC233" s="241" t="s">
        <v>307</v>
      </c>
      <c r="BD233" s="241" t="s">
        <v>308</v>
      </c>
      <c r="BE233" s="241" t="s">
        <v>6844</v>
      </c>
      <c r="BF233" s="241"/>
      <c r="BG233" s="241" t="s">
        <v>307</v>
      </c>
      <c r="BH233" s="241"/>
      <c r="BI233" s="241"/>
      <c r="BJ233" s="241"/>
      <c r="BK233" s="247"/>
      <c r="BL233" s="247"/>
      <c r="BM233" s="241"/>
      <c r="BN233" s="241"/>
      <c r="BO233" s="241"/>
      <c r="BP233" s="244"/>
      <c r="BQ233" s="244"/>
      <c r="BR233" s="244"/>
      <c r="BS233" s="244"/>
      <c r="BT233" s="241"/>
      <c r="BU233" s="241"/>
      <c r="BV233" s="241"/>
      <c r="BW233" s="241"/>
      <c r="BX233" s="241"/>
      <c r="BY233" s="241"/>
      <c r="BZ233" s="241"/>
      <c r="CA233" s="241"/>
      <c r="CB233" s="241"/>
      <c r="CC233" s="241"/>
      <c r="CD233" s="241"/>
      <c r="CE233" s="241" t="e">
        <f>VLOOKUP(D233,[1]Sertifikasi!$B$4:$I$19,8,0)</f>
        <v>#N/A</v>
      </c>
      <c r="CF233" s="13"/>
      <c r="CG233" s="13"/>
      <c r="CH233" s="13"/>
    </row>
    <row r="234" spans="1:86" ht="11.25" customHeight="1" x14ac:dyDescent="0.2">
      <c r="A234" s="13"/>
      <c r="B234" s="238">
        <v>230</v>
      </c>
      <c r="C234" s="241" t="e">
        <f t="shared" ref="C234:C256" ca="1" si="32">DATEDIF($E$3,P234,"D")</f>
        <v>#NUM!</v>
      </c>
      <c r="D234" s="237" t="s">
        <v>3045</v>
      </c>
      <c r="E234" s="239">
        <v>642201146</v>
      </c>
      <c r="F234" s="237"/>
      <c r="G234" s="240">
        <v>7188582707</v>
      </c>
      <c r="H234" s="241" t="s">
        <v>21</v>
      </c>
      <c r="I234" s="241" t="s">
        <v>21</v>
      </c>
      <c r="J234" s="242">
        <v>44578</v>
      </c>
      <c r="K234" s="241"/>
      <c r="L234" s="241"/>
      <c r="M234" s="241" t="str">
        <f t="shared" si="31"/>
        <v>PKWT</v>
      </c>
      <c r="N234" s="241" t="s">
        <v>187</v>
      </c>
      <c r="O234" s="241"/>
      <c r="P234" s="243">
        <v>45657</v>
      </c>
      <c r="Q234" s="241"/>
      <c r="R234" s="241" t="s">
        <v>206</v>
      </c>
      <c r="S234" s="241" t="s">
        <v>6863</v>
      </c>
      <c r="T234" s="241" t="s">
        <v>312</v>
      </c>
      <c r="U234" s="241" t="s">
        <v>21</v>
      </c>
      <c r="V234" s="241" t="s">
        <v>547</v>
      </c>
      <c r="W234" s="241" t="s">
        <v>696</v>
      </c>
      <c r="X234" s="241" t="s">
        <v>122</v>
      </c>
      <c r="Y234" s="241" t="s">
        <v>313</v>
      </c>
      <c r="Z234" s="241"/>
      <c r="AA234" s="241"/>
      <c r="AB234" s="241" t="s">
        <v>314</v>
      </c>
      <c r="AC234" s="241" t="s">
        <v>3046</v>
      </c>
      <c r="AD234" s="245">
        <v>35274</v>
      </c>
      <c r="AE234" s="241">
        <f t="shared" ca="1" si="27"/>
        <v>29</v>
      </c>
      <c r="AF234" s="246" t="s">
        <v>3047</v>
      </c>
      <c r="AG234" s="241" t="s">
        <v>3048</v>
      </c>
      <c r="AH234" s="240" t="s">
        <v>3049</v>
      </c>
      <c r="AI234" s="240"/>
      <c r="AJ234" s="240"/>
      <c r="AK234" s="241" t="s">
        <v>3050</v>
      </c>
      <c r="AL234" s="246" t="s">
        <v>3051</v>
      </c>
      <c r="AM234" s="246">
        <v>22017333497</v>
      </c>
      <c r="AN234" s="241" t="s">
        <v>4716</v>
      </c>
      <c r="AO234" s="241"/>
      <c r="AP234" s="241"/>
      <c r="AQ234" s="241"/>
      <c r="AR234" s="241"/>
      <c r="AS234" s="241"/>
      <c r="AT234" s="241" t="s">
        <v>306</v>
      </c>
      <c r="AU234" s="241" t="s">
        <v>306</v>
      </c>
      <c r="AV234" s="241" t="s">
        <v>306</v>
      </c>
      <c r="AW234" s="241" t="s">
        <v>306</v>
      </c>
      <c r="AX234" s="241">
        <f t="shared" si="28"/>
        <v>0</v>
      </c>
      <c r="AY234" s="241" t="str">
        <f t="shared" si="29"/>
        <v>TK/0</v>
      </c>
      <c r="AZ234" s="241"/>
      <c r="BA234" s="237"/>
      <c r="BB234" s="241" t="s">
        <v>161</v>
      </c>
      <c r="BC234" s="241" t="s">
        <v>307</v>
      </c>
      <c r="BD234" s="241" t="s">
        <v>544</v>
      </c>
      <c r="BE234" s="241" t="s">
        <v>3052</v>
      </c>
      <c r="BF234" s="241">
        <v>2014</v>
      </c>
      <c r="BG234" s="241" t="s">
        <v>307</v>
      </c>
      <c r="BH234" s="241" t="s">
        <v>544</v>
      </c>
      <c r="BI234" s="241" t="s">
        <v>3052</v>
      </c>
      <c r="BJ234" s="241">
        <v>2014</v>
      </c>
      <c r="BK234" s="247"/>
      <c r="BL234" s="247"/>
      <c r="BM234" s="241"/>
      <c r="BN234" s="241"/>
      <c r="BO234" s="241">
        <v>40</v>
      </c>
      <c r="BP234" s="244"/>
      <c r="BQ234" s="244">
        <v>44586</v>
      </c>
      <c r="BR234" s="244"/>
      <c r="BS234" s="244"/>
      <c r="BT234" s="241"/>
      <c r="BU234" s="241"/>
      <c r="BV234" s="241"/>
      <c r="BW234" s="241" t="s">
        <v>3053</v>
      </c>
      <c r="BX234" s="241"/>
      <c r="BY234" s="241"/>
      <c r="BZ234" s="241"/>
      <c r="CA234" s="241"/>
      <c r="CB234" s="241"/>
      <c r="CC234" s="241"/>
      <c r="CD234" s="241"/>
      <c r="CE234" s="241" t="e">
        <f>VLOOKUP(D234,[1]Sertifikasi!$B$4:$I$19,8,0)</f>
        <v>#N/A</v>
      </c>
      <c r="CF234" s="13"/>
      <c r="CG234" s="13"/>
      <c r="CH234" s="13"/>
    </row>
    <row r="235" spans="1:86" ht="11.25" customHeight="1" x14ac:dyDescent="0.2">
      <c r="A235" s="13"/>
      <c r="B235" s="238">
        <v>231</v>
      </c>
      <c r="C235" s="241" t="e">
        <f t="shared" ca="1" si="32"/>
        <v>#NUM!</v>
      </c>
      <c r="D235" s="237" t="s">
        <v>3054</v>
      </c>
      <c r="E235" s="239">
        <v>642201134</v>
      </c>
      <c r="F235" s="237">
        <v>1570007938195</v>
      </c>
      <c r="G235" s="240"/>
      <c r="H235" s="241" t="s">
        <v>24</v>
      </c>
      <c r="I235" s="241" t="s">
        <v>24</v>
      </c>
      <c r="J235" s="242">
        <v>44578</v>
      </c>
      <c r="K235" s="241"/>
      <c r="L235" s="241"/>
      <c r="M235" s="241" t="str">
        <f t="shared" si="31"/>
        <v>PKWT</v>
      </c>
      <c r="N235" s="241" t="s">
        <v>187</v>
      </c>
      <c r="O235" s="241"/>
      <c r="P235" s="243">
        <v>45657</v>
      </c>
      <c r="Q235" s="241"/>
      <c r="R235" s="241" t="s">
        <v>206</v>
      </c>
      <c r="S235" s="241" t="s">
        <v>6863</v>
      </c>
      <c r="T235" s="241" t="s">
        <v>312</v>
      </c>
      <c r="U235" s="241" t="s">
        <v>24</v>
      </c>
      <c r="V235" s="241" t="s">
        <v>204</v>
      </c>
      <c r="W235" s="241" t="s">
        <v>629</v>
      </c>
      <c r="X235" s="241" t="s">
        <v>121</v>
      </c>
      <c r="Y235" s="241" t="s">
        <v>313</v>
      </c>
      <c r="Z235" s="241"/>
      <c r="AA235" s="241"/>
      <c r="AB235" s="241" t="s">
        <v>314</v>
      </c>
      <c r="AC235" s="241" t="s">
        <v>667</v>
      </c>
      <c r="AD235" s="245">
        <v>35058</v>
      </c>
      <c r="AE235" s="241">
        <f t="shared" ca="1" si="27"/>
        <v>29</v>
      </c>
      <c r="AF235" s="246" t="s">
        <v>3055</v>
      </c>
      <c r="AG235" s="241" t="s">
        <v>3056</v>
      </c>
      <c r="AH235" s="240"/>
      <c r="AI235" s="240"/>
      <c r="AJ235" s="240"/>
      <c r="AK235" s="241" t="s">
        <v>3057</v>
      </c>
      <c r="AL235" s="246" t="s">
        <v>3058</v>
      </c>
      <c r="AM235" s="246">
        <v>22017333711</v>
      </c>
      <c r="AN235" s="241" t="s">
        <v>4733</v>
      </c>
      <c r="AO235" s="241" t="s">
        <v>3059</v>
      </c>
      <c r="AP235" s="241" t="s">
        <v>3060</v>
      </c>
      <c r="AQ235" s="241"/>
      <c r="AR235" s="241"/>
      <c r="AS235" s="241"/>
      <c r="AT235" s="241" t="s">
        <v>306</v>
      </c>
      <c r="AU235" s="241" t="s">
        <v>306</v>
      </c>
      <c r="AV235" s="241" t="s">
        <v>306</v>
      </c>
      <c r="AW235" s="241" t="s">
        <v>306</v>
      </c>
      <c r="AX235" s="241">
        <f t="shared" si="28"/>
        <v>1</v>
      </c>
      <c r="AY235" s="241" t="str">
        <f t="shared" si="29"/>
        <v>K/1</v>
      </c>
      <c r="AZ235" s="241"/>
      <c r="BA235" s="237"/>
      <c r="BB235" s="241" t="s">
        <v>161</v>
      </c>
      <c r="BC235" s="241" t="s">
        <v>307</v>
      </c>
      <c r="BD235" s="241" t="s">
        <v>308</v>
      </c>
      <c r="BE235" s="241" t="s">
        <v>3061</v>
      </c>
      <c r="BF235" s="241">
        <v>2014</v>
      </c>
      <c r="BG235" s="241" t="s">
        <v>307</v>
      </c>
      <c r="BH235" s="241" t="s">
        <v>308</v>
      </c>
      <c r="BI235" s="241" t="s">
        <v>3061</v>
      </c>
      <c r="BJ235" s="241">
        <v>2014</v>
      </c>
      <c r="BK235" s="247"/>
      <c r="BL235" s="247"/>
      <c r="BM235" s="241"/>
      <c r="BN235" s="241"/>
      <c r="BO235" s="241">
        <v>42</v>
      </c>
      <c r="BP235" s="244"/>
      <c r="BQ235" s="244"/>
      <c r="BR235" s="244"/>
      <c r="BS235" s="244"/>
      <c r="BT235" s="241"/>
      <c r="BU235" s="241"/>
      <c r="BV235" s="241"/>
      <c r="BW235" s="241" t="s">
        <v>3062</v>
      </c>
      <c r="BX235" s="241"/>
      <c r="BY235" s="241"/>
      <c r="BZ235" s="241"/>
      <c r="CA235" s="241"/>
      <c r="CB235" s="241"/>
      <c r="CC235" s="241"/>
      <c r="CD235" s="241"/>
      <c r="CE235" s="241" t="e">
        <f>VLOOKUP(D235,[1]Sertifikasi!$B$4:$I$19,8,0)</f>
        <v>#N/A</v>
      </c>
      <c r="CF235" s="13"/>
      <c r="CG235" s="13"/>
      <c r="CH235" s="13"/>
    </row>
    <row r="236" spans="1:86" ht="11.25" customHeight="1" x14ac:dyDescent="0.2">
      <c r="A236" s="13"/>
      <c r="B236" s="238">
        <v>232</v>
      </c>
      <c r="C236" s="241" t="e">
        <f t="shared" ca="1" si="32"/>
        <v>#NUM!</v>
      </c>
      <c r="D236" s="237" t="s">
        <v>3063</v>
      </c>
      <c r="E236" s="239">
        <v>642201138</v>
      </c>
      <c r="F236" s="237">
        <v>1240010726108</v>
      </c>
      <c r="G236" s="240"/>
      <c r="H236" s="241" t="s">
        <v>24</v>
      </c>
      <c r="I236" s="241" t="s">
        <v>24</v>
      </c>
      <c r="J236" s="242">
        <v>44578</v>
      </c>
      <c r="K236" s="241"/>
      <c r="L236" s="241"/>
      <c r="M236" s="241" t="str">
        <f t="shared" si="31"/>
        <v>PKWT</v>
      </c>
      <c r="N236" s="241" t="s">
        <v>187</v>
      </c>
      <c r="O236" s="241"/>
      <c r="P236" s="243">
        <v>45657</v>
      </c>
      <c r="Q236" s="241"/>
      <c r="R236" s="241" t="s">
        <v>206</v>
      </c>
      <c r="S236" s="241" t="s">
        <v>6863</v>
      </c>
      <c r="T236" s="241" t="s">
        <v>312</v>
      </c>
      <c r="U236" s="241" t="s">
        <v>24</v>
      </c>
      <c r="V236" s="241" t="s">
        <v>443</v>
      </c>
      <c r="W236" s="241" t="s">
        <v>175</v>
      </c>
      <c r="X236" s="241" t="s">
        <v>121</v>
      </c>
      <c r="Y236" s="241" t="s">
        <v>313</v>
      </c>
      <c r="Z236" s="241"/>
      <c r="AA236" s="241"/>
      <c r="AB236" s="241" t="s">
        <v>314</v>
      </c>
      <c r="AC236" s="241" t="s">
        <v>24</v>
      </c>
      <c r="AD236" s="245">
        <v>34484</v>
      </c>
      <c r="AE236" s="241">
        <f t="shared" ca="1" si="27"/>
        <v>31</v>
      </c>
      <c r="AF236" s="246" t="s">
        <v>3064</v>
      </c>
      <c r="AG236" s="241" t="s">
        <v>3065</v>
      </c>
      <c r="AH236" s="240" t="s">
        <v>3066</v>
      </c>
      <c r="AI236" s="240"/>
      <c r="AJ236" s="240"/>
      <c r="AK236" s="241" t="s">
        <v>3067</v>
      </c>
      <c r="AL236" s="246" t="s">
        <v>3068</v>
      </c>
      <c r="AM236" s="246">
        <v>22017333646</v>
      </c>
      <c r="AN236" s="241" t="s">
        <v>4733</v>
      </c>
      <c r="AO236" s="241" t="s">
        <v>3069</v>
      </c>
      <c r="AP236" s="241" t="s">
        <v>3070</v>
      </c>
      <c r="AQ236" s="241" t="s">
        <v>3071</v>
      </c>
      <c r="AR236" s="241"/>
      <c r="AS236" s="241"/>
      <c r="AT236" s="241" t="s">
        <v>3072</v>
      </c>
      <c r="AU236" s="241" t="s">
        <v>3073</v>
      </c>
      <c r="AV236" s="241" t="s">
        <v>3074</v>
      </c>
      <c r="AW236" s="241" t="s">
        <v>3075</v>
      </c>
      <c r="AX236" s="241">
        <f t="shared" si="28"/>
        <v>2</v>
      </c>
      <c r="AY236" s="241" t="str">
        <f t="shared" si="29"/>
        <v>K/2</v>
      </c>
      <c r="AZ236" s="241" t="s">
        <v>3076</v>
      </c>
      <c r="BA236" s="237" t="s">
        <v>3076</v>
      </c>
      <c r="BB236" s="241" t="s">
        <v>161</v>
      </c>
      <c r="BC236" s="241" t="s">
        <v>349</v>
      </c>
      <c r="BD236" s="241" t="s">
        <v>1742</v>
      </c>
      <c r="BE236" s="241" t="s">
        <v>3077</v>
      </c>
      <c r="BF236" s="241">
        <v>2012</v>
      </c>
      <c r="BG236" s="241" t="s">
        <v>349</v>
      </c>
      <c r="BH236" s="241" t="s">
        <v>1742</v>
      </c>
      <c r="BI236" s="241" t="s">
        <v>3077</v>
      </c>
      <c r="BJ236" s="241">
        <v>2012</v>
      </c>
      <c r="BK236" s="247"/>
      <c r="BL236" s="247"/>
      <c r="BM236" s="241"/>
      <c r="BN236" s="241"/>
      <c r="BO236" s="241">
        <v>42</v>
      </c>
      <c r="BP236" s="244"/>
      <c r="BQ236" s="244">
        <v>44533</v>
      </c>
      <c r="BR236" s="244"/>
      <c r="BS236" s="244"/>
      <c r="BT236" s="241"/>
      <c r="BU236" s="241"/>
      <c r="BV236" s="241"/>
      <c r="BW236" s="241" t="s">
        <v>3078</v>
      </c>
      <c r="BX236" s="241"/>
      <c r="BY236" s="241"/>
      <c r="BZ236" s="241"/>
      <c r="CA236" s="241"/>
      <c r="CB236" s="241"/>
      <c r="CC236" s="241"/>
      <c r="CD236" s="241"/>
      <c r="CE236" s="241" t="e">
        <f>VLOOKUP(D236,[1]Sertifikasi!$B$4:$I$19,8,0)</f>
        <v>#N/A</v>
      </c>
      <c r="CF236" s="13"/>
      <c r="CG236" s="13"/>
      <c r="CH236" s="13"/>
    </row>
    <row r="237" spans="1:86" ht="11.25" customHeight="1" x14ac:dyDescent="0.2">
      <c r="A237" s="13"/>
      <c r="B237" s="238">
        <v>233</v>
      </c>
      <c r="C237" s="241" t="e">
        <f t="shared" ca="1" si="32"/>
        <v>#NUM!</v>
      </c>
      <c r="D237" s="237" t="s">
        <v>3079</v>
      </c>
      <c r="E237" s="239">
        <v>642201130</v>
      </c>
      <c r="F237" s="237">
        <v>1550011488965</v>
      </c>
      <c r="G237" s="240"/>
      <c r="H237" s="241" t="s">
        <v>24</v>
      </c>
      <c r="I237" s="241" t="s">
        <v>24</v>
      </c>
      <c r="J237" s="242">
        <v>44578</v>
      </c>
      <c r="K237" s="241"/>
      <c r="L237" s="241"/>
      <c r="M237" s="241" t="str">
        <f t="shared" si="31"/>
        <v>PKWT</v>
      </c>
      <c r="N237" s="241" t="s">
        <v>187</v>
      </c>
      <c r="O237" s="241"/>
      <c r="P237" s="243">
        <v>45657</v>
      </c>
      <c r="Q237" s="241"/>
      <c r="R237" s="241" t="s">
        <v>206</v>
      </c>
      <c r="S237" s="241" t="s">
        <v>6863</v>
      </c>
      <c r="T237" s="241" t="s">
        <v>312</v>
      </c>
      <c r="U237" s="241" t="s">
        <v>24</v>
      </c>
      <c r="V237" s="241" t="s">
        <v>443</v>
      </c>
      <c r="W237" s="241" t="s">
        <v>175</v>
      </c>
      <c r="X237" s="241" t="s">
        <v>121</v>
      </c>
      <c r="Y237" s="241" t="s">
        <v>313</v>
      </c>
      <c r="Z237" s="241"/>
      <c r="AA237" s="241"/>
      <c r="AB237" s="241" t="s">
        <v>314</v>
      </c>
      <c r="AC237" s="241" t="s">
        <v>1533</v>
      </c>
      <c r="AD237" s="245">
        <v>35887</v>
      </c>
      <c r="AE237" s="241">
        <f t="shared" ca="1" si="27"/>
        <v>27</v>
      </c>
      <c r="AF237" s="246" t="s">
        <v>3080</v>
      </c>
      <c r="AG237" s="241" t="s">
        <v>3081</v>
      </c>
      <c r="AH237" s="240" t="s">
        <v>3082</v>
      </c>
      <c r="AI237" s="240"/>
      <c r="AJ237" s="240"/>
      <c r="AK237" s="241" t="s">
        <v>3083</v>
      </c>
      <c r="AL237" s="246" t="s">
        <v>3084</v>
      </c>
      <c r="AM237" s="246">
        <v>22017333703</v>
      </c>
      <c r="AN237" s="241" t="s">
        <v>4716</v>
      </c>
      <c r="AO237" s="241"/>
      <c r="AP237" s="241"/>
      <c r="AQ237" s="241"/>
      <c r="AR237" s="241"/>
      <c r="AS237" s="241"/>
      <c r="AT237" s="241" t="s">
        <v>3085</v>
      </c>
      <c r="AU237" s="241" t="s">
        <v>3086</v>
      </c>
      <c r="AV237" s="241" t="s">
        <v>306</v>
      </c>
      <c r="AW237" s="241" t="s">
        <v>306</v>
      </c>
      <c r="AX237" s="241">
        <f t="shared" si="28"/>
        <v>0</v>
      </c>
      <c r="AY237" s="241" t="str">
        <f t="shared" si="29"/>
        <v>TK/0</v>
      </c>
      <c r="AZ237" s="241" t="s">
        <v>3087</v>
      </c>
      <c r="BA237" s="237" t="s">
        <v>3087</v>
      </c>
      <c r="BB237" s="241" t="s">
        <v>161</v>
      </c>
      <c r="BC237" s="241" t="s">
        <v>349</v>
      </c>
      <c r="BD237" s="241" t="s">
        <v>6779</v>
      </c>
      <c r="BE237" s="241" t="s">
        <v>3088</v>
      </c>
      <c r="BF237" s="241">
        <v>2016</v>
      </c>
      <c r="BG237" s="241" t="s">
        <v>349</v>
      </c>
      <c r="BH237" s="241" t="s">
        <v>6779</v>
      </c>
      <c r="BI237" s="241" t="s">
        <v>3088</v>
      </c>
      <c r="BJ237" s="241">
        <v>2016</v>
      </c>
      <c r="BK237" s="247"/>
      <c r="BL237" s="247"/>
      <c r="BM237" s="241"/>
      <c r="BN237" s="241"/>
      <c r="BO237" s="241">
        <v>42</v>
      </c>
      <c r="BP237" s="244"/>
      <c r="BQ237" s="244">
        <v>44501</v>
      </c>
      <c r="BR237" s="244"/>
      <c r="BS237" s="244"/>
      <c r="BT237" s="241"/>
      <c r="BU237" s="241"/>
      <c r="BV237" s="241"/>
      <c r="BW237" s="241" t="s">
        <v>3089</v>
      </c>
      <c r="BX237" s="241"/>
      <c r="BY237" s="241"/>
      <c r="BZ237" s="241"/>
      <c r="CA237" s="241"/>
      <c r="CB237" s="241"/>
      <c r="CC237" s="241"/>
      <c r="CD237" s="241"/>
      <c r="CE237" s="241" t="e">
        <f>VLOOKUP(D237,[1]Sertifikasi!$B$4:$I$19,8,0)</f>
        <v>#N/A</v>
      </c>
      <c r="CF237" s="13"/>
      <c r="CG237" s="13"/>
      <c r="CH237" s="13"/>
    </row>
    <row r="238" spans="1:86" ht="11.25" customHeight="1" x14ac:dyDescent="0.2">
      <c r="A238" s="13"/>
      <c r="B238" s="238">
        <v>234</v>
      </c>
      <c r="C238" s="241" t="e">
        <f t="shared" ca="1" si="32"/>
        <v>#NUM!</v>
      </c>
      <c r="D238" s="237" t="s">
        <v>3090</v>
      </c>
      <c r="E238" s="239">
        <v>642201137</v>
      </c>
      <c r="F238" s="237">
        <v>1200012500281</v>
      </c>
      <c r="G238" s="240"/>
      <c r="H238" s="241" t="s">
        <v>24</v>
      </c>
      <c r="I238" s="241" t="s">
        <v>24</v>
      </c>
      <c r="J238" s="242">
        <v>44578</v>
      </c>
      <c r="K238" s="241"/>
      <c r="L238" s="241"/>
      <c r="M238" s="241" t="str">
        <f t="shared" ref="M238:M269" si="33">IF(LEFT(E238,2)="99","ORGANIK INKA",IF(LEFT(E238,2)="97","ORGANIK IMSS",IF(LEFT(E238,2)="75","Capeg",IF(LEFT(E238,2)="64","PKWT","Resign"))))</f>
        <v>PKWT</v>
      </c>
      <c r="N238" s="241" t="s">
        <v>187</v>
      </c>
      <c r="O238" s="241"/>
      <c r="P238" s="243">
        <v>45657</v>
      </c>
      <c r="Q238" s="241"/>
      <c r="R238" s="241" t="s">
        <v>206</v>
      </c>
      <c r="S238" s="241" t="s">
        <v>6863</v>
      </c>
      <c r="T238" s="241" t="s">
        <v>312</v>
      </c>
      <c r="U238" s="241" t="s">
        <v>24</v>
      </c>
      <c r="V238" s="241" t="s">
        <v>443</v>
      </c>
      <c r="W238" s="241" t="s">
        <v>175</v>
      </c>
      <c r="X238" s="241" t="s">
        <v>121</v>
      </c>
      <c r="Y238" s="241" t="s">
        <v>313</v>
      </c>
      <c r="Z238" s="241"/>
      <c r="AA238" s="241"/>
      <c r="AB238" s="241" t="s">
        <v>314</v>
      </c>
      <c r="AC238" s="241" t="s">
        <v>24</v>
      </c>
      <c r="AD238" s="245">
        <v>34645</v>
      </c>
      <c r="AE238" s="241">
        <f t="shared" ca="1" si="27"/>
        <v>30</v>
      </c>
      <c r="AF238" s="246" t="s">
        <v>3091</v>
      </c>
      <c r="AG238" s="241" t="s">
        <v>3092</v>
      </c>
      <c r="AH238" s="240" t="s">
        <v>3093</v>
      </c>
      <c r="AI238" s="240"/>
      <c r="AJ238" s="240"/>
      <c r="AK238" s="241" t="s">
        <v>3094</v>
      </c>
      <c r="AL238" s="246" t="s">
        <v>3095</v>
      </c>
      <c r="AM238" s="246">
        <v>22017333802</v>
      </c>
      <c r="AN238" s="241" t="s">
        <v>4716</v>
      </c>
      <c r="AO238" s="241"/>
      <c r="AP238" s="241"/>
      <c r="AQ238" s="241"/>
      <c r="AR238" s="241"/>
      <c r="AS238" s="241"/>
      <c r="AT238" s="241" t="s">
        <v>3096</v>
      </c>
      <c r="AU238" s="241" t="s">
        <v>1378</v>
      </c>
      <c r="AV238" s="241" t="s">
        <v>306</v>
      </c>
      <c r="AW238" s="241" t="s">
        <v>306</v>
      </c>
      <c r="AX238" s="241">
        <f t="shared" si="28"/>
        <v>0</v>
      </c>
      <c r="AY238" s="241" t="str">
        <f t="shared" si="29"/>
        <v>TK/0</v>
      </c>
      <c r="AZ238" s="241" t="s">
        <v>3097</v>
      </c>
      <c r="BA238" s="237">
        <v>719096588044000</v>
      </c>
      <c r="BB238" s="241" t="s">
        <v>161</v>
      </c>
      <c r="BC238" s="241" t="s">
        <v>349</v>
      </c>
      <c r="BD238" s="241" t="s">
        <v>6779</v>
      </c>
      <c r="BE238" s="241" t="s">
        <v>3098</v>
      </c>
      <c r="BF238" s="241">
        <v>2013</v>
      </c>
      <c r="BG238" s="241" t="s">
        <v>349</v>
      </c>
      <c r="BH238" s="241" t="s">
        <v>6779</v>
      </c>
      <c r="BI238" s="241" t="s">
        <v>3098</v>
      </c>
      <c r="BJ238" s="241">
        <v>2013</v>
      </c>
      <c r="BK238" s="247"/>
      <c r="BL238" s="247"/>
      <c r="BM238" s="241"/>
      <c r="BN238" s="241"/>
      <c r="BO238" s="241">
        <v>41</v>
      </c>
      <c r="BP238" s="244"/>
      <c r="BQ238" s="244"/>
      <c r="BR238" s="244">
        <v>44867</v>
      </c>
      <c r="BS238" s="244"/>
      <c r="BT238" s="241"/>
      <c r="BU238" s="241"/>
      <c r="BV238" s="241"/>
      <c r="BW238" s="241" t="s">
        <v>3099</v>
      </c>
      <c r="BX238" s="241"/>
      <c r="BY238" s="241"/>
      <c r="BZ238" s="241"/>
      <c r="CA238" s="241"/>
      <c r="CB238" s="241"/>
      <c r="CC238" s="241"/>
      <c r="CD238" s="241"/>
      <c r="CE238" s="241" t="e">
        <f>VLOOKUP(D238,[1]Sertifikasi!$B$4:$I$19,8,0)</f>
        <v>#N/A</v>
      </c>
      <c r="CF238" s="13"/>
      <c r="CG238" s="13"/>
      <c r="CH238" s="13"/>
    </row>
    <row r="239" spans="1:86" ht="11.25" customHeight="1" x14ac:dyDescent="0.2">
      <c r="A239" s="13"/>
      <c r="B239" s="238">
        <v>235</v>
      </c>
      <c r="C239" s="241" t="e">
        <f t="shared" ca="1" si="32"/>
        <v>#NUM!</v>
      </c>
      <c r="D239" s="237" t="s">
        <v>3100</v>
      </c>
      <c r="E239" s="239">
        <v>642201131</v>
      </c>
      <c r="F239" s="237">
        <v>1180011311841</v>
      </c>
      <c r="G239" s="240"/>
      <c r="H239" s="241" t="s">
        <v>24</v>
      </c>
      <c r="I239" s="241" t="s">
        <v>24</v>
      </c>
      <c r="J239" s="242">
        <v>44578</v>
      </c>
      <c r="K239" s="241"/>
      <c r="L239" s="241"/>
      <c r="M239" s="241" t="str">
        <f t="shared" si="33"/>
        <v>PKWT</v>
      </c>
      <c r="N239" s="241" t="s">
        <v>187</v>
      </c>
      <c r="O239" s="241"/>
      <c r="P239" s="243">
        <v>45657</v>
      </c>
      <c r="Q239" s="241"/>
      <c r="R239" s="241" t="s">
        <v>206</v>
      </c>
      <c r="S239" s="241" t="s">
        <v>6863</v>
      </c>
      <c r="T239" s="241" t="s">
        <v>312</v>
      </c>
      <c r="U239" s="241" t="s">
        <v>24</v>
      </c>
      <c r="V239" s="241" t="s">
        <v>443</v>
      </c>
      <c r="W239" s="241" t="s">
        <v>175</v>
      </c>
      <c r="X239" s="241" t="s">
        <v>121</v>
      </c>
      <c r="Y239" s="241" t="s">
        <v>313</v>
      </c>
      <c r="Z239" s="241"/>
      <c r="AA239" s="241"/>
      <c r="AB239" s="241" t="s">
        <v>314</v>
      </c>
      <c r="AC239" s="241" t="s">
        <v>24</v>
      </c>
      <c r="AD239" s="245">
        <v>35117</v>
      </c>
      <c r="AE239" s="241">
        <f t="shared" ca="1" si="27"/>
        <v>29</v>
      </c>
      <c r="AF239" s="246" t="s">
        <v>3101</v>
      </c>
      <c r="AG239" s="241" t="s">
        <v>3102</v>
      </c>
      <c r="AH239" s="240" t="s">
        <v>3103</v>
      </c>
      <c r="AI239" s="240"/>
      <c r="AJ239" s="240"/>
      <c r="AK239" s="241" t="s">
        <v>3104</v>
      </c>
      <c r="AL239" s="246" t="s">
        <v>3105</v>
      </c>
      <c r="AM239" s="246">
        <v>22017333547</v>
      </c>
      <c r="AN239" s="241" t="s">
        <v>4733</v>
      </c>
      <c r="AO239" s="241" t="s">
        <v>3106</v>
      </c>
      <c r="AP239" s="241" t="s">
        <v>3107</v>
      </c>
      <c r="AQ239" s="241"/>
      <c r="AR239" s="241"/>
      <c r="AS239" s="241"/>
      <c r="AT239" s="241" t="s">
        <v>306</v>
      </c>
      <c r="AU239" s="241" t="s">
        <v>306</v>
      </c>
      <c r="AV239" s="241" t="s">
        <v>306</v>
      </c>
      <c r="AW239" s="241" t="s">
        <v>306</v>
      </c>
      <c r="AX239" s="241">
        <f t="shared" si="28"/>
        <v>1</v>
      </c>
      <c r="AY239" s="241" t="str">
        <f t="shared" si="29"/>
        <v>K/1</v>
      </c>
      <c r="AZ239" s="241"/>
      <c r="BA239" s="237"/>
      <c r="BB239" s="241" t="s">
        <v>161</v>
      </c>
      <c r="BC239" s="241" t="s">
        <v>349</v>
      </c>
      <c r="BD239" s="241" t="s">
        <v>6779</v>
      </c>
      <c r="BE239" s="241" t="s">
        <v>3108</v>
      </c>
      <c r="BF239" s="241">
        <v>2014</v>
      </c>
      <c r="BG239" s="241" t="s">
        <v>349</v>
      </c>
      <c r="BH239" s="241" t="s">
        <v>6779</v>
      </c>
      <c r="BI239" s="241" t="s">
        <v>3108</v>
      </c>
      <c r="BJ239" s="241">
        <v>2014</v>
      </c>
      <c r="BK239" s="247"/>
      <c r="BL239" s="247"/>
      <c r="BM239" s="241"/>
      <c r="BN239" s="241"/>
      <c r="BO239" s="241">
        <v>42</v>
      </c>
      <c r="BP239" s="244"/>
      <c r="BQ239" s="244"/>
      <c r="BR239" s="244">
        <v>44673</v>
      </c>
      <c r="BS239" s="244"/>
      <c r="BT239" s="241"/>
      <c r="BU239" s="241"/>
      <c r="BV239" s="241"/>
      <c r="BW239" s="241" t="s">
        <v>3109</v>
      </c>
      <c r="BX239" s="241"/>
      <c r="BY239" s="241"/>
      <c r="BZ239" s="241"/>
      <c r="CA239" s="241"/>
      <c r="CB239" s="241"/>
      <c r="CC239" s="241"/>
      <c r="CD239" s="241"/>
      <c r="CE239" s="241" t="e">
        <f>VLOOKUP(D239,[1]Sertifikasi!$B$4:$I$19,8,0)</f>
        <v>#N/A</v>
      </c>
      <c r="CF239" s="13"/>
      <c r="CG239" s="13"/>
      <c r="CH239" s="13"/>
    </row>
    <row r="240" spans="1:86" ht="11.25" customHeight="1" x14ac:dyDescent="0.2">
      <c r="A240" s="13"/>
      <c r="B240" s="238">
        <v>236</v>
      </c>
      <c r="C240" s="241" t="e">
        <f t="shared" ca="1" si="32"/>
        <v>#NUM!</v>
      </c>
      <c r="D240" s="237" t="s">
        <v>3110</v>
      </c>
      <c r="E240" s="239">
        <v>642201136</v>
      </c>
      <c r="F240" s="237">
        <v>1200011799215</v>
      </c>
      <c r="G240" s="240"/>
      <c r="H240" s="241" t="s">
        <v>24</v>
      </c>
      <c r="I240" s="241" t="s">
        <v>24</v>
      </c>
      <c r="J240" s="242">
        <v>44578</v>
      </c>
      <c r="K240" s="241"/>
      <c r="L240" s="241"/>
      <c r="M240" s="241" t="str">
        <f t="shared" si="33"/>
        <v>PKWT</v>
      </c>
      <c r="N240" s="241" t="s">
        <v>187</v>
      </c>
      <c r="O240" s="241"/>
      <c r="P240" s="243">
        <v>45657</v>
      </c>
      <c r="Q240" s="241"/>
      <c r="R240" s="241" t="s">
        <v>206</v>
      </c>
      <c r="S240" s="241" t="s">
        <v>6863</v>
      </c>
      <c r="T240" s="241" t="s">
        <v>312</v>
      </c>
      <c r="U240" s="241" t="s">
        <v>24</v>
      </c>
      <c r="V240" s="241" t="s">
        <v>443</v>
      </c>
      <c r="W240" s="241" t="s">
        <v>175</v>
      </c>
      <c r="X240" s="241" t="s">
        <v>121</v>
      </c>
      <c r="Y240" s="241" t="s">
        <v>313</v>
      </c>
      <c r="Z240" s="241"/>
      <c r="AA240" s="241"/>
      <c r="AB240" s="241" t="s">
        <v>314</v>
      </c>
      <c r="AC240" s="241" t="s">
        <v>24</v>
      </c>
      <c r="AD240" s="245">
        <v>34494</v>
      </c>
      <c r="AE240" s="241">
        <f t="shared" ca="1" si="27"/>
        <v>31</v>
      </c>
      <c r="AF240" s="246" t="s">
        <v>3111</v>
      </c>
      <c r="AG240" s="241" t="s">
        <v>3112</v>
      </c>
      <c r="AH240" s="240" t="s">
        <v>3113</v>
      </c>
      <c r="AI240" s="240"/>
      <c r="AJ240" s="240"/>
      <c r="AK240" s="241" t="s">
        <v>3114</v>
      </c>
      <c r="AL240" s="246" t="s">
        <v>3115</v>
      </c>
      <c r="AM240" s="246">
        <v>22017333745</v>
      </c>
      <c r="AN240" s="241" t="s">
        <v>4733</v>
      </c>
      <c r="AO240" s="241" t="s">
        <v>3116</v>
      </c>
      <c r="AP240" s="241" t="s">
        <v>3117</v>
      </c>
      <c r="AQ240" s="241"/>
      <c r="AR240" s="241"/>
      <c r="AS240" s="241"/>
      <c r="AT240" s="241" t="s">
        <v>1626</v>
      </c>
      <c r="AU240" s="241" t="s">
        <v>3118</v>
      </c>
      <c r="AV240" s="241" t="s">
        <v>3119</v>
      </c>
      <c r="AW240" s="241" t="s">
        <v>2135</v>
      </c>
      <c r="AX240" s="241">
        <f t="shared" si="28"/>
        <v>1</v>
      </c>
      <c r="AY240" s="241" t="str">
        <f t="shared" si="29"/>
        <v>K/1</v>
      </c>
      <c r="AZ240" s="241" t="s">
        <v>3120</v>
      </c>
      <c r="BA240" s="237" t="s">
        <v>3120</v>
      </c>
      <c r="BB240" s="241" t="s">
        <v>161</v>
      </c>
      <c r="BC240" s="241" t="s">
        <v>349</v>
      </c>
      <c r="BD240" s="241" t="s">
        <v>3121</v>
      </c>
      <c r="BE240" s="241" t="s">
        <v>3122</v>
      </c>
      <c r="BF240" s="241">
        <v>2013</v>
      </c>
      <c r="BG240" s="241" t="s">
        <v>349</v>
      </c>
      <c r="BH240" s="241" t="s">
        <v>3121</v>
      </c>
      <c r="BI240" s="241" t="s">
        <v>3122</v>
      </c>
      <c r="BJ240" s="241">
        <v>2013</v>
      </c>
      <c r="BK240" s="247"/>
      <c r="BL240" s="247"/>
      <c r="BM240" s="241"/>
      <c r="BN240" s="241"/>
      <c r="BO240" s="241">
        <v>42</v>
      </c>
      <c r="BP240" s="244"/>
      <c r="BQ240" s="244">
        <v>44405</v>
      </c>
      <c r="BR240" s="244"/>
      <c r="BS240" s="244"/>
      <c r="BT240" s="241"/>
      <c r="BU240" s="241"/>
      <c r="BV240" s="241"/>
      <c r="BW240" s="241" t="s">
        <v>3123</v>
      </c>
      <c r="BX240" s="241"/>
      <c r="BY240" s="241"/>
      <c r="BZ240" s="241"/>
      <c r="CA240" s="241"/>
      <c r="CB240" s="241"/>
      <c r="CC240" s="241"/>
      <c r="CD240" s="241"/>
      <c r="CE240" s="241" t="e">
        <f>VLOOKUP(D240,[1]Sertifikasi!$B$4:$I$19,8,0)</f>
        <v>#N/A</v>
      </c>
      <c r="CF240" s="13"/>
      <c r="CG240" s="13"/>
      <c r="CH240" s="13"/>
    </row>
    <row r="241" spans="1:86" ht="11.25" customHeight="1" x14ac:dyDescent="0.2">
      <c r="A241" s="13"/>
      <c r="B241" s="238">
        <v>237</v>
      </c>
      <c r="C241" s="241" t="e">
        <f t="shared" ca="1" si="32"/>
        <v>#NUM!</v>
      </c>
      <c r="D241" s="237" t="s">
        <v>3124</v>
      </c>
      <c r="E241" s="239">
        <v>642201141</v>
      </c>
      <c r="F241" s="237">
        <v>1760000962892</v>
      </c>
      <c r="G241" s="240"/>
      <c r="H241" s="241" t="s">
        <v>24</v>
      </c>
      <c r="I241" s="241" t="s">
        <v>24</v>
      </c>
      <c r="J241" s="242">
        <v>44578</v>
      </c>
      <c r="K241" s="241"/>
      <c r="L241" s="241"/>
      <c r="M241" s="241" t="str">
        <f t="shared" si="33"/>
        <v>PKWT</v>
      </c>
      <c r="N241" s="241" t="s">
        <v>187</v>
      </c>
      <c r="O241" s="241"/>
      <c r="P241" s="243">
        <v>45657</v>
      </c>
      <c r="Q241" s="241"/>
      <c r="R241" s="241" t="s">
        <v>206</v>
      </c>
      <c r="S241" s="241" t="s">
        <v>6863</v>
      </c>
      <c r="T241" s="241" t="s">
        <v>312</v>
      </c>
      <c r="U241" s="241" t="s">
        <v>24</v>
      </c>
      <c r="V241" s="241" t="s">
        <v>443</v>
      </c>
      <c r="W241" s="241" t="s">
        <v>175</v>
      </c>
      <c r="X241" s="241" t="s">
        <v>121</v>
      </c>
      <c r="Y241" s="241" t="s">
        <v>313</v>
      </c>
      <c r="Z241" s="241"/>
      <c r="AA241" s="241"/>
      <c r="AB241" s="241" t="s">
        <v>314</v>
      </c>
      <c r="AC241" s="241" t="s">
        <v>23</v>
      </c>
      <c r="AD241" s="245">
        <v>36432</v>
      </c>
      <c r="AE241" s="241">
        <f t="shared" ca="1" si="27"/>
        <v>26</v>
      </c>
      <c r="AF241" s="246" t="s">
        <v>3125</v>
      </c>
      <c r="AG241" s="241" t="s">
        <v>3126</v>
      </c>
      <c r="AH241" s="240" t="s">
        <v>3127</v>
      </c>
      <c r="AI241" s="240"/>
      <c r="AJ241" s="240"/>
      <c r="AK241" s="241" t="s">
        <v>3128</v>
      </c>
      <c r="AL241" s="246" t="s">
        <v>3129</v>
      </c>
      <c r="AM241" s="246">
        <v>22017333828</v>
      </c>
      <c r="AN241" s="241" t="s">
        <v>4716</v>
      </c>
      <c r="AO241" s="241"/>
      <c r="AP241" s="241"/>
      <c r="AQ241" s="241"/>
      <c r="AR241" s="241"/>
      <c r="AS241" s="241"/>
      <c r="AT241" s="241" t="s">
        <v>3130</v>
      </c>
      <c r="AU241" s="241" t="s">
        <v>3131</v>
      </c>
      <c r="AV241" s="241" t="s">
        <v>306</v>
      </c>
      <c r="AW241" s="241" t="s">
        <v>306</v>
      </c>
      <c r="AX241" s="241">
        <f t="shared" si="28"/>
        <v>0</v>
      </c>
      <c r="AY241" s="241" t="str">
        <f t="shared" si="29"/>
        <v>TK/0</v>
      </c>
      <c r="AZ241" s="241" t="s">
        <v>3132</v>
      </c>
      <c r="BA241" s="237" t="s">
        <v>3133</v>
      </c>
      <c r="BB241" s="241" t="s">
        <v>161</v>
      </c>
      <c r="BC241" s="241" t="s">
        <v>349</v>
      </c>
      <c r="BD241" s="241" t="s">
        <v>91</v>
      </c>
      <c r="BE241" s="241" t="s">
        <v>3088</v>
      </c>
      <c r="BF241" s="241">
        <v>2017</v>
      </c>
      <c r="BG241" s="241" t="s">
        <v>349</v>
      </c>
      <c r="BH241" s="241" t="s">
        <v>91</v>
      </c>
      <c r="BI241" s="241" t="s">
        <v>3088</v>
      </c>
      <c r="BJ241" s="241">
        <v>2017</v>
      </c>
      <c r="BK241" s="247"/>
      <c r="BL241" s="247"/>
      <c r="BM241" s="241"/>
      <c r="BN241" s="241"/>
      <c r="BO241" s="241">
        <v>43</v>
      </c>
      <c r="BP241" s="244"/>
      <c r="BQ241" s="244"/>
      <c r="BR241" s="244"/>
      <c r="BS241" s="244"/>
      <c r="BT241" s="241"/>
      <c r="BU241" s="241"/>
      <c r="BV241" s="241"/>
      <c r="BW241" s="241" t="s">
        <v>3134</v>
      </c>
      <c r="BX241" s="241"/>
      <c r="BY241" s="241"/>
      <c r="BZ241" s="241"/>
      <c r="CA241" s="241"/>
      <c r="CB241" s="241"/>
      <c r="CC241" s="241"/>
      <c r="CD241" s="241"/>
      <c r="CE241" s="241" t="e">
        <f>VLOOKUP(D241,[1]Sertifikasi!$B$4:$I$19,8,0)</f>
        <v>#N/A</v>
      </c>
      <c r="CF241" s="13"/>
      <c r="CG241" s="13"/>
      <c r="CH241" s="13"/>
    </row>
    <row r="242" spans="1:86" ht="11.25" customHeight="1" x14ac:dyDescent="0.2">
      <c r="A242" s="13"/>
      <c r="B242" s="238">
        <v>238</v>
      </c>
      <c r="C242" s="241" t="e">
        <f t="shared" ca="1" si="32"/>
        <v>#NUM!</v>
      </c>
      <c r="D242" s="237" t="s">
        <v>3135</v>
      </c>
      <c r="E242" s="239">
        <v>642201148</v>
      </c>
      <c r="F242" s="237">
        <v>1080017200842</v>
      </c>
      <c r="G242" s="240"/>
      <c r="H242" s="241" t="s">
        <v>26</v>
      </c>
      <c r="I242" s="241" t="s">
        <v>26</v>
      </c>
      <c r="J242" s="242">
        <v>44578</v>
      </c>
      <c r="K242" s="241"/>
      <c r="L242" s="241"/>
      <c r="M242" s="241" t="str">
        <f t="shared" si="33"/>
        <v>PKWT</v>
      </c>
      <c r="N242" s="241" t="s">
        <v>187</v>
      </c>
      <c r="O242" s="241"/>
      <c r="P242" s="243">
        <v>45657</v>
      </c>
      <c r="Q242" s="241"/>
      <c r="R242" s="241" t="s">
        <v>206</v>
      </c>
      <c r="S242" s="241" t="s">
        <v>6863</v>
      </c>
      <c r="T242" s="241" t="s">
        <v>312</v>
      </c>
      <c r="U242" s="241" t="s">
        <v>24</v>
      </c>
      <c r="V242" s="241" t="s">
        <v>204</v>
      </c>
      <c r="W242" s="241" t="s">
        <v>706</v>
      </c>
      <c r="X242" s="241" t="s">
        <v>121</v>
      </c>
      <c r="Y242" s="241" t="s">
        <v>313</v>
      </c>
      <c r="Z242" s="241"/>
      <c r="AA242" s="241"/>
      <c r="AB242" s="241" t="s">
        <v>314</v>
      </c>
      <c r="AC242" s="241" t="s">
        <v>2117</v>
      </c>
      <c r="AD242" s="245">
        <v>35888</v>
      </c>
      <c r="AE242" s="241">
        <f t="shared" ca="1" si="27"/>
        <v>27</v>
      </c>
      <c r="AF242" s="246" t="s">
        <v>3136</v>
      </c>
      <c r="AG242" s="241" t="s">
        <v>3137</v>
      </c>
      <c r="AH242" s="240" t="s">
        <v>3138</v>
      </c>
      <c r="AI242" s="240"/>
      <c r="AJ242" s="240"/>
      <c r="AK242" s="241" t="s">
        <v>3139</v>
      </c>
      <c r="AL242" s="246" t="s">
        <v>3140</v>
      </c>
      <c r="AM242" s="246">
        <v>22017333604</v>
      </c>
      <c r="AN242" s="241" t="s">
        <v>4716</v>
      </c>
      <c r="AO242" s="241"/>
      <c r="AP242" s="241"/>
      <c r="AQ242" s="241"/>
      <c r="AR242" s="241"/>
      <c r="AS242" s="241"/>
      <c r="AT242" s="241" t="s">
        <v>3141</v>
      </c>
      <c r="AU242" s="241" t="s">
        <v>3142</v>
      </c>
      <c r="AV242" s="241" t="s">
        <v>306</v>
      </c>
      <c r="AW242" s="241" t="s">
        <v>306</v>
      </c>
      <c r="AX242" s="241">
        <f t="shared" si="28"/>
        <v>0</v>
      </c>
      <c r="AY242" s="241" t="str">
        <f t="shared" si="29"/>
        <v>TK/0</v>
      </c>
      <c r="AZ242" s="241" t="s">
        <v>3143</v>
      </c>
      <c r="BA242" s="237" t="s">
        <v>3144</v>
      </c>
      <c r="BB242" s="241" t="s">
        <v>161</v>
      </c>
      <c r="BC242" s="241" t="s">
        <v>349</v>
      </c>
      <c r="BD242" s="241" t="s">
        <v>91</v>
      </c>
      <c r="BE242" s="241" t="s">
        <v>2123</v>
      </c>
      <c r="BF242" s="241">
        <v>2016</v>
      </c>
      <c r="BG242" s="241" t="s">
        <v>349</v>
      </c>
      <c r="BH242" s="241" t="s">
        <v>91</v>
      </c>
      <c r="BI242" s="241" t="s">
        <v>2123</v>
      </c>
      <c r="BJ242" s="241">
        <v>2016</v>
      </c>
      <c r="BK242" s="247"/>
      <c r="BL242" s="247"/>
      <c r="BM242" s="241"/>
      <c r="BN242" s="241"/>
      <c r="BO242" s="241">
        <v>42</v>
      </c>
      <c r="BP242" s="244"/>
      <c r="BQ242" s="244">
        <v>44560</v>
      </c>
      <c r="BR242" s="244"/>
      <c r="BS242" s="244"/>
      <c r="BT242" s="241"/>
      <c r="BU242" s="241"/>
      <c r="BV242" s="241"/>
      <c r="BW242" s="241" t="s">
        <v>3145</v>
      </c>
      <c r="BX242" s="241"/>
      <c r="BY242" s="241"/>
      <c r="BZ242" s="241"/>
      <c r="CA242" s="241"/>
      <c r="CB242" s="241"/>
      <c r="CC242" s="241"/>
      <c r="CD242" s="241"/>
      <c r="CE242" s="241" t="e">
        <f>VLOOKUP(D242,[1]Sertifikasi!$B$4:$I$19,8,0)</f>
        <v>#N/A</v>
      </c>
      <c r="CF242" s="13"/>
      <c r="CG242" s="13"/>
      <c r="CH242" s="13"/>
    </row>
    <row r="243" spans="1:86" ht="11.25" customHeight="1" x14ac:dyDescent="0.2">
      <c r="A243" s="13"/>
      <c r="B243" s="238">
        <v>239</v>
      </c>
      <c r="C243" s="241" t="e">
        <f t="shared" ca="1" si="32"/>
        <v>#NUM!</v>
      </c>
      <c r="D243" s="237" t="s">
        <v>3146</v>
      </c>
      <c r="E243" s="239">
        <v>642201135</v>
      </c>
      <c r="F243" s="237">
        <v>1710011622761</v>
      </c>
      <c r="G243" s="240"/>
      <c r="H243" s="241" t="s">
        <v>24</v>
      </c>
      <c r="I243" s="241" t="s">
        <v>432</v>
      </c>
      <c r="J243" s="242">
        <v>44578</v>
      </c>
      <c r="K243" s="241"/>
      <c r="L243" s="241"/>
      <c r="M243" s="241" t="str">
        <f t="shared" si="33"/>
        <v>PKWT</v>
      </c>
      <c r="N243" s="241" t="s">
        <v>187</v>
      </c>
      <c r="O243" s="241"/>
      <c r="P243" s="243">
        <v>45657</v>
      </c>
      <c r="Q243" s="241"/>
      <c r="R243" s="241" t="s">
        <v>206</v>
      </c>
      <c r="S243" s="241" t="s">
        <v>6863</v>
      </c>
      <c r="T243" s="241" t="s">
        <v>312</v>
      </c>
      <c r="U243" s="241" t="s">
        <v>24</v>
      </c>
      <c r="V243" s="241" t="s">
        <v>204</v>
      </c>
      <c r="W243" s="241" t="s">
        <v>706</v>
      </c>
      <c r="X243" s="241" t="s">
        <v>121</v>
      </c>
      <c r="Y243" s="241" t="s">
        <v>313</v>
      </c>
      <c r="Z243" s="241"/>
      <c r="AA243" s="241"/>
      <c r="AB243" s="241" t="s">
        <v>314</v>
      </c>
      <c r="AC243" s="241" t="s">
        <v>217</v>
      </c>
      <c r="AD243" s="245">
        <v>35761</v>
      </c>
      <c r="AE243" s="241">
        <f t="shared" ca="1" si="27"/>
        <v>27</v>
      </c>
      <c r="AF243" s="246" t="s">
        <v>3147</v>
      </c>
      <c r="AG243" s="241" t="s">
        <v>3148</v>
      </c>
      <c r="AH243" s="240" t="s">
        <v>3149</v>
      </c>
      <c r="AI243" s="240"/>
      <c r="AJ243" s="240"/>
      <c r="AK243" s="241" t="s">
        <v>3150</v>
      </c>
      <c r="AL243" s="246" t="s">
        <v>3151</v>
      </c>
      <c r="AM243" s="246">
        <v>22017333620</v>
      </c>
      <c r="AN243" s="241" t="s">
        <v>4716</v>
      </c>
      <c r="AO243" s="241"/>
      <c r="AP243" s="241"/>
      <c r="AQ243" s="241"/>
      <c r="AR243" s="241"/>
      <c r="AS243" s="241"/>
      <c r="AT243" s="241" t="s">
        <v>3152</v>
      </c>
      <c r="AU243" s="241" t="s">
        <v>3153</v>
      </c>
      <c r="AV243" s="241" t="s">
        <v>306</v>
      </c>
      <c r="AW243" s="241" t="s">
        <v>306</v>
      </c>
      <c r="AX243" s="241">
        <f t="shared" si="28"/>
        <v>0</v>
      </c>
      <c r="AY243" s="241" t="str">
        <f t="shared" si="29"/>
        <v>TK/0</v>
      </c>
      <c r="AZ243" s="241" t="s">
        <v>3154</v>
      </c>
      <c r="BA243" s="237" t="s">
        <v>3154</v>
      </c>
      <c r="BB243" s="241" t="s">
        <v>161</v>
      </c>
      <c r="BC243" s="241" t="s">
        <v>349</v>
      </c>
      <c r="BD243" s="241" t="s">
        <v>91</v>
      </c>
      <c r="BE243" s="241" t="s">
        <v>3155</v>
      </c>
      <c r="BF243" s="241">
        <v>2016</v>
      </c>
      <c r="BG243" s="241" t="s">
        <v>349</v>
      </c>
      <c r="BH243" s="241" t="s">
        <v>91</v>
      </c>
      <c r="BI243" s="241" t="s">
        <v>3155</v>
      </c>
      <c r="BJ243" s="241">
        <v>2016</v>
      </c>
      <c r="BK243" s="247"/>
      <c r="BL243" s="247"/>
      <c r="BM243" s="241"/>
      <c r="BN243" s="241"/>
      <c r="BO243" s="241">
        <v>42</v>
      </c>
      <c r="BP243" s="244"/>
      <c r="BQ243" s="244"/>
      <c r="BR243" s="244"/>
      <c r="BS243" s="244"/>
      <c r="BT243" s="241"/>
      <c r="BU243" s="241"/>
      <c r="BV243" s="241"/>
      <c r="BW243" s="241" t="s">
        <v>3156</v>
      </c>
      <c r="BX243" s="241"/>
      <c r="BY243" s="241"/>
      <c r="BZ243" s="241"/>
      <c r="CA243" s="241"/>
      <c r="CB243" s="241"/>
      <c r="CC243" s="241"/>
      <c r="CD243" s="241"/>
      <c r="CE243" s="241" t="e">
        <f>VLOOKUP(D243,[1]Sertifikasi!$B$4:$I$19,8,0)</f>
        <v>#N/A</v>
      </c>
      <c r="CF243" s="13"/>
      <c r="CG243" s="13"/>
      <c r="CH243" s="13"/>
    </row>
    <row r="244" spans="1:86" ht="11.25" customHeight="1" x14ac:dyDescent="0.2">
      <c r="A244" s="13"/>
      <c r="B244" s="238">
        <v>240</v>
      </c>
      <c r="C244" s="241" t="e">
        <f t="shared" ca="1" si="32"/>
        <v>#NUM!</v>
      </c>
      <c r="D244" s="237" t="s">
        <v>3157</v>
      </c>
      <c r="E244" s="239">
        <v>642201139</v>
      </c>
      <c r="F244" s="237">
        <v>1550011491043</v>
      </c>
      <c r="G244" s="240"/>
      <c r="H244" s="241" t="s">
        <v>24</v>
      </c>
      <c r="I244" s="241" t="s">
        <v>24</v>
      </c>
      <c r="J244" s="242">
        <v>44578</v>
      </c>
      <c r="K244" s="241"/>
      <c r="L244" s="241"/>
      <c r="M244" s="241" t="str">
        <f t="shared" si="33"/>
        <v>PKWT</v>
      </c>
      <c r="N244" s="241" t="s">
        <v>187</v>
      </c>
      <c r="O244" s="241"/>
      <c r="P244" s="243">
        <v>45657</v>
      </c>
      <c r="Q244" s="241"/>
      <c r="R244" s="241" t="s">
        <v>206</v>
      </c>
      <c r="S244" s="241" t="s">
        <v>6863</v>
      </c>
      <c r="T244" s="241" t="s">
        <v>312</v>
      </c>
      <c r="U244" s="241" t="s">
        <v>24</v>
      </c>
      <c r="V244" s="241" t="s">
        <v>443</v>
      </c>
      <c r="W244" s="241" t="s">
        <v>175</v>
      </c>
      <c r="X244" s="241" t="s">
        <v>121</v>
      </c>
      <c r="Y244" s="241" t="s">
        <v>313</v>
      </c>
      <c r="Z244" s="241"/>
      <c r="AA244" s="241"/>
      <c r="AB244" s="241" t="s">
        <v>314</v>
      </c>
      <c r="AC244" s="241" t="s">
        <v>1533</v>
      </c>
      <c r="AD244" s="245">
        <v>35326</v>
      </c>
      <c r="AE244" s="241">
        <f t="shared" ca="1" si="27"/>
        <v>29</v>
      </c>
      <c r="AF244" s="246" t="s">
        <v>3158</v>
      </c>
      <c r="AG244" s="241" t="s">
        <v>3159</v>
      </c>
      <c r="AH244" s="240" t="s">
        <v>3160</v>
      </c>
      <c r="AI244" s="240"/>
      <c r="AJ244" s="240"/>
      <c r="AK244" s="241" t="s">
        <v>3161</v>
      </c>
      <c r="AL244" s="246" t="s">
        <v>3162</v>
      </c>
      <c r="AM244" s="246">
        <v>22017333653</v>
      </c>
      <c r="AN244" s="241" t="s">
        <v>4716</v>
      </c>
      <c r="AO244" s="241"/>
      <c r="AP244" s="241"/>
      <c r="AQ244" s="241"/>
      <c r="AR244" s="241"/>
      <c r="AS244" s="241"/>
      <c r="AT244" s="241" t="s">
        <v>3163</v>
      </c>
      <c r="AU244" s="241" t="s">
        <v>3164</v>
      </c>
      <c r="AV244" s="241" t="s">
        <v>306</v>
      </c>
      <c r="AW244" s="241" t="s">
        <v>306</v>
      </c>
      <c r="AX244" s="241">
        <f t="shared" si="28"/>
        <v>0</v>
      </c>
      <c r="AY244" s="241" t="str">
        <f t="shared" si="29"/>
        <v>TK/0</v>
      </c>
      <c r="AZ244" s="241" t="s">
        <v>3165</v>
      </c>
      <c r="BA244" s="237" t="s">
        <v>3165</v>
      </c>
      <c r="BB244" s="241" t="s">
        <v>161</v>
      </c>
      <c r="BC244" s="241" t="s">
        <v>349</v>
      </c>
      <c r="BD244" s="241" t="s">
        <v>3166</v>
      </c>
      <c r="BE244" s="241" t="s">
        <v>3167</v>
      </c>
      <c r="BF244" s="241">
        <v>2014</v>
      </c>
      <c r="BG244" s="241" t="s">
        <v>349</v>
      </c>
      <c r="BH244" s="241" t="s">
        <v>3166</v>
      </c>
      <c r="BI244" s="241" t="s">
        <v>3167</v>
      </c>
      <c r="BJ244" s="241">
        <v>2014</v>
      </c>
      <c r="BK244" s="247"/>
      <c r="BL244" s="247"/>
      <c r="BM244" s="241"/>
      <c r="BN244" s="241"/>
      <c r="BO244" s="241">
        <v>41</v>
      </c>
      <c r="BP244" s="244"/>
      <c r="BQ244" s="244">
        <v>44459</v>
      </c>
      <c r="BR244" s="244"/>
      <c r="BS244" s="244"/>
      <c r="BT244" s="241"/>
      <c r="BU244" s="241"/>
      <c r="BV244" s="241"/>
      <c r="BW244" s="241" t="s">
        <v>3168</v>
      </c>
      <c r="BX244" s="241"/>
      <c r="BY244" s="241"/>
      <c r="BZ244" s="241"/>
      <c r="CA244" s="241"/>
      <c r="CB244" s="241"/>
      <c r="CC244" s="241"/>
      <c r="CD244" s="241"/>
      <c r="CE244" s="241" t="e">
        <f>VLOOKUP(D244,[1]Sertifikasi!$B$4:$I$19,8,0)</f>
        <v>#N/A</v>
      </c>
      <c r="CF244" s="13"/>
      <c r="CG244" s="13"/>
      <c r="CH244" s="13"/>
    </row>
    <row r="245" spans="1:86" ht="11.25" customHeight="1" x14ac:dyDescent="0.2">
      <c r="A245" s="13"/>
      <c r="B245" s="238">
        <v>241</v>
      </c>
      <c r="C245" s="241" t="e">
        <f t="shared" ca="1" si="32"/>
        <v>#NUM!</v>
      </c>
      <c r="D245" s="237" t="s">
        <v>3169</v>
      </c>
      <c r="E245" s="239">
        <v>642201152</v>
      </c>
      <c r="F245" s="237">
        <v>1710002244062</v>
      </c>
      <c r="G245" s="240"/>
      <c r="H245" s="241" t="s">
        <v>217</v>
      </c>
      <c r="I245" s="241" t="s">
        <v>1087</v>
      </c>
      <c r="J245" s="242">
        <v>44579</v>
      </c>
      <c r="K245" s="241"/>
      <c r="L245" s="241"/>
      <c r="M245" s="241" t="str">
        <f t="shared" si="33"/>
        <v>PKWT</v>
      </c>
      <c r="N245" s="241" t="s">
        <v>187</v>
      </c>
      <c r="O245" s="241"/>
      <c r="P245" s="243">
        <v>45657</v>
      </c>
      <c r="Q245" s="241"/>
      <c r="R245" s="241" t="s">
        <v>206</v>
      </c>
      <c r="S245" s="241" t="s">
        <v>6863</v>
      </c>
      <c r="T245" s="241" t="s">
        <v>312</v>
      </c>
      <c r="U245" s="241" t="s">
        <v>31</v>
      </c>
      <c r="V245" s="241" t="s">
        <v>204</v>
      </c>
      <c r="W245" s="241" t="s">
        <v>639</v>
      </c>
      <c r="X245" s="241" t="s">
        <v>122</v>
      </c>
      <c r="Y245" s="241" t="s">
        <v>313</v>
      </c>
      <c r="Z245" s="241"/>
      <c r="AA245" s="241"/>
      <c r="AB245" s="241" t="s">
        <v>314</v>
      </c>
      <c r="AC245" s="241" t="s">
        <v>1087</v>
      </c>
      <c r="AD245" s="245">
        <v>35809</v>
      </c>
      <c r="AE245" s="241">
        <f t="shared" ca="1" si="27"/>
        <v>27</v>
      </c>
      <c r="AF245" s="246" t="s">
        <v>3170</v>
      </c>
      <c r="AG245" s="241" t="s">
        <v>3171</v>
      </c>
      <c r="AH245" s="240" t="s">
        <v>3172</v>
      </c>
      <c r="AI245" s="240"/>
      <c r="AJ245" s="240"/>
      <c r="AK245" s="241" t="s">
        <v>3173</v>
      </c>
      <c r="AL245" s="246" t="s">
        <v>3174</v>
      </c>
      <c r="AM245" s="246">
        <v>22017333612</v>
      </c>
      <c r="AN245" s="241" t="s">
        <v>4733</v>
      </c>
      <c r="AO245" s="241" t="s">
        <v>3175</v>
      </c>
      <c r="AP245" s="241"/>
      <c r="AQ245" s="241"/>
      <c r="AR245" s="241"/>
      <c r="AS245" s="241"/>
      <c r="AT245" s="241" t="s">
        <v>3176</v>
      </c>
      <c r="AU245" s="241" t="s">
        <v>3177</v>
      </c>
      <c r="AV245" s="241" t="s">
        <v>3178</v>
      </c>
      <c r="AW245" s="241" t="s">
        <v>3179</v>
      </c>
      <c r="AX245" s="241">
        <f t="shared" si="28"/>
        <v>0</v>
      </c>
      <c r="AY245" s="241" t="str">
        <f t="shared" si="29"/>
        <v>K/0</v>
      </c>
      <c r="AZ245" s="241" t="s">
        <v>3180</v>
      </c>
      <c r="BA245" s="237" t="s">
        <v>3180</v>
      </c>
      <c r="BB245" s="241" t="s">
        <v>161</v>
      </c>
      <c r="BC245" s="241" t="s">
        <v>349</v>
      </c>
      <c r="BD245" s="241" t="s">
        <v>6779</v>
      </c>
      <c r="BE245" s="241" t="s">
        <v>3181</v>
      </c>
      <c r="BF245" s="241">
        <v>2016</v>
      </c>
      <c r="BG245" s="241" t="s">
        <v>349</v>
      </c>
      <c r="BH245" s="241" t="s">
        <v>6779</v>
      </c>
      <c r="BI245" s="241" t="s">
        <v>3181</v>
      </c>
      <c r="BJ245" s="241">
        <v>2016</v>
      </c>
      <c r="BK245" s="247"/>
      <c r="BL245" s="247"/>
      <c r="BM245" s="241"/>
      <c r="BN245" s="241"/>
      <c r="BO245" s="241">
        <v>41</v>
      </c>
      <c r="BP245" s="244"/>
      <c r="BQ245" s="244"/>
      <c r="BR245" s="244">
        <v>44648</v>
      </c>
      <c r="BS245" s="244"/>
      <c r="BT245" s="241"/>
      <c r="BU245" s="241"/>
      <c r="BV245" s="241"/>
      <c r="BW245" s="241" t="s">
        <v>3182</v>
      </c>
      <c r="BX245" s="241"/>
      <c r="BY245" s="241"/>
      <c r="BZ245" s="241"/>
      <c r="CA245" s="241"/>
      <c r="CB245" s="241"/>
      <c r="CC245" s="241"/>
      <c r="CD245" s="241"/>
      <c r="CE245" s="241" t="e">
        <f>VLOOKUP(D245,[1]Sertifikasi!$B$4:$I$19,8,0)</f>
        <v>#N/A</v>
      </c>
      <c r="CF245" s="13"/>
      <c r="CG245" s="13"/>
      <c r="CH245" s="13"/>
    </row>
    <row r="246" spans="1:86" ht="11.25" customHeight="1" x14ac:dyDescent="0.2">
      <c r="A246" s="13"/>
      <c r="B246" s="238">
        <v>242</v>
      </c>
      <c r="C246" s="241" t="e">
        <f t="shared" ca="1" si="32"/>
        <v>#NUM!</v>
      </c>
      <c r="D246" s="237" t="s">
        <v>3183</v>
      </c>
      <c r="E246" s="239">
        <v>642201154</v>
      </c>
      <c r="F246" s="237">
        <v>1710001957565</v>
      </c>
      <c r="G246" s="240"/>
      <c r="H246" s="241" t="s">
        <v>217</v>
      </c>
      <c r="I246" s="241" t="s">
        <v>311</v>
      </c>
      <c r="J246" s="242">
        <v>44579</v>
      </c>
      <c r="K246" s="241"/>
      <c r="L246" s="241"/>
      <c r="M246" s="241" t="str">
        <f t="shared" si="33"/>
        <v>PKWT</v>
      </c>
      <c r="N246" s="241" t="s">
        <v>187</v>
      </c>
      <c r="O246" s="241"/>
      <c r="P246" s="243">
        <v>45657</v>
      </c>
      <c r="Q246" s="241"/>
      <c r="R246" s="241" t="s">
        <v>206</v>
      </c>
      <c r="S246" s="241" t="s">
        <v>6863</v>
      </c>
      <c r="T246" s="241" t="s">
        <v>312</v>
      </c>
      <c r="U246" s="241" t="s">
        <v>31</v>
      </c>
      <c r="V246" s="241" t="s">
        <v>204</v>
      </c>
      <c r="W246" s="241" t="s">
        <v>639</v>
      </c>
      <c r="X246" s="241" t="s">
        <v>122</v>
      </c>
      <c r="Y246" s="241" t="s">
        <v>313</v>
      </c>
      <c r="Z246" s="241"/>
      <c r="AA246" s="241"/>
      <c r="AB246" s="241" t="s">
        <v>314</v>
      </c>
      <c r="AC246" s="241" t="s">
        <v>311</v>
      </c>
      <c r="AD246" s="245">
        <v>35988</v>
      </c>
      <c r="AE246" s="241">
        <f t="shared" ca="1" si="27"/>
        <v>27</v>
      </c>
      <c r="AF246" s="246" t="s">
        <v>3184</v>
      </c>
      <c r="AG246" s="241" t="s">
        <v>3185</v>
      </c>
      <c r="AH246" s="240" t="s">
        <v>3186</v>
      </c>
      <c r="AI246" s="240"/>
      <c r="AJ246" s="240"/>
      <c r="AK246" s="241" t="s">
        <v>3187</v>
      </c>
      <c r="AL246" s="246" t="s">
        <v>3188</v>
      </c>
      <c r="AM246" s="246">
        <v>22017333760</v>
      </c>
      <c r="AN246" s="241" t="s">
        <v>4716</v>
      </c>
      <c r="AO246" s="241"/>
      <c r="AP246" s="241"/>
      <c r="AQ246" s="241"/>
      <c r="AR246" s="241"/>
      <c r="AS246" s="241"/>
      <c r="AT246" s="241" t="s">
        <v>3189</v>
      </c>
      <c r="AU246" s="241" t="s">
        <v>3190</v>
      </c>
      <c r="AV246" s="241" t="s">
        <v>306</v>
      </c>
      <c r="AW246" s="241" t="s">
        <v>306</v>
      </c>
      <c r="AX246" s="241">
        <f t="shared" si="28"/>
        <v>0</v>
      </c>
      <c r="AY246" s="241" t="str">
        <f t="shared" si="29"/>
        <v>TK/0</v>
      </c>
      <c r="AZ246" s="241" t="s">
        <v>3191</v>
      </c>
      <c r="BA246" s="237" t="s">
        <v>3191</v>
      </c>
      <c r="BB246" s="241" t="s">
        <v>161</v>
      </c>
      <c r="BC246" s="241" t="s">
        <v>349</v>
      </c>
      <c r="BD246" s="241" t="s">
        <v>6779</v>
      </c>
      <c r="BE246" s="241" t="s">
        <v>327</v>
      </c>
      <c r="BF246" s="241">
        <v>2016</v>
      </c>
      <c r="BG246" s="241" t="s">
        <v>349</v>
      </c>
      <c r="BH246" s="241" t="s">
        <v>6779</v>
      </c>
      <c r="BI246" s="241" t="s">
        <v>327</v>
      </c>
      <c r="BJ246" s="241">
        <v>2016</v>
      </c>
      <c r="BK246" s="247"/>
      <c r="BL246" s="247"/>
      <c r="BM246" s="241"/>
      <c r="BN246" s="241"/>
      <c r="BO246" s="241">
        <v>41</v>
      </c>
      <c r="BP246" s="244"/>
      <c r="BQ246" s="244"/>
      <c r="BR246" s="244">
        <v>44648</v>
      </c>
      <c r="BS246" s="244"/>
      <c r="BT246" s="241"/>
      <c r="BU246" s="241"/>
      <c r="BV246" s="241"/>
      <c r="BW246" s="241" t="s">
        <v>3192</v>
      </c>
      <c r="BX246" s="241"/>
      <c r="BY246" s="241"/>
      <c r="BZ246" s="241"/>
      <c r="CA246" s="241"/>
      <c r="CB246" s="241"/>
      <c r="CC246" s="241"/>
      <c r="CD246" s="241"/>
      <c r="CE246" s="241" t="e">
        <f>VLOOKUP(D246,[1]Sertifikasi!$B$4:$I$19,8,0)</f>
        <v>#N/A</v>
      </c>
      <c r="CF246" s="13"/>
      <c r="CG246" s="13"/>
      <c r="CH246" s="13"/>
    </row>
    <row r="247" spans="1:86" ht="11.25" customHeight="1" x14ac:dyDescent="0.2">
      <c r="A247" s="13"/>
      <c r="B247" s="238">
        <v>243</v>
      </c>
      <c r="C247" s="241" t="e">
        <f t="shared" ca="1" si="32"/>
        <v>#NUM!</v>
      </c>
      <c r="D247" s="237" t="s">
        <v>3193</v>
      </c>
      <c r="E247" s="239">
        <v>642201151</v>
      </c>
      <c r="F247" s="237">
        <v>1240011123388</v>
      </c>
      <c r="G247" s="240"/>
      <c r="H247" s="241" t="s">
        <v>217</v>
      </c>
      <c r="I247" s="241" t="s">
        <v>217</v>
      </c>
      <c r="J247" s="242">
        <v>44579</v>
      </c>
      <c r="K247" s="241"/>
      <c r="L247" s="241"/>
      <c r="M247" s="241" t="str">
        <f t="shared" si="33"/>
        <v>PKWT</v>
      </c>
      <c r="N247" s="241" t="s">
        <v>187</v>
      </c>
      <c r="O247" s="241"/>
      <c r="P247" s="243">
        <v>45657</v>
      </c>
      <c r="Q247" s="241"/>
      <c r="R247" s="241" t="s">
        <v>206</v>
      </c>
      <c r="S247" s="241" t="s">
        <v>6863</v>
      </c>
      <c r="T247" s="241" t="s">
        <v>312</v>
      </c>
      <c r="U247" s="241" t="s">
        <v>20</v>
      </c>
      <c r="V247" s="241" t="s">
        <v>204</v>
      </c>
      <c r="W247" s="241" t="s">
        <v>2805</v>
      </c>
      <c r="X247" s="241" t="s">
        <v>122</v>
      </c>
      <c r="Y247" s="241" t="s">
        <v>313</v>
      </c>
      <c r="Z247" s="241"/>
      <c r="AA247" s="241"/>
      <c r="AB247" s="241" t="s">
        <v>314</v>
      </c>
      <c r="AC247" s="241" t="s">
        <v>217</v>
      </c>
      <c r="AD247" s="245">
        <v>35905</v>
      </c>
      <c r="AE247" s="241">
        <f t="shared" ca="1" si="27"/>
        <v>27</v>
      </c>
      <c r="AF247" s="246" t="s">
        <v>3194</v>
      </c>
      <c r="AG247" s="241" t="s">
        <v>3195</v>
      </c>
      <c r="AH247" s="240" t="s">
        <v>3196</v>
      </c>
      <c r="AI247" s="240"/>
      <c r="AJ247" s="240"/>
      <c r="AK247" s="241" t="s">
        <v>3197</v>
      </c>
      <c r="AL247" s="246" t="s">
        <v>3198</v>
      </c>
      <c r="AM247" s="246">
        <v>22017333596</v>
      </c>
      <c r="AN247" s="241" t="s">
        <v>4716</v>
      </c>
      <c r="AO247" s="241"/>
      <c r="AP247" s="241"/>
      <c r="AQ247" s="241"/>
      <c r="AR247" s="241"/>
      <c r="AS247" s="241"/>
      <c r="AT247" s="241" t="s">
        <v>3199</v>
      </c>
      <c r="AU247" s="241" t="s">
        <v>3200</v>
      </c>
      <c r="AV247" s="241" t="s">
        <v>306</v>
      </c>
      <c r="AW247" s="241" t="s">
        <v>306</v>
      </c>
      <c r="AX247" s="241">
        <f t="shared" si="28"/>
        <v>0</v>
      </c>
      <c r="AY247" s="241" t="str">
        <f t="shared" si="29"/>
        <v>TK/0</v>
      </c>
      <c r="AZ247" s="241" t="s">
        <v>3201</v>
      </c>
      <c r="BA247" s="237" t="s">
        <v>3201</v>
      </c>
      <c r="BB247" s="241" t="s">
        <v>161</v>
      </c>
      <c r="BC247" s="241" t="s">
        <v>349</v>
      </c>
      <c r="BD247" s="241" t="s">
        <v>3202</v>
      </c>
      <c r="BE247" s="241" t="s">
        <v>3203</v>
      </c>
      <c r="BF247" s="241">
        <v>2016</v>
      </c>
      <c r="BG247" s="241" t="s">
        <v>349</v>
      </c>
      <c r="BH247" s="241" t="s">
        <v>3202</v>
      </c>
      <c r="BI247" s="241" t="s">
        <v>3203</v>
      </c>
      <c r="BJ247" s="241">
        <v>2016</v>
      </c>
      <c r="BK247" s="247"/>
      <c r="BL247" s="247"/>
      <c r="BM247" s="241"/>
      <c r="BN247" s="241"/>
      <c r="BO247" s="241">
        <v>41</v>
      </c>
      <c r="BP247" s="244"/>
      <c r="BQ247" s="244"/>
      <c r="BR247" s="244"/>
      <c r="BS247" s="244"/>
      <c r="BT247" s="241"/>
      <c r="BU247" s="241"/>
      <c r="BV247" s="241"/>
      <c r="BW247" s="241" t="s">
        <v>3204</v>
      </c>
      <c r="BX247" s="241"/>
      <c r="BY247" s="241"/>
      <c r="BZ247" s="241"/>
      <c r="CA247" s="241"/>
      <c r="CB247" s="241"/>
      <c r="CC247" s="241"/>
      <c r="CD247" s="241"/>
      <c r="CE247" s="241" t="e">
        <f>VLOOKUP(D247,[1]Sertifikasi!$B$4:$I$19,8,0)</f>
        <v>#N/A</v>
      </c>
      <c r="CF247" s="13"/>
      <c r="CG247" s="13"/>
      <c r="CH247" s="13"/>
    </row>
    <row r="248" spans="1:86" ht="11.25" customHeight="1" x14ac:dyDescent="0.2">
      <c r="A248" s="13"/>
      <c r="B248" s="238">
        <v>244</v>
      </c>
      <c r="C248" s="241" t="e">
        <f t="shared" ca="1" si="32"/>
        <v>#NUM!</v>
      </c>
      <c r="D248" s="237" t="s">
        <v>3205</v>
      </c>
      <c r="E248" s="239">
        <v>642201133</v>
      </c>
      <c r="F248" s="237">
        <v>1710001954398</v>
      </c>
      <c r="G248" s="240"/>
      <c r="H248" s="241" t="s">
        <v>24</v>
      </c>
      <c r="I248" s="241" t="s">
        <v>311</v>
      </c>
      <c r="J248" s="242">
        <v>44579</v>
      </c>
      <c r="K248" s="241"/>
      <c r="L248" s="241"/>
      <c r="M248" s="241" t="str">
        <f t="shared" si="33"/>
        <v>PKWT</v>
      </c>
      <c r="N248" s="241" t="s">
        <v>187</v>
      </c>
      <c r="O248" s="241"/>
      <c r="P248" s="243">
        <v>45657</v>
      </c>
      <c r="Q248" s="241"/>
      <c r="R248" s="241" t="s">
        <v>206</v>
      </c>
      <c r="S248" s="241" t="s">
        <v>6863</v>
      </c>
      <c r="T248" s="241" t="s">
        <v>312</v>
      </c>
      <c r="U248" s="241" t="s">
        <v>23</v>
      </c>
      <c r="V248" s="241" t="s">
        <v>443</v>
      </c>
      <c r="W248" s="241" t="s">
        <v>51</v>
      </c>
      <c r="X248" s="241" t="s">
        <v>121</v>
      </c>
      <c r="Y248" s="241" t="s">
        <v>313</v>
      </c>
      <c r="Z248" s="241"/>
      <c r="AA248" s="241"/>
      <c r="AB248" s="241" t="s">
        <v>314</v>
      </c>
      <c r="AC248" s="241" t="s">
        <v>311</v>
      </c>
      <c r="AD248" s="245">
        <v>35756</v>
      </c>
      <c r="AE248" s="241">
        <f t="shared" ca="1" si="27"/>
        <v>27</v>
      </c>
      <c r="AF248" s="246" t="s">
        <v>3206</v>
      </c>
      <c r="AG248" s="241" t="s">
        <v>3207</v>
      </c>
      <c r="AH248" s="240" t="s">
        <v>3208</v>
      </c>
      <c r="AI248" s="240"/>
      <c r="AJ248" s="240"/>
      <c r="AK248" s="241" t="s">
        <v>3209</v>
      </c>
      <c r="AL248" s="246" t="s">
        <v>3210</v>
      </c>
      <c r="AM248" s="246">
        <v>22017333786</v>
      </c>
      <c r="AN248" s="241" t="s">
        <v>4733</v>
      </c>
      <c r="AO248" s="241" t="s">
        <v>3211</v>
      </c>
      <c r="AP248" s="241" t="s">
        <v>3212</v>
      </c>
      <c r="AQ248" s="241"/>
      <c r="AR248" s="241"/>
      <c r="AS248" s="241"/>
      <c r="AT248" s="241" t="s">
        <v>3213</v>
      </c>
      <c r="AU248" s="241" t="s">
        <v>1939</v>
      </c>
      <c r="AV248" s="241" t="s">
        <v>1346</v>
      </c>
      <c r="AW248" s="241" t="s">
        <v>3214</v>
      </c>
      <c r="AX248" s="241">
        <f t="shared" si="28"/>
        <v>1</v>
      </c>
      <c r="AY248" s="241" t="str">
        <f t="shared" si="29"/>
        <v>K/1</v>
      </c>
      <c r="AZ248" s="241" t="s">
        <v>3215</v>
      </c>
      <c r="BA248" s="237" t="s">
        <v>3215</v>
      </c>
      <c r="BB248" s="241" t="s">
        <v>161</v>
      </c>
      <c r="BC248" s="241" t="s">
        <v>349</v>
      </c>
      <c r="BD248" s="241" t="s">
        <v>515</v>
      </c>
      <c r="BE248" s="241" t="s">
        <v>327</v>
      </c>
      <c r="BF248" s="241">
        <v>2016</v>
      </c>
      <c r="BG248" s="241" t="s">
        <v>349</v>
      </c>
      <c r="BH248" s="241" t="s">
        <v>515</v>
      </c>
      <c r="BI248" s="241" t="s">
        <v>327</v>
      </c>
      <c r="BJ248" s="241">
        <v>2016</v>
      </c>
      <c r="BK248" s="247"/>
      <c r="BL248" s="247"/>
      <c r="BM248" s="241"/>
      <c r="BN248" s="241"/>
      <c r="BO248" s="241">
        <v>42</v>
      </c>
      <c r="BP248" s="244"/>
      <c r="BQ248" s="244"/>
      <c r="BR248" s="244">
        <v>44648</v>
      </c>
      <c r="BS248" s="244"/>
      <c r="BT248" s="241"/>
      <c r="BU248" s="241"/>
      <c r="BV248" s="241"/>
      <c r="BW248" s="241"/>
      <c r="BX248" s="241"/>
      <c r="BY248" s="241"/>
      <c r="BZ248" s="241"/>
      <c r="CA248" s="241"/>
      <c r="CB248" s="241"/>
      <c r="CC248" s="241"/>
      <c r="CD248" s="241"/>
      <c r="CE248" s="241" t="e">
        <f>VLOOKUP(D248,[1]Sertifikasi!$B$4:$I$19,8,0)</f>
        <v>#N/A</v>
      </c>
      <c r="CF248" s="13"/>
      <c r="CG248" s="13"/>
      <c r="CH248" s="13"/>
    </row>
    <row r="249" spans="1:86" ht="11.25" customHeight="1" x14ac:dyDescent="0.2">
      <c r="A249" s="13"/>
      <c r="B249" s="238">
        <v>245</v>
      </c>
      <c r="C249" s="241" t="e">
        <f t="shared" ca="1" si="32"/>
        <v>#NUM!</v>
      </c>
      <c r="D249" s="237" t="s">
        <v>3216</v>
      </c>
      <c r="E249" s="239">
        <v>642201143</v>
      </c>
      <c r="F249" s="237">
        <v>1710001957870</v>
      </c>
      <c r="G249" s="240"/>
      <c r="H249" s="241" t="s">
        <v>217</v>
      </c>
      <c r="I249" s="241" t="s">
        <v>217</v>
      </c>
      <c r="J249" s="242">
        <v>44579</v>
      </c>
      <c r="K249" s="241"/>
      <c r="L249" s="241"/>
      <c r="M249" s="241" t="str">
        <f t="shared" si="33"/>
        <v>PKWT</v>
      </c>
      <c r="N249" s="241" t="s">
        <v>187</v>
      </c>
      <c r="O249" s="241"/>
      <c r="P249" s="243">
        <v>45657</v>
      </c>
      <c r="Q249" s="241"/>
      <c r="R249" s="241" t="s">
        <v>206</v>
      </c>
      <c r="S249" s="241" t="s">
        <v>6863</v>
      </c>
      <c r="T249" s="241" t="s">
        <v>312</v>
      </c>
      <c r="U249" s="241" t="s">
        <v>204</v>
      </c>
      <c r="V249" s="241" t="s">
        <v>6211</v>
      </c>
      <c r="W249" s="241" t="s">
        <v>121</v>
      </c>
      <c r="X249" s="241" t="s">
        <v>121</v>
      </c>
      <c r="Y249" s="241" t="s">
        <v>313</v>
      </c>
      <c r="Z249" s="241"/>
      <c r="AA249" s="241"/>
      <c r="AB249" s="241" t="s">
        <v>314</v>
      </c>
      <c r="AC249" s="241" t="s">
        <v>217</v>
      </c>
      <c r="AD249" s="245">
        <v>35940</v>
      </c>
      <c r="AE249" s="241">
        <f t="shared" ca="1" si="27"/>
        <v>27</v>
      </c>
      <c r="AF249" s="246" t="s">
        <v>3217</v>
      </c>
      <c r="AG249" s="241" t="s">
        <v>3218</v>
      </c>
      <c r="AH249" s="240" t="s">
        <v>3219</v>
      </c>
      <c r="AI249" s="240"/>
      <c r="AJ249" s="240"/>
      <c r="AK249" s="241" t="s">
        <v>3220</v>
      </c>
      <c r="AL249" s="246" t="s">
        <v>3221</v>
      </c>
      <c r="AM249" s="246">
        <v>22017333687</v>
      </c>
      <c r="AN249" s="241" t="s">
        <v>4716</v>
      </c>
      <c r="AO249" s="241"/>
      <c r="AP249" s="241"/>
      <c r="AQ249" s="241"/>
      <c r="AR249" s="241"/>
      <c r="AS249" s="241"/>
      <c r="AT249" s="241" t="s">
        <v>306</v>
      </c>
      <c r="AU249" s="241" t="s">
        <v>306</v>
      </c>
      <c r="AV249" s="241" t="s">
        <v>306</v>
      </c>
      <c r="AW249" s="241" t="s">
        <v>306</v>
      </c>
      <c r="AX249" s="241">
        <f t="shared" si="28"/>
        <v>0</v>
      </c>
      <c r="AY249" s="241" t="str">
        <f t="shared" si="29"/>
        <v>TK/0</v>
      </c>
      <c r="AZ249" s="241"/>
      <c r="BA249" s="237"/>
      <c r="BB249" s="241" t="s">
        <v>161</v>
      </c>
      <c r="BC249" s="241" t="s">
        <v>349</v>
      </c>
      <c r="BD249" s="241" t="s">
        <v>515</v>
      </c>
      <c r="BE249" s="241" t="s">
        <v>516</v>
      </c>
      <c r="BF249" s="241">
        <v>2016</v>
      </c>
      <c r="BG249" s="241" t="s">
        <v>349</v>
      </c>
      <c r="BH249" s="241" t="s">
        <v>515</v>
      </c>
      <c r="BI249" s="241" t="s">
        <v>516</v>
      </c>
      <c r="BJ249" s="241">
        <v>2016</v>
      </c>
      <c r="BK249" s="247"/>
      <c r="BL249" s="247"/>
      <c r="BM249" s="241"/>
      <c r="BN249" s="241"/>
      <c r="BO249" s="241">
        <v>40</v>
      </c>
      <c r="BP249" s="244"/>
      <c r="BQ249" s="244"/>
      <c r="BR249" s="244"/>
      <c r="BS249" s="244"/>
      <c r="BT249" s="241"/>
      <c r="BU249" s="241"/>
      <c r="BV249" s="241"/>
      <c r="BW249" s="241"/>
      <c r="BX249" s="241"/>
      <c r="BY249" s="241"/>
      <c r="BZ249" s="241"/>
      <c r="CA249" s="241"/>
      <c r="CB249" s="241"/>
      <c r="CC249" s="241"/>
      <c r="CD249" s="241"/>
      <c r="CE249" s="241" t="e">
        <f>VLOOKUP(D249,[1]Sertifikasi!$B$4:$I$19,8,0)</f>
        <v>#N/A</v>
      </c>
      <c r="CF249" s="13"/>
      <c r="CG249" s="13"/>
      <c r="CH249" s="13"/>
    </row>
    <row r="250" spans="1:86" ht="11.25" customHeight="1" x14ac:dyDescent="0.2">
      <c r="A250" s="13"/>
      <c r="B250" s="238">
        <v>246</v>
      </c>
      <c r="C250" s="241" t="e">
        <f t="shared" ca="1" si="32"/>
        <v>#NUM!</v>
      </c>
      <c r="D250" s="237" t="s">
        <v>3222</v>
      </c>
      <c r="E250" s="239">
        <v>642201144</v>
      </c>
      <c r="F250" s="237">
        <v>1710001954695</v>
      </c>
      <c r="G250" s="240"/>
      <c r="H250" s="241" t="s">
        <v>217</v>
      </c>
      <c r="I250" s="241" t="s">
        <v>217</v>
      </c>
      <c r="J250" s="242">
        <v>44579</v>
      </c>
      <c r="K250" s="241"/>
      <c r="L250" s="241"/>
      <c r="M250" s="241" t="str">
        <f t="shared" si="33"/>
        <v>PKWT</v>
      </c>
      <c r="N250" s="241" t="s">
        <v>187</v>
      </c>
      <c r="O250" s="241"/>
      <c r="P250" s="243">
        <v>45657</v>
      </c>
      <c r="Q250" s="241"/>
      <c r="R250" s="241" t="s">
        <v>206</v>
      </c>
      <c r="S250" s="241" t="s">
        <v>6863</v>
      </c>
      <c r="T250" s="241" t="s">
        <v>312</v>
      </c>
      <c r="U250" s="241" t="s">
        <v>22</v>
      </c>
      <c r="V250" s="241" t="s">
        <v>547</v>
      </c>
      <c r="W250" s="241" t="s">
        <v>78</v>
      </c>
      <c r="X250" s="241" t="s">
        <v>122</v>
      </c>
      <c r="Y250" s="241" t="s">
        <v>313</v>
      </c>
      <c r="Z250" s="241"/>
      <c r="AA250" s="241"/>
      <c r="AB250" s="241" t="s">
        <v>314</v>
      </c>
      <c r="AC250" s="241" t="s">
        <v>217</v>
      </c>
      <c r="AD250" s="245">
        <v>35827</v>
      </c>
      <c r="AE250" s="241">
        <f t="shared" ca="1" si="27"/>
        <v>27</v>
      </c>
      <c r="AF250" s="246" t="s">
        <v>3223</v>
      </c>
      <c r="AG250" s="241" t="s">
        <v>3224</v>
      </c>
      <c r="AH250" s="240" t="s">
        <v>3225</v>
      </c>
      <c r="AI250" s="240"/>
      <c r="AJ250" s="240"/>
      <c r="AK250" s="241" t="s">
        <v>3226</v>
      </c>
      <c r="AL250" s="246" t="s">
        <v>3227</v>
      </c>
      <c r="AM250" s="246">
        <v>22017333695</v>
      </c>
      <c r="AN250" s="241" t="s">
        <v>4716</v>
      </c>
      <c r="AO250" s="241"/>
      <c r="AP250" s="241"/>
      <c r="AQ250" s="241"/>
      <c r="AR250" s="241"/>
      <c r="AS250" s="241"/>
      <c r="AT250" s="241" t="s">
        <v>3228</v>
      </c>
      <c r="AU250" s="241" t="s">
        <v>3229</v>
      </c>
      <c r="AV250" s="241" t="s">
        <v>306</v>
      </c>
      <c r="AW250" s="241" t="s">
        <v>306</v>
      </c>
      <c r="AX250" s="241">
        <f t="shared" si="28"/>
        <v>0</v>
      </c>
      <c r="AY250" s="241" t="str">
        <f t="shared" si="29"/>
        <v>TK/0</v>
      </c>
      <c r="AZ250" s="241" t="s">
        <v>3230</v>
      </c>
      <c r="BA250" s="237" t="s">
        <v>3230</v>
      </c>
      <c r="BB250" s="241" t="s">
        <v>161</v>
      </c>
      <c r="BC250" s="241" t="s">
        <v>349</v>
      </c>
      <c r="BD250" s="241" t="s">
        <v>515</v>
      </c>
      <c r="BE250" s="241" t="s">
        <v>1292</v>
      </c>
      <c r="BF250" s="241">
        <v>2016</v>
      </c>
      <c r="BG250" s="241" t="s">
        <v>349</v>
      </c>
      <c r="BH250" s="241" t="s">
        <v>515</v>
      </c>
      <c r="BI250" s="241" t="s">
        <v>1292</v>
      </c>
      <c r="BJ250" s="241">
        <v>2016</v>
      </c>
      <c r="BK250" s="247"/>
      <c r="BL250" s="247"/>
      <c r="BM250" s="241"/>
      <c r="BN250" s="241"/>
      <c r="BO250" s="241">
        <v>42</v>
      </c>
      <c r="BP250" s="244"/>
      <c r="BQ250" s="244"/>
      <c r="BR250" s="244"/>
      <c r="BS250" s="244"/>
      <c r="BT250" s="241"/>
      <c r="BU250" s="241"/>
      <c r="BV250" s="241"/>
      <c r="BW250" s="241"/>
      <c r="BX250" s="241"/>
      <c r="BY250" s="241"/>
      <c r="BZ250" s="241"/>
      <c r="CA250" s="241"/>
      <c r="CB250" s="241"/>
      <c r="CC250" s="241"/>
      <c r="CD250" s="241"/>
      <c r="CE250" s="241" t="e">
        <f>VLOOKUP(D250,[1]Sertifikasi!$B$4:$I$19,8,0)</f>
        <v>#N/A</v>
      </c>
      <c r="CF250" s="13"/>
      <c r="CG250" s="13"/>
      <c r="CH250" s="13"/>
    </row>
    <row r="251" spans="1:86" ht="11.25" customHeight="1" x14ac:dyDescent="0.2">
      <c r="A251" s="13"/>
      <c r="B251" s="238">
        <v>247</v>
      </c>
      <c r="C251" s="241" t="e">
        <f t="shared" ca="1" si="32"/>
        <v>#NUM!</v>
      </c>
      <c r="D251" s="237" t="s">
        <v>3231</v>
      </c>
      <c r="E251" s="239">
        <v>642201145</v>
      </c>
      <c r="F251" s="237">
        <v>1710001958068</v>
      </c>
      <c r="G251" s="240"/>
      <c r="H251" s="241" t="s">
        <v>217</v>
      </c>
      <c r="I251" s="241" t="s">
        <v>217</v>
      </c>
      <c r="J251" s="242">
        <v>44579</v>
      </c>
      <c r="K251" s="241"/>
      <c r="L251" s="241"/>
      <c r="M251" s="241" t="str">
        <f t="shared" si="33"/>
        <v>PKWT</v>
      </c>
      <c r="N251" s="241" t="s">
        <v>187</v>
      </c>
      <c r="O251" s="241"/>
      <c r="P251" s="243">
        <v>45657</v>
      </c>
      <c r="Q251" s="241"/>
      <c r="R251" s="241" t="s">
        <v>206</v>
      </c>
      <c r="S251" s="241" t="s">
        <v>6863</v>
      </c>
      <c r="T251" s="241" t="s">
        <v>312</v>
      </c>
      <c r="U251" s="241" t="s">
        <v>25</v>
      </c>
      <c r="V251" s="241" t="s">
        <v>443</v>
      </c>
      <c r="W251" s="241" t="s">
        <v>748</v>
      </c>
      <c r="X251" s="241" t="s">
        <v>121</v>
      </c>
      <c r="Y251" s="241" t="s">
        <v>313</v>
      </c>
      <c r="Z251" s="241"/>
      <c r="AA251" s="241"/>
      <c r="AB251" s="241" t="s">
        <v>314</v>
      </c>
      <c r="AC251" s="241" t="s">
        <v>217</v>
      </c>
      <c r="AD251" s="245">
        <v>35768</v>
      </c>
      <c r="AE251" s="241">
        <f t="shared" ca="1" si="27"/>
        <v>27</v>
      </c>
      <c r="AF251" s="246" t="s">
        <v>3232</v>
      </c>
      <c r="AG251" s="241" t="s">
        <v>3233</v>
      </c>
      <c r="AH251" s="240" t="s">
        <v>3234</v>
      </c>
      <c r="AI251" s="240"/>
      <c r="AJ251" s="240"/>
      <c r="AK251" s="241" t="s">
        <v>3235</v>
      </c>
      <c r="AL251" s="246" t="s">
        <v>3236</v>
      </c>
      <c r="AM251" s="246">
        <v>22017333679</v>
      </c>
      <c r="AN251" s="241" t="s">
        <v>4716</v>
      </c>
      <c r="AO251" s="241"/>
      <c r="AP251" s="241"/>
      <c r="AQ251" s="241"/>
      <c r="AR251" s="241"/>
      <c r="AS251" s="241"/>
      <c r="AT251" s="241" t="s">
        <v>3237</v>
      </c>
      <c r="AU251" s="241" t="s">
        <v>3238</v>
      </c>
      <c r="AV251" s="241" t="s">
        <v>306</v>
      </c>
      <c r="AW251" s="241" t="s">
        <v>306</v>
      </c>
      <c r="AX251" s="241">
        <f t="shared" si="28"/>
        <v>0</v>
      </c>
      <c r="AY251" s="241" t="str">
        <f t="shared" si="29"/>
        <v>TK/0</v>
      </c>
      <c r="AZ251" s="241" t="s">
        <v>3239</v>
      </c>
      <c r="BA251" s="237" t="s">
        <v>3239</v>
      </c>
      <c r="BB251" s="241" t="s">
        <v>161</v>
      </c>
      <c r="BC251" s="241" t="s">
        <v>349</v>
      </c>
      <c r="BD251" s="241" t="s">
        <v>515</v>
      </c>
      <c r="BE251" s="241" t="s">
        <v>516</v>
      </c>
      <c r="BF251" s="241">
        <v>2016</v>
      </c>
      <c r="BG251" s="241" t="s">
        <v>475</v>
      </c>
      <c r="BH251" s="241" t="s">
        <v>515</v>
      </c>
      <c r="BI251" s="241" t="s">
        <v>516</v>
      </c>
      <c r="BJ251" s="241">
        <v>2016</v>
      </c>
      <c r="BK251" s="247"/>
      <c r="BL251" s="247"/>
      <c r="BM251" s="241"/>
      <c r="BN251" s="241"/>
      <c r="BO251" s="241">
        <v>41</v>
      </c>
      <c r="BP251" s="244"/>
      <c r="BQ251" s="244"/>
      <c r="BR251" s="244">
        <v>44651</v>
      </c>
      <c r="BS251" s="244"/>
      <c r="BT251" s="241"/>
      <c r="BU251" s="241"/>
      <c r="BV251" s="241"/>
      <c r="BW251" s="241"/>
      <c r="BX251" s="241"/>
      <c r="BY251" s="241"/>
      <c r="BZ251" s="241"/>
      <c r="CA251" s="241"/>
      <c r="CB251" s="241"/>
      <c r="CC251" s="241"/>
      <c r="CD251" s="241"/>
      <c r="CE251" s="241" t="e">
        <f>VLOOKUP(D251,[1]Sertifikasi!$B$4:$I$19,8,0)</f>
        <v>#N/A</v>
      </c>
      <c r="CF251" s="13"/>
      <c r="CG251" s="13"/>
      <c r="CH251" s="13"/>
    </row>
    <row r="252" spans="1:86" ht="11.25" customHeight="1" x14ac:dyDescent="0.2">
      <c r="A252" s="13"/>
      <c r="B252" s="238">
        <v>248</v>
      </c>
      <c r="C252" s="241" t="e">
        <f t="shared" ca="1" si="32"/>
        <v>#NUM!</v>
      </c>
      <c r="D252" s="237" t="s">
        <v>3240</v>
      </c>
      <c r="E252" s="239">
        <v>642201150</v>
      </c>
      <c r="F252" s="237">
        <v>1710001955833</v>
      </c>
      <c r="G252" s="240"/>
      <c r="H252" s="241" t="s">
        <v>217</v>
      </c>
      <c r="I252" s="241" t="s">
        <v>217</v>
      </c>
      <c r="J252" s="242">
        <v>44579</v>
      </c>
      <c r="K252" s="241"/>
      <c r="L252" s="241"/>
      <c r="M252" s="241" t="str">
        <f t="shared" si="33"/>
        <v>PKWT</v>
      </c>
      <c r="N252" s="241" t="s">
        <v>187</v>
      </c>
      <c r="O252" s="241"/>
      <c r="P252" s="243">
        <v>45657</v>
      </c>
      <c r="Q252" s="241"/>
      <c r="R252" s="241" t="s">
        <v>206</v>
      </c>
      <c r="S252" s="241" t="s">
        <v>6863</v>
      </c>
      <c r="T252" s="241" t="s">
        <v>312</v>
      </c>
      <c r="U252" s="241" t="s">
        <v>24</v>
      </c>
      <c r="V252" s="241" t="s">
        <v>443</v>
      </c>
      <c r="W252" s="241" t="s">
        <v>175</v>
      </c>
      <c r="X252" s="241" t="s">
        <v>121</v>
      </c>
      <c r="Y252" s="241" t="s">
        <v>313</v>
      </c>
      <c r="Z252" s="241"/>
      <c r="AA252" s="241"/>
      <c r="AB252" s="241" t="s">
        <v>314</v>
      </c>
      <c r="AC252" s="241" t="s">
        <v>217</v>
      </c>
      <c r="AD252" s="245">
        <v>35990</v>
      </c>
      <c r="AE252" s="241">
        <f t="shared" ca="1" si="27"/>
        <v>27</v>
      </c>
      <c r="AF252" s="246" t="s">
        <v>3241</v>
      </c>
      <c r="AG252" s="241" t="s">
        <v>3242</v>
      </c>
      <c r="AH252" s="240" t="s">
        <v>3243</v>
      </c>
      <c r="AI252" s="240"/>
      <c r="AJ252" s="240"/>
      <c r="AK252" s="241" t="s">
        <v>3244</v>
      </c>
      <c r="AL252" s="246" t="s">
        <v>3245</v>
      </c>
      <c r="AM252" s="246">
        <v>22017333661</v>
      </c>
      <c r="AN252" s="241" t="s">
        <v>4733</v>
      </c>
      <c r="AO252" s="241" t="s">
        <v>3246</v>
      </c>
      <c r="AP252" s="241"/>
      <c r="AQ252" s="241"/>
      <c r="AR252" s="241"/>
      <c r="AS252" s="241"/>
      <c r="AT252" s="241" t="s">
        <v>3247</v>
      </c>
      <c r="AU252" s="241" t="s">
        <v>3248</v>
      </c>
      <c r="AV252" s="241" t="s">
        <v>3249</v>
      </c>
      <c r="AW252" s="241" t="s">
        <v>3250</v>
      </c>
      <c r="AX252" s="241">
        <f t="shared" si="28"/>
        <v>0</v>
      </c>
      <c r="AY252" s="241" t="str">
        <f t="shared" si="29"/>
        <v>K/0</v>
      </c>
      <c r="AZ252" s="241" t="s">
        <v>3251</v>
      </c>
      <c r="BA252" s="237" t="s">
        <v>3251</v>
      </c>
      <c r="BB252" s="241" t="s">
        <v>161</v>
      </c>
      <c r="BC252" s="241" t="s">
        <v>349</v>
      </c>
      <c r="BD252" s="241" t="s">
        <v>515</v>
      </c>
      <c r="BE252" s="241" t="s">
        <v>1631</v>
      </c>
      <c r="BF252" s="241">
        <v>2016</v>
      </c>
      <c r="BG252" s="241" t="s">
        <v>349</v>
      </c>
      <c r="BH252" s="241" t="s">
        <v>515</v>
      </c>
      <c r="BI252" s="241" t="s">
        <v>1631</v>
      </c>
      <c r="BJ252" s="241">
        <v>2016</v>
      </c>
      <c r="BK252" s="247"/>
      <c r="BL252" s="247"/>
      <c r="BM252" s="241"/>
      <c r="BN252" s="241"/>
      <c r="BO252" s="241">
        <v>41</v>
      </c>
      <c r="BP252" s="244"/>
      <c r="BQ252" s="244"/>
      <c r="BR252" s="244"/>
      <c r="BS252" s="244"/>
      <c r="BT252" s="241"/>
      <c r="BU252" s="241"/>
      <c r="BV252" s="241"/>
      <c r="BW252" s="241"/>
      <c r="BX252" s="241"/>
      <c r="BY252" s="241"/>
      <c r="BZ252" s="241"/>
      <c r="CA252" s="241"/>
      <c r="CB252" s="241"/>
      <c r="CC252" s="241"/>
      <c r="CD252" s="241"/>
      <c r="CE252" s="241" t="e">
        <f>VLOOKUP(D252,[1]Sertifikasi!$B$4:$I$19,8,0)</f>
        <v>#N/A</v>
      </c>
      <c r="CF252" s="13"/>
      <c r="CG252" s="13"/>
      <c r="CH252" s="13"/>
    </row>
    <row r="253" spans="1:86" ht="11.25" customHeight="1" x14ac:dyDescent="0.2">
      <c r="A253" s="13"/>
      <c r="B253" s="238">
        <v>249</v>
      </c>
      <c r="C253" s="241" t="e">
        <f t="shared" ca="1" si="32"/>
        <v>#NUM!</v>
      </c>
      <c r="D253" s="237" t="s">
        <v>3252</v>
      </c>
      <c r="E253" s="239">
        <v>642201132</v>
      </c>
      <c r="F253" s="237">
        <v>1710010808171</v>
      </c>
      <c r="G253" s="240"/>
      <c r="H253" s="241" t="s">
        <v>217</v>
      </c>
      <c r="I253" s="241" t="s">
        <v>315</v>
      </c>
      <c r="J253" s="242">
        <v>44579</v>
      </c>
      <c r="K253" s="241"/>
      <c r="L253" s="241"/>
      <c r="M253" s="241" t="str">
        <f t="shared" si="33"/>
        <v>PKWT</v>
      </c>
      <c r="N253" s="241" t="s">
        <v>187</v>
      </c>
      <c r="O253" s="241"/>
      <c r="P253" s="243">
        <v>45657</v>
      </c>
      <c r="Q253" s="241"/>
      <c r="R253" s="241" t="s">
        <v>206</v>
      </c>
      <c r="S253" s="241" t="s">
        <v>6863</v>
      </c>
      <c r="T253" s="241" t="s">
        <v>312</v>
      </c>
      <c r="U253" s="241" t="s">
        <v>23</v>
      </c>
      <c r="V253" s="241" t="s">
        <v>443</v>
      </c>
      <c r="W253" s="241" t="s">
        <v>51</v>
      </c>
      <c r="X253" s="241" t="s">
        <v>121</v>
      </c>
      <c r="Y253" s="241" t="s">
        <v>313</v>
      </c>
      <c r="Z253" s="241"/>
      <c r="AA253" s="241"/>
      <c r="AB253" s="241" t="s">
        <v>314</v>
      </c>
      <c r="AC253" s="241" t="s">
        <v>315</v>
      </c>
      <c r="AD253" s="245">
        <v>36147</v>
      </c>
      <c r="AE253" s="241">
        <f t="shared" ca="1" si="27"/>
        <v>26</v>
      </c>
      <c r="AF253" s="246" t="s">
        <v>3253</v>
      </c>
      <c r="AG253" s="241" t="s">
        <v>3254</v>
      </c>
      <c r="AH253" s="240" t="s">
        <v>3255</v>
      </c>
      <c r="AI253" s="240"/>
      <c r="AJ253" s="240"/>
      <c r="AK253" s="250" t="s">
        <v>3256</v>
      </c>
      <c r="AL253" s="246" t="s">
        <v>3257</v>
      </c>
      <c r="AM253" s="246">
        <v>22017333638</v>
      </c>
      <c r="AN253" s="241" t="s">
        <v>4733</v>
      </c>
      <c r="AO253" s="241" t="s">
        <v>3258</v>
      </c>
      <c r="AP253" s="241"/>
      <c r="AQ253" s="241"/>
      <c r="AR253" s="241"/>
      <c r="AS253" s="241"/>
      <c r="AT253" s="241" t="s">
        <v>3259</v>
      </c>
      <c r="AU253" s="241" t="s">
        <v>3260</v>
      </c>
      <c r="AV253" s="241" t="s">
        <v>1182</v>
      </c>
      <c r="AW253" s="241" t="s">
        <v>3261</v>
      </c>
      <c r="AX253" s="241">
        <f t="shared" si="28"/>
        <v>0</v>
      </c>
      <c r="AY253" s="241" t="str">
        <f t="shared" si="29"/>
        <v>K/0</v>
      </c>
      <c r="AZ253" s="241" t="s">
        <v>3262</v>
      </c>
      <c r="BA253" s="237" t="s">
        <v>3262</v>
      </c>
      <c r="BB253" s="241" t="s">
        <v>161</v>
      </c>
      <c r="BC253" s="241" t="s">
        <v>349</v>
      </c>
      <c r="BD253" s="241" t="s">
        <v>515</v>
      </c>
      <c r="BE253" s="241" t="s">
        <v>1319</v>
      </c>
      <c r="BF253" s="241">
        <v>2016</v>
      </c>
      <c r="BG253" s="241" t="s">
        <v>349</v>
      </c>
      <c r="BH253" s="241" t="s">
        <v>515</v>
      </c>
      <c r="BI253" s="241" t="s">
        <v>1319</v>
      </c>
      <c r="BJ253" s="241">
        <v>2016</v>
      </c>
      <c r="BK253" s="247"/>
      <c r="BL253" s="247"/>
      <c r="BM253" s="241"/>
      <c r="BN253" s="241"/>
      <c r="BO253" s="241">
        <v>41</v>
      </c>
      <c r="BP253" s="244"/>
      <c r="BQ253" s="244"/>
      <c r="BR253" s="244"/>
      <c r="BS253" s="244"/>
      <c r="BT253" s="241"/>
      <c r="BU253" s="241"/>
      <c r="BV253" s="241"/>
      <c r="BW253" s="241"/>
      <c r="BX253" s="241"/>
      <c r="BY253" s="241"/>
      <c r="BZ253" s="241"/>
      <c r="CA253" s="241"/>
      <c r="CB253" s="241"/>
      <c r="CC253" s="241"/>
      <c r="CD253" s="241"/>
      <c r="CE253" s="241" t="e">
        <f>VLOOKUP(D253,[1]Sertifikasi!$B$4:$I$19,8,0)</f>
        <v>#N/A</v>
      </c>
      <c r="CF253" s="13"/>
      <c r="CG253" s="13"/>
      <c r="CH253" s="13"/>
    </row>
    <row r="254" spans="1:86" ht="11.25" customHeight="1" x14ac:dyDescent="0.2">
      <c r="A254" s="13"/>
      <c r="B254" s="238">
        <v>250</v>
      </c>
      <c r="C254" s="241" t="e">
        <f t="shared" ca="1" si="32"/>
        <v>#NUM!</v>
      </c>
      <c r="D254" s="237" t="s">
        <v>3263</v>
      </c>
      <c r="E254" s="239">
        <v>642201156</v>
      </c>
      <c r="F254" s="237"/>
      <c r="G254" s="240">
        <v>7190173911</v>
      </c>
      <c r="H254" s="241" t="s">
        <v>24</v>
      </c>
      <c r="I254" s="241" t="s">
        <v>24</v>
      </c>
      <c r="J254" s="242">
        <v>44594</v>
      </c>
      <c r="K254" s="241"/>
      <c r="L254" s="241"/>
      <c r="M254" s="241" t="str">
        <f t="shared" si="33"/>
        <v>PKWT</v>
      </c>
      <c r="N254" s="241" t="s">
        <v>187</v>
      </c>
      <c r="O254" s="241"/>
      <c r="P254" s="243">
        <v>45535</v>
      </c>
      <c r="Q254" s="241"/>
      <c r="R254" s="241" t="s">
        <v>206</v>
      </c>
      <c r="S254" s="241" t="s">
        <v>6863</v>
      </c>
      <c r="T254" s="241" t="s">
        <v>312</v>
      </c>
      <c r="U254" s="241" t="s">
        <v>24</v>
      </c>
      <c r="V254" s="241" t="s">
        <v>443</v>
      </c>
      <c r="W254" s="241" t="s">
        <v>175</v>
      </c>
      <c r="X254" s="241" t="s">
        <v>121</v>
      </c>
      <c r="Y254" s="241" t="s">
        <v>313</v>
      </c>
      <c r="Z254" s="241" t="s">
        <v>445</v>
      </c>
      <c r="AA254" s="241"/>
      <c r="AB254" s="241" t="s">
        <v>314</v>
      </c>
      <c r="AC254" s="241" t="s">
        <v>3264</v>
      </c>
      <c r="AD254" s="245">
        <v>32924</v>
      </c>
      <c r="AE254" s="241">
        <f t="shared" ca="1" si="27"/>
        <v>35</v>
      </c>
      <c r="AF254" s="246" t="s">
        <v>3265</v>
      </c>
      <c r="AG254" s="241" t="s">
        <v>3266</v>
      </c>
      <c r="AH254" s="240" t="s">
        <v>3267</v>
      </c>
      <c r="AI254" s="240"/>
      <c r="AJ254" s="240"/>
      <c r="AK254" s="241" t="s">
        <v>3268</v>
      </c>
      <c r="AL254" s="246" t="s">
        <v>3269</v>
      </c>
      <c r="AM254" s="246">
        <v>22017333513</v>
      </c>
      <c r="AN254" s="241" t="s">
        <v>4716</v>
      </c>
      <c r="AO254" s="241"/>
      <c r="AP254" s="241"/>
      <c r="AQ254" s="241"/>
      <c r="AR254" s="241"/>
      <c r="AS254" s="241"/>
      <c r="AT254" s="241" t="s">
        <v>306</v>
      </c>
      <c r="AU254" s="241" t="s">
        <v>306</v>
      </c>
      <c r="AV254" s="241" t="s">
        <v>306</v>
      </c>
      <c r="AW254" s="241" t="s">
        <v>306</v>
      </c>
      <c r="AX254" s="241">
        <f t="shared" si="28"/>
        <v>0</v>
      </c>
      <c r="AY254" s="241" t="str">
        <f t="shared" si="29"/>
        <v>TK/0</v>
      </c>
      <c r="AZ254" s="241"/>
      <c r="BA254" s="237"/>
      <c r="BB254" s="241" t="s">
        <v>161</v>
      </c>
      <c r="BC254" s="241" t="s">
        <v>75</v>
      </c>
      <c r="BD254" s="241" t="s">
        <v>106</v>
      </c>
      <c r="BE254" s="241" t="s">
        <v>1337</v>
      </c>
      <c r="BF254" s="241">
        <v>2016</v>
      </c>
      <c r="BG254" s="241" t="s">
        <v>75</v>
      </c>
      <c r="BH254" s="241" t="s">
        <v>106</v>
      </c>
      <c r="BI254" s="241" t="s">
        <v>1337</v>
      </c>
      <c r="BJ254" s="241">
        <v>2016</v>
      </c>
      <c r="BK254" s="247"/>
      <c r="BL254" s="247"/>
      <c r="BM254" s="241"/>
      <c r="BN254" s="241"/>
      <c r="BO254" s="241">
        <v>40</v>
      </c>
      <c r="BP254" s="244"/>
      <c r="BQ254" s="244"/>
      <c r="BR254" s="244"/>
      <c r="BS254" s="244"/>
      <c r="BT254" s="241"/>
      <c r="BU254" s="241"/>
      <c r="BV254" s="241"/>
      <c r="BW254" s="241" t="s">
        <v>3270</v>
      </c>
      <c r="BX254" s="241"/>
      <c r="BY254" s="241"/>
      <c r="BZ254" s="241"/>
      <c r="CA254" s="241"/>
      <c r="CB254" s="241"/>
      <c r="CC254" s="241"/>
      <c r="CD254" s="241"/>
      <c r="CE254" s="241" t="str">
        <f>VLOOKUP(D254,[1]Sertifikasi!$B$4:$I$19,8,0)</f>
        <v>Pembinaan Dan Sertifikasi Calon Ahli K3 Umum</v>
      </c>
      <c r="CF254" s="13"/>
      <c r="CG254" s="13"/>
      <c r="CH254" s="13"/>
    </row>
    <row r="255" spans="1:86" ht="11.25" customHeight="1" x14ac:dyDescent="0.2">
      <c r="A255" s="13"/>
      <c r="B255" s="238">
        <v>251</v>
      </c>
      <c r="C255" s="241" t="e">
        <f t="shared" ca="1" si="32"/>
        <v>#NUM!</v>
      </c>
      <c r="D255" s="237" t="s">
        <v>3271</v>
      </c>
      <c r="E255" s="239">
        <v>642201158</v>
      </c>
      <c r="F255" s="237">
        <v>1710003198200</v>
      </c>
      <c r="G255" s="240"/>
      <c r="H255" s="241" t="s">
        <v>217</v>
      </c>
      <c r="I255" s="241" t="s">
        <v>217</v>
      </c>
      <c r="J255" s="242">
        <v>44596</v>
      </c>
      <c r="K255" s="241"/>
      <c r="L255" s="241"/>
      <c r="M255" s="241" t="str">
        <f t="shared" si="33"/>
        <v>PKWT</v>
      </c>
      <c r="N255" s="241" t="s">
        <v>187</v>
      </c>
      <c r="O255" s="241"/>
      <c r="P255" s="243">
        <v>45691</v>
      </c>
      <c r="Q255" s="241"/>
      <c r="R255" s="241" t="s">
        <v>206</v>
      </c>
      <c r="S255" s="241" t="s">
        <v>6863</v>
      </c>
      <c r="T255" s="241" t="s">
        <v>312</v>
      </c>
      <c r="U255" s="241" t="s">
        <v>23</v>
      </c>
      <c r="V255" s="241" t="s">
        <v>443</v>
      </c>
      <c r="W255" s="241" t="s">
        <v>51</v>
      </c>
      <c r="X255" s="241" t="s">
        <v>121</v>
      </c>
      <c r="Y255" s="241" t="s">
        <v>313</v>
      </c>
      <c r="Z255" s="241"/>
      <c r="AA255" s="241"/>
      <c r="AB255" s="241" t="s">
        <v>314</v>
      </c>
      <c r="AC255" s="241" t="s">
        <v>217</v>
      </c>
      <c r="AD255" s="245">
        <v>36085</v>
      </c>
      <c r="AE255" s="241">
        <f t="shared" ca="1" si="27"/>
        <v>26</v>
      </c>
      <c r="AF255" s="246" t="s">
        <v>3272</v>
      </c>
      <c r="AG255" s="241" t="s">
        <v>3273</v>
      </c>
      <c r="AH255" s="240" t="s">
        <v>3274</v>
      </c>
      <c r="AI255" s="240"/>
      <c r="AJ255" s="240"/>
      <c r="AK255" s="241" t="s">
        <v>3275</v>
      </c>
      <c r="AL255" s="246" t="s">
        <v>3276</v>
      </c>
      <c r="AM255" s="246">
        <v>22017333836</v>
      </c>
      <c r="AN255" s="241" t="s">
        <v>4716</v>
      </c>
      <c r="AO255" s="241"/>
      <c r="AP255" s="241"/>
      <c r="AQ255" s="241"/>
      <c r="AR255" s="241"/>
      <c r="AS255" s="241"/>
      <c r="AT255" s="241" t="s">
        <v>2339</v>
      </c>
      <c r="AU255" s="241" t="s">
        <v>3277</v>
      </c>
      <c r="AV255" s="241" t="s">
        <v>306</v>
      </c>
      <c r="AW255" s="241" t="s">
        <v>306</v>
      </c>
      <c r="AX255" s="241">
        <f t="shared" si="28"/>
        <v>0</v>
      </c>
      <c r="AY255" s="241" t="str">
        <f t="shared" si="29"/>
        <v>TK/0</v>
      </c>
      <c r="AZ255" s="241" t="s">
        <v>3278</v>
      </c>
      <c r="BA255" s="237" t="s">
        <v>3278</v>
      </c>
      <c r="BB255" s="241" t="s">
        <v>161</v>
      </c>
      <c r="BC255" s="241" t="s">
        <v>349</v>
      </c>
      <c r="BD255" s="241" t="s">
        <v>91</v>
      </c>
      <c r="BE255" s="241" t="s">
        <v>516</v>
      </c>
      <c r="BF255" s="241">
        <v>2017</v>
      </c>
      <c r="BG255" s="241" t="s">
        <v>349</v>
      </c>
      <c r="BH255" s="241" t="s">
        <v>91</v>
      </c>
      <c r="BI255" s="241" t="s">
        <v>516</v>
      </c>
      <c r="BJ255" s="241">
        <v>2017</v>
      </c>
      <c r="BK255" s="247"/>
      <c r="BL255" s="247"/>
      <c r="BM255" s="241"/>
      <c r="BN255" s="241"/>
      <c r="BO255" s="241">
        <v>39</v>
      </c>
      <c r="BP255" s="244"/>
      <c r="BQ255" s="244"/>
      <c r="BR255" s="244"/>
      <c r="BS255" s="244"/>
      <c r="BT255" s="241"/>
      <c r="BU255" s="241"/>
      <c r="BV255" s="241"/>
      <c r="BW255" s="241" t="s">
        <v>3279</v>
      </c>
      <c r="BX255" s="241"/>
      <c r="BY255" s="241"/>
      <c r="BZ255" s="241"/>
      <c r="CA255" s="241"/>
      <c r="CB255" s="241"/>
      <c r="CC255" s="241"/>
      <c r="CD255" s="241"/>
      <c r="CE255" s="241" t="e">
        <f>VLOOKUP(D255,[1]Sertifikasi!$B$4:$I$19,8,0)</f>
        <v>#N/A</v>
      </c>
      <c r="CF255" s="13"/>
      <c r="CG255" s="13"/>
      <c r="CH255" s="13"/>
    </row>
    <row r="256" spans="1:86" ht="11.25" customHeight="1" x14ac:dyDescent="0.2">
      <c r="A256" s="13"/>
      <c r="B256" s="238">
        <v>252</v>
      </c>
      <c r="C256" s="241" t="e">
        <f t="shared" ca="1" si="32"/>
        <v>#NUM!</v>
      </c>
      <c r="D256" s="237" t="s">
        <v>3280</v>
      </c>
      <c r="E256" s="239">
        <v>642201153</v>
      </c>
      <c r="F256" s="237">
        <v>1710001957979</v>
      </c>
      <c r="G256" s="240"/>
      <c r="H256" s="241" t="s">
        <v>217</v>
      </c>
      <c r="I256" s="241" t="s">
        <v>217</v>
      </c>
      <c r="J256" s="242">
        <v>44596</v>
      </c>
      <c r="K256" s="241"/>
      <c r="L256" s="241"/>
      <c r="M256" s="241" t="str">
        <f t="shared" si="33"/>
        <v>PKWT</v>
      </c>
      <c r="N256" s="241" t="s">
        <v>187</v>
      </c>
      <c r="O256" s="241"/>
      <c r="P256" s="243">
        <v>45691</v>
      </c>
      <c r="Q256" s="241"/>
      <c r="R256" s="241" t="s">
        <v>206</v>
      </c>
      <c r="S256" s="241" t="s">
        <v>6863</v>
      </c>
      <c r="T256" s="241" t="s">
        <v>312</v>
      </c>
      <c r="U256" s="241" t="s">
        <v>23</v>
      </c>
      <c r="V256" s="241" t="s">
        <v>443</v>
      </c>
      <c r="W256" s="241" t="s">
        <v>51</v>
      </c>
      <c r="X256" s="241" t="s">
        <v>121</v>
      </c>
      <c r="Y256" s="241" t="s">
        <v>313</v>
      </c>
      <c r="Z256" s="241"/>
      <c r="AA256" s="241"/>
      <c r="AB256" s="241" t="s">
        <v>314</v>
      </c>
      <c r="AC256" s="241" t="s">
        <v>217</v>
      </c>
      <c r="AD256" s="245">
        <v>35746</v>
      </c>
      <c r="AE256" s="241">
        <f t="shared" ca="1" si="27"/>
        <v>27</v>
      </c>
      <c r="AF256" s="246" t="s">
        <v>3281</v>
      </c>
      <c r="AG256" s="241" t="s">
        <v>3282</v>
      </c>
      <c r="AH256" s="240" t="s">
        <v>3283</v>
      </c>
      <c r="AI256" s="240"/>
      <c r="AJ256" s="240"/>
      <c r="AK256" s="241" t="s">
        <v>3284</v>
      </c>
      <c r="AL256" s="246" t="s">
        <v>3285</v>
      </c>
      <c r="AM256" s="246">
        <v>22017333737</v>
      </c>
      <c r="AN256" s="241" t="s">
        <v>4716</v>
      </c>
      <c r="AO256" s="241"/>
      <c r="AP256" s="241"/>
      <c r="AQ256" s="241"/>
      <c r="AR256" s="241"/>
      <c r="AS256" s="241"/>
      <c r="AT256" s="241" t="s">
        <v>306</v>
      </c>
      <c r="AU256" s="241" t="s">
        <v>306</v>
      </c>
      <c r="AV256" s="241" t="s">
        <v>306</v>
      </c>
      <c r="AW256" s="241" t="s">
        <v>306</v>
      </c>
      <c r="AX256" s="241">
        <f t="shared" si="28"/>
        <v>0</v>
      </c>
      <c r="AY256" s="241" t="str">
        <f t="shared" si="29"/>
        <v>TK/0</v>
      </c>
      <c r="AZ256" s="241"/>
      <c r="BA256" s="237"/>
      <c r="BB256" s="241" t="s">
        <v>161</v>
      </c>
      <c r="BC256" s="241" t="s">
        <v>349</v>
      </c>
      <c r="BD256" s="241" t="s">
        <v>515</v>
      </c>
      <c r="BE256" s="241" t="s">
        <v>516</v>
      </c>
      <c r="BF256" s="241">
        <v>2016</v>
      </c>
      <c r="BG256" s="241" t="s">
        <v>349</v>
      </c>
      <c r="BH256" s="241" t="s">
        <v>515</v>
      </c>
      <c r="BI256" s="241" t="s">
        <v>516</v>
      </c>
      <c r="BJ256" s="241">
        <v>2016</v>
      </c>
      <c r="BK256" s="247"/>
      <c r="BL256" s="247"/>
      <c r="BM256" s="241"/>
      <c r="BN256" s="241"/>
      <c r="BO256" s="241">
        <v>41</v>
      </c>
      <c r="BP256" s="244"/>
      <c r="BQ256" s="244"/>
      <c r="BR256" s="244"/>
      <c r="BS256" s="244"/>
      <c r="BT256" s="241"/>
      <c r="BU256" s="241"/>
      <c r="BV256" s="241"/>
      <c r="BW256" s="241" t="s">
        <v>3286</v>
      </c>
      <c r="BX256" s="241"/>
      <c r="BY256" s="241"/>
      <c r="BZ256" s="241"/>
      <c r="CA256" s="241"/>
      <c r="CB256" s="241"/>
      <c r="CC256" s="241"/>
      <c r="CD256" s="241"/>
      <c r="CE256" s="241" t="e">
        <f>VLOOKUP(D256,[1]Sertifikasi!$B$4:$I$19,8,0)</f>
        <v>#N/A</v>
      </c>
      <c r="CF256" s="13"/>
      <c r="CG256" s="13"/>
      <c r="CH256" s="13"/>
    </row>
    <row r="257" spans="1:86" ht="11.25" customHeight="1" x14ac:dyDescent="0.2">
      <c r="A257" s="13"/>
      <c r="B257" s="238">
        <v>253</v>
      </c>
      <c r="C257" s="248" t="s">
        <v>292</v>
      </c>
      <c r="D257" s="237" t="s">
        <v>3287</v>
      </c>
      <c r="E257" s="239">
        <v>990900010</v>
      </c>
      <c r="F257" s="237">
        <v>1440009311355</v>
      </c>
      <c r="G257" s="240"/>
      <c r="H257" s="249" t="s">
        <v>204</v>
      </c>
      <c r="I257" s="241" t="s">
        <v>217</v>
      </c>
      <c r="J257" s="262">
        <v>44671</v>
      </c>
      <c r="K257" s="241"/>
      <c r="L257" s="241"/>
      <c r="M257" s="241" t="str">
        <f t="shared" si="33"/>
        <v>ORGANIK INKA</v>
      </c>
      <c r="N257" s="241" t="s">
        <v>204</v>
      </c>
      <c r="O257" s="241" t="s">
        <v>3288</v>
      </c>
      <c r="P257" s="243">
        <v>44671</v>
      </c>
      <c r="Q257" s="241" t="s">
        <v>295</v>
      </c>
      <c r="R257" s="284" t="s">
        <v>137</v>
      </c>
      <c r="S257" s="241" t="s">
        <v>6862</v>
      </c>
      <c r="T257" s="241" t="s">
        <v>296</v>
      </c>
      <c r="U257" s="241" t="s">
        <v>187</v>
      </c>
      <c r="V257" s="241" t="s">
        <v>7139</v>
      </c>
      <c r="W257" s="241" t="s">
        <v>7139</v>
      </c>
      <c r="X257" s="241" t="s">
        <v>7139</v>
      </c>
      <c r="Y257" s="241" t="s">
        <v>313</v>
      </c>
      <c r="Z257" s="241"/>
      <c r="AA257" s="241"/>
      <c r="AB257" s="241" t="s">
        <v>132</v>
      </c>
      <c r="AC257" s="241" t="s">
        <v>1904</v>
      </c>
      <c r="AD257" s="245">
        <v>31076</v>
      </c>
      <c r="AE257" s="241">
        <f t="shared" ca="1" si="27"/>
        <v>40</v>
      </c>
      <c r="AF257" s="246" t="s">
        <v>3289</v>
      </c>
      <c r="AG257" s="241" t="s">
        <v>3290</v>
      </c>
      <c r="AH257" s="240" t="s">
        <v>3291</v>
      </c>
      <c r="AI257" s="240"/>
      <c r="AJ257" s="240"/>
      <c r="AK257" s="241" t="s">
        <v>3292</v>
      </c>
      <c r="AL257" s="246" t="s">
        <v>3293</v>
      </c>
      <c r="AM257" s="246">
        <v>8024057328</v>
      </c>
      <c r="AN257" s="241" t="s">
        <v>4733</v>
      </c>
      <c r="AO257" s="241" t="s">
        <v>3294</v>
      </c>
      <c r="AP257" s="241" t="s">
        <v>3295</v>
      </c>
      <c r="AQ257" s="241" t="s">
        <v>3296</v>
      </c>
      <c r="AR257" s="241"/>
      <c r="AS257" s="241"/>
      <c r="AT257" s="241" t="s">
        <v>306</v>
      </c>
      <c r="AU257" s="241" t="s">
        <v>306</v>
      </c>
      <c r="AV257" s="241" t="s">
        <v>306</v>
      </c>
      <c r="AW257" s="241" t="s">
        <v>306</v>
      </c>
      <c r="AX257" s="241">
        <f t="shared" si="28"/>
        <v>2</v>
      </c>
      <c r="AY257" s="241" t="str">
        <f t="shared" si="29"/>
        <v>K/2</v>
      </c>
      <c r="AZ257" s="241"/>
      <c r="BA257" s="237">
        <v>587580176522000</v>
      </c>
      <c r="BB257" s="249" t="s">
        <v>161</v>
      </c>
      <c r="BC257" s="241" t="s">
        <v>75</v>
      </c>
      <c r="BD257" s="241" t="s">
        <v>87</v>
      </c>
      <c r="BE257" s="241" t="s">
        <v>1902</v>
      </c>
      <c r="BF257" s="241">
        <v>2006</v>
      </c>
      <c r="BG257" s="241" t="s">
        <v>75</v>
      </c>
      <c r="BH257" s="241" t="s">
        <v>87</v>
      </c>
      <c r="BI257" s="241" t="s">
        <v>1902</v>
      </c>
      <c r="BJ257" s="241">
        <v>2006</v>
      </c>
      <c r="BK257" s="247"/>
      <c r="BL257" s="247"/>
      <c r="BM257" s="241"/>
      <c r="BN257" s="241"/>
      <c r="BO257" s="241">
        <v>42</v>
      </c>
      <c r="BP257" s="244"/>
      <c r="BQ257" s="244"/>
      <c r="BR257" s="244">
        <v>44649</v>
      </c>
      <c r="BS257" s="244"/>
      <c r="BT257" s="241"/>
      <c r="BU257" s="241"/>
      <c r="BV257" s="241"/>
      <c r="BW257" s="241"/>
      <c r="BX257" s="241"/>
      <c r="BY257" s="241"/>
      <c r="BZ257" s="241"/>
      <c r="CA257" s="241"/>
      <c r="CB257" s="241"/>
      <c r="CC257" s="241"/>
      <c r="CD257" s="241"/>
      <c r="CE257" s="241" t="e">
        <f>VLOOKUP(D257,[1]Sertifikasi!$B$4:$I$19,8,0)</f>
        <v>#N/A</v>
      </c>
      <c r="CF257" s="13"/>
      <c r="CG257" s="13"/>
      <c r="CH257" s="13"/>
    </row>
    <row r="258" spans="1:86" ht="11.25" customHeight="1" x14ac:dyDescent="0.2">
      <c r="A258" s="13"/>
      <c r="B258" s="238">
        <v>254</v>
      </c>
      <c r="C258" s="241" t="e">
        <f t="shared" ref="C258:C290" ca="1" si="34">DATEDIF($E$3,P258,"D")</f>
        <v>#NUM!</v>
      </c>
      <c r="D258" s="237" t="s">
        <v>3297</v>
      </c>
      <c r="E258" s="239">
        <v>642201160</v>
      </c>
      <c r="F258" s="237"/>
      <c r="G258" s="240">
        <v>1038639583</v>
      </c>
      <c r="H258" s="241" t="s">
        <v>25</v>
      </c>
      <c r="I258" s="241" t="s">
        <v>25</v>
      </c>
      <c r="J258" s="242">
        <v>44698</v>
      </c>
      <c r="K258" s="241"/>
      <c r="L258" s="241"/>
      <c r="M258" s="241" t="str">
        <f t="shared" si="33"/>
        <v>PKWT</v>
      </c>
      <c r="N258" s="241" t="s">
        <v>187</v>
      </c>
      <c r="O258" s="241"/>
      <c r="P258" s="243">
        <v>45657</v>
      </c>
      <c r="Q258" s="241"/>
      <c r="R258" s="241" t="s">
        <v>206</v>
      </c>
      <c r="S258" s="241" t="s">
        <v>6863</v>
      </c>
      <c r="T258" s="241" t="s">
        <v>312</v>
      </c>
      <c r="U258" s="241" t="s">
        <v>25</v>
      </c>
      <c r="V258" s="241" t="s">
        <v>443</v>
      </c>
      <c r="W258" s="241" t="s">
        <v>748</v>
      </c>
      <c r="X258" s="241" t="s">
        <v>121</v>
      </c>
      <c r="Y258" s="241" t="s">
        <v>313</v>
      </c>
      <c r="Z258" s="241"/>
      <c r="AA258" s="241"/>
      <c r="AB258" s="241" t="s">
        <v>314</v>
      </c>
      <c r="AC258" s="241" t="s">
        <v>25</v>
      </c>
      <c r="AD258" s="245">
        <v>35550</v>
      </c>
      <c r="AE258" s="241">
        <f t="shared" ca="1" si="27"/>
        <v>28</v>
      </c>
      <c r="AF258" s="246" t="s">
        <v>3298</v>
      </c>
      <c r="AG258" s="241" t="s">
        <v>3299</v>
      </c>
      <c r="AH258" s="240" t="s">
        <v>3300</v>
      </c>
      <c r="AI258" s="240"/>
      <c r="AJ258" s="240"/>
      <c r="AK258" s="241" t="s">
        <v>3301</v>
      </c>
      <c r="AL258" s="246" t="s">
        <v>3302</v>
      </c>
      <c r="AM258" s="246">
        <v>22063660694</v>
      </c>
      <c r="AN258" s="241" t="s">
        <v>4716</v>
      </c>
      <c r="AO258" s="241"/>
      <c r="AP258" s="241"/>
      <c r="AQ258" s="241"/>
      <c r="AR258" s="241"/>
      <c r="AS258" s="241"/>
      <c r="AT258" s="241" t="s">
        <v>3303</v>
      </c>
      <c r="AU258" s="241" t="s">
        <v>3304</v>
      </c>
      <c r="AV258" s="241" t="s">
        <v>306</v>
      </c>
      <c r="AW258" s="241" t="s">
        <v>306</v>
      </c>
      <c r="AX258" s="241">
        <f t="shared" si="28"/>
        <v>0</v>
      </c>
      <c r="AY258" s="241" t="str">
        <f t="shared" si="29"/>
        <v>TK/0</v>
      </c>
      <c r="AZ258" s="241" t="s">
        <v>3305</v>
      </c>
      <c r="BA258" s="237" t="s">
        <v>3305</v>
      </c>
      <c r="BB258" s="241" t="s">
        <v>161</v>
      </c>
      <c r="BC258" s="241" t="s">
        <v>349</v>
      </c>
      <c r="BD258" s="241" t="s">
        <v>87</v>
      </c>
      <c r="BE258" s="241" t="s">
        <v>3306</v>
      </c>
      <c r="BF258" s="241">
        <v>2017</v>
      </c>
      <c r="BG258" s="241" t="s">
        <v>349</v>
      </c>
      <c r="BH258" s="241" t="s">
        <v>87</v>
      </c>
      <c r="BI258" s="241" t="s">
        <v>3306</v>
      </c>
      <c r="BJ258" s="241">
        <v>2017</v>
      </c>
      <c r="BK258" s="247"/>
      <c r="BL258" s="247"/>
      <c r="BM258" s="241"/>
      <c r="BN258" s="241"/>
      <c r="BO258" s="241">
        <v>40</v>
      </c>
      <c r="BP258" s="244"/>
      <c r="BQ258" s="244"/>
      <c r="BR258" s="244"/>
      <c r="BS258" s="244"/>
      <c r="BT258" s="241"/>
      <c r="BU258" s="241"/>
      <c r="BV258" s="241"/>
      <c r="BW258" s="241" t="s">
        <v>3307</v>
      </c>
      <c r="BX258" s="241"/>
      <c r="BY258" s="241"/>
      <c r="BZ258" s="241"/>
      <c r="CA258" s="241"/>
      <c r="CB258" s="241"/>
      <c r="CC258" s="241"/>
      <c r="CD258" s="241"/>
      <c r="CE258" s="241" t="e">
        <f>VLOOKUP(D258,[1]Sertifikasi!$B$4:$I$19,8,0)</f>
        <v>#N/A</v>
      </c>
      <c r="CF258" s="13"/>
      <c r="CG258" s="13"/>
      <c r="CH258" s="13"/>
    </row>
    <row r="259" spans="1:86" ht="11.25" customHeight="1" x14ac:dyDescent="0.2">
      <c r="A259" s="13"/>
      <c r="B259" s="238">
        <v>255</v>
      </c>
      <c r="C259" s="241" t="e">
        <f t="shared" ca="1" si="34"/>
        <v>#NUM!</v>
      </c>
      <c r="D259" s="237" t="s">
        <v>3308</v>
      </c>
      <c r="E259" s="239">
        <v>642201159</v>
      </c>
      <c r="F259" s="237">
        <v>1110019861182</v>
      </c>
      <c r="G259" s="240"/>
      <c r="H259" s="241" t="s">
        <v>26</v>
      </c>
      <c r="I259" s="241" t="s">
        <v>26</v>
      </c>
      <c r="J259" s="242">
        <v>44698</v>
      </c>
      <c r="K259" s="241"/>
      <c r="L259" s="241"/>
      <c r="M259" s="241" t="str">
        <f t="shared" si="33"/>
        <v>PKWT</v>
      </c>
      <c r="N259" s="241" t="s">
        <v>187</v>
      </c>
      <c r="O259" s="241"/>
      <c r="P259" s="243">
        <v>45793</v>
      </c>
      <c r="Q259" s="241"/>
      <c r="R259" s="241" t="s">
        <v>206</v>
      </c>
      <c r="S259" s="241" t="s">
        <v>6863</v>
      </c>
      <c r="T259" s="241" t="s">
        <v>312</v>
      </c>
      <c r="U259" s="241" t="s">
        <v>25</v>
      </c>
      <c r="V259" s="241" t="s">
        <v>443</v>
      </c>
      <c r="W259" s="241" t="s">
        <v>748</v>
      </c>
      <c r="X259" s="241" t="s">
        <v>121</v>
      </c>
      <c r="Y259" s="241" t="s">
        <v>313</v>
      </c>
      <c r="Z259" s="241"/>
      <c r="AA259" s="241"/>
      <c r="AB259" s="241" t="s">
        <v>314</v>
      </c>
      <c r="AC259" s="241" t="s">
        <v>2117</v>
      </c>
      <c r="AD259" s="245">
        <v>34037</v>
      </c>
      <c r="AE259" s="241">
        <f t="shared" ca="1" si="27"/>
        <v>32</v>
      </c>
      <c r="AF259" s="246" t="s">
        <v>3309</v>
      </c>
      <c r="AG259" s="241" t="s">
        <v>3310</v>
      </c>
      <c r="AH259" s="240" t="s">
        <v>3311</v>
      </c>
      <c r="AI259" s="240"/>
      <c r="AJ259" s="240"/>
      <c r="AK259" s="241" t="s">
        <v>3312</v>
      </c>
      <c r="AL259" s="246" t="s">
        <v>3313</v>
      </c>
      <c r="AM259" s="246">
        <v>23009096720</v>
      </c>
      <c r="AN259" s="241" t="s">
        <v>4716</v>
      </c>
      <c r="AO259" s="241"/>
      <c r="AP259" s="241"/>
      <c r="AQ259" s="241"/>
      <c r="AR259" s="241"/>
      <c r="AS259" s="241"/>
      <c r="AT259" s="241" t="s">
        <v>306</v>
      </c>
      <c r="AU259" s="241" t="s">
        <v>306</v>
      </c>
      <c r="AV259" s="241" t="s">
        <v>306</v>
      </c>
      <c r="AW259" s="241" t="s">
        <v>306</v>
      </c>
      <c r="AX259" s="241">
        <f t="shared" si="28"/>
        <v>0</v>
      </c>
      <c r="AY259" s="241" t="str">
        <f t="shared" si="29"/>
        <v>TK/0</v>
      </c>
      <c r="AZ259" s="241"/>
      <c r="BA259" s="237"/>
      <c r="BB259" s="241" t="s">
        <v>161</v>
      </c>
      <c r="BC259" s="241" t="s">
        <v>349</v>
      </c>
      <c r="BD259" s="241" t="s">
        <v>91</v>
      </c>
      <c r="BE259" s="241" t="s">
        <v>2123</v>
      </c>
      <c r="BF259" s="241">
        <v>2011</v>
      </c>
      <c r="BG259" s="241" t="s">
        <v>349</v>
      </c>
      <c r="BH259" s="241" t="s">
        <v>91</v>
      </c>
      <c r="BI259" s="241" t="s">
        <v>2123</v>
      </c>
      <c r="BJ259" s="241">
        <v>2011</v>
      </c>
      <c r="BK259" s="247"/>
      <c r="BL259" s="247"/>
      <c r="BM259" s="241"/>
      <c r="BN259" s="241"/>
      <c r="BO259" s="241">
        <v>40</v>
      </c>
      <c r="BP259" s="244"/>
      <c r="BQ259" s="244"/>
      <c r="BR259" s="244"/>
      <c r="BS259" s="244"/>
      <c r="BT259" s="241"/>
      <c r="BU259" s="241"/>
      <c r="BV259" s="241"/>
      <c r="BW259" s="241" t="s">
        <v>3314</v>
      </c>
      <c r="BX259" s="241"/>
      <c r="BY259" s="241"/>
      <c r="BZ259" s="241"/>
      <c r="CA259" s="241"/>
      <c r="CB259" s="241"/>
      <c r="CC259" s="241"/>
      <c r="CD259" s="241"/>
      <c r="CE259" s="241" t="e">
        <f>VLOOKUP(D259,[1]Sertifikasi!$B$4:$I$19,8,0)</f>
        <v>#N/A</v>
      </c>
      <c r="CF259" s="13"/>
      <c r="CG259" s="13"/>
      <c r="CH259" s="13"/>
    </row>
    <row r="260" spans="1:86" ht="11.25" customHeight="1" x14ac:dyDescent="0.2">
      <c r="A260" s="13"/>
      <c r="B260" s="238">
        <v>256</v>
      </c>
      <c r="C260" s="241" t="e">
        <f t="shared" ca="1" si="34"/>
        <v>#NUM!</v>
      </c>
      <c r="D260" s="237" t="s">
        <v>3315</v>
      </c>
      <c r="E260" s="239">
        <v>642201164</v>
      </c>
      <c r="F260" s="237">
        <v>1710011552737</v>
      </c>
      <c r="G260" s="240"/>
      <c r="H260" s="241" t="s">
        <v>217</v>
      </c>
      <c r="I260" s="241" t="s">
        <v>217</v>
      </c>
      <c r="J260" s="242">
        <v>44699</v>
      </c>
      <c r="K260" s="241"/>
      <c r="L260" s="241"/>
      <c r="M260" s="241" t="str">
        <f t="shared" si="33"/>
        <v>PKWT</v>
      </c>
      <c r="N260" s="241" t="s">
        <v>187</v>
      </c>
      <c r="O260" s="241"/>
      <c r="P260" s="243">
        <v>45795</v>
      </c>
      <c r="Q260" s="241"/>
      <c r="R260" s="241" t="s">
        <v>206</v>
      </c>
      <c r="S260" s="241" t="s">
        <v>6863</v>
      </c>
      <c r="T260" s="241" t="s">
        <v>312</v>
      </c>
      <c r="U260" s="241" t="s">
        <v>23</v>
      </c>
      <c r="V260" s="241" t="s">
        <v>443</v>
      </c>
      <c r="W260" s="241" t="s">
        <v>51</v>
      </c>
      <c r="X260" s="241" t="s">
        <v>121</v>
      </c>
      <c r="Y260" s="241" t="s">
        <v>313</v>
      </c>
      <c r="Z260" s="241"/>
      <c r="AA260" s="241"/>
      <c r="AB260" s="241" t="s">
        <v>314</v>
      </c>
      <c r="AC260" s="241" t="s">
        <v>217</v>
      </c>
      <c r="AD260" s="245">
        <v>35535</v>
      </c>
      <c r="AE260" s="241">
        <f t="shared" ca="1" si="27"/>
        <v>28</v>
      </c>
      <c r="AF260" s="246" t="s">
        <v>3316</v>
      </c>
      <c r="AG260" s="241" t="s">
        <v>3317</v>
      </c>
      <c r="AH260" s="240" t="s">
        <v>3318</v>
      </c>
      <c r="AI260" s="240"/>
      <c r="AJ260" s="240"/>
      <c r="AK260" s="241" t="s">
        <v>3319</v>
      </c>
      <c r="AL260" s="246" t="s">
        <v>3320</v>
      </c>
      <c r="AM260" s="246">
        <v>22063660728</v>
      </c>
      <c r="AN260" s="241" t="s">
        <v>4716</v>
      </c>
      <c r="AO260" s="241"/>
      <c r="AP260" s="241"/>
      <c r="AQ260" s="241"/>
      <c r="AR260" s="241"/>
      <c r="AS260" s="241"/>
      <c r="AT260" s="241" t="s">
        <v>337</v>
      </c>
      <c r="AU260" s="241" t="s">
        <v>3321</v>
      </c>
      <c r="AV260" s="241" t="s">
        <v>306</v>
      </c>
      <c r="AW260" s="241" t="s">
        <v>306</v>
      </c>
      <c r="AX260" s="241">
        <f t="shared" si="28"/>
        <v>0</v>
      </c>
      <c r="AY260" s="241" t="str">
        <f t="shared" si="29"/>
        <v>TK/0</v>
      </c>
      <c r="AZ260" s="241" t="s">
        <v>3322</v>
      </c>
      <c r="BA260" s="237" t="s">
        <v>3323</v>
      </c>
      <c r="BB260" s="241" t="s">
        <v>161</v>
      </c>
      <c r="BC260" s="241" t="s">
        <v>349</v>
      </c>
      <c r="BD260" s="241" t="s">
        <v>1742</v>
      </c>
      <c r="BE260" s="241" t="s">
        <v>516</v>
      </c>
      <c r="BF260" s="241">
        <v>2016</v>
      </c>
      <c r="BG260" s="241" t="s">
        <v>349</v>
      </c>
      <c r="BH260" s="241" t="s">
        <v>1742</v>
      </c>
      <c r="BI260" s="241" t="s">
        <v>516</v>
      </c>
      <c r="BJ260" s="241">
        <v>2016</v>
      </c>
      <c r="BK260" s="247"/>
      <c r="BL260" s="247"/>
      <c r="BM260" s="241"/>
      <c r="BN260" s="241"/>
      <c r="BO260" s="241">
        <v>40</v>
      </c>
      <c r="BP260" s="244"/>
      <c r="BQ260" s="244"/>
      <c r="BR260" s="244"/>
      <c r="BS260" s="244"/>
      <c r="BT260" s="241"/>
      <c r="BU260" s="241"/>
      <c r="BV260" s="241"/>
      <c r="BW260" s="241" t="s">
        <v>3324</v>
      </c>
      <c r="BX260" s="241"/>
      <c r="BY260" s="241"/>
      <c r="BZ260" s="241"/>
      <c r="CA260" s="241"/>
      <c r="CB260" s="241"/>
      <c r="CC260" s="241"/>
      <c r="CD260" s="241"/>
      <c r="CE260" s="241" t="e">
        <f>VLOOKUP(D260,[1]Sertifikasi!$B$4:$I$19,8,0)</f>
        <v>#N/A</v>
      </c>
      <c r="CF260" s="13"/>
      <c r="CG260" s="13"/>
      <c r="CH260" s="13"/>
    </row>
    <row r="261" spans="1:86" ht="11.25" customHeight="1" x14ac:dyDescent="0.2">
      <c r="A261" s="13"/>
      <c r="B261" s="238">
        <v>257</v>
      </c>
      <c r="C261" s="241" t="e">
        <f t="shared" ca="1" si="34"/>
        <v>#NUM!</v>
      </c>
      <c r="D261" s="237" t="s">
        <v>3325</v>
      </c>
      <c r="E261" s="239">
        <v>642201162</v>
      </c>
      <c r="F261" s="237">
        <v>1710002244500</v>
      </c>
      <c r="G261" s="240"/>
      <c r="H261" s="241" t="s">
        <v>217</v>
      </c>
      <c r="I261" s="241" t="s">
        <v>217</v>
      </c>
      <c r="J261" s="242">
        <v>44699</v>
      </c>
      <c r="K261" s="241"/>
      <c r="L261" s="241"/>
      <c r="M261" s="241" t="str">
        <f t="shared" si="33"/>
        <v>PKWT</v>
      </c>
      <c r="N261" s="241" t="s">
        <v>187</v>
      </c>
      <c r="O261" s="241"/>
      <c r="P261" s="243">
        <v>45795</v>
      </c>
      <c r="Q261" s="241"/>
      <c r="R261" s="241" t="s">
        <v>206</v>
      </c>
      <c r="S261" s="241" t="s">
        <v>6863</v>
      </c>
      <c r="T261" s="241" t="s">
        <v>312</v>
      </c>
      <c r="U261" s="241" t="s">
        <v>23</v>
      </c>
      <c r="V261" s="241" t="s">
        <v>443</v>
      </c>
      <c r="W261" s="241" t="s">
        <v>51</v>
      </c>
      <c r="X261" s="241" t="s">
        <v>121</v>
      </c>
      <c r="Y261" s="241" t="s">
        <v>313</v>
      </c>
      <c r="Z261" s="241"/>
      <c r="AA261" s="241"/>
      <c r="AB261" s="241" t="s">
        <v>314</v>
      </c>
      <c r="AC261" s="241" t="s">
        <v>1779</v>
      </c>
      <c r="AD261" s="245">
        <v>35518</v>
      </c>
      <c r="AE261" s="241">
        <f t="shared" ref="AE261:AE324" ca="1" si="35">DATEDIF(AD261,$E$3,"y")</f>
        <v>28</v>
      </c>
      <c r="AF261" s="246" t="s">
        <v>3326</v>
      </c>
      <c r="AG261" s="241" t="s">
        <v>3327</v>
      </c>
      <c r="AH261" s="240" t="s">
        <v>3328</v>
      </c>
      <c r="AI261" s="240"/>
      <c r="AJ261" s="240"/>
      <c r="AK261" s="241" t="s">
        <v>3329</v>
      </c>
      <c r="AL261" s="246" t="s">
        <v>3330</v>
      </c>
      <c r="AM261" s="246">
        <v>22063660702</v>
      </c>
      <c r="AN261" s="241" t="s">
        <v>4716</v>
      </c>
      <c r="AO261" s="241"/>
      <c r="AP261" s="241"/>
      <c r="AQ261" s="241"/>
      <c r="AR261" s="241"/>
      <c r="AS261" s="241"/>
      <c r="AT261" s="241" t="s">
        <v>3331</v>
      </c>
      <c r="AU261" s="241" t="s">
        <v>3332</v>
      </c>
      <c r="AV261" s="241" t="s">
        <v>306</v>
      </c>
      <c r="AW261" s="241" t="s">
        <v>306</v>
      </c>
      <c r="AX261" s="241">
        <f t="shared" ref="AX261:AX324" si="36">COUNTA(AP261:AS261)</f>
        <v>0</v>
      </c>
      <c r="AY261" s="241" t="str">
        <f t="shared" ref="AY261:AY324" si="37">IF(AN261="Menikah","K","TK")&amp;"/"&amp;AX261</f>
        <v>TK/0</v>
      </c>
      <c r="AZ261" s="241" t="s">
        <v>3333</v>
      </c>
      <c r="BA261" s="237" t="s">
        <v>3333</v>
      </c>
      <c r="BB261" s="241" t="s">
        <v>161</v>
      </c>
      <c r="BC261" s="241" t="s">
        <v>349</v>
      </c>
      <c r="BD261" s="241" t="s">
        <v>6779</v>
      </c>
      <c r="BE261" s="241" t="s">
        <v>1793</v>
      </c>
      <c r="BF261" s="241">
        <v>2016</v>
      </c>
      <c r="BG261" s="241" t="s">
        <v>349</v>
      </c>
      <c r="BH261" s="241" t="s">
        <v>6779</v>
      </c>
      <c r="BI261" s="241" t="s">
        <v>1793</v>
      </c>
      <c r="BJ261" s="241">
        <v>2016</v>
      </c>
      <c r="BK261" s="247"/>
      <c r="BL261" s="247"/>
      <c r="BM261" s="241"/>
      <c r="BN261" s="241"/>
      <c r="BO261" s="241">
        <v>41</v>
      </c>
      <c r="BP261" s="244"/>
      <c r="BQ261" s="244"/>
      <c r="BR261" s="244"/>
      <c r="BS261" s="244"/>
      <c r="BT261" s="241"/>
      <c r="BU261" s="241"/>
      <c r="BV261" s="241"/>
      <c r="BW261" s="241" t="s">
        <v>3334</v>
      </c>
      <c r="BX261" s="241"/>
      <c r="BY261" s="241"/>
      <c r="BZ261" s="241"/>
      <c r="CA261" s="241"/>
      <c r="CB261" s="241"/>
      <c r="CC261" s="241"/>
      <c r="CD261" s="241"/>
      <c r="CE261" s="241" t="e">
        <f>VLOOKUP(D261,[1]Sertifikasi!$B$4:$I$19,8,0)</f>
        <v>#N/A</v>
      </c>
      <c r="CF261" s="13"/>
      <c r="CG261" s="13"/>
      <c r="CH261" s="13"/>
    </row>
    <row r="262" spans="1:86" ht="11.25" customHeight="1" x14ac:dyDescent="0.2">
      <c r="A262" s="13"/>
      <c r="B262" s="238">
        <v>258</v>
      </c>
      <c r="C262" s="241" t="e">
        <f t="shared" ca="1" si="34"/>
        <v>#NUM!</v>
      </c>
      <c r="D262" s="237" t="s">
        <v>3335</v>
      </c>
      <c r="E262" s="239">
        <v>642201161</v>
      </c>
      <c r="F262" s="237">
        <v>1380020903931</v>
      </c>
      <c r="G262" s="240"/>
      <c r="H262" s="241" t="s">
        <v>217</v>
      </c>
      <c r="I262" s="241" t="s">
        <v>217</v>
      </c>
      <c r="J262" s="242">
        <v>44699</v>
      </c>
      <c r="K262" s="241"/>
      <c r="L262" s="241"/>
      <c r="M262" s="241" t="str">
        <f t="shared" si="33"/>
        <v>PKWT</v>
      </c>
      <c r="N262" s="241" t="s">
        <v>187</v>
      </c>
      <c r="O262" s="241"/>
      <c r="P262" s="243">
        <v>45795</v>
      </c>
      <c r="Q262" s="241"/>
      <c r="R262" s="241" t="s">
        <v>206</v>
      </c>
      <c r="S262" s="241" t="s">
        <v>6863</v>
      </c>
      <c r="T262" s="241" t="s">
        <v>312</v>
      </c>
      <c r="U262" s="241" t="s">
        <v>23</v>
      </c>
      <c r="V262" s="241" t="s">
        <v>547</v>
      </c>
      <c r="W262" s="241" t="s">
        <v>78</v>
      </c>
      <c r="X262" s="241" t="s">
        <v>122</v>
      </c>
      <c r="Y262" s="241" t="s">
        <v>313</v>
      </c>
      <c r="Z262" s="241"/>
      <c r="AA262" s="241"/>
      <c r="AB262" s="241" t="s">
        <v>314</v>
      </c>
      <c r="AC262" s="241" t="s">
        <v>217</v>
      </c>
      <c r="AD262" s="245">
        <v>37267</v>
      </c>
      <c r="AE262" s="241">
        <f t="shared" ca="1" si="35"/>
        <v>23</v>
      </c>
      <c r="AF262" s="246" t="s">
        <v>3336</v>
      </c>
      <c r="AG262" s="241" t="s">
        <v>3337</v>
      </c>
      <c r="AH262" s="240" t="s">
        <v>3338</v>
      </c>
      <c r="AI262" s="240"/>
      <c r="AJ262" s="240"/>
      <c r="AK262" s="241" t="s">
        <v>3339</v>
      </c>
      <c r="AL262" s="246" t="s">
        <v>3340</v>
      </c>
      <c r="AM262" s="246">
        <v>22063660686</v>
      </c>
      <c r="AN262" s="241" t="s">
        <v>4716</v>
      </c>
      <c r="AO262" s="241"/>
      <c r="AP262" s="241"/>
      <c r="AQ262" s="241"/>
      <c r="AR262" s="241"/>
      <c r="AS262" s="241"/>
      <c r="AT262" s="241" t="s">
        <v>3341</v>
      </c>
      <c r="AU262" s="241" t="s">
        <v>3342</v>
      </c>
      <c r="AV262" s="241" t="s">
        <v>306</v>
      </c>
      <c r="AW262" s="241" t="s">
        <v>306</v>
      </c>
      <c r="AX262" s="241">
        <f t="shared" si="36"/>
        <v>0</v>
      </c>
      <c r="AY262" s="241" t="str">
        <f t="shared" si="37"/>
        <v>TK/0</v>
      </c>
      <c r="AZ262" s="241" t="s">
        <v>3343</v>
      </c>
      <c r="BA262" s="237" t="s">
        <v>3343</v>
      </c>
      <c r="BB262" s="241" t="s">
        <v>161</v>
      </c>
      <c r="BC262" s="241" t="s">
        <v>349</v>
      </c>
      <c r="BD262" s="241" t="s">
        <v>91</v>
      </c>
      <c r="BE262" s="241" t="s">
        <v>350</v>
      </c>
      <c r="BF262" s="241">
        <v>2020</v>
      </c>
      <c r="BG262" s="241" t="s">
        <v>349</v>
      </c>
      <c r="BH262" s="241" t="s">
        <v>91</v>
      </c>
      <c r="BI262" s="241" t="s">
        <v>350</v>
      </c>
      <c r="BJ262" s="241">
        <v>2020</v>
      </c>
      <c r="BK262" s="247"/>
      <c r="BL262" s="247"/>
      <c r="BM262" s="241"/>
      <c r="BN262" s="241"/>
      <c r="BO262" s="241">
        <v>42</v>
      </c>
      <c r="BP262" s="244"/>
      <c r="BQ262" s="244"/>
      <c r="BR262" s="244"/>
      <c r="BS262" s="244"/>
      <c r="BT262" s="241"/>
      <c r="BU262" s="241"/>
      <c r="BV262" s="241"/>
      <c r="BW262" s="241" t="s">
        <v>3344</v>
      </c>
      <c r="BX262" s="241"/>
      <c r="BY262" s="241"/>
      <c r="BZ262" s="241"/>
      <c r="CA262" s="241"/>
      <c r="CB262" s="241"/>
      <c r="CC262" s="241"/>
      <c r="CD262" s="241"/>
      <c r="CE262" s="241" t="e">
        <f>VLOOKUP(D262,[1]Sertifikasi!$B$4:$I$19,8,0)</f>
        <v>#N/A</v>
      </c>
      <c r="CF262" s="13"/>
      <c r="CG262" s="13"/>
      <c r="CH262" s="13"/>
    </row>
    <row r="263" spans="1:86" ht="11.25" customHeight="1" x14ac:dyDescent="0.2">
      <c r="A263" s="13"/>
      <c r="B263" s="238">
        <v>259</v>
      </c>
      <c r="C263" s="241" t="e">
        <f t="shared" ca="1" si="34"/>
        <v>#NUM!</v>
      </c>
      <c r="D263" s="237" t="s">
        <v>3345</v>
      </c>
      <c r="E263" s="239">
        <v>642201165</v>
      </c>
      <c r="F263" s="237">
        <v>1380020870718</v>
      </c>
      <c r="G263" s="240"/>
      <c r="H263" s="241" t="s">
        <v>23</v>
      </c>
      <c r="I263" s="241" t="s">
        <v>23</v>
      </c>
      <c r="J263" s="242">
        <v>44699</v>
      </c>
      <c r="K263" s="241"/>
      <c r="L263" s="241"/>
      <c r="M263" s="241" t="str">
        <f t="shared" si="33"/>
        <v>PKWT</v>
      </c>
      <c r="N263" s="241" t="s">
        <v>187</v>
      </c>
      <c r="O263" s="241"/>
      <c r="P263" s="243">
        <v>45794</v>
      </c>
      <c r="Q263" s="241"/>
      <c r="R263" s="241" t="s">
        <v>206</v>
      </c>
      <c r="S263" s="241" t="s">
        <v>6863</v>
      </c>
      <c r="T263" s="241" t="s">
        <v>312</v>
      </c>
      <c r="U263" s="241" t="s">
        <v>23</v>
      </c>
      <c r="V263" s="241" t="s">
        <v>443</v>
      </c>
      <c r="W263" s="241" t="s">
        <v>51</v>
      </c>
      <c r="X263" s="241" t="s">
        <v>121</v>
      </c>
      <c r="Y263" s="241" t="s">
        <v>313</v>
      </c>
      <c r="Z263" s="241"/>
      <c r="AA263" s="241"/>
      <c r="AB263" s="241" t="s">
        <v>314</v>
      </c>
      <c r="AC263" s="241" t="s">
        <v>3346</v>
      </c>
      <c r="AD263" s="245">
        <v>37001</v>
      </c>
      <c r="AE263" s="241">
        <f t="shared" ca="1" si="35"/>
        <v>24</v>
      </c>
      <c r="AF263" s="246" t="s">
        <v>3347</v>
      </c>
      <c r="AG263" s="241" t="s">
        <v>3348</v>
      </c>
      <c r="AH263" s="240" t="s">
        <v>3349</v>
      </c>
      <c r="AI263" s="240"/>
      <c r="AJ263" s="240"/>
      <c r="AK263" s="241" t="s">
        <v>3350</v>
      </c>
      <c r="AL263" s="246" t="s">
        <v>3351</v>
      </c>
      <c r="AM263" s="246">
        <v>22063660736</v>
      </c>
      <c r="AN263" s="241" t="s">
        <v>4716</v>
      </c>
      <c r="AO263" s="241"/>
      <c r="AP263" s="241"/>
      <c r="AQ263" s="241"/>
      <c r="AR263" s="241"/>
      <c r="AS263" s="241"/>
      <c r="AT263" s="241" t="s">
        <v>1787</v>
      </c>
      <c r="AU263" s="241" t="s">
        <v>3352</v>
      </c>
      <c r="AV263" s="241" t="s">
        <v>306</v>
      </c>
      <c r="AW263" s="241" t="s">
        <v>306</v>
      </c>
      <c r="AX263" s="241">
        <f t="shared" si="36"/>
        <v>0</v>
      </c>
      <c r="AY263" s="241" t="str">
        <f t="shared" si="37"/>
        <v>TK/0</v>
      </c>
      <c r="AZ263" s="241" t="s">
        <v>3353</v>
      </c>
      <c r="BA263" s="237" t="s">
        <v>3354</v>
      </c>
      <c r="BB263" s="241" t="s">
        <v>161</v>
      </c>
      <c r="BC263" s="241" t="s">
        <v>349</v>
      </c>
      <c r="BD263" s="241" t="s">
        <v>515</v>
      </c>
      <c r="BE263" s="241" t="s">
        <v>3355</v>
      </c>
      <c r="BF263" s="241">
        <v>2020</v>
      </c>
      <c r="BG263" s="241" t="s">
        <v>349</v>
      </c>
      <c r="BH263" s="241" t="s">
        <v>515</v>
      </c>
      <c r="BI263" s="241" t="s">
        <v>3356</v>
      </c>
      <c r="BJ263" s="241">
        <v>2020</v>
      </c>
      <c r="BK263" s="247"/>
      <c r="BL263" s="247"/>
      <c r="BM263" s="241"/>
      <c r="BN263" s="241"/>
      <c r="BO263" s="241">
        <v>40</v>
      </c>
      <c r="BP263" s="244"/>
      <c r="BQ263" s="244"/>
      <c r="BR263" s="244"/>
      <c r="BS263" s="244"/>
      <c r="BT263" s="241"/>
      <c r="BU263" s="241"/>
      <c r="BV263" s="241"/>
      <c r="BW263" s="241" t="s">
        <v>3357</v>
      </c>
      <c r="BX263" s="241"/>
      <c r="BY263" s="241"/>
      <c r="BZ263" s="241"/>
      <c r="CA263" s="241"/>
      <c r="CB263" s="241"/>
      <c r="CC263" s="241"/>
      <c r="CD263" s="241"/>
      <c r="CE263" s="241" t="e">
        <f>VLOOKUP(D263,[1]Sertifikasi!$B$4:$I$19,8,0)</f>
        <v>#N/A</v>
      </c>
      <c r="CF263" s="13"/>
      <c r="CG263" s="13"/>
      <c r="CH263" s="13"/>
    </row>
    <row r="264" spans="1:86" ht="11.25" customHeight="1" x14ac:dyDescent="0.2">
      <c r="A264" s="13"/>
      <c r="B264" s="238">
        <v>260</v>
      </c>
      <c r="C264" s="241" t="e">
        <f t="shared" ca="1" si="34"/>
        <v>#NUM!</v>
      </c>
      <c r="D264" s="237" t="s">
        <v>3358</v>
      </c>
      <c r="E264" s="239">
        <v>642201163</v>
      </c>
      <c r="F264" s="237">
        <v>1710001954513</v>
      </c>
      <c r="G264" s="240"/>
      <c r="H264" s="241" t="s">
        <v>217</v>
      </c>
      <c r="I264" s="241" t="s">
        <v>311</v>
      </c>
      <c r="J264" s="242">
        <v>44699</v>
      </c>
      <c r="K264" s="241"/>
      <c r="L264" s="241"/>
      <c r="M264" s="241" t="str">
        <f t="shared" si="33"/>
        <v>PKWT</v>
      </c>
      <c r="N264" s="241" t="s">
        <v>187</v>
      </c>
      <c r="O264" s="241"/>
      <c r="P264" s="243">
        <v>45794</v>
      </c>
      <c r="Q264" s="241"/>
      <c r="R264" s="241" t="s">
        <v>206</v>
      </c>
      <c r="S264" s="241" t="s">
        <v>6863</v>
      </c>
      <c r="T264" s="241" t="s">
        <v>312</v>
      </c>
      <c r="U264" s="241" t="s">
        <v>23</v>
      </c>
      <c r="V264" s="241" t="s">
        <v>443</v>
      </c>
      <c r="W264" s="241" t="s">
        <v>51</v>
      </c>
      <c r="X264" s="241" t="s">
        <v>121</v>
      </c>
      <c r="Y264" s="241" t="s">
        <v>313</v>
      </c>
      <c r="Z264" s="241"/>
      <c r="AA264" s="241"/>
      <c r="AB264" s="241" t="s">
        <v>314</v>
      </c>
      <c r="AC264" s="241" t="s">
        <v>311</v>
      </c>
      <c r="AD264" s="245">
        <v>35687</v>
      </c>
      <c r="AE264" s="241">
        <f t="shared" ca="1" si="35"/>
        <v>28</v>
      </c>
      <c r="AF264" s="246" t="s">
        <v>3359</v>
      </c>
      <c r="AG264" s="241" t="s">
        <v>3360</v>
      </c>
      <c r="AH264" s="240" t="s">
        <v>3361</v>
      </c>
      <c r="AI264" s="240"/>
      <c r="AJ264" s="240"/>
      <c r="AK264" s="241" t="s">
        <v>3362</v>
      </c>
      <c r="AL264" s="246" t="s">
        <v>3363</v>
      </c>
      <c r="AM264" s="246">
        <v>22063660710</v>
      </c>
      <c r="AN264" s="241" t="s">
        <v>4716</v>
      </c>
      <c r="AO264" s="241"/>
      <c r="AP264" s="241"/>
      <c r="AQ264" s="241"/>
      <c r="AR264" s="241"/>
      <c r="AS264" s="241"/>
      <c r="AT264" s="241" t="s">
        <v>1359</v>
      </c>
      <c r="AU264" s="241" t="s">
        <v>3364</v>
      </c>
      <c r="AV264" s="241" t="s">
        <v>306</v>
      </c>
      <c r="AW264" s="241" t="s">
        <v>306</v>
      </c>
      <c r="AX264" s="241">
        <f t="shared" si="36"/>
        <v>0</v>
      </c>
      <c r="AY264" s="241" t="str">
        <f t="shared" si="37"/>
        <v>TK/0</v>
      </c>
      <c r="AZ264" s="241" t="s">
        <v>3365</v>
      </c>
      <c r="BA264" s="237" t="s">
        <v>3365</v>
      </c>
      <c r="BB264" s="241" t="s">
        <v>161</v>
      </c>
      <c r="BC264" s="241" t="s">
        <v>349</v>
      </c>
      <c r="BD264" s="241" t="s">
        <v>3166</v>
      </c>
      <c r="BE264" s="241" t="s">
        <v>3366</v>
      </c>
      <c r="BF264" s="241">
        <v>2016</v>
      </c>
      <c r="BG264" s="241" t="s">
        <v>349</v>
      </c>
      <c r="BH264" s="241" t="s">
        <v>3166</v>
      </c>
      <c r="BI264" s="241" t="s">
        <v>3366</v>
      </c>
      <c r="BJ264" s="241">
        <v>2016</v>
      </c>
      <c r="BK264" s="247"/>
      <c r="BL264" s="247"/>
      <c r="BM264" s="241"/>
      <c r="BN264" s="241"/>
      <c r="BO264" s="241">
        <v>40</v>
      </c>
      <c r="BP264" s="244"/>
      <c r="BQ264" s="244"/>
      <c r="BR264" s="244"/>
      <c r="BS264" s="244"/>
      <c r="BT264" s="241"/>
      <c r="BU264" s="241"/>
      <c r="BV264" s="241"/>
      <c r="BW264" s="241" t="s">
        <v>3367</v>
      </c>
      <c r="BX264" s="241"/>
      <c r="BY264" s="241"/>
      <c r="BZ264" s="241"/>
      <c r="CA264" s="241"/>
      <c r="CB264" s="241"/>
      <c r="CC264" s="241"/>
      <c r="CD264" s="241"/>
      <c r="CE264" s="241" t="e">
        <f>VLOOKUP(D264,[1]Sertifikasi!$B$4:$I$19,8,0)</f>
        <v>#N/A</v>
      </c>
      <c r="CF264" s="13"/>
      <c r="CG264" s="13"/>
      <c r="CH264" s="13"/>
    </row>
    <row r="265" spans="1:86" ht="11.25" customHeight="1" x14ac:dyDescent="0.2">
      <c r="A265" s="13"/>
      <c r="B265" s="238">
        <v>261</v>
      </c>
      <c r="C265" s="241" t="e">
        <f t="shared" ca="1" si="34"/>
        <v>#NUM!</v>
      </c>
      <c r="D265" s="237" t="s">
        <v>3368</v>
      </c>
      <c r="E265" s="239">
        <v>642201166</v>
      </c>
      <c r="F265" s="237">
        <v>1710001910713</v>
      </c>
      <c r="G265" s="240"/>
      <c r="H265" s="241" t="s">
        <v>217</v>
      </c>
      <c r="I265" s="241" t="s">
        <v>217</v>
      </c>
      <c r="J265" s="242">
        <v>44700</v>
      </c>
      <c r="K265" s="241"/>
      <c r="L265" s="241"/>
      <c r="M265" s="241" t="str">
        <f t="shared" si="33"/>
        <v>PKWT</v>
      </c>
      <c r="N265" s="241" t="s">
        <v>187</v>
      </c>
      <c r="O265" s="241"/>
      <c r="P265" s="243">
        <v>45430</v>
      </c>
      <c r="Q265" s="241"/>
      <c r="R265" s="241" t="s">
        <v>206</v>
      </c>
      <c r="S265" s="241" t="s">
        <v>6863</v>
      </c>
      <c r="T265" s="241" t="s">
        <v>296</v>
      </c>
      <c r="U265" s="241" t="s">
        <v>187</v>
      </c>
      <c r="V265" s="241" t="s">
        <v>1115</v>
      </c>
      <c r="W265" s="241" t="s">
        <v>119</v>
      </c>
      <c r="X265" s="241" t="s">
        <v>120</v>
      </c>
      <c r="Y265" s="241" t="s">
        <v>313</v>
      </c>
      <c r="Z265" s="241"/>
      <c r="AA265" s="241"/>
      <c r="AB265" s="241" t="s">
        <v>314</v>
      </c>
      <c r="AC265" s="241" t="s">
        <v>217</v>
      </c>
      <c r="AD265" s="245">
        <v>34566</v>
      </c>
      <c r="AE265" s="241">
        <f t="shared" ca="1" si="35"/>
        <v>31</v>
      </c>
      <c r="AF265" s="246" t="s">
        <v>3369</v>
      </c>
      <c r="AG265" s="241" t="s">
        <v>3370</v>
      </c>
      <c r="AH265" s="240" t="s">
        <v>3371</v>
      </c>
      <c r="AI265" s="240"/>
      <c r="AJ265" s="240"/>
      <c r="AK265" s="241" t="s">
        <v>3372</v>
      </c>
      <c r="AL265" s="246" t="s">
        <v>3373</v>
      </c>
      <c r="AM265" s="246">
        <v>22063660678</v>
      </c>
      <c r="AN265" s="241" t="s">
        <v>4733</v>
      </c>
      <c r="AO265" s="241"/>
      <c r="AP265" s="241"/>
      <c r="AQ265" s="241"/>
      <c r="AR265" s="241"/>
      <c r="AS265" s="241"/>
      <c r="AT265" s="241" t="s">
        <v>306</v>
      </c>
      <c r="AU265" s="241" t="s">
        <v>306</v>
      </c>
      <c r="AV265" s="241" t="s">
        <v>306</v>
      </c>
      <c r="AW265" s="241" t="s">
        <v>306</v>
      </c>
      <c r="AX265" s="241">
        <f t="shared" si="36"/>
        <v>0</v>
      </c>
      <c r="AY265" s="241" t="str">
        <f t="shared" si="37"/>
        <v>K/0</v>
      </c>
      <c r="AZ265" s="241"/>
      <c r="BA265" s="237"/>
      <c r="BB265" s="241" t="s">
        <v>161</v>
      </c>
      <c r="BC265" s="241" t="s">
        <v>349</v>
      </c>
      <c r="BD265" s="241" t="s">
        <v>6779</v>
      </c>
      <c r="BE265" s="241" t="s">
        <v>516</v>
      </c>
      <c r="BF265" s="241"/>
      <c r="BG265" s="241" t="s">
        <v>349</v>
      </c>
      <c r="BH265" s="241" t="s">
        <v>6779</v>
      </c>
      <c r="BI265" s="241" t="s">
        <v>516</v>
      </c>
      <c r="BJ265" s="241"/>
      <c r="BK265" s="247"/>
      <c r="BL265" s="247"/>
      <c r="BM265" s="241"/>
      <c r="BN265" s="241"/>
      <c r="BO265" s="241">
        <v>40</v>
      </c>
      <c r="BP265" s="244"/>
      <c r="BQ265" s="244"/>
      <c r="BR265" s="244"/>
      <c r="BS265" s="244"/>
      <c r="BT265" s="241"/>
      <c r="BU265" s="241"/>
      <c r="BV265" s="241"/>
      <c r="BW265" s="241" t="s">
        <v>3374</v>
      </c>
      <c r="BX265" s="241"/>
      <c r="BY265" s="241"/>
      <c r="BZ265" s="241"/>
      <c r="CA265" s="241"/>
      <c r="CB265" s="241"/>
      <c r="CC265" s="241"/>
      <c r="CD265" s="241"/>
      <c r="CE265" s="241" t="e">
        <f>VLOOKUP(D265,[1]Sertifikasi!$B$4:$I$19,8,0)</f>
        <v>#N/A</v>
      </c>
      <c r="CF265" s="13"/>
      <c r="CG265" s="13"/>
      <c r="CH265" s="13"/>
    </row>
    <row r="266" spans="1:86" ht="11.25" customHeight="1" x14ac:dyDescent="0.2">
      <c r="A266" s="13"/>
      <c r="B266" s="238">
        <v>262</v>
      </c>
      <c r="C266" s="241" t="e">
        <f t="shared" ca="1" si="34"/>
        <v>#NUM!</v>
      </c>
      <c r="D266" s="237" t="s">
        <v>3375</v>
      </c>
      <c r="E266" s="239">
        <v>642201167</v>
      </c>
      <c r="F266" s="237">
        <v>1710001957920</v>
      </c>
      <c r="G266" s="240"/>
      <c r="H266" s="241" t="s">
        <v>217</v>
      </c>
      <c r="I266" s="241" t="s">
        <v>311</v>
      </c>
      <c r="J266" s="242">
        <v>44702</v>
      </c>
      <c r="K266" s="241"/>
      <c r="L266" s="241"/>
      <c r="M266" s="241" t="str">
        <f t="shared" si="33"/>
        <v>PKWT</v>
      </c>
      <c r="N266" s="241" t="s">
        <v>187</v>
      </c>
      <c r="O266" s="241"/>
      <c r="P266" s="243">
        <v>45432</v>
      </c>
      <c r="Q266" s="241"/>
      <c r="R266" s="241" t="s">
        <v>206</v>
      </c>
      <c r="S266" s="241" t="s">
        <v>6863</v>
      </c>
      <c r="T266" s="241" t="s">
        <v>312</v>
      </c>
      <c r="U266" s="241" t="s">
        <v>22</v>
      </c>
      <c r="V266" s="241" t="s">
        <v>547</v>
      </c>
      <c r="W266" s="241" t="s">
        <v>78</v>
      </c>
      <c r="X266" s="241" t="s">
        <v>122</v>
      </c>
      <c r="Y266" s="241" t="s">
        <v>313</v>
      </c>
      <c r="Z266" s="241"/>
      <c r="AA266" s="241"/>
      <c r="AB266" s="241" t="s">
        <v>314</v>
      </c>
      <c r="AC266" s="241" t="s">
        <v>3376</v>
      </c>
      <c r="AD266" s="245">
        <v>36102</v>
      </c>
      <c r="AE266" s="241">
        <f t="shared" ca="1" si="35"/>
        <v>26</v>
      </c>
      <c r="AF266" s="246" t="s">
        <v>3377</v>
      </c>
      <c r="AG266" s="241" t="s">
        <v>3378</v>
      </c>
      <c r="AH266" s="240" t="s">
        <v>3379</v>
      </c>
      <c r="AI266" s="240"/>
      <c r="AJ266" s="240"/>
      <c r="AK266" s="241" t="s">
        <v>3380</v>
      </c>
      <c r="AL266" s="246" t="s">
        <v>3381</v>
      </c>
      <c r="AM266" s="246">
        <v>22063660744</v>
      </c>
      <c r="AN266" s="241" t="s">
        <v>4716</v>
      </c>
      <c r="AO266" s="241"/>
      <c r="AP266" s="241"/>
      <c r="AQ266" s="241"/>
      <c r="AR266" s="241"/>
      <c r="AS266" s="241"/>
      <c r="AT266" s="241" t="s">
        <v>306</v>
      </c>
      <c r="AU266" s="241" t="s">
        <v>306</v>
      </c>
      <c r="AV266" s="241" t="s">
        <v>306</v>
      </c>
      <c r="AW266" s="241" t="s">
        <v>306</v>
      </c>
      <c r="AX266" s="241">
        <f t="shared" si="36"/>
        <v>0</v>
      </c>
      <c r="AY266" s="241" t="str">
        <f t="shared" si="37"/>
        <v>TK/0</v>
      </c>
      <c r="AZ266" s="241"/>
      <c r="BA266" s="237"/>
      <c r="BB266" s="241" t="s">
        <v>161</v>
      </c>
      <c r="BC266" s="241" t="s">
        <v>349</v>
      </c>
      <c r="BD266" s="241" t="s">
        <v>4502</v>
      </c>
      <c r="BE266" s="241" t="s">
        <v>327</v>
      </c>
      <c r="BF266" s="241">
        <v>2016</v>
      </c>
      <c r="BG266" s="241" t="s">
        <v>349</v>
      </c>
      <c r="BH266" s="241" t="s">
        <v>4502</v>
      </c>
      <c r="BI266" s="241" t="s">
        <v>327</v>
      </c>
      <c r="BJ266" s="241">
        <v>2016</v>
      </c>
      <c r="BK266" s="247"/>
      <c r="BL266" s="247"/>
      <c r="BM266" s="241"/>
      <c r="BN266" s="241"/>
      <c r="BO266" s="241">
        <v>41</v>
      </c>
      <c r="BP266" s="244"/>
      <c r="BQ266" s="244"/>
      <c r="BR266" s="244">
        <v>44757</v>
      </c>
      <c r="BS266" s="244"/>
      <c r="BT266" s="241"/>
      <c r="BU266" s="241"/>
      <c r="BV266" s="241"/>
      <c r="BW266" s="241" t="s">
        <v>3382</v>
      </c>
      <c r="BX266" s="241"/>
      <c r="BY266" s="241"/>
      <c r="BZ266" s="241"/>
      <c r="CA266" s="241"/>
      <c r="CB266" s="241"/>
      <c r="CC266" s="241"/>
      <c r="CD266" s="241"/>
      <c r="CE266" s="241" t="e">
        <f>VLOOKUP(D266,[1]Sertifikasi!$B$4:$I$19,8,0)</f>
        <v>#N/A</v>
      </c>
      <c r="CF266" s="13"/>
      <c r="CG266" s="13"/>
      <c r="CH266" s="13"/>
    </row>
    <row r="267" spans="1:86" ht="11.25" customHeight="1" x14ac:dyDescent="0.2">
      <c r="A267" s="13"/>
      <c r="B267" s="238">
        <v>263</v>
      </c>
      <c r="C267" s="241" t="e">
        <f t="shared" ca="1" si="34"/>
        <v>#NUM!</v>
      </c>
      <c r="D267" s="237" t="s">
        <v>3383</v>
      </c>
      <c r="E267" s="239">
        <v>642201168</v>
      </c>
      <c r="F267" s="237">
        <v>1710001958076</v>
      </c>
      <c r="G267" s="240"/>
      <c r="H267" s="241" t="s">
        <v>217</v>
      </c>
      <c r="I267" s="241" t="s">
        <v>311</v>
      </c>
      <c r="J267" s="242">
        <v>44702</v>
      </c>
      <c r="K267" s="241"/>
      <c r="L267" s="241"/>
      <c r="M267" s="241" t="str">
        <f t="shared" si="33"/>
        <v>PKWT</v>
      </c>
      <c r="N267" s="241" t="s">
        <v>187</v>
      </c>
      <c r="O267" s="241"/>
      <c r="P267" s="243">
        <v>45798</v>
      </c>
      <c r="Q267" s="241"/>
      <c r="R267" s="241" t="s">
        <v>206</v>
      </c>
      <c r="S267" s="241" t="s">
        <v>6863</v>
      </c>
      <c r="T267" s="241" t="s">
        <v>312</v>
      </c>
      <c r="U267" s="241" t="s">
        <v>24</v>
      </c>
      <c r="V267" s="241" t="s">
        <v>443</v>
      </c>
      <c r="W267" s="241" t="s">
        <v>175</v>
      </c>
      <c r="X267" s="241" t="s">
        <v>121</v>
      </c>
      <c r="Y267" s="241" t="s">
        <v>313</v>
      </c>
      <c r="Z267" s="241"/>
      <c r="AA267" s="241"/>
      <c r="AB267" s="241" t="s">
        <v>314</v>
      </c>
      <c r="AC267" s="241" t="s">
        <v>311</v>
      </c>
      <c r="AD267" s="245">
        <v>35929</v>
      </c>
      <c r="AE267" s="241">
        <f t="shared" ca="1" si="35"/>
        <v>27</v>
      </c>
      <c r="AF267" s="246" t="s">
        <v>3384</v>
      </c>
      <c r="AG267" s="241" t="s">
        <v>3385</v>
      </c>
      <c r="AH267" s="240" t="s">
        <v>3386</v>
      </c>
      <c r="AI267" s="240"/>
      <c r="AJ267" s="240"/>
      <c r="AK267" s="241" t="s">
        <v>3387</v>
      </c>
      <c r="AL267" s="246" t="s">
        <v>3388</v>
      </c>
      <c r="AM267" s="246" t="s">
        <v>6725</v>
      </c>
      <c r="AN267" s="241" t="s">
        <v>4733</v>
      </c>
      <c r="AO267" s="241" t="s">
        <v>3389</v>
      </c>
      <c r="AP267" s="241"/>
      <c r="AQ267" s="241"/>
      <c r="AR267" s="241"/>
      <c r="AS267" s="241"/>
      <c r="AT267" s="241" t="s">
        <v>3390</v>
      </c>
      <c r="AU267" s="241" t="s">
        <v>3391</v>
      </c>
      <c r="AV267" s="241" t="s">
        <v>1405</v>
      </c>
      <c r="AW267" s="241" t="s">
        <v>1751</v>
      </c>
      <c r="AX267" s="241">
        <f t="shared" si="36"/>
        <v>0</v>
      </c>
      <c r="AY267" s="241" t="str">
        <f t="shared" si="37"/>
        <v>K/0</v>
      </c>
      <c r="AZ267" s="241" t="s">
        <v>3392</v>
      </c>
      <c r="BA267" s="237" t="s">
        <v>3392</v>
      </c>
      <c r="BB267" s="241" t="s">
        <v>161</v>
      </c>
      <c r="BC267" s="241" t="s">
        <v>349</v>
      </c>
      <c r="BD267" s="241" t="s">
        <v>91</v>
      </c>
      <c r="BE267" s="241" t="s">
        <v>775</v>
      </c>
      <c r="BF267" s="241">
        <v>2016</v>
      </c>
      <c r="BG267" s="241" t="s">
        <v>349</v>
      </c>
      <c r="BH267" s="241" t="s">
        <v>91</v>
      </c>
      <c r="BI267" s="241" t="s">
        <v>775</v>
      </c>
      <c r="BJ267" s="241">
        <v>2016</v>
      </c>
      <c r="BK267" s="247"/>
      <c r="BL267" s="247"/>
      <c r="BM267" s="241"/>
      <c r="BN267" s="241"/>
      <c r="BO267" s="241">
        <v>42</v>
      </c>
      <c r="BP267" s="244"/>
      <c r="BQ267" s="244"/>
      <c r="BR267" s="244">
        <v>44639</v>
      </c>
      <c r="BS267" s="244"/>
      <c r="BT267" s="241"/>
      <c r="BU267" s="241"/>
      <c r="BV267" s="241"/>
      <c r="BW267" s="241" t="s">
        <v>3393</v>
      </c>
      <c r="BX267" s="241"/>
      <c r="BY267" s="241"/>
      <c r="BZ267" s="241"/>
      <c r="CA267" s="241"/>
      <c r="CB267" s="241"/>
      <c r="CC267" s="241"/>
      <c r="CD267" s="241"/>
      <c r="CE267" s="241" t="e">
        <f>VLOOKUP(D267,[1]Sertifikasi!$B$4:$I$19,8,0)</f>
        <v>#N/A</v>
      </c>
      <c r="CF267" s="13"/>
      <c r="CG267" s="13"/>
      <c r="CH267" s="13"/>
    </row>
    <row r="268" spans="1:86" ht="11.25" customHeight="1" x14ac:dyDescent="0.2">
      <c r="A268" s="13"/>
      <c r="B268" s="238">
        <v>264</v>
      </c>
      <c r="C268" s="241" t="e">
        <f t="shared" ca="1" si="34"/>
        <v>#NUM!</v>
      </c>
      <c r="D268" s="237" t="s">
        <v>3394</v>
      </c>
      <c r="E268" s="239">
        <v>642201171</v>
      </c>
      <c r="F268" s="237">
        <v>60011446550</v>
      </c>
      <c r="G268" s="240"/>
      <c r="H268" s="241" t="s">
        <v>217</v>
      </c>
      <c r="I268" s="241" t="s">
        <v>217</v>
      </c>
      <c r="J268" s="242">
        <v>44702</v>
      </c>
      <c r="K268" s="241"/>
      <c r="L268" s="241"/>
      <c r="M268" s="241" t="str">
        <f t="shared" si="33"/>
        <v>PKWT</v>
      </c>
      <c r="N268" s="241" t="s">
        <v>187</v>
      </c>
      <c r="O268" s="241"/>
      <c r="P268" s="243">
        <v>45798</v>
      </c>
      <c r="Q268" s="241"/>
      <c r="R268" s="241" t="s">
        <v>206</v>
      </c>
      <c r="S268" s="241" t="s">
        <v>6863</v>
      </c>
      <c r="T268" s="241" t="s">
        <v>312</v>
      </c>
      <c r="U268" s="241" t="s">
        <v>28</v>
      </c>
      <c r="V268" s="241" t="s">
        <v>461</v>
      </c>
      <c r="W268" s="241" t="s">
        <v>129</v>
      </c>
      <c r="X268" s="241" t="s">
        <v>122</v>
      </c>
      <c r="Y268" s="241" t="s">
        <v>313</v>
      </c>
      <c r="Z268" s="241"/>
      <c r="AA268" s="241"/>
      <c r="AB268" s="241" t="s">
        <v>314</v>
      </c>
      <c r="AC268" s="241" t="s">
        <v>217</v>
      </c>
      <c r="AD268" s="245">
        <v>37189</v>
      </c>
      <c r="AE268" s="241">
        <f t="shared" ca="1" si="35"/>
        <v>23</v>
      </c>
      <c r="AF268" s="246" t="s">
        <v>3395</v>
      </c>
      <c r="AG268" s="241" t="s">
        <v>3396</v>
      </c>
      <c r="AH268" s="240" t="s">
        <v>3397</v>
      </c>
      <c r="AI268" s="240"/>
      <c r="AJ268" s="240"/>
      <c r="AK268" s="241" t="s">
        <v>3398</v>
      </c>
      <c r="AL268" s="246" t="s">
        <v>3399</v>
      </c>
      <c r="AM268" s="246">
        <v>22063660777</v>
      </c>
      <c r="AN268" s="241" t="s">
        <v>4733</v>
      </c>
      <c r="AO268" s="241"/>
      <c r="AP268" s="241"/>
      <c r="AQ268" s="241"/>
      <c r="AR268" s="241"/>
      <c r="AS268" s="241"/>
      <c r="AT268" s="241" t="s">
        <v>306</v>
      </c>
      <c r="AU268" s="241" t="s">
        <v>306</v>
      </c>
      <c r="AV268" s="241" t="s">
        <v>306</v>
      </c>
      <c r="AW268" s="241" t="s">
        <v>306</v>
      </c>
      <c r="AX268" s="241">
        <f t="shared" si="36"/>
        <v>0</v>
      </c>
      <c r="AY268" s="241" t="str">
        <f t="shared" si="37"/>
        <v>K/0</v>
      </c>
      <c r="AZ268" s="241" t="s">
        <v>3400</v>
      </c>
      <c r="BA268" s="237" t="s">
        <v>3400</v>
      </c>
      <c r="BB268" s="241" t="s">
        <v>161</v>
      </c>
      <c r="BC268" s="241" t="s">
        <v>70</v>
      </c>
      <c r="BD268" s="241" t="s">
        <v>515</v>
      </c>
      <c r="BE268" s="241" t="s">
        <v>72</v>
      </c>
      <c r="BF268" s="241">
        <v>2021</v>
      </c>
      <c r="BG268" s="241" t="s">
        <v>70</v>
      </c>
      <c r="BH268" s="241" t="s">
        <v>515</v>
      </c>
      <c r="BI268" s="241" t="s">
        <v>72</v>
      </c>
      <c r="BJ268" s="241">
        <v>2021</v>
      </c>
      <c r="BK268" s="247"/>
      <c r="BL268" s="247"/>
      <c r="BM268" s="241"/>
      <c r="BN268" s="241"/>
      <c r="BO268" s="241">
        <v>43</v>
      </c>
      <c r="BP268" s="244"/>
      <c r="BQ268" s="244"/>
      <c r="BR268" s="244"/>
      <c r="BS268" s="244"/>
      <c r="BT268" s="241"/>
      <c r="BU268" s="241"/>
      <c r="BV268" s="241"/>
      <c r="BW268" s="241" t="s">
        <v>3401</v>
      </c>
      <c r="BX268" s="241"/>
      <c r="BY268" s="241"/>
      <c r="BZ268" s="241"/>
      <c r="CA268" s="241"/>
      <c r="CB268" s="241"/>
      <c r="CC268" s="241"/>
      <c r="CD268" s="241"/>
      <c r="CE268" s="241" t="e">
        <f>VLOOKUP(D268,[1]Sertifikasi!$B$4:$I$19,8,0)</f>
        <v>#N/A</v>
      </c>
      <c r="CF268" s="13"/>
      <c r="CG268" s="13"/>
      <c r="CH268" s="13"/>
    </row>
    <row r="269" spans="1:86" ht="11.25" customHeight="1" x14ac:dyDescent="0.2">
      <c r="A269" s="13"/>
      <c r="B269" s="238">
        <v>265</v>
      </c>
      <c r="C269" s="241" t="e">
        <f t="shared" ca="1" si="34"/>
        <v>#NUM!</v>
      </c>
      <c r="D269" s="237" t="s">
        <v>3402</v>
      </c>
      <c r="E269" s="239">
        <v>642201169</v>
      </c>
      <c r="F269" s="237">
        <v>1710001953952</v>
      </c>
      <c r="G269" s="240"/>
      <c r="H269" s="241" t="s">
        <v>217</v>
      </c>
      <c r="I269" s="241" t="s">
        <v>217</v>
      </c>
      <c r="J269" s="242">
        <v>44702</v>
      </c>
      <c r="K269" s="241"/>
      <c r="L269" s="241"/>
      <c r="M269" s="241" t="str">
        <f t="shared" si="33"/>
        <v>PKWT</v>
      </c>
      <c r="N269" s="241" t="s">
        <v>187</v>
      </c>
      <c r="O269" s="241"/>
      <c r="P269" s="243">
        <v>45432</v>
      </c>
      <c r="Q269" s="241"/>
      <c r="R269" s="241" t="s">
        <v>206</v>
      </c>
      <c r="S269" s="241" t="s">
        <v>6863</v>
      </c>
      <c r="T269" s="241" t="s">
        <v>312</v>
      </c>
      <c r="U269" s="241" t="s">
        <v>20</v>
      </c>
      <c r="V269" s="241" t="s">
        <v>204</v>
      </c>
      <c r="W269" s="241" t="s">
        <v>1278</v>
      </c>
      <c r="X269" s="241" t="s">
        <v>122</v>
      </c>
      <c r="Y269" s="241" t="s">
        <v>313</v>
      </c>
      <c r="Z269" s="241"/>
      <c r="AA269" s="241"/>
      <c r="AB269" s="241" t="s">
        <v>314</v>
      </c>
      <c r="AC269" s="241" t="s">
        <v>217</v>
      </c>
      <c r="AD269" s="245">
        <v>35975</v>
      </c>
      <c r="AE269" s="241">
        <f t="shared" ca="1" si="35"/>
        <v>27</v>
      </c>
      <c r="AF269" s="246" t="s">
        <v>3403</v>
      </c>
      <c r="AG269" s="241" t="s">
        <v>3404</v>
      </c>
      <c r="AH269" s="240" t="s">
        <v>3405</v>
      </c>
      <c r="AI269" s="240"/>
      <c r="AJ269" s="240"/>
      <c r="AK269" s="241" t="s">
        <v>3406</v>
      </c>
      <c r="AL269" s="246" t="s">
        <v>3407</v>
      </c>
      <c r="AM269" s="246">
        <v>22063660769</v>
      </c>
      <c r="AN269" s="241" t="s">
        <v>4716</v>
      </c>
      <c r="AO269" s="241"/>
      <c r="AP269" s="241"/>
      <c r="AQ269" s="241"/>
      <c r="AR269" s="241"/>
      <c r="AS269" s="241"/>
      <c r="AT269" s="241" t="s">
        <v>3408</v>
      </c>
      <c r="AU269" s="241" t="s">
        <v>3409</v>
      </c>
      <c r="AV269" s="241" t="s">
        <v>306</v>
      </c>
      <c r="AW269" s="241" t="s">
        <v>306</v>
      </c>
      <c r="AX269" s="241">
        <f t="shared" si="36"/>
        <v>0</v>
      </c>
      <c r="AY269" s="241" t="str">
        <f t="shared" si="37"/>
        <v>TK/0</v>
      </c>
      <c r="AZ269" s="241" t="s">
        <v>3410</v>
      </c>
      <c r="BA269" s="237" t="s">
        <v>3410</v>
      </c>
      <c r="BB269" s="241" t="s">
        <v>161</v>
      </c>
      <c r="BC269" s="241" t="s">
        <v>349</v>
      </c>
      <c r="BD269" s="241" t="s">
        <v>515</v>
      </c>
      <c r="BE269" s="241" t="s">
        <v>1631</v>
      </c>
      <c r="BF269" s="241">
        <v>2016</v>
      </c>
      <c r="BG269" s="241" t="s">
        <v>349</v>
      </c>
      <c r="BH269" s="241" t="s">
        <v>515</v>
      </c>
      <c r="BI269" s="241" t="s">
        <v>1631</v>
      </c>
      <c r="BJ269" s="241">
        <v>2016</v>
      </c>
      <c r="BK269" s="247"/>
      <c r="BL269" s="247"/>
      <c r="BM269" s="241"/>
      <c r="BN269" s="241"/>
      <c r="BO269" s="241">
        <v>43</v>
      </c>
      <c r="BP269" s="244"/>
      <c r="BQ269" s="244"/>
      <c r="BR269" s="244">
        <v>44600</v>
      </c>
      <c r="BS269" s="244"/>
      <c r="BT269" s="241"/>
      <c r="BU269" s="241"/>
      <c r="BV269" s="241"/>
      <c r="BW269" s="241" t="s">
        <v>3411</v>
      </c>
      <c r="BX269" s="241"/>
      <c r="BY269" s="241"/>
      <c r="BZ269" s="241"/>
      <c r="CA269" s="241"/>
      <c r="CB269" s="241"/>
      <c r="CC269" s="241"/>
      <c r="CD269" s="241"/>
      <c r="CE269" s="241" t="e">
        <f>VLOOKUP(D269,[1]Sertifikasi!$B$4:$I$19,8,0)</f>
        <v>#N/A</v>
      </c>
      <c r="CF269" s="13"/>
      <c r="CG269" s="13"/>
      <c r="CH269" s="13"/>
    </row>
    <row r="270" spans="1:86" ht="11.25" customHeight="1" x14ac:dyDescent="0.2">
      <c r="A270" s="13"/>
      <c r="B270" s="238">
        <v>266</v>
      </c>
      <c r="C270" s="241" t="e">
        <f t="shared" ca="1" si="34"/>
        <v>#NUM!</v>
      </c>
      <c r="D270" s="237" t="s">
        <v>3422</v>
      </c>
      <c r="E270" s="239">
        <v>642201170</v>
      </c>
      <c r="F270" s="237">
        <v>1710011597385</v>
      </c>
      <c r="G270" s="240"/>
      <c r="H270" s="241" t="s">
        <v>217</v>
      </c>
      <c r="I270" s="241" t="s">
        <v>311</v>
      </c>
      <c r="J270" s="242">
        <v>44702</v>
      </c>
      <c r="K270" s="241"/>
      <c r="L270" s="241"/>
      <c r="M270" s="241" t="str">
        <f t="shared" ref="M270:M301" si="38">IF(LEFT(E270,2)="99","ORGANIK INKA",IF(LEFT(E270,2)="97","ORGANIK IMSS",IF(LEFT(E270,2)="75","Capeg",IF(LEFT(E270,2)="64","PKWT","Resign"))))</f>
        <v>PKWT</v>
      </c>
      <c r="N270" s="241" t="s">
        <v>187</v>
      </c>
      <c r="O270" s="241"/>
      <c r="P270" s="243">
        <v>45798</v>
      </c>
      <c r="Q270" s="241"/>
      <c r="R270" s="241" t="s">
        <v>206</v>
      </c>
      <c r="S270" s="241" t="s">
        <v>6863</v>
      </c>
      <c r="T270" s="241" t="s">
        <v>312</v>
      </c>
      <c r="U270" s="241" t="s">
        <v>23</v>
      </c>
      <c r="V270" s="241" t="s">
        <v>443</v>
      </c>
      <c r="W270" s="241" t="s">
        <v>51</v>
      </c>
      <c r="X270" s="241" t="s">
        <v>121</v>
      </c>
      <c r="Y270" s="241" t="s">
        <v>313</v>
      </c>
      <c r="Z270" s="241"/>
      <c r="AA270" s="241"/>
      <c r="AB270" s="241" t="s">
        <v>314</v>
      </c>
      <c r="AC270" s="241" t="s">
        <v>311</v>
      </c>
      <c r="AD270" s="245">
        <v>36168</v>
      </c>
      <c r="AE270" s="241">
        <f t="shared" ca="1" si="35"/>
        <v>26</v>
      </c>
      <c r="AF270" s="246" t="s">
        <v>3423</v>
      </c>
      <c r="AG270" s="241" t="s">
        <v>3424</v>
      </c>
      <c r="AH270" s="240" t="s">
        <v>3425</v>
      </c>
      <c r="AI270" s="240"/>
      <c r="AJ270" s="240"/>
      <c r="AK270" s="241" t="s">
        <v>3426</v>
      </c>
      <c r="AL270" s="246" t="s">
        <v>3427</v>
      </c>
      <c r="AM270" s="246">
        <v>22063660785</v>
      </c>
      <c r="AN270" s="241" t="s">
        <v>4716</v>
      </c>
      <c r="AO270" s="241"/>
      <c r="AP270" s="241"/>
      <c r="AQ270" s="241"/>
      <c r="AR270" s="241"/>
      <c r="AS270" s="241"/>
      <c r="AT270" s="241" t="s">
        <v>1977</v>
      </c>
      <c r="AU270" s="241" t="s">
        <v>3428</v>
      </c>
      <c r="AV270" s="241" t="s">
        <v>306</v>
      </c>
      <c r="AW270" s="241" t="s">
        <v>306</v>
      </c>
      <c r="AX270" s="241">
        <f t="shared" si="36"/>
        <v>0</v>
      </c>
      <c r="AY270" s="241" t="str">
        <f t="shared" si="37"/>
        <v>TK/0</v>
      </c>
      <c r="AZ270" s="241" t="s">
        <v>3429</v>
      </c>
      <c r="BA270" s="237" t="s">
        <v>3429</v>
      </c>
      <c r="BB270" s="241" t="s">
        <v>161</v>
      </c>
      <c r="BC270" s="241" t="s">
        <v>70</v>
      </c>
      <c r="BD270" s="241" t="s">
        <v>99</v>
      </c>
      <c r="BE270" s="241" t="s">
        <v>100</v>
      </c>
      <c r="BF270" s="241">
        <v>2020</v>
      </c>
      <c r="BG270" s="241" t="s">
        <v>70</v>
      </c>
      <c r="BH270" s="241" t="s">
        <v>99</v>
      </c>
      <c r="BI270" s="241" t="s">
        <v>100</v>
      </c>
      <c r="BJ270" s="241">
        <v>2020</v>
      </c>
      <c r="BK270" s="247"/>
      <c r="BL270" s="247"/>
      <c r="BM270" s="241"/>
      <c r="BN270" s="241"/>
      <c r="BO270" s="241">
        <v>38</v>
      </c>
      <c r="BP270" s="244"/>
      <c r="BQ270" s="244"/>
      <c r="BR270" s="244"/>
      <c r="BS270" s="244"/>
      <c r="BT270" s="241"/>
      <c r="BU270" s="241"/>
      <c r="BV270" s="241"/>
      <c r="BW270" s="241" t="s">
        <v>3430</v>
      </c>
      <c r="BX270" s="241"/>
      <c r="BY270" s="241"/>
      <c r="BZ270" s="241"/>
      <c r="CA270" s="241"/>
      <c r="CB270" s="241"/>
      <c r="CC270" s="241"/>
      <c r="CD270" s="241"/>
      <c r="CE270" s="241" t="e">
        <f>VLOOKUP(D270,[1]Sertifikasi!$B$4:$I$19,8,0)</f>
        <v>#N/A</v>
      </c>
      <c r="CF270" s="13"/>
      <c r="CG270" s="13"/>
      <c r="CH270" s="13"/>
    </row>
    <row r="271" spans="1:86" ht="11.25" customHeight="1" x14ac:dyDescent="0.2">
      <c r="A271" s="13"/>
      <c r="B271" s="238">
        <v>267</v>
      </c>
      <c r="C271" s="241" t="e">
        <f t="shared" ca="1" si="34"/>
        <v>#NUM!</v>
      </c>
      <c r="D271" s="237" t="s">
        <v>3431</v>
      </c>
      <c r="E271" s="239">
        <v>642201174</v>
      </c>
      <c r="F271" s="237">
        <v>1710011618611</v>
      </c>
      <c r="G271" s="240"/>
      <c r="H271" s="241" t="s">
        <v>217</v>
      </c>
      <c r="I271" s="241" t="s">
        <v>217</v>
      </c>
      <c r="J271" s="242">
        <v>44719</v>
      </c>
      <c r="K271" s="241"/>
      <c r="L271" s="241"/>
      <c r="M271" s="241" t="str">
        <f t="shared" si="38"/>
        <v>PKWT</v>
      </c>
      <c r="N271" s="241" t="s">
        <v>187</v>
      </c>
      <c r="O271" s="241"/>
      <c r="P271" s="243">
        <v>45657</v>
      </c>
      <c r="Q271" s="241"/>
      <c r="R271" s="241" t="s">
        <v>206</v>
      </c>
      <c r="S271" s="241" t="s">
        <v>6863</v>
      </c>
      <c r="T271" s="241" t="s">
        <v>312</v>
      </c>
      <c r="U271" s="241" t="s">
        <v>25</v>
      </c>
      <c r="V271" s="241" t="s">
        <v>443</v>
      </c>
      <c r="W271" s="241" t="s">
        <v>748</v>
      </c>
      <c r="X271" s="241" t="s">
        <v>121</v>
      </c>
      <c r="Y271" s="241" t="s">
        <v>313</v>
      </c>
      <c r="Z271" s="241"/>
      <c r="AA271" s="241"/>
      <c r="AB271" s="241" t="s">
        <v>314</v>
      </c>
      <c r="AC271" s="241" t="s">
        <v>217</v>
      </c>
      <c r="AD271" s="245">
        <v>36508</v>
      </c>
      <c r="AE271" s="241">
        <f t="shared" ca="1" si="35"/>
        <v>25</v>
      </c>
      <c r="AF271" s="246" t="s">
        <v>3432</v>
      </c>
      <c r="AG271" s="241" t="s">
        <v>3433</v>
      </c>
      <c r="AH271" s="240" t="s">
        <v>3434</v>
      </c>
      <c r="AI271" s="240"/>
      <c r="AJ271" s="240"/>
      <c r="AK271" s="241" t="s">
        <v>3435</v>
      </c>
      <c r="AL271" s="246" t="s">
        <v>3436</v>
      </c>
      <c r="AM271" s="246">
        <v>22063660660</v>
      </c>
      <c r="AN271" s="241" t="s">
        <v>4716</v>
      </c>
      <c r="AO271" s="241"/>
      <c r="AP271" s="241"/>
      <c r="AQ271" s="241"/>
      <c r="AR271" s="241"/>
      <c r="AS271" s="241"/>
      <c r="AT271" s="241" t="s">
        <v>306</v>
      </c>
      <c r="AU271" s="241" t="s">
        <v>306</v>
      </c>
      <c r="AV271" s="241" t="s">
        <v>306</v>
      </c>
      <c r="AW271" s="241" t="s">
        <v>306</v>
      </c>
      <c r="AX271" s="241">
        <f t="shared" si="36"/>
        <v>0</v>
      </c>
      <c r="AY271" s="241" t="str">
        <f t="shared" si="37"/>
        <v>TK/0</v>
      </c>
      <c r="AZ271" s="241"/>
      <c r="BA271" s="237"/>
      <c r="BB271" s="241" t="s">
        <v>161</v>
      </c>
      <c r="BC271" s="241" t="s">
        <v>349</v>
      </c>
      <c r="BD271" s="241" t="s">
        <v>91</v>
      </c>
      <c r="BE271" s="241" t="s">
        <v>516</v>
      </c>
      <c r="BF271" s="241"/>
      <c r="BG271" s="241" t="s">
        <v>349</v>
      </c>
      <c r="BH271" s="241" t="s">
        <v>91</v>
      </c>
      <c r="BI271" s="241" t="s">
        <v>516</v>
      </c>
      <c r="BJ271" s="241"/>
      <c r="BK271" s="247"/>
      <c r="BL271" s="247"/>
      <c r="BM271" s="241"/>
      <c r="BN271" s="241"/>
      <c r="BO271" s="241">
        <v>42</v>
      </c>
      <c r="BP271" s="244"/>
      <c r="BQ271" s="244"/>
      <c r="BR271" s="244"/>
      <c r="BS271" s="244"/>
      <c r="BT271" s="241"/>
      <c r="BU271" s="241"/>
      <c r="BV271" s="241"/>
      <c r="BW271" s="241" t="s">
        <v>3437</v>
      </c>
      <c r="BX271" s="241"/>
      <c r="BY271" s="241"/>
      <c r="BZ271" s="241"/>
      <c r="CA271" s="241"/>
      <c r="CB271" s="241"/>
      <c r="CC271" s="241"/>
      <c r="CD271" s="241"/>
      <c r="CE271" s="241" t="e">
        <f>VLOOKUP(D271,[1]Sertifikasi!$B$4:$I$19,8,0)</f>
        <v>#N/A</v>
      </c>
      <c r="CF271" s="13"/>
      <c r="CG271" s="13"/>
      <c r="CH271" s="13"/>
    </row>
    <row r="272" spans="1:86" ht="11.25" customHeight="1" x14ac:dyDescent="0.2">
      <c r="A272" s="13"/>
      <c r="B272" s="238">
        <v>268</v>
      </c>
      <c r="C272" s="241" t="e">
        <f t="shared" ca="1" si="34"/>
        <v>#NUM!</v>
      </c>
      <c r="D272" s="237" t="s">
        <v>3438</v>
      </c>
      <c r="E272" s="239">
        <v>642201175</v>
      </c>
      <c r="F272" s="237">
        <v>1710011722942</v>
      </c>
      <c r="G272" s="240"/>
      <c r="H272" s="241" t="s">
        <v>217</v>
      </c>
      <c r="I272" s="241" t="s">
        <v>432</v>
      </c>
      <c r="J272" s="242">
        <v>44719</v>
      </c>
      <c r="K272" s="241"/>
      <c r="L272" s="241"/>
      <c r="M272" s="241" t="str">
        <f t="shared" si="38"/>
        <v>PKWT</v>
      </c>
      <c r="N272" s="241" t="s">
        <v>187</v>
      </c>
      <c r="O272" s="241"/>
      <c r="P272" s="243">
        <v>45815</v>
      </c>
      <c r="Q272" s="241"/>
      <c r="R272" s="241" t="s">
        <v>206</v>
      </c>
      <c r="S272" s="241" t="s">
        <v>6863</v>
      </c>
      <c r="T272" s="241" t="s">
        <v>312</v>
      </c>
      <c r="U272" s="241" t="s">
        <v>23</v>
      </c>
      <c r="V272" s="241" t="s">
        <v>443</v>
      </c>
      <c r="W272" s="241" t="s">
        <v>51</v>
      </c>
      <c r="X272" s="241" t="s">
        <v>121</v>
      </c>
      <c r="Y272" s="241" t="s">
        <v>313</v>
      </c>
      <c r="Z272" s="241"/>
      <c r="AA272" s="241"/>
      <c r="AB272" s="241" t="s">
        <v>314</v>
      </c>
      <c r="AC272" s="241" t="s">
        <v>432</v>
      </c>
      <c r="AD272" s="245">
        <v>37670</v>
      </c>
      <c r="AE272" s="241">
        <f t="shared" ca="1" si="35"/>
        <v>22</v>
      </c>
      <c r="AF272" s="246" t="s">
        <v>3439</v>
      </c>
      <c r="AG272" s="241" t="s">
        <v>3440</v>
      </c>
      <c r="AH272" s="240" t="s">
        <v>3441</v>
      </c>
      <c r="AI272" s="240"/>
      <c r="AJ272" s="240"/>
      <c r="AK272" s="241" t="s">
        <v>3442</v>
      </c>
      <c r="AL272" s="246" t="s">
        <v>3443</v>
      </c>
      <c r="AM272" s="246">
        <v>22063660819</v>
      </c>
      <c r="AN272" s="241" t="s">
        <v>4716</v>
      </c>
      <c r="AO272" s="241"/>
      <c r="AP272" s="241"/>
      <c r="AQ272" s="241"/>
      <c r="AR272" s="241"/>
      <c r="AS272" s="241"/>
      <c r="AT272" s="241" t="s">
        <v>3444</v>
      </c>
      <c r="AU272" s="241" t="s">
        <v>1211</v>
      </c>
      <c r="AV272" s="241" t="s">
        <v>306</v>
      </c>
      <c r="AW272" s="241" t="s">
        <v>306</v>
      </c>
      <c r="AX272" s="241">
        <f t="shared" si="36"/>
        <v>0</v>
      </c>
      <c r="AY272" s="241" t="str">
        <f t="shared" si="37"/>
        <v>TK/0</v>
      </c>
      <c r="AZ272" s="241" t="s">
        <v>3445</v>
      </c>
      <c r="BA272" s="237" t="s">
        <v>3445</v>
      </c>
      <c r="BB272" s="241" t="s">
        <v>161</v>
      </c>
      <c r="BC272" s="241" t="s">
        <v>349</v>
      </c>
      <c r="BD272" s="241" t="s">
        <v>515</v>
      </c>
      <c r="BE272" s="241" t="s">
        <v>3446</v>
      </c>
      <c r="BF272" s="241"/>
      <c r="BG272" s="241" t="s">
        <v>349</v>
      </c>
      <c r="BH272" s="241" t="s">
        <v>515</v>
      </c>
      <c r="BI272" s="241" t="s">
        <v>3446</v>
      </c>
      <c r="BJ272" s="241"/>
      <c r="BK272" s="247"/>
      <c r="BL272" s="247"/>
      <c r="BM272" s="241"/>
      <c r="BN272" s="241"/>
      <c r="BO272" s="241">
        <v>40</v>
      </c>
      <c r="BP272" s="244"/>
      <c r="BQ272" s="244"/>
      <c r="BR272" s="244"/>
      <c r="BS272" s="244"/>
      <c r="BT272" s="241"/>
      <c r="BU272" s="241"/>
      <c r="BV272" s="241"/>
      <c r="BW272" s="241" t="s">
        <v>3447</v>
      </c>
      <c r="BX272" s="241"/>
      <c r="BY272" s="241"/>
      <c r="BZ272" s="241"/>
      <c r="CA272" s="241"/>
      <c r="CB272" s="241"/>
      <c r="CC272" s="241"/>
      <c r="CD272" s="241"/>
      <c r="CE272" s="241" t="e">
        <f>VLOOKUP(D272,[1]Sertifikasi!$B$4:$I$19,8,0)</f>
        <v>#N/A</v>
      </c>
      <c r="CF272" s="13"/>
      <c r="CG272" s="13"/>
      <c r="CH272" s="13"/>
    </row>
    <row r="273" spans="1:86" ht="11.25" customHeight="1" x14ac:dyDescent="0.2">
      <c r="A273" s="13"/>
      <c r="B273" s="238">
        <v>269</v>
      </c>
      <c r="C273" s="241" t="e">
        <f t="shared" ca="1" si="34"/>
        <v>#NUM!</v>
      </c>
      <c r="D273" s="237" t="s">
        <v>3448</v>
      </c>
      <c r="E273" s="239">
        <v>642201177</v>
      </c>
      <c r="F273" s="237">
        <v>1710011826701</v>
      </c>
      <c r="G273" s="240"/>
      <c r="H273" s="241" t="s">
        <v>217</v>
      </c>
      <c r="I273" s="241" t="s">
        <v>311</v>
      </c>
      <c r="J273" s="242">
        <v>44743</v>
      </c>
      <c r="K273" s="241"/>
      <c r="L273" s="241"/>
      <c r="M273" s="241" t="str">
        <f t="shared" si="38"/>
        <v>PKWT</v>
      </c>
      <c r="N273" s="241" t="s">
        <v>187</v>
      </c>
      <c r="O273" s="241"/>
      <c r="P273" s="243">
        <v>45839</v>
      </c>
      <c r="Q273" s="241"/>
      <c r="R273" s="241" t="s">
        <v>206</v>
      </c>
      <c r="S273" s="241" t="s">
        <v>6863</v>
      </c>
      <c r="T273" s="241" t="s">
        <v>312</v>
      </c>
      <c r="U273" s="241" t="s">
        <v>23</v>
      </c>
      <c r="V273" s="241" t="s">
        <v>443</v>
      </c>
      <c r="W273" s="241" t="s">
        <v>51</v>
      </c>
      <c r="X273" s="241" t="s">
        <v>121</v>
      </c>
      <c r="Y273" s="241" t="s">
        <v>313</v>
      </c>
      <c r="Z273" s="241"/>
      <c r="AA273" s="241"/>
      <c r="AB273" s="241" t="s">
        <v>314</v>
      </c>
      <c r="AC273" s="241" t="s">
        <v>311</v>
      </c>
      <c r="AD273" s="245">
        <v>36272</v>
      </c>
      <c r="AE273" s="241">
        <f t="shared" ca="1" si="35"/>
        <v>26</v>
      </c>
      <c r="AF273" s="246" t="s">
        <v>3449</v>
      </c>
      <c r="AG273" s="241" t="s">
        <v>3450</v>
      </c>
      <c r="AH273" s="240" t="s">
        <v>3451</v>
      </c>
      <c r="AI273" s="240"/>
      <c r="AJ273" s="240"/>
      <c r="AK273" s="241" t="s">
        <v>3452</v>
      </c>
      <c r="AL273" s="246" t="s">
        <v>3453</v>
      </c>
      <c r="AM273" s="246">
        <v>22090773635</v>
      </c>
      <c r="AN273" s="241" t="s">
        <v>4716</v>
      </c>
      <c r="AO273" s="241"/>
      <c r="AP273" s="241"/>
      <c r="AQ273" s="241"/>
      <c r="AR273" s="241"/>
      <c r="AS273" s="241"/>
      <c r="AT273" s="241" t="s">
        <v>306</v>
      </c>
      <c r="AU273" s="241" t="s">
        <v>306</v>
      </c>
      <c r="AV273" s="241" t="s">
        <v>306</v>
      </c>
      <c r="AW273" s="241" t="s">
        <v>306</v>
      </c>
      <c r="AX273" s="241">
        <f t="shared" si="36"/>
        <v>0</v>
      </c>
      <c r="AY273" s="241" t="str">
        <f t="shared" si="37"/>
        <v>TK/0</v>
      </c>
      <c r="AZ273" s="241"/>
      <c r="BA273" s="237"/>
      <c r="BB273" s="241" t="s">
        <v>161</v>
      </c>
      <c r="BC273" s="241" t="s">
        <v>307</v>
      </c>
      <c r="BD273" s="241" t="s">
        <v>308</v>
      </c>
      <c r="BE273" s="241" t="s">
        <v>6844</v>
      </c>
      <c r="BF273" s="241"/>
      <c r="BG273" s="241" t="s">
        <v>307</v>
      </c>
      <c r="BH273" s="241"/>
      <c r="BI273" s="241"/>
      <c r="BJ273" s="241"/>
      <c r="BK273" s="247"/>
      <c r="BL273" s="247"/>
      <c r="BM273" s="241"/>
      <c r="BN273" s="241"/>
      <c r="BO273" s="241">
        <v>41</v>
      </c>
      <c r="BP273" s="244"/>
      <c r="BQ273" s="244"/>
      <c r="BR273" s="244"/>
      <c r="BS273" s="244"/>
      <c r="BT273" s="241"/>
      <c r="BU273" s="241"/>
      <c r="BV273" s="241"/>
      <c r="BW273" s="241" t="s">
        <v>3454</v>
      </c>
      <c r="BX273" s="241"/>
      <c r="BY273" s="241"/>
      <c r="BZ273" s="241"/>
      <c r="CA273" s="241"/>
      <c r="CB273" s="241"/>
      <c r="CC273" s="241"/>
      <c r="CD273" s="241"/>
      <c r="CE273" s="241" t="e">
        <f>VLOOKUP(D273,[1]Sertifikasi!$B$4:$I$19,8,0)</f>
        <v>#N/A</v>
      </c>
      <c r="CF273" s="13"/>
      <c r="CG273" s="13"/>
      <c r="CH273" s="13"/>
    </row>
    <row r="274" spans="1:86" ht="11.25" customHeight="1" x14ac:dyDescent="0.2">
      <c r="A274" s="13"/>
      <c r="B274" s="238">
        <v>270</v>
      </c>
      <c r="C274" s="241" t="e">
        <f t="shared" ca="1" si="34"/>
        <v>#NUM!</v>
      </c>
      <c r="D274" s="237" t="s">
        <v>3455</v>
      </c>
      <c r="E274" s="239">
        <v>642201176</v>
      </c>
      <c r="F274" s="237">
        <v>1710011617928</v>
      </c>
      <c r="G274" s="240"/>
      <c r="H274" s="241" t="s">
        <v>217</v>
      </c>
      <c r="I274" s="241" t="s">
        <v>217</v>
      </c>
      <c r="J274" s="242">
        <v>44743</v>
      </c>
      <c r="K274" s="241"/>
      <c r="L274" s="241"/>
      <c r="M274" s="241" t="str">
        <f t="shared" si="38"/>
        <v>PKWT</v>
      </c>
      <c r="N274" s="241" t="s">
        <v>187</v>
      </c>
      <c r="O274" s="241"/>
      <c r="P274" s="243">
        <v>45839</v>
      </c>
      <c r="Q274" s="241"/>
      <c r="R274" s="241" t="s">
        <v>206</v>
      </c>
      <c r="S274" s="241" t="s">
        <v>6863</v>
      </c>
      <c r="T274" s="241" t="s">
        <v>312</v>
      </c>
      <c r="U274" s="241" t="s">
        <v>204</v>
      </c>
      <c r="V274" s="241" t="s">
        <v>208</v>
      </c>
      <c r="W274" s="241" t="s">
        <v>6908</v>
      </c>
      <c r="X274" s="241" t="s">
        <v>18</v>
      </c>
      <c r="Y274" s="241" t="s">
        <v>313</v>
      </c>
      <c r="Z274" s="241"/>
      <c r="AA274" s="241"/>
      <c r="AB274" s="241" t="s">
        <v>314</v>
      </c>
      <c r="AC274" s="241" t="s">
        <v>217</v>
      </c>
      <c r="AD274" s="245">
        <v>37496</v>
      </c>
      <c r="AE274" s="241">
        <f t="shared" ca="1" si="35"/>
        <v>23</v>
      </c>
      <c r="AF274" s="246" t="s">
        <v>3456</v>
      </c>
      <c r="AG274" s="241" t="s">
        <v>3457</v>
      </c>
      <c r="AH274" s="240" t="s">
        <v>3458</v>
      </c>
      <c r="AI274" s="240"/>
      <c r="AJ274" s="240"/>
      <c r="AK274" s="241" t="s">
        <v>3459</v>
      </c>
      <c r="AL274" s="246" t="s">
        <v>3460</v>
      </c>
      <c r="AM274" s="246">
        <v>22090773627</v>
      </c>
      <c r="AN274" s="241" t="s">
        <v>4716</v>
      </c>
      <c r="AO274" s="241"/>
      <c r="AP274" s="241"/>
      <c r="AQ274" s="241"/>
      <c r="AR274" s="241"/>
      <c r="AS274" s="241"/>
      <c r="AT274" s="241" t="s">
        <v>3461</v>
      </c>
      <c r="AU274" s="241" t="s">
        <v>3462</v>
      </c>
      <c r="AV274" s="241" t="s">
        <v>306</v>
      </c>
      <c r="AW274" s="241" t="s">
        <v>306</v>
      </c>
      <c r="AX274" s="241">
        <f t="shared" si="36"/>
        <v>0</v>
      </c>
      <c r="AY274" s="241" t="str">
        <f t="shared" si="37"/>
        <v>TK/0</v>
      </c>
      <c r="AZ274" s="241" t="s">
        <v>3463</v>
      </c>
      <c r="BA274" s="237" t="s">
        <v>3464</v>
      </c>
      <c r="BB274" s="241" t="s">
        <v>161</v>
      </c>
      <c r="BC274" s="241" t="s">
        <v>307</v>
      </c>
      <c r="BD274" s="241" t="s">
        <v>308</v>
      </c>
      <c r="BE274" s="241" t="s">
        <v>6844</v>
      </c>
      <c r="BF274" s="241"/>
      <c r="BG274" s="241" t="s">
        <v>307</v>
      </c>
      <c r="BH274" s="241"/>
      <c r="BI274" s="241"/>
      <c r="BJ274" s="241"/>
      <c r="BK274" s="247"/>
      <c r="BL274" s="247"/>
      <c r="BM274" s="241"/>
      <c r="BN274" s="241"/>
      <c r="BO274" s="241">
        <v>40</v>
      </c>
      <c r="BP274" s="244"/>
      <c r="BQ274" s="244"/>
      <c r="BR274" s="244">
        <v>44667</v>
      </c>
      <c r="BS274" s="244"/>
      <c r="BT274" s="241"/>
      <c r="BU274" s="241"/>
      <c r="BV274" s="241"/>
      <c r="BW274" s="241" t="s">
        <v>3465</v>
      </c>
      <c r="BX274" s="241"/>
      <c r="BY274" s="241"/>
      <c r="BZ274" s="241"/>
      <c r="CA274" s="241"/>
      <c r="CB274" s="241"/>
      <c r="CC274" s="241"/>
      <c r="CD274" s="241"/>
      <c r="CE274" s="241" t="e">
        <f>VLOOKUP(D274,[1]Sertifikasi!$B$4:$I$19,8,0)</f>
        <v>#N/A</v>
      </c>
      <c r="CF274" s="13"/>
      <c r="CG274" s="13"/>
      <c r="CH274" s="13"/>
    </row>
    <row r="275" spans="1:86" ht="11.25" customHeight="1" x14ac:dyDescent="0.2">
      <c r="A275" s="13"/>
      <c r="B275" s="238">
        <v>271</v>
      </c>
      <c r="C275" s="241" t="e">
        <f t="shared" ca="1" si="34"/>
        <v>#NUM!</v>
      </c>
      <c r="D275" s="237" t="s">
        <v>3466</v>
      </c>
      <c r="E275" s="239">
        <v>642301178</v>
      </c>
      <c r="F275" s="237">
        <v>1710010758608</v>
      </c>
      <c r="G275" s="240"/>
      <c r="H275" s="241" t="s">
        <v>217</v>
      </c>
      <c r="I275" s="241" t="s">
        <v>1511</v>
      </c>
      <c r="J275" s="242">
        <v>44927</v>
      </c>
      <c r="K275" s="241"/>
      <c r="L275" s="241"/>
      <c r="M275" s="241" t="str">
        <f t="shared" si="38"/>
        <v>PKWT</v>
      </c>
      <c r="N275" s="241" t="s">
        <v>187</v>
      </c>
      <c r="O275" s="241"/>
      <c r="P275" s="243">
        <v>45657</v>
      </c>
      <c r="Q275" s="241"/>
      <c r="R275" s="241" t="s">
        <v>206</v>
      </c>
      <c r="S275" s="241" t="s">
        <v>6863</v>
      </c>
      <c r="T275" s="241" t="s">
        <v>296</v>
      </c>
      <c r="U275" s="241" t="s">
        <v>187</v>
      </c>
      <c r="V275" s="241" t="s">
        <v>73</v>
      </c>
      <c r="W275" s="241" t="s">
        <v>73</v>
      </c>
      <c r="X275" s="241" t="s">
        <v>122</v>
      </c>
      <c r="Y275" s="241" t="s">
        <v>313</v>
      </c>
      <c r="Z275" s="241"/>
      <c r="AA275" s="241"/>
      <c r="AB275" s="241" t="s">
        <v>314</v>
      </c>
      <c r="AC275" s="241" t="s">
        <v>1511</v>
      </c>
      <c r="AD275" s="245">
        <v>36641</v>
      </c>
      <c r="AE275" s="241">
        <f t="shared" ca="1" si="35"/>
        <v>25</v>
      </c>
      <c r="AF275" s="246" t="s">
        <v>3467</v>
      </c>
      <c r="AG275" s="241" t="s">
        <v>3468</v>
      </c>
      <c r="AH275" s="240" t="s">
        <v>3469</v>
      </c>
      <c r="AI275" s="240"/>
      <c r="AJ275" s="240"/>
      <c r="AK275" s="241" t="s">
        <v>3470</v>
      </c>
      <c r="AL275" s="246" t="s">
        <v>3471</v>
      </c>
      <c r="AM275" s="246">
        <v>23009096605</v>
      </c>
      <c r="AN275" s="241" t="s">
        <v>4716</v>
      </c>
      <c r="AO275" s="241"/>
      <c r="AP275" s="241"/>
      <c r="AQ275" s="241"/>
      <c r="AR275" s="241"/>
      <c r="AS275" s="241"/>
      <c r="AT275" s="241" t="s">
        <v>3472</v>
      </c>
      <c r="AU275" s="241" t="s">
        <v>3473</v>
      </c>
      <c r="AV275" s="241" t="s">
        <v>306</v>
      </c>
      <c r="AW275" s="241" t="s">
        <v>306</v>
      </c>
      <c r="AX275" s="241">
        <f t="shared" si="36"/>
        <v>0</v>
      </c>
      <c r="AY275" s="241" t="str">
        <f t="shared" si="37"/>
        <v>TK/0</v>
      </c>
      <c r="AZ275" s="241" t="s">
        <v>3474</v>
      </c>
      <c r="BA275" s="237" t="s">
        <v>3474</v>
      </c>
      <c r="BB275" s="241" t="s">
        <v>161</v>
      </c>
      <c r="BC275" s="241" t="s">
        <v>70</v>
      </c>
      <c r="BD275" s="241" t="s">
        <v>3475</v>
      </c>
      <c r="BE275" s="241" t="s">
        <v>100</v>
      </c>
      <c r="BF275" s="241"/>
      <c r="BG275" s="241" t="s">
        <v>70</v>
      </c>
      <c r="BH275" s="241" t="s">
        <v>3475</v>
      </c>
      <c r="BI275" s="241" t="s">
        <v>100</v>
      </c>
      <c r="BJ275" s="241"/>
      <c r="BK275" s="247"/>
      <c r="BL275" s="247"/>
      <c r="BM275" s="241"/>
      <c r="BN275" s="241"/>
      <c r="BO275" s="241">
        <v>43</v>
      </c>
      <c r="BP275" s="244"/>
      <c r="BQ275" s="244"/>
      <c r="BR275" s="244">
        <v>44672</v>
      </c>
      <c r="BS275" s="244"/>
      <c r="BT275" s="241"/>
      <c r="BU275" s="241"/>
      <c r="BV275" s="241"/>
      <c r="BW275" s="241"/>
      <c r="BX275" s="241"/>
      <c r="BY275" s="241"/>
      <c r="BZ275" s="241"/>
      <c r="CA275" s="241"/>
      <c r="CB275" s="241"/>
      <c r="CC275" s="241"/>
      <c r="CD275" s="241"/>
      <c r="CE275" s="241" t="e">
        <f>VLOOKUP(D275,[1]Sertifikasi!$B$4:$I$19,8,0)</f>
        <v>#N/A</v>
      </c>
      <c r="CF275" s="13"/>
      <c r="CG275" s="13"/>
      <c r="CH275" s="13"/>
    </row>
    <row r="276" spans="1:86" ht="11.25" customHeight="1" x14ac:dyDescent="0.2">
      <c r="A276" s="13"/>
      <c r="B276" s="238">
        <v>272</v>
      </c>
      <c r="C276" s="241" t="e">
        <f t="shared" ca="1" si="34"/>
        <v>#NUM!</v>
      </c>
      <c r="D276" s="237" t="s">
        <v>3476</v>
      </c>
      <c r="E276" s="239">
        <v>642301180</v>
      </c>
      <c r="F276" s="237">
        <v>1710012918895</v>
      </c>
      <c r="G276" s="240"/>
      <c r="H276" s="241" t="s">
        <v>217</v>
      </c>
      <c r="I276" s="241" t="s">
        <v>3477</v>
      </c>
      <c r="J276" s="242">
        <v>44931</v>
      </c>
      <c r="K276" s="241"/>
      <c r="L276" s="241"/>
      <c r="M276" s="241" t="str">
        <f t="shared" si="38"/>
        <v>PKWT</v>
      </c>
      <c r="N276" s="241" t="s">
        <v>187</v>
      </c>
      <c r="O276" s="241"/>
      <c r="P276" s="243">
        <v>45657</v>
      </c>
      <c r="Q276" s="241"/>
      <c r="R276" s="241" t="s">
        <v>206</v>
      </c>
      <c r="S276" s="241" t="s">
        <v>6863</v>
      </c>
      <c r="T276" s="241" t="s">
        <v>312</v>
      </c>
      <c r="U276" s="241" t="s">
        <v>24</v>
      </c>
      <c r="V276" s="241" t="s">
        <v>204</v>
      </c>
      <c r="W276" s="241" t="s">
        <v>629</v>
      </c>
      <c r="X276" s="241" t="s">
        <v>121</v>
      </c>
      <c r="Y276" s="241" t="s">
        <v>313</v>
      </c>
      <c r="Z276" s="241" t="s">
        <v>445</v>
      </c>
      <c r="AA276" s="241"/>
      <c r="AB276" s="241" t="s">
        <v>314</v>
      </c>
      <c r="AC276" s="241" t="s">
        <v>3477</v>
      </c>
      <c r="AD276" s="245">
        <v>36937</v>
      </c>
      <c r="AE276" s="241">
        <f t="shared" ca="1" si="35"/>
        <v>24</v>
      </c>
      <c r="AF276" s="246" t="s">
        <v>3478</v>
      </c>
      <c r="AG276" s="241" t="s">
        <v>3479</v>
      </c>
      <c r="AH276" s="240" t="s">
        <v>3480</v>
      </c>
      <c r="AI276" s="240"/>
      <c r="AJ276" s="240"/>
      <c r="AK276" s="241" t="s">
        <v>3481</v>
      </c>
      <c r="AL276" s="246" t="s">
        <v>3482</v>
      </c>
      <c r="AM276" s="246">
        <v>23009096696</v>
      </c>
      <c r="AN276" s="241" t="s">
        <v>4716</v>
      </c>
      <c r="AO276" s="241"/>
      <c r="AP276" s="241"/>
      <c r="AQ276" s="241"/>
      <c r="AR276" s="241"/>
      <c r="AS276" s="241"/>
      <c r="AT276" s="241" t="s">
        <v>3483</v>
      </c>
      <c r="AU276" s="241" t="s">
        <v>3484</v>
      </c>
      <c r="AV276" s="241" t="s">
        <v>306</v>
      </c>
      <c r="AW276" s="241" t="s">
        <v>306</v>
      </c>
      <c r="AX276" s="241">
        <f t="shared" si="36"/>
        <v>0</v>
      </c>
      <c r="AY276" s="241" t="str">
        <f t="shared" si="37"/>
        <v>TK/0</v>
      </c>
      <c r="AZ276" s="241" t="s">
        <v>3485</v>
      </c>
      <c r="BA276" s="237" t="s">
        <v>3485</v>
      </c>
      <c r="BB276" s="241" t="s">
        <v>161</v>
      </c>
      <c r="BC276" s="241" t="s">
        <v>70</v>
      </c>
      <c r="BD276" s="241" t="s">
        <v>3475</v>
      </c>
      <c r="BE276" s="241" t="s">
        <v>100</v>
      </c>
      <c r="BF276" s="241">
        <v>2022</v>
      </c>
      <c r="BG276" s="241" t="s">
        <v>70</v>
      </c>
      <c r="BH276" s="241" t="s">
        <v>3475</v>
      </c>
      <c r="BI276" s="241" t="s">
        <v>100</v>
      </c>
      <c r="BJ276" s="241">
        <v>2022</v>
      </c>
      <c r="BK276" s="247"/>
      <c r="BL276" s="247"/>
      <c r="BM276" s="241"/>
      <c r="BN276" s="241"/>
      <c r="BO276" s="241">
        <v>41</v>
      </c>
      <c r="BP276" s="244"/>
      <c r="BQ276" s="244"/>
      <c r="BR276" s="244"/>
      <c r="BS276" s="244"/>
      <c r="BT276" s="241"/>
      <c r="BU276" s="241"/>
      <c r="BV276" s="241"/>
      <c r="BW276" s="241"/>
      <c r="BX276" s="241"/>
      <c r="BY276" s="241"/>
      <c r="BZ276" s="241"/>
      <c r="CA276" s="241"/>
      <c r="CB276" s="241"/>
      <c r="CC276" s="241"/>
      <c r="CD276" s="241"/>
      <c r="CE276" s="241" t="str">
        <f>VLOOKUP(D276,[1]Sertifikasi!$B$4:$I$19,8,0)</f>
        <v>Pembinaan Dan Sertifikasi Calon Ahli K3 Umum</v>
      </c>
      <c r="CF276" s="13"/>
      <c r="CG276" s="13"/>
      <c r="CH276" s="13"/>
    </row>
    <row r="277" spans="1:86" ht="11.25" customHeight="1" x14ac:dyDescent="0.2">
      <c r="A277" s="13"/>
      <c r="B277" s="238">
        <v>273</v>
      </c>
      <c r="C277" s="241" t="e">
        <f t="shared" ca="1" si="34"/>
        <v>#NUM!</v>
      </c>
      <c r="D277" s="237" t="s">
        <v>3486</v>
      </c>
      <c r="E277" s="239">
        <v>642301184</v>
      </c>
      <c r="F277" s="237"/>
      <c r="G277" s="240">
        <v>7117407262</v>
      </c>
      <c r="H277" s="241" t="s">
        <v>217</v>
      </c>
      <c r="I277" s="241" t="s">
        <v>217</v>
      </c>
      <c r="J277" s="242">
        <v>44931</v>
      </c>
      <c r="K277" s="241"/>
      <c r="L277" s="241"/>
      <c r="M277" s="241" t="str">
        <f t="shared" si="38"/>
        <v>PKWT</v>
      </c>
      <c r="N277" s="241" t="s">
        <v>187</v>
      </c>
      <c r="O277" s="241"/>
      <c r="P277" s="243">
        <v>45657</v>
      </c>
      <c r="Q277" s="241"/>
      <c r="R277" s="241" t="s">
        <v>206</v>
      </c>
      <c r="S277" s="241" t="s">
        <v>6863</v>
      </c>
      <c r="T277" s="241" t="s">
        <v>312</v>
      </c>
      <c r="U277" s="241" t="s">
        <v>24</v>
      </c>
      <c r="V277" s="241" t="s">
        <v>443</v>
      </c>
      <c r="W277" s="241" t="s">
        <v>175</v>
      </c>
      <c r="X277" s="241" t="s">
        <v>121</v>
      </c>
      <c r="Y277" s="241" t="s">
        <v>313</v>
      </c>
      <c r="Z277" s="241" t="s">
        <v>445</v>
      </c>
      <c r="AA277" s="241"/>
      <c r="AB277" s="241" t="s">
        <v>314</v>
      </c>
      <c r="AC277" s="241" t="s">
        <v>24</v>
      </c>
      <c r="AD277" s="245">
        <v>36802</v>
      </c>
      <c r="AE277" s="241">
        <f t="shared" ca="1" si="35"/>
        <v>24</v>
      </c>
      <c r="AF277" s="246" t="s">
        <v>3487</v>
      </c>
      <c r="AG277" s="241" t="s">
        <v>3488</v>
      </c>
      <c r="AH277" s="240" t="s">
        <v>3489</v>
      </c>
      <c r="AI277" s="240"/>
      <c r="AJ277" s="240"/>
      <c r="AK277" s="241" t="s">
        <v>3490</v>
      </c>
      <c r="AL277" s="246" t="s">
        <v>3491</v>
      </c>
      <c r="AM277" s="246">
        <v>23009096613</v>
      </c>
      <c r="AN277" s="241" t="s">
        <v>4716</v>
      </c>
      <c r="AO277" s="241"/>
      <c r="AP277" s="241"/>
      <c r="AQ277" s="241"/>
      <c r="AR277" s="241"/>
      <c r="AS277" s="241"/>
      <c r="AT277" s="241" t="s">
        <v>3492</v>
      </c>
      <c r="AU277" s="241" t="s">
        <v>3493</v>
      </c>
      <c r="AV277" s="241" t="s">
        <v>306</v>
      </c>
      <c r="AW277" s="241" t="s">
        <v>306</v>
      </c>
      <c r="AX277" s="241">
        <f t="shared" si="36"/>
        <v>0</v>
      </c>
      <c r="AY277" s="241" t="str">
        <f t="shared" si="37"/>
        <v>TK/0</v>
      </c>
      <c r="AZ277" s="241" t="s">
        <v>3494</v>
      </c>
      <c r="BA277" s="237" t="s">
        <v>3494</v>
      </c>
      <c r="BB277" s="241" t="s">
        <v>161</v>
      </c>
      <c r="BC277" s="241" t="s">
        <v>70</v>
      </c>
      <c r="BD277" s="241" t="s">
        <v>3475</v>
      </c>
      <c r="BE277" s="241" t="s">
        <v>100</v>
      </c>
      <c r="BF277" s="241">
        <v>2022</v>
      </c>
      <c r="BG277" s="241" t="s">
        <v>70</v>
      </c>
      <c r="BH277" s="241" t="s">
        <v>3475</v>
      </c>
      <c r="BI277" s="241" t="s">
        <v>100</v>
      </c>
      <c r="BJ277" s="241">
        <v>2022</v>
      </c>
      <c r="BK277" s="247"/>
      <c r="BL277" s="247"/>
      <c r="BM277" s="241"/>
      <c r="BN277" s="241"/>
      <c r="BO277" s="241">
        <v>41</v>
      </c>
      <c r="BP277" s="244"/>
      <c r="BQ277" s="244"/>
      <c r="BR277" s="244"/>
      <c r="BS277" s="244"/>
      <c r="BT277" s="241"/>
      <c r="BU277" s="241"/>
      <c r="BV277" s="241"/>
      <c r="BW277" s="241"/>
      <c r="BX277" s="241"/>
      <c r="BY277" s="241"/>
      <c r="BZ277" s="241"/>
      <c r="CA277" s="241"/>
      <c r="CB277" s="241"/>
      <c r="CC277" s="241"/>
      <c r="CD277" s="241"/>
      <c r="CE277" s="241" t="str">
        <f>VLOOKUP(D277,[1]Sertifikasi!$B$4:$I$19,8,0)</f>
        <v>Pembinaan Dan Sertifikasi Calon Ahli K3 Umum</v>
      </c>
      <c r="CF277" s="13"/>
      <c r="CG277" s="13"/>
      <c r="CH277" s="13"/>
    </row>
    <row r="278" spans="1:86" ht="11.25" customHeight="1" x14ac:dyDescent="0.2">
      <c r="A278" s="13"/>
      <c r="B278" s="238">
        <v>274</v>
      </c>
      <c r="C278" s="241" t="e">
        <f t="shared" ca="1" si="34"/>
        <v>#NUM!</v>
      </c>
      <c r="D278" s="237" t="s">
        <v>3495</v>
      </c>
      <c r="E278" s="239">
        <v>642301183</v>
      </c>
      <c r="F278" s="237">
        <v>1710012923051</v>
      </c>
      <c r="G278" s="240"/>
      <c r="H278" s="241" t="s">
        <v>217</v>
      </c>
      <c r="I278" s="241" t="s">
        <v>217</v>
      </c>
      <c r="J278" s="242">
        <v>44931</v>
      </c>
      <c r="K278" s="241"/>
      <c r="L278" s="241"/>
      <c r="M278" s="241" t="str">
        <f t="shared" si="38"/>
        <v>PKWT</v>
      </c>
      <c r="N278" s="241" t="s">
        <v>187</v>
      </c>
      <c r="O278" s="241"/>
      <c r="P278" s="243">
        <v>45657</v>
      </c>
      <c r="Q278" s="241"/>
      <c r="R278" s="241" t="s">
        <v>206</v>
      </c>
      <c r="S278" s="241" t="s">
        <v>6863</v>
      </c>
      <c r="T278" s="241" t="s">
        <v>312</v>
      </c>
      <c r="U278" s="241" t="s">
        <v>24</v>
      </c>
      <c r="V278" s="241" t="s">
        <v>204</v>
      </c>
      <c r="W278" s="241" t="s">
        <v>629</v>
      </c>
      <c r="X278" s="241" t="s">
        <v>121</v>
      </c>
      <c r="Y278" s="241" t="s">
        <v>313</v>
      </c>
      <c r="Z278" s="241" t="s">
        <v>445</v>
      </c>
      <c r="AA278" s="241"/>
      <c r="AB278" s="241" t="s">
        <v>314</v>
      </c>
      <c r="AC278" s="241" t="s">
        <v>217</v>
      </c>
      <c r="AD278" s="245">
        <v>36643</v>
      </c>
      <c r="AE278" s="241">
        <f t="shared" ca="1" si="35"/>
        <v>25</v>
      </c>
      <c r="AF278" s="246" t="s">
        <v>3496</v>
      </c>
      <c r="AG278" s="241" t="s">
        <v>3497</v>
      </c>
      <c r="AH278" s="240" t="s">
        <v>3498</v>
      </c>
      <c r="AI278" s="240"/>
      <c r="AJ278" s="240"/>
      <c r="AK278" s="241" t="s">
        <v>3499</v>
      </c>
      <c r="AL278" s="246" t="s">
        <v>3500</v>
      </c>
      <c r="AM278" s="246">
        <v>23009096654</v>
      </c>
      <c r="AN278" s="241" t="s">
        <v>4716</v>
      </c>
      <c r="AO278" s="241"/>
      <c r="AP278" s="241"/>
      <c r="AQ278" s="241"/>
      <c r="AR278" s="241"/>
      <c r="AS278" s="241"/>
      <c r="AT278" s="241" t="s">
        <v>3501</v>
      </c>
      <c r="AU278" s="241" t="s">
        <v>3502</v>
      </c>
      <c r="AV278" s="241" t="s">
        <v>306</v>
      </c>
      <c r="AW278" s="241" t="s">
        <v>306</v>
      </c>
      <c r="AX278" s="241">
        <f t="shared" si="36"/>
        <v>0</v>
      </c>
      <c r="AY278" s="241" t="str">
        <f t="shared" si="37"/>
        <v>TK/0</v>
      </c>
      <c r="AZ278" s="241" t="s">
        <v>3503</v>
      </c>
      <c r="BA278" s="237" t="s">
        <v>3503</v>
      </c>
      <c r="BB278" s="241" t="s">
        <v>161</v>
      </c>
      <c r="BC278" s="241" t="s">
        <v>70</v>
      </c>
      <c r="BD278" s="241" t="s">
        <v>3475</v>
      </c>
      <c r="BE278" s="241" t="s">
        <v>100</v>
      </c>
      <c r="BF278" s="241">
        <v>2022</v>
      </c>
      <c r="BG278" s="241" t="s">
        <v>70</v>
      </c>
      <c r="BH278" s="241" t="s">
        <v>3475</v>
      </c>
      <c r="BI278" s="241" t="s">
        <v>100</v>
      </c>
      <c r="BJ278" s="241">
        <v>2022</v>
      </c>
      <c r="BK278" s="247"/>
      <c r="BL278" s="247"/>
      <c r="BM278" s="241"/>
      <c r="BN278" s="241"/>
      <c r="BO278" s="241">
        <v>43</v>
      </c>
      <c r="BP278" s="244"/>
      <c r="BQ278" s="244"/>
      <c r="BR278" s="244">
        <v>44848</v>
      </c>
      <c r="BS278" s="244"/>
      <c r="BT278" s="241"/>
      <c r="BU278" s="241"/>
      <c r="BV278" s="241"/>
      <c r="BW278" s="241"/>
      <c r="BX278" s="241"/>
      <c r="BY278" s="241"/>
      <c r="BZ278" s="241"/>
      <c r="CA278" s="241"/>
      <c r="CB278" s="241"/>
      <c r="CC278" s="241"/>
      <c r="CD278" s="241"/>
      <c r="CE278" s="241" t="str">
        <f>VLOOKUP(D278,[1]Sertifikasi!$B$4:$I$19,8,0)</f>
        <v>Pembinaan Dan Sertifikasi Calon Ahli K3 Umum</v>
      </c>
      <c r="CF278" s="13"/>
      <c r="CG278" s="13"/>
      <c r="CH278" s="13"/>
    </row>
    <row r="279" spans="1:86" ht="11.25" customHeight="1" x14ac:dyDescent="0.2">
      <c r="A279" s="13"/>
      <c r="B279" s="238">
        <v>275</v>
      </c>
      <c r="C279" s="241" t="e">
        <f t="shared" ca="1" si="34"/>
        <v>#NUM!</v>
      </c>
      <c r="D279" s="237" t="s">
        <v>3504</v>
      </c>
      <c r="E279" s="239">
        <v>642301186</v>
      </c>
      <c r="F279" s="237">
        <v>1430027926995</v>
      </c>
      <c r="G279" s="240"/>
      <c r="H279" s="241" t="s">
        <v>217</v>
      </c>
      <c r="I279" s="241" t="s">
        <v>32</v>
      </c>
      <c r="J279" s="242">
        <v>44931</v>
      </c>
      <c r="K279" s="241"/>
      <c r="L279" s="241"/>
      <c r="M279" s="241" t="str">
        <f t="shared" si="38"/>
        <v>PKWT</v>
      </c>
      <c r="N279" s="241" t="s">
        <v>187</v>
      </c>
      <c r="O279" s="241"/>
      <c r="P279" s="243">
        <v>45657</v>
      </c>
      <c r="Q279" s="241"/>
      <c r="R279" s="241" t="s">
        <v>206</v>
      </c>
      <c r="S279" s="241" t="s">
        <v>6863</v>
      </c>
      <c r="T279" s="241" t="s">
        <v>296</v>
      </c>
      <c r="U279" s="241" t="s">
        <v>187</v>
      </c>
      <c r="V279" s="241" t="s">
        <v>73</v>
      </c>
      <c r="W279" s="241" t="s">
        <v>73</v>
      </c>
      <c r="X279" s="241" t="s">
        <v>122</v>
      </c>
      <c r="Y279" s="241" t="s">
        <v>313</v>
      </c>
      <c r="Z279" s="241"/>
      <c r="AA279" s="241"/>
      <c r="AB279" s="241" t="s">
        <v>314</v>
      </c>
      <c r="AC279" s="241" t="s">
        <v>1412</v>
      </c>
      <c r="AD279" s="245">
        <v>37127</v>
      </c>
      <c r="AE279" s="241">
        <f t="shared" ca="1" si="35"/>
        <v>24</v>
      </c>
      <c r="AF279" s="246" t="s">
        <v>3505</v>
      </c>
      <c r="AG279" s="241" t="s">
        <v>3506</v>
      </c>
      <c r="AH279" s="240" t="s">
        <v>3507</v>
      </c>
      <c r="AI279" s="240"/>
      <c r="AJ279" s="240"/>
      <c r="AK279" s="241" t="s">
        <v>3508</v>
      </c>
      <c r="AL279" s="246" t="s">
        <v>3509</v>
      </c>
      <c r="AM279" s="246">
        <v>23009096621</v>
      </c>
      <c r="AN279" s="241" t="s">
        <v>4716</v>
      </c>
      <c r="AO279" s="241"/>
      <c r="AP279" s="241"/>
      <c r="AQ279" s="241"/>
      <c r="AR279" s="241"/>
      <c r="AS279" s="241"/>
      <c r="AT279" s="241" t="s">
        <v>306</v>
      </c>
      <c r="AU279" s="241" t="s">
        <v>306</v>
      </c>
      <c r="AV279" s="241" t="s">
        <v>306</v>
      </c>
      <c r="AW279" s="241" t="s">
        <v>306</v>
      </c>
      <c r="AX279" s="241">
        <f t="shared" si="36"/>
        <v>0</v>
      </c>
      <c r="AY279" s="241" t="str">
        <f t="shared" si="37"/>
        <v>TK/0</v>
      </c>
      <c r="AZ279" s="241"/>
      <c r="BA279" s="237"/>
      <c r="BB279" s="241" t="s">
        <v>161</v>
      </c>
      <c r="BC279" s="241" t="s">
        <v>70</v>
      </c>
      <c r="BD279" s="241" t="s">
        <v>3475</v>
      </c>
      <c r="BE279" s="241" t="s">
        <v>100</v>
      </c>
      <c r="BF279" s="241">
        <v>2022</v>
      </c>
      <c r="BG279" s="241" t="s">
        <v>70</v>
      </c>
      <c r="BH279" s="241" t="s">
        <v>3475</v>
      </c>
      <c r="BI279" s="241" t="s">
        <v>100</v>
      </c>
      <c r="BJ279" s="241">
        <v>2022</v>
      </c>
      <c r="BK279" s="247"/>
      <c r="BL279" s="247"/>
      <c r="BM279" s="241"/>
      <c r="BN279" s="241"/>
      <c r="BO279" s="241">
        <v>41</v>
      </c>
      <c r="BP279" s="244"/>
      <c r="BQ279" s="244"/>
      <c r="BR279" s="244">
        <v>44650</v>
      </c>
      <c r="BS279" s="244"/>
      <c r="BT279" s="241"/>
      <c r="BU279" s="241"/>
      <c r="BV279" s="241"/>
      <c r="BW279" s="241"/>
      <c r="BX279" s="241"/>
      <c r="BY279" s="241"/>
      <c r="BZ279" s="241"/>
      <c r="CA279" s="241"/>
      <c r="CB279" s="241"/>
      <c r="CC279" s="241"/>
      <c r="CD279" s="241"/>
      <c r="CE279" s="241" t="e">
        <f>VLOOKUP(D279,[1]Sertifikasi!$B$4:$I$19,8,0)</f>
        <v>#N/A</v>
      </c>
      <c r="CF279" s="13"/>
      <c r="CG279" s="13"/>
      <c r="CH279" s="13"/>
    </row>
    <row r="280" spans="1:86" ht="11.25" customHeight="1" x14ac:dyDescent="0.2">
      <c r="A280" s="13"/>
      <c r="B280" s="238">
        <v>276</v>
      </c>
      <c r="C280" s="241" t="e">
        <f t="shared" ca="1" si="34"/>
        <v>#NUM!</v>
      </c>
      <c r="D280" s="237" t="s">
        <v>3510</v>
      </c>
      <c r="E280" s="239">
        <v>642301185</v>
      </c>
      <c r="F280" s="237">
        <v>1710012922319</v>
      </c>
      <c r="G280" s="240"/>
      <c r="H280" s="241" t="s">
        <v>217</v>
      </c>
      <c r="I280" s="241" t="s">
        <v>217</v>
      </c>
      <c r="J280" s="242">
        <v>44931</v>
      </c>
      <c r="K280" s="241"/>
      <c r="L280" s="241"/>
      <c r="M280" s="241" t="str">
        <f t="shared" si="38"/>
        <v>PKWT</v>
      </c>
      <c r="N280" s="241" t="s">
        <v>187</v>
      </c>
      <c r="O280" s="241"/>
      <c r="P280" s="243">
        <v>45657</v>
      </c>
      <c r="Q280" s="241"/>
      <c r="R280" s="241" t="s">
        <v>206</v>
      </c>
      <c r="S280" s="241" t="s">
        <v>6863</v>
      </c>
      <c r="T280" s="241" t="s">
        <v>296</v>
      </c>
      <c r="U280" s="241" t="s">
        <v>24</v>
      </c>
      <c r="V280" s="241" t="s">
        <v>443</v>
      </c>
      <c r="W280" s="241" t="s">
        <v>175</v>
      </c>
      <c r="X280" s="241" t="s">
        <v>121</v>
      </c>
      <c r="Y280" s="241" t="s">
        <v>313</v>
      </c>
      <c r="Z280" s="241" t="s">
        <v>445</v>
      </c>
      <c r="AA280" s="241"/>
      <c r="AB280" s="241" t="s">
        <v>133</v>
      </c>
      <c r="AC280" s="241" t="s">
        <v>217</v>
      </c>
      <c r="AD280" s="245">
        <v>37103</v>
      </c>
      <c r="AE280" s="241">
        <f t="shared" ca="1" si="35"/>
        <v>24</v>
      </c>
      <c r="AF280" s="246" t="s">
        <v>3511</v>
      </c>
      <c r="AG280" s="241" t="s">
        <v>3512</v>
      </c>
      <c r="AH280" s="240" t="s">
        <v>3513</v>
      </c>
      <c r="AI280" s="240"/>
      <c r="AJ280" s="240"/>
      <c r="AK280" s="241" t="s">
        <v>3514</v>
      </c>
      <c r="AL280" s="246" t="s">
        <v>3515</v>
      </c>
      <c r="AM280" s="246">
        <v>23009096670</v>
      </c>
      <c r="AN280" s="241" t="s">
        <v>4716</v>
      </c>
      <c r="AO280" s="241"/>
      <c r="AP280" s="241"/>
      <c r="AQ280" s="241"/>
      <c r="AR280" s="241"/>
      <c r="AS280" s="241"/>
      <c r="AT280" s="241" t="s">
        <v>3516</v>
      </c>
      <c r="AU280" s="241" t="s">
        <v>3517</v>
      </c>
      <c r="AV280" s="241" t="s">
        <v>306</v>
      </c>
      <c r="AW280" s="241" t="s">
        <v>306</v>
      </c>
      <c r="AX280" s="241">
        <f t="shared" si="36"/>
        <v>0</v>
      </c>
      <c r="AY280" s="241" t="str">
        <f t="shared" si="37"/>
        <v>TK/0</v>
      </c>
      <c r="AZ280" s="241" t="s">
        <v>3518</v>
      </c>
      <c r="BA280" s="237" t="s">
        <v>3518</v>
      </c>
      <c r="BB280" s="241" t="s">
        <v>161</v>
      </c>
      <c r="BC280" s="241" t="s">
        <v>70</v>
      </c>
      <c r="BD280" s="241" t="s">
        <v>3475</v>
      </c>
      <c r="BE280" s="241" t="s">
        <v>100</v>
      </c>
      <c r="BF280" s="241">
        <v>2022</v>
      </c>
      <c r="BG280" s="241" t="s">
        <v>70</v>
      </c>
      <c r="BH280" s="241" t="s">
        <v>3475</v>
      </c>
      <c r="BI280" s="241" t="s">
        <v>100</v>
      </c>
      <c r="BJ280" s="241">
        <v>2022</v>
      </c>
      <c r="BK280" s="247"/>
      <c r="BL280" s="247"/>
      <c r="BM280" s="241"/>
      <c r="BN280" s="241"/>
      <c r="BO280" s="241">
        <v>38</v>
      </c>
      <c r="BP280" s="244"/>
      <c r="BQ280" s="244"/>
      <c r="BR280" s="244"/>
      <c r="BS280" s="244"/>
      <c r="BT280" s="241"/>
      <c r="BU280" s="241"/>
      <c r="BV280" s="241"/>
      <c r="BW280" s="241"/>
      <c r="BX280" s="241"/>
      <c r="BY280" s="241"/>
      <c r="BZ280" s="241"/>
      <c r="CA280" s="241"/>
      <c r="CB280" s="241"/>
      <c r="CC280" s="241"/>
      <c r="CD280" s="241"/>
      <c r="CE280" s="241" t="str">
        <f>VLOOKUP(D280,[1]Sertifikasi!$B$4:$I$19,8,0)</f>
        <v>Pembinaan Dan Sertifikasi Calon Ahli K3 Umum</v>
      </c>
      <c r="CF280" s="13"/>
      <c r="CG280" s="13"/>
      <c r="CH280" s="13"/>
    </row>
    <row r="281" spans="1:86" ht="11.25" customHeight="1" x14ac:dyDescent="0.2">
      <c r="A281" s="13"/>
      <c r="B281" s="238">
        <v>277</v>
      </c>
      <c r="C281" s="241" t="e">
        <f t="shared" ca="1" si="34"/>
        <v>#NUM!</v>
      </c>
      <c r="D281" s="237" t="s">
        <v>3519</v>
      </c>
      <c r="E281" s="239">
        <v>642301181</v>
      </c>
      <c r="F281" s="237">
        <v>1710012918747</v>
      </c>
      <c r="G281" s="240"/>
      <c r="H281" s="241" t="s">
        <v>217</v>
      </c>
      <c r="I281" s="241" t="s">
        <v>432</v>
      </c>
      <c r="J281" s="242">
        <v>44931</v>
      </c>
      <c r="K281" s="241"/>
      <c r="L281" s="241"/>
      <c r="M281" s="241" t="str">
        <f t="shared" si="38"/>
        <v>PKWT</v>
      </c>
      <c r="N281" s="241" t="s">
        <v>187</v>
      </c>
      <c r="O281" s="241"/>
      <c r="P281" s="243">
        <v>45657</v>
      </c>
      <c r="Q281" s="241"/>
      <c r="R281" s="241" t="s">
        <v>206</v>
      </c>
      <c r="S281" s="241" t="s">
        <v>6863</v>
      </c>
      <c r="T281" s="241" t="s">
        <v>312</v>
      </c>
      <c r="U281" s="241" t="s">
        <v>24</v>
      </c>
      <c r="V281" s="241" t="s">
        <v>204</v>
      </c>
      <c r="W281" s="241" t="s">
        <v>706</v>
      </c>
      <c r="X281" s="241" t="s">
        <v>121</v>
      </c>
      <c r="Y281" s="241" t="s">
        <v>313</v>
      </c>
      <c r="Z281" s="241" t="s">
        <v>445</v>
      </c>
      <c r="AA281" s="241"/>
      <c r="AB281" s="241" t="s">
        <v>314</v>
      </c>
      <c r="AC281" s="241" t="s">
        <v>432</v>
      </c>
      <c r="AD281" s="245">
        <v>36891</v>
      </c>
      <c r="AE281" s="241">
        <f t="shared" ca="1" si="35"/>
        <v>24</v>
      </c>
      <c r="AF281" s="246" t="s">
        <v>3520</v>
      </c>
      <c r="AG281" s="241" t="s">
        <v>3521</v>
      </c>
      <c r="AH281" s="240" t="s">
        <v>3522</v>
      </c>
      <c r="AI281" s="240"/>
      <c r="AJ281" s="240"/>
      <c r="AK281" s="241" t="s">
        <v>3523</v>
      </c>
      <c r="AL281" s="246" t="s">
        <v>3524</v>
      </c>
      <c r="AM281" s="246" t="s">
        <v>3525</v>
      </c>
      <c r="AN281" s="241" t="s">
        <v>4716</v>
      </c>
      <c r="AO281" s="241"/>
      <c r="AP281" s="241"/>
      <c r="AQ281" s="241"/>
      <c r="AR281" s="241"/>
      <c r="AS281" s="241"/>
      <c r="AT281" s="241" t="s">
        <v>601</v>
      </c>
      <c r="AU281" s="241" t="s">
        <v>899</v>
      </c>
      <c r="AV281" s="241" t="s">
        <v>306</v>
      </c>
      <c r="AW281" s="241" t="s">
        <v>306</v>
      </c>
      <c r="AX281" s="241">
        <f t="shared" si="36"/>
        <v>0</v>
      </c>
      <c r="AY281" s="241" t="str">
        <f t="shared" si="37"/>
        <v>TK/0</v>
      </c>
      <c r="AZ281" s="241" t="s">
        <v>3526</v>
      </c>
      <c r="BA281" s="237" t="s">
        <v>3526</v>
      </c>
      <c r="BB281" s="241" t="s">
        <v>161</v>
      </c>
      <c r="BC281" s="241" t="s">
        <v>70</v>
      </c>
      <c r="BD281" s="241" t="s">
        <v>3527</v>
      </c>
      <c r="BE281" s="241" t="s">
        <v>100</v>
      </c>
      <c r="BF281" s="241">
        <v>2022</v>
      </c>
      <c r="BG281" s="241" t="s">
        <v>70</v>
      </c>
      <c r="BH281" s="241" t="s">
        <v>3527</v>
      </c>
      <c r="BI281" s="241" t="s">
        <v>100</v>
      </c>
      <c r="BJ281" s="241">
        <v>2022</v>
      </c>
      <c r="BK281" s="247"/>
      <c r="BL281" s="247"/>
      <c r="BM281" s="241"/>
      <c r="BN281" s="241"/>
      <c r="BO281" s="241">
        <v>41</v>
      </c>
      <c r="BP281" s="244"/>
      <c r="BQ281" s="244"/>
      <c r="BR281" s="244"/>
      <c r="BS281" s="244"/>
      <c r="BT281" s="241"/>
      <c r="BU281" s="241"/>
      <c r="BV281" s="241"/>
      <c r="BW281" s="241"/>
      <c r="BX281" s="241"/>
      <c r="BY281" s="241"/>
      <c r="BZ281" s="241"/>
      <c r="CA281" s="241"/>
      <c r="CB281" s="241"/>
      <c r="CC281" s="241"/>
      <c r="CD281" s="241"/>
      <c r="CE281" s="241" t="str">
        <f>VLOOKUP(D281,[1]Sertifikasi!$B$4:$I$19,8,0)</f>
        <v>Pembinaan Dan Sertifikasi Calon Ahli K3 Umum</v>
      </c>
      <c r="CF281" s="13"/>
      <c r="CG281" s="13"/>
      <c r="CH281" s="13"/>
    </row>
    <row r="282" spans="1:86" ht="11.25" customHeight="1" x14ac:dyDescent="0.2">
      <c r="A282" s="13"/>
      <c r="B282" s="238">
        <v>278</v>
      </c>
      <c r="C282" s="241" t="e">
        <f t="shared" ca="1" si="34"/>
        <v>#NUM!</v>
      </c>
      <c r="D282" s="322" t="s">
        <v>3528</v>
      </c>
      <c r="E282" s="239">
        <v>642301193</v>
      </c>
      <c r="F282" s="237">
        <v>1420021243323</v>
      </c>
      <c r="G282" s="240"/>
      <c r="H282" s="241" t="s">
        <v>217</v>
      </c>
      <c r="I282" s="241" t="s">
        <v>602</v>
      </c>
      <c r="J282" s="242">
        <v>44931</v>
      </c>
      <c r="K282" s="241"/>
      <c r="L282" s="241"/>
      <c r="M282" s="241" t="str">
        <f t="shared" si="38"/>
        <v>PKWT</v>
      </c>
      <c r="N282" s="241" t="s">
        <v>187</v>
      </c>
      <c r="O282" s="241"/>
      <c r="P282" s="243">
        <v>45657</v>
      </c>
      <c r="Q282" s="241"/>
      <c r="R282" s="241" t="s">
        <v>206</v>
      </c>
      <c r="S282" s="241" t="s">
        <v>6863</v>
      </c>
      <c r="T282" s="241" t="s">
        <v>296</v>
      </c>
      <c r="U282" s="241" t="s">
        <v>23</v>
      </c>
      <c r="V282" s="241" t="s">
        <v>443</v>
      </c>
      <c r="W282" s="241" t="s">
        <v>51</v>
      </c>
      <c r="X282" s="241" t="s">
        <v>121</v>
      </c>
      <c r="Y282" s="241" t="s">
        <v>313</v>
      </c>
      <c r="Z282" s="241" t="s">
        <v>462</v>
      </c>
      <c r="AA282" s="241"/>
      <c r="AB282" s="241" t="s">
        <v>314</v>
      </c>
      <c r="AC282" s="241" t="s">
        <v>602</v>
      </c>
      <c r="AD282" s="245">
        <v>36602</v>
      </c>
      <c r="AE282" s="241">
        <f t="shared" ca="1" si="35"/>
        <v>25</v>
      </c>
      <c r="AF282" s="246" t="s">
        <v>3529</v>
      </c>
      <c r="AG282" s="241" t="s">
        <v>3530</v>
      </c>
      <c r="AH282" s="240" t="s">
        <v>3531</v>
      </c>
      <c r="AI282" s="240"/>
      <c r="AJ282" s="240"/>
      <c r="AK282" s="241" t="s">
        <v>3532</v>
      </c>
      <c r="AL282" s="246" t="s">
        <v>3533</v>
      </c>
      <c r="AM282" s="246">
        <v>23009096753</v>
      </c>
      <c r="AN282" s="241" t="s">
        <v>4716</v>
      </c>
      <c r="AO282" s="241"/>
      <c r="AP282" s="241"/>
      <c r="AQ282" s="241"/>
      <c r="AR282" s="241"/>
      <c r="AS282" s="241"/>
      <c r="AT282" s="241" t="s">
        <v>306</v>
      </c>
      <c r="AU282" s="241" t="s">
        <v>306</v>
      </c>
      <c r="AV282" s="241" t="s">
        <v>306</v>
      </c>
      <c r="AW282" s="241" t="s">
        <v>306</v>
      </c>
      <c r="AX282" s="241">
        <f t="shared" si="36"/>
        <v>0</v>
      </c>
      <c r="AY282" s="241" t="str">
        <f t="shared" si="37"/>
        <v>TK/0</v>
      </c>
      <c r="AZ282" s="241"/>
      <c r="BA282" s="237"/>
      <c r="BB282" s="241" t="s">
        <v>161</v>
      </c>
      <c r="BC282" s="241" t="s">
        <v>70</v>
      </c>
      <c r="BD282" s="241" t="s">
        <v>99</v>
      </c>
      <c r="BE282" s="241" t="s">
        <v>100</v>
      </c>
      <c r="BF282" s="241">
        <v>2022</v>
      </c>
      <c r="BG282" s="241" t="s">
        <v>70</v>
      </c>
      <c r="BH282" s="241" t="s">
        <v>99</v>
      </c>
      <c r="BI282" s="241" t="s">
        <v>100</v>
      </c>
      <c r="BJ282" s="241">
        <v>2022</v>
      </c>
      <c r="BK282" s="247"/>
      <c r="BL282" s="247"/>
      <c r="BM282" s="241"/>
      <c r="BN282" s="241"/>
      <c r="BO282" s="241">
        <v>43</v>
      </c>
      <c r="BP282" s="244"/>
      <c r="BQ282" s="244"/>
      <c r="BR282" s="244">
        <v>44659</v>
      </c>
      <c r="BS282" s="244"/>
      <c r="BT282" s="241"/>
      <c r="BU282" s="241"/>
      <c r="BV282" s="241"/>
      <c r="BW282" s="241"/>
      <c r="BX282" s="241"/>
      <c r="BY282" s="241"/>
      <c r="BZ282" s="241"/>
      <c r="CA282" s="241"/>
      <c r="CB282" s="241"/>
      <c r="CC282" s="241"/>
      <c r="CD282" s="241"/>
      <c r="CE282" s="241" t="e">
        <f>VLOOKUP(D282,[1]Sertifikasi!$B$4:$I$19,8,0)</f>
        <v>#N/A</v>
      </c>
      <c r="CF282" s="13"/>
      <c r="CG282" s="13"/>
      <c r="CH282" s="13"/>
    </row>
    <row r="283" spans="1:86" ht="11.25" customHeight="1" x14ac:dyDescent="0.2">
      <c r="A283" s="13"/>
      <c r="B283" s="238">
        <v>279</v>
      </c>
      <c r="C283" s="241" t="e">
        <f t="shared" ca="1" si="34"/>
        <v>#NUM!</v>
      </c>
      <c r="D283" s="237" t="s">
        <v>98</v>
      </c>
      <c r="E283" s="239">
        <v>642301191</v>
      </c>
      <c r="F283" s="237">
        <v>1710012946185</v>
      </c>
      <c r="G283" s="240"/>
      <c r="H283" s="241" t="s">
        <v>217</v>
      </c>
      <c r="I283" s="241" t="s">
        <v>217</v>
      </c>
      <c r="J283" s="242">
        <v>44931</v>
      </c>
      <c r="K283" s="241"/>
      <c r="L283" s="241"/>
      <c r="M283" s="241" t="str">
        <f t="shared" si="38"/>
        <v>PKWT</v>
      </c>
      <c r="N283" s="241" t="s">
        <v>187</v>
      </c>
      <c r="O283" s="241"/>
      <c r="P283" s="243">
        <v>45657</v>
      </c>
      <c r="Q283" s="241"/>
      <c r="R283" s="241" t="s">
        <v>206</v>
      </c>
      <c r="S283" s="241" t="s">
        <v>6863</v>
      </c>
      <c r="T283" s="241" t="s">
        <v>296</v>
      </c>
      <c r="U283" s="241" t="s">
        <v>187</v>
      </c>
      <c r="V283" s="241" t="s">
        <v>6996</v>
      </c>
      <c r="W283" s="241" t="s">
        <v>6996</v>
      </c>
      <c r="X283" s="241" t="s">
        <v>59</v>
      </c>
      <c r="Y283" s="241" t="s">
        <v>298</v>
      </c>
      <c r="Z283" s="241" t="s">
        <v>462</v>
      </c>
      <c r="AA283" s="241"/>
      <c r="AB283" s="241" t="s">
        <v>314</v>
      </c>
      <c r="AC283" s="241" t="s">
        <v>217</v>
      </c>
      <c r="AD283" s="245">
        <v>36025</v>
      </c>
      <c r="AE283" s="241">
        <f t="shared" ca="1" si="35"/>
        <v>27</v>
      </c>
      <c r="AF283" s="246" t="s">
        <v>3535</v>
      </c>
      <c r="AG283" s="241" t="s">
        <v>3536</v>
      </c>
      <c r="AH283" s="240" t="s">
        <v>3537</v>
      </c>
      <c r="AI283" s="240"/>
      <c r="AJ283" s="240"/>
      <c r="AK283" s="241" t="s">
        <v>3538</v>
      </c>
      <c r="AL283" s="246" t="s">
        <v>3539</v>
      </c>
      <c r="AM283" s="246">
        <v>23009096704</v>
      </c>
      <c r="AN283" s="241" t="s">
        <v>4716</v>
      </c>
      <c r="AO283" s="241"/>
      <c r="AP283" s="241"/>
      <c r="AQ283" s="241"/>
      <c r="AR283" s="241"/>
      <c r="AS283" s="241"/>
      <c r="AT283" s="241" t="s">
        <v>3540</v>
      </c>
      <c r="AU283" s="241" t="s">
        <v>3541</v>
      </c>
      <c r="AV283" s="241" t="s">
        <v>306</v>
      </c>
      <c r="AW283" s="241" t="s">
        <v>306</v>
      </c>
      <c r="AX283" s="241">
        <f t="shared" si="36"/>
        <v>0</v>
      </c>
      <c r="AY283" s="241" t="str">
        <f t="shared" si="37"/>
        <v>TK/0</v>
      </c>
      <c r="AZ283" s="241" t="s">
        <v>3542</v>
      </c>
      <c r="BA283" s="237" t="s">
        <v>3542</v>
      </c>
      <c r="BB283" s="241" t="s">
        <v>161</v>
      </c>
      <c r="BC283" s="241" t="s">
        <v>70</v>
      </c>
      <c r="BD283" s="241" t="s">
        <v>99</v>
      </c>
      <c r="BE283" s="241" t="s">
        <v>100</v>
      </c>
      <c r="BF283" s="241">
        <v>2021</v>
      </c>
      <c r="BG283" s="241" t="s">
        <v>70</v>
      </c>
      <c r="BH283" s="241" t="s">
        <v>99</v>
      </c>
      <c r="BI283" s="241" t="s">
        <v>100</v>
      </c>
      <c r="BJ283" s="241">
        <v>2021</v>
      </c>
      <c r="BK283" s="247"/>
      <c r="BL283" s="247"/>
      <c r="BM283" s="241"/>
      <c r="BN283" s="241"/>
      <c r="BO283" s="241">
        <v>43</v>
      </c>
      <c r="BP283" s="244"/>
      <c r="BQ283" s="244"/>
      <c r="BR283" s="244"/>
      <c r="BS283" s="244"/>
      <c r="BT283" s="241"/>
      <c r="BU283" s="241"/>
      <c r="BV283" s="241"/>
      <c r="BW283" s="241"/>
      <c r="BX283" s="241"/>
      <c r="BY283" s="241"/>
      <c r="BZ283" s="241"/>
      <c r="CA283" s="241"/>
      <c r="CB283" s="241"/>
      <c r="CC283" s="241"/>
      <c r="CD283" s="241"/>
      <c r="CE283" s="241" t="e">
        <f>VLOOKUP(D283,[1]Sertifikasi!$B$4:$I$19,8,0)</f>
        <v>#N/A</v>
      </c>
      <c r="CF283" s="13"/>
      <c r="CG283" s="13"/>
      <c r="CH283" s="13"/>
    </row>
    <row r="284" spans="1:86" ht="11.25" customHeight="1" x14ac:dyDescent="0.2">
      <c r="A284" s="13"/>
      <c r="B284" s="238">
        <v>280</v>
      </c>
      <c r="C284" s="241" t="e">
        <f t="shared" ca="1" si="34"/>
        <v>#NUM!</v>
      </c>
      <c r="D284" s="237" t="s">
        <v>3543</v>
      </c>
      <c r="E284" s="239">
        <v>642301192</v>
      </c>
      <c r="F284" s="237">
        <v>1330026036293</v>
      </c>
      <c r="G284" s="240"/>
      <c r="H284" s="241" t="s">
        <v>217</v>
      </c>
      <c r="I284" s="241" t="s">
        <v>24</v>
      </c>
      <c r="J284" s="242">
        <v>44931</v>
      </c>
      <c r="K284" s="241"/>
      <c r="L284" s="241"/>
      <c r="M284" s="241" t="str">
        <f t="shared" si="38"/>
        <v>PKWT</v>
      </c>
      <c r="N284" s="241" t="s">
        <v>187</v>
      </c>
      <c r="O284" s="241"/>
      <c r="P284" s="243">
        <v>45657</v>
      </c>
      <c r="Q284" s="241"/>
      <c r="R284" s="241" t="s">
        <v>206</v>
      </c>
      <c r="S284" s="241" t="s">
        <v>6863</v>
      </c>
      <c r="T284" s="241" t="s">
        <v>312</v>
      </c>
      <c r="U284" s="241" t="s">
        <v>24</v>
      </c>
      <c r="V284" s="241" t="s">
        <v>204</v>
      </c>
      <c r="W284" s="241" t="s">
        <v>706</v>
      </c>
      <c r="X284" s="241" t="s">
        <v>121</v>
      </c>
      <c r="Y284" s="241" t="s">
        <v>313</v>
      </c>
      <c r="Z284" s="241" t="s">
        <v>462</v>
      </c>
      <c r="AA284" s="241"/>
      <c r="AB284" s="241" t="s">
        <v>314</v>
      </c>
      <c r="AC284" s="241" t="s">
        <v>2377</v>
      </c>
      <c r="AD284" s="245">
        <v>36942</v>
      </c>
      <c r="AE284" s="241">
        <f t="shared" ca="1" si="35"/>
        <v>24</v>
      </c>
      <c r="AF284" s="246" t="s">
        <v>3544</v>
      </c>
      <c r="AG284" s="241" t="s">
        <v>3545</v>
      </c>
      <c r="AH284" s="240" t="s">
        <v>3546</v>
      </c>
      <c r="AI284" s="240"/>
      <c r="AJ284" s="240"/>
      <c r="AK284" s="241" t="s">
        <v>3547</v>
      </c>
      <c r="AL284" s="246" t="s">
        <v>3548</v>
      </c>
      <c r="AM284" s="246">
        <v>23009096761</v>
      </c>
      <c r="AN284" s="241" t="s">
        <v>4716</v>
      </c>
      <c r="AO284" s="241"/>
      <c r="AP284" s="241"/>
      <c r="AQ284" s="241"/>
      <c r="AR284" s="241"/>
      <c r="AS284" s="241"/>
      <c r="AT284" s="241" t="s">
        <v>3549</v>
      </c>
      <c r="AU284" s="241" t="s">
        <v>3550</v>
      </c>
      <c r="AV284" s="241" t="s">
        <v>306</v>
      </c>
      <c r="AW284" s="241" t="s">
        <v>306</v>
      </c>
      <c r="AX284" s="241">
        <f t="shared" si="36"/>
        <v>0</v>
      </c>
      <c r="AY284" s="241" t="str">
        <f t="shared" si="37"/>
        <v>TK/0</v>
      </c>
      <c r="AZ284" s="241" t="s">
        <v>3551</v>
      </c>
      <c r="BA284" s="237" t="s">
        <v>3551</v>
      </c>
      <c r="BB284" s="241" t="s">
        <v>161</v>
      </c>
      <c r="BC284" s="241" t="s">
        <v>70</v>
      </c>
      <c r="BD284" s="241" t="s">
        <v>99</v>
      </c>
      <c r="BE284" s="241" t="s">
        <v>100</v>
      </c>
      <c r="BF284" s="241">
        <v>2022</v>
      </c>
      <c r="BG284" s="241" t="s">
        <v>70</v>
      </c>
      <c r="BH284" s="241" t="s">
        <v>99</v>
      </c>
      <c r="BI284" s="241" t="s">
        <v>100</v>
      </c>
      <c r="BJ284" s="241">
        <v>2022</v>
      </c>
      <c r="BK284" s="247"/>
      <c r="BL284" s="247"/>
      <c r="BM284" s="241"/>
      <c r="BN284" s="241"/>
      <c r="BO284" s="241">
        <v>46</v>
      </c>
      <c r="BP284" s="244"/>
      <c r="BQ284" s="244"/>
      <c r="BR284" s="244">
        <v>44887</v>
      </c>
      <c r="BS284" s="244"/>
      <c r="BT284" s="241"/>
      <c r="BU284" s="241"/>
      <c r="BV284" s="241"/>
      <c r="BW284" s="241"/>
      <c r="BX284" s="241"/>
      <c r="BY284" s="241"/>
      <c r="BZ284" s="241"/>
      <c r="CA284" s="241"/>
      <c r="CB284" s="241"/>
      <c r="CC284" s="241"/>
      <c r="CD284" s="241"/>
      <c r="CE284" s="241" t="e">
        <f>VLOOKUP(D284,[1]Sertifikasi!$B$4:$I$19,8,0)</f>
        <v>#N/A</v>
      </c>
      <c r="CF284" s="13"/>
      <c r="CG284" s="13"/>
      <c r="CH284" s="13"/>
    </row>
    <row r="285" spans="1:86" ht="11.25" customHeight="1" x14ac:dyDescent="0.2">
      <c r="A285" s="13"/>
      <c r="B285" s="238">
        <v>281</v>
      </c>
      <c r="C285" s="241" t="e">
        <f t="shared" ca="1" si="34"/>
        <v>#NUM!</v>
      </c>
      <c r="D285" s="237" t="s">
        <v>3552</v>
      </c>
      <c r="E285" s="239">
        <v>642301188</v>
      </c>
      <c r="F285" s="237">
        <v>1710007809752</v>
      </c>
      <c r="G285" s="240"/>
      <c r="H285" s="241" t="s">
        <v>217</v>
      </c>
      <c r="I285" s="241" t="s">
        <v>3477</v>
      </c>
      <c r="J285" s="242">
        <v>44931</v>
      </c>
      <c r="K285" s="241"/>
      <c r="L285" s="241"/>
      <c r="M285" s="241" t="str">
        <f t="shared" si="38"/>
        <v>PKWT</v>
      </c>
      <c r="N285" s="241" t="s">
        <v>187</v>
      </c>
      <c r="O285" s="241"/>
      <c r="P285" s="243">
        <v>45657</v>
      </c>
      <c r="Q285" s="241"/>
      <c r="R285" s="241" t="s">
        <v>206</v>
      </c>
      <c r="S285" s="241" t="s">
        <v>6863</v>
      </c>
      <c r="T285" s="241" t="s">
        <v>312</v>
      </c>
      <c r="U285" s="241" t="s">
        <v>25</v>
      </c>
      <c r="V285" s="241" t="s">
        <v>443</v>
      </c>
      <c r="W285" s="241" t="s">
        <v>748</v>
      </c>
      <c r="X285" s="241" t="s">
        <v>121</v>
      </c>
      <c r="Y285" s="241" t="s">
        <v>313</v>
      </c>
      <c r="Z285" s="241" t="s">
        <v>462</v>
      </c>
      <c r="AA285" s="241"/>
      <c r="AB285" s="241" t="s">
        <v>314</v>
      </c>
      <c r="AC285" s="241" t="s">
        <v>3477</v>
      </c>
      <c r="AD285" s="245">
        <v>36013</v>
      </c>
      <c r="AE285" s="241">
        <f t="shared" ca="1" si="35"/>
        <v>27</v>
      </c>
      <c r="AF285" s="246" t="s">
        <v>3553</v>
      </c>
      <c r="AG285" s="241" t="s">
        <v>3554</v>
      </c>
      <c r="AH285" s="240" t="s">
        <v>3555</v>
      </c>
      <c r="AI285" s="240"/>
      <c r="AJ285" s="240"/>
      <c r="AK285" s="241" t="s">
        <v>3556</v>
      </c>
      <c r="AL285" s="246" t="s">
        <v>3557</v>
      </c>
      <c r="AM285" s="246">
        <v>23009096746</v>
      </c>
      <c r="AN285" s="241" t="s">
        <v>4716</v>
      </c>
      <c r="AO285" s="241"/>
      <c r="AP285" s="241"/>
      <c r="AQ285" s="241"/>
      <c r="AR285" s="241"/>
      <c r="AS285" s="241"/>
      <c r="AT285" s="241" t="s">
        <v>306</v>
      </c>
      <c r="AU285" s="241" t="s">
        <v>306</v>
      </c>
      <c r="AV285" s="241" t="s">
        <v>306</v>
      </c>
      <c r="AW285" s="241" t="s">
        <v>306</v>
      </c>
      <c r="AX285" s="241">
        <f t="shared" si="36"/>
        <v>0</v>
      </c>
      <c r="AY285" s="241" t="str">
        <f t="shared" si="37"/>
        <v>TK/0</v>
      </c>
      <c r="AZ285" s="241"/>
      <c r="BA285" s="237"/>
      <c r="BB285" s="241" t="s">
        <v>161</v>
      </c>
      <c r="BC285" s="241" t="s">
        <v>70</v>
      </c>
      <c r="BD285" s="241" t="s">
        <v>99</v>
      </c>
      <c r="BE285" s="241" t="s">
        <v>100</v>
      </c>
      <c r="BF285" s="241">
        <v>2020</v>
      </c>
      <c r="BG285" s="241" t="s">
        <v>70</v>
      </c>
      <c r="BH285" s="241" t="s">
        <v>99</v>
      </c>
      <c r="BI285" s="241" t="s">
        <v>100</v>
      </c>
      <c r="BJ285" s="241">
        <v>2020</v>
      </c>
      <c r="BK285" s="247"/>
      <c r="BL285" s="247"/>
      <c r="BM285" s="241"/>
      <c r="BN285" s="241"/>
      <c r="BO285" s="241">
        <v>42</v>
      </c>
      <c r="BP285" s="244"/>
      <c r="BQ285" s="244"/>
      <c r="BR285" s="244"/>
      <c r="BS285" s="244"/>
      <c r="BT285" s="241"/>
      <c r="BU285" s="241"/>
      <c r="BV285" s="241"/>
      <c r="BW285" s="241"/>
      <c r="BX285" s="241"/>
      <c r="BY285" s="241"/>
      <c r="BZ285" s="241"/>
      <c r="CA285" s="241"/>
      <c r="CB285" s="241"/>
      <c r="CC285" s="241"/>
      <c r="CD285" s="241"/>
      <c r="CE285" s="241" t="e">
        <f>VLOOKUP(D285,[1]Sertifikasi!$B$4:$I$19,8,0)</f>
        <v>#N/A</v>
      </c>
      <c r="CF285" s="13"/>
      <c r="CG285" s="13"/>
      <c r="CH285" s="13"/>
    </row>
    <row r="286" spans="1:86" ht="11.25" customHeight="1" x14ac:dyDescent="0.2">
      <c r="A286" s="13"/>
      <c r="B286" s="238">
        <v>282</v>
      </c>
      <c r="C286" s="241" t="e">
        <f t="shared" ca="1" si="34"/>
        <v>#NUM!</v>
      </c>
      <c r="D286" s="237" t="s">
        <v>3558</v>
      </c>
      <c r="E286" s="239">
        <v>642301190</v>
      </c>
      <c r="F286" s="237">
        <v>1840005425002</v>
      </c>
      <c r="G286" s="240"/>
      <c r="H286" s="241" t="s">
        <v>217</v>
      </c>
      <c r="I286" s="241" t="s">
        <v>2687</v>
      </c>
      <c r="J286" s="242">
        <v>44931</v>
      </c>
      <c r="K286" s="241"/>
      <c r="L286" s="241"/>
      <c r="M286" s="241" t="str">
        <f t="shared" si="38"/>
        <v>PKWT</v>
      </c>
      <c r="N286" s="241" t="s">
        <v>187</v>
      </c>
      <c r="O286" s="241"/>
      <c r="P286" s="243">
        <v>45657</v>
      </c>
      <c r="Q286" s="241"/>
      <c r="R286" s="241" t="s">
        <v>206</v>
      </c>
      <c r="S286" s="241" t="s">
        <v>6863</v>
      </c>
      <c r="T286" s="241" t="s">
        <v>312</v>
      </c>
      <c r="U286" s="241" t="s">
        <v>187</v>
      </c>
      <c r="V286" s="241" t="s">
        <v>73</v>
      </c>
      <c r="W286" s="241" t="s">
        <v>73</v>
      </c>
      <c r="X286" s="241" t="s">
        <v>122</v>
      </c>
      <c r="Y286" s="241" t="s">
        <v>313</v>
      </c>
      <c r="Z286" s="241" t="s">
        <v>462</v>
      </c>
      <c r="AA286" s="241"/>
      <c r="AB286" s="241" t="s">
        <v>314</v>
      </c>
      <c r="AC286" s="241" t="s">
        <v>2687</v>
      </c>
      <c r="AD286" s="245">
        <v>37158</v>
      </c>
      <c r="AE286" s="241">
        <f t="shared" ca="1" si="35"/>
        <v>24</v>
      </c>
      <c r="AF286" s="246" t="s">
        <v>3559</v>
      </c>
      <c r="AG286" s="241" t="s">
        <v>3560</v>
      </c>
      <c r="AH286" s="240" t="s">
        <v>3561</v>
      </c>
      <c r="AI286" s="240"/>
      <c r="AJ286" s="240"/>
      <c r="AK286" s="241" t="s">
        <v>3562</v>
      </c>
      <c r="AL286" s="246" t="s">
        <v>3563</v>
      </c>
      <c r="AM286" s="246">
        <v>23009096647</v>
      </c>
      <c r="AN286" s="241" t="s">
        <v>4716</v>
      </c>
      <c r="AO286" s="241"/>
      <c r="AP286" s="241"/>
      <c r="AQ286" s="241"/>
      <c r="AR286" s="241"/>
      <c r="AS286" s="241"/>
      <c r="AT286" s="241" t="s">
        <v>306</v>
      </c>
      <c r="AU286" s="241" t="s">
        <v>306</v>
      </c>
      <c r="AV286" s="241" t="s">
        <v>306</v>
      </c>
      <c r="AW286" s="241" t="s">
        <v>306</v>
      </c>
      <c r="AX286" s="241">
        <f t="shared" si="36"/>
        <v>0</v>
      </c>
      <c r="AY286" s="241" t="str">
        <f t="shared" si="37"/>
        <v>TK/0</v>
      </c>
      <c r="AZ286" s="241"/>
      <c r="BA286" s="237"/>
      <c r="BB286" s="241" t="s">
        <v>161</v>
      </c>
      <c r="BC286" s="241" t="s">
        <v>70</v>
      </c>
      <c r="BD286" s="241" t="s">
        <v>99</v>
      </c>
      <c r="BE286" s="241" t="s">
        <v>100</v>
      </c>
      <c r="BF286" s="241">
        <v>2022</v>
      </c>
      <c r="BG286" s="241" t="s">
        <v>70</v>
      </c>
      <c r="BH286" s="241" t="s">
        <v>99</v>
      </c>
      <c r="BI286" s="241" t="s">
        <v>100</v>
      </c>
      <c r="BJ286" s="241">
        <v>2022</v>
      </c>
      <c r="BK286" s="247"/>
      <c r="BL286" s="247"/>
      <c r="BM286" s="241"/>
      <c r="BN286" s="241"/>
      <c r="BO286" s="241">
        <v>46</v>
      </c>
      <c r="BP286" s="244"/>
      <c r="BQ286" s="244"/>
      <c r="BR286" s="244">
        <v>44670</v>
      </c>
      <c r="BS286" s="244"/>
      <c r="BT286" s="241"/>
      <c r="BU286" s="241"/>
      <c r="BV286" s="241"/>
      <c r="BW286" s="241"/>
      <c r="BX286" s="241"/>
      <c r="BY286" s="241"/>
      <c r="BZ286" s="241"/>
      <c r="CA286" s="241"/>
      <c r="CB286" s="241"/>
      <c r="CC286" s="241"/>
      <c r="CD286" s="241"/>
      <c r="CE286" s="241" t="e">
        <f>VLOOKUP(D286,[1]Sertifikasi!$B$4:$I$19,8,0)</f>
        <v>#N/A</v>
      </c>
      <c r="CF286" s="13"/>
      <c r="CG286" s="13"/>
      <c r="CH286" s="13"/>
    </row>
    <row r="287" spans="1:86" ht="11.25" customHeight="1" x14ac:dyDescent="0.2">
      <c r="A287" s="13"/>
      <c r="B287" s="238">
        <v>283</v>
      </c>
      <c r="C287" s="241" t="e">
        <f t="shared" ca="1" si="34"/>
        <v>#NUM!</v>
      </c>
      <c r="D287" s="322" t="s">
        <v>3570</v>
      </c>
      <c r="E287" s="239">
        <v>642301187</v>
      </c>
      <c r="F287" s="237">
        <v>1710012923291</v>
      </c>
      <c r="G287" s="240"/>
      <c r="H287" s="241" t="s">
        <v>217</v>
      </c>
      <c r="I287" s="241" t="s">
        <v>311</v>
      </c>
      <c r="J287" s="242">
        <v>44931</v>
      </c>
      <c r="K287" s="241"/>
      <c r="L287" s="241"/>
      <c r="M287" s="241" t="str">
        <f t="shared" si="38"/>
        <v>PKWT</v>
      </c>
      <c r="N287" s="241" t="s">
        <v>187</v>
      </c>
      <c r="O287" s="241"/>
      <c r="P287" s="243">
        <v>45657</v>
      </c>
      <c r="Q287" s="241"/>
      <c r="R287" s="241" t="s">
        <v>206</v>
      </c>
      <c r="S287" s="241" t="s">
        <v>6863</v>
      </c>
      <c r="T287" s="241" t="s">
        <v>296</v>
      </c>
      <c r="U287" s="241" t="s">
        <v>23</v>
      </c>
      <c r="V287" s="241" t="s">
        <v>443</v>
      </c>
      <c r="W287" s="241" t="s">
        <v>51</v>
      </c>
      <c r="X287" s="241" t="s">
        <v>121</v>
      </c>
      <c r="Y287" s="241" t="s">
        <v>313</v>
      </c>
      <c r="Z287" s="241" t="s">
        <v>462</v>
      </c>
      <c r="AA287" s="241"/>
      <c r="AB287" s="241" t="s">
        <v>314</v>
      </c>
      <c r="AC287" s="241" t="s">
        <v>311</v>
      </c>
      <c r="AD287" s="245">
        <v>36395</v>
      </c>
      <c r="AE287" s="241">
        <f t="shared" ca="1" si="35"/>
        <v>26</v>
      </c>
      <c r="AF287" s="246" t="s">
        <v>3571</v>
      </c>
      <c r="AG287" s="241" t="s">
        <v>3572</v>
      </c>
      <c r="AH287" s="240" t="s">
        <v>3573</v>
      </c>
      <c r="AI287" s="240"/>
      <c r="AJ287" s="240"/>
      <c r="AK287" s="241" t="s">
        <v>3574</v>
      </c>
      <c r="AL287" s="246" t="s">
        <v>3575</v>
      </c>
      <c r="AM287" s="246">
        <v>23009096712</v>
      </c>
      <c r="AN287" s="241" t="s">
        <v>4716</v>
      </c>
      <c r="AO287" s="241"/>
      <c r="AP287" s="241"/>
      <c r="AQ287" s="241"/>
      <c r="AR287" s="241"/>
      <c r="AS287" s="241"/>
      <c r="AT287" s="241" t="s">
        <v>306</v>
      </c>
      <c r="AU287" s="241" t="s">
        <v>306</v>
      </c>
      <c r="AV287" s="241" t="s">
        <v>306</v>
      </c>
      <c r="AW287" s="241" t="s">
        <v>306</v>
      </c>
      <c r="AX287" s="241">
        <f t="shared" si="36"/>
        <v>0</v>
      </c>
      <c r="AY287" s="241" t="str">
        <f t="shared" si="37"/>
        <v>TK/0</v>
      </c>
      <c r="AZ287" s="241"/>
      <c r="BA287" s="237"/>
      <c r="BB287" s="241" t="s">
        <v>161</v>
      </c>
      <c r="BC287" s="241" t="s">
        <v>70</v>
      </c>
      <c r="BD287" s="241" t="s">
        <v>99</v>
      </c>
      <c r="BE287" s="241" t="s">
        <v>100</v>
      </c>
      <c r="BF287" s="241">
        <v>2020</v>
      </c>
      <c r="BG287" s="241" t="s">
        <v>70</v>
      </c>
      <c r="BH287" s="241" t="s">
        <v>99</v>
      </c>
      <c r="BI287" s="241" t="s">
        <v>100</v>
      </c>
      <c r="BJ287" s="241">
        <v>2020</v>
      </c>
      <c r="BK287" s="247"/>
      <c r="BL287" s="247"/>
      <c r="BM287" s="241"/>
      <c r="BN287" s="241"/>
      <c r="BO287" s="241">
        <v>43</v>
      </c>
      <c r="BP287" s="244"/>
      <c r="BQ287" s="244"/>
      <c r="BR287" s="244">
        <v>44714</v>
      </c>
      <c r="BS287" s="244"/>
      <c r="BT287" s="241"/>
      <c r="BU287" s="241"/>
      <c r="BV287" s="241"/>
      <c r="BW287" s="241"/>
      <c r="BX287" s="241"/>
      <c r="BY287" s="241"/>
      <c r="BZ287" s="241"/>
      <c r="CA287" s="241"/>
      <c r="CB287" s="241"/>
      <c r="CC287" s="241"/>
      <c r="CD287" s="241"/>
      <c r="CE287" s="241" t="e">
        <f>VLOOKUP(D287,[1]Sertifikasi!$B$4:$I$19,8,0)</f>
        <v>#N/A</v>
      </c>
      <c r="CF287" s="13"/>
      <c r="CG287" s="13"/>
      <c r="CH287" s="13"/>
    </row>
    <row r="288" spans="1:86" ht="11.25" customHeight="1" x14ac:dyDescent="0.2">
      <c r="A288" s="13"/>
      <c r="B288" s="238">
        <v>284</v>
      </c>
      <c r="C288" s="241" t="e">
        <f t="shared" ca="1" si="34"/>
        <v>#NUM!</v>
      </c>
      <c r="D288" s="237" t="s">
        <v>3576</v>
      </c>
      <c r="E288" s="239">
        <v>642301196</v>
      </c>
      <c r="F288" s="237">
        <v>1710012984491</v>
      </c>
      <c r="G288" s="240"/>
      <c r="H288" s="241" t="s">
        <v>217</v>
      </c>
      <c r="I288" s="241" t="s">
        <v>315</v>
      </c>
      <c r="J288" s="242">
        <v>44935</v>
      </c>
      <c r="K288" s="241"/>
      <c r="L288" s="241"/>
      <c r="M288" s="241" t="str">
        <f t="shared" si="38"/>
        <v>PKWT</v>
      </c>
      <c r="N288" s="241" t="s">
        <v>187</v>
      </c>
      <c r="O288" s="241"/>
      <c r="P288" s="243">
        <v>45657</v>
      </c>
      <c r="Q288" s="241"/>
      <c r="R288" s="241" t="s">
        <v>206</v>
      </c>
      <c r="S288" s="241" t="s">
        <v>6863</v>
      </c>
      <c r="T288" s="241" t="s">
        <v>296</v>
      </c>
      <c r="U288" s="241" t="s">
        <v>187</v>
      </c>
      <c r="V288" s="241" t="s">
        <v>1115</v>
      </c>
      <c r="W288" s="241" t="s">
        <v>119</v>
      </c>
      <c r="X288" s="241" t="s">
        <v>120</v>
      </c>
      <c r="Y288" s="241" t="s">
        <v>313</v>
      </c>
      <c r="Z288" s="241"/>
      <c r="AA288" s="241"/>
      <c r="AB288" s="241" t="s">
        <v>314</v>
      </c>
      <c r="AC288" s="241" t="s">
        <v>667</v>
      </c>
      <c r="AD288" s="245">
        <v>35213</v>
      </c>
      <c r="AE288" s="241">
        <f t="shared" ca="1" si="35"/>
        <v>29</v>
      </c>
      <c r="AF288" s="246" t="s">
        <v>3577</v>
      </c>
      <c r="AG288" s="241" t="s">
        <v>3578</v>
      </c>
      <c r="AH288" s="240" t="s">
        <v>3579</v>
      </c>
      <c r="AI288" s="240"/>
      <c r="AJ288" s="240"/>
      <c r="AK288" s="241" t="s">
        <v>3580</v>
      </c>
      <c r="AL288" s="246" t="s">
        <v>3581</v>
      </c>
      <c r="AM288" s="246">
        <v>20076140480</v>
      </c>
      <c r="AN288" s="241" t="s">
        <v>4733</v>
      </c>
      <c r="AO288" s="241"/>
      <c r="AP288" s="241"/>
      <c r="AQ288" s="241"/>
      <c r="AR288" s="241"/>
      <c r="AS288" s="241"/>
      <c r="AT288" s="241" t="s">
        <v>306</v>
      </c>
      <c r="AU288" s="241" t="s">
        <v>306</v>
      </c>
      <c r="AV288" s="241" t="s">
        <v>306</v>
      </c>
      <c r="AW288" s="241" t="s">
        <v>306</v>
      </c>
      <c r="AX288" s="241">
        <f t="shared" si="36"/>
        <v>0</v>
      </c>
      <c r="AY288" s="241" t="str">
        <f t="shared" si="37"/>
        <v>K/0</v>
      </c>
      <c r="AZ288" s="241"/>
      <c r="BA288" s="237"/>
      <c r="BB288" s="241" t="s">
        <v>161</v>
      </c>
      <c r="BC288" s="241" t="s">
        <v>70</v>
      </c>
      <c r="BD288" s="241" t="s">
        <v>3582</v>
      </c>
      <c r="BE288" s="241" t="s">
        <v>3583</v>
      </c>
      <c r="BF288" s="241">
        <v>2017</v>
      </c>
      <c r="BG288" s="241" t="s">
        <v>70</v>
      </c>
      <c r="BH288" s="241" t="s">
        <v>3582</v>
      </c>
      <c r="BI288" s="241" t="s">
        <v>3583</v>
      </c>
      <c r="BJ288" s="241">
        <v>2017</v>
      </c>
      <c r="BK288" s="247"/>
      <c r="BL288" s="247"/>
      <c r="BM288" s="241"/>
      <c r="BN288" s="241"/>
      <c r="BO288" s="241">
        <v>42</v>
      </c>
      <c r="BP288" s="244"/>
      <c r="BQ288" s="244"/>
      <c r="BR288" s="244">
        <v>44588</v>
      </c>
      <c r="BS288" s="244"/>
      <c r="BT288" s="241"/>
      <c r="BU288" s="241"/>
      <c r="BV288" s="241"/>
      <c r="BW288" s="241"/>
      <c r="BX288" s="241"/>
      <c r="BY288" s="241"/>
      <c r="BZ288" s="241"/>
      <c r="CA288" s="241"/>
      <c r="CB288" s="241"/>
      <c r="CC288" s="241"/>
      <c r="CD288" s="241"/>
      <c r="CE288" s="241" t="e">
        <f>VLOOKUP(D288,[1]Sertifikasi!$B$4:$I$19,8,0)</f>
        <v>#N/A</v>
      </c>
      <c r="CF288" s="13"/>
      <c r="CG288" s="13"/>
      <c r="CH288" s="13"/>
    </row>
    <row r="289" spans="1:86" ht="11.25" customHeight="1" x14ac:dyDescent="0.2">
      <c r="A289" s="13"/>
      <c r="B289" s="238">
        <v>285</v>
      </c>
      <c r="C289" s="241" t="e">
        <f t="shared" ca="1" si="34"/>
        <v>#NUM!</v>
      </c>
      <c r="D289" s="237" t="s">
        <v>3584</v>
      </c>
      <c r="E289" s="239">
        <v>642301195</v>
      </c>
      <c r="F289" s="237"/>
      <c r="G289" s="240">
        <v>7221848677</v>
      </c>
      <c r="H289" s="241" t="s">
        <v>24</v>
      </c>
      <c r="I289" s="241" t="s">
        <v>24</v>
      </c>
      <c r="J289" s="242">
        <v>44939</v>
      </c>
      <c r="K289" s="241"/>
      <c r="L289" s="241"/>
      <c r="M289" s="241" t="str">
        <f t="shared" si="38"/>
        <v>PKWT</v>
      </c>
      <c r="N289" s="241" t="s">
        <v>187</v>
      </c>
      <c r="O289" s="241"/>
      <c r="P289" s="243">
        <v>45535</v>
      </c>
      <c r="Q289" s="241"/>
      <c r="R289" s="241" t="s">
        <v>206</v>
      </c>
      <c r="S289" s="241" t="s">
        <v>6863</v>
      </c>
      <c r="T289" s="241" t="s">
        <v>312</v>
      </c>
      <c r="U289" s="241" t="s">
        <v>24</v>
      </c>
      <c r="V289" s="241" t="s">
        <v>204</v>
      </c>
      <c r="W289" s="241" t="s">
        <v>629</v>
      </c>
      <c r="X289" s="241" t="s">
        <v>121</v>
      </c>
      <c r="Y289" s="241" t="s">
        <v>313</v>
      </c>
      <c r="Z289" s="241" t="s">
        <v>1218</v>
      </c>
      <c r="AA289" s="241"/>
      <c r="AB289" s="241" t="s">
        <v>314</v>
      </c>
      <c r="AC289" s="241" t="s">
        <v>20</v>
      </c>
      <c r="AD289" s="245">
        <v>31260</v>
      </c>
      <c r="AE289" s="241">
        <f t="shared" ca="1" si="35"/>
        <v>40</v>
      </c>
      <c r="AF289" s="246" t="s">
        <v>3585</v>
      </c>
      <c r="AG289" s="241" t="s">
        <v>3586</v>
      </c>
      <c r="AH289" s="240" t="s">
        <v>3587</v>
      </c>
      <c r="AI289" s="240"/>
      <c r="AJ289" s="240"/>
      <c r="AK289" s="241" t="s">
        <v>3588</v>
      </c>
      <c r="AL289" s="246" t="s">
        <v>3589</v>
      </c>
      <c r="AM289" s="246">
        <v>23009096779</v>
      </c>
      <c r="AN289" s="241" t="s">
        <v>4733</v>
      </c>
      <c r="AO289" s="241" t="s">
        <v>3590</v>
      </c>
      <c r="AP289" s="241" t="s">
        <v>3591</v>
      </c>
      <c r="AQ289" s="241" t="s">
        <v>3592</v>
      </c>
      <c r="AR289" s="241"/>
      <c r="AS289" s="241"/>
      <c r="AT289" s="241" t="s">
        <v>306</v>
      </c>
      <c r="AU289" s="241" t="s">
        <v>306</v>
      </c>
      <c r="AV289" s="241" t="s">
        <v>306</v>
      </c>
      <c r="AW289" s="241" t="s">
        <v>306</v>
      </c>
      <c r="AX289" s="241">
        <f t="shared" si="36"/>
        <v>2</v>
      </c>
      <c r="AY289" s="241" t="str">
        <f t="shared" si="37"/>
        <v>K/2</v>
      </c>
      <c r="AZ289" s="241"/>
      <c r="BA289" s="237"/>
      <c r="BB289" s="241" t="s">
        <v>161</v>
      </c>
      <c r="BC289" s="241" t="s">
        <v>349</v>
      </c>
      <c r="BD289" s="241" t="s">
        <v>91</v>
      </c>
      <c r="BE289" s="241" t="s">
        <v>3593</v>
      </c>
      <c r="BF289" s="241">
        <v>2003</v>
      </c>
      <c r="BG289" s="241" t="s">
        <v>349</v>
      </c>
      <c r="BH289" s="241" t="s">
        <v>91</v>
      </c>
      <c r="BI289" s="241" t="s">
        <v>3593</v>
      </c>
      <c r="BJ289" s="241">
        <v>2003</v>
      </c>
      <c r="BK289" s="247"/>
      <c r="BL289" s="247"/>
      <c r="BM289" s="241"/>
      <c r="BN289" s="241"/>
      <c r="BO289" s="241">
        <v>41</v>
      </c>
      <c r="BP289" s="244"/>
      <c r="BQ289" s="244"/>
      <c r="BR289" s="244"/>
      <c r="BS289" s="244"/>
      <c r="BT289" s="241"/>
      <c r="BU289" s="241"/>
      <c r="BV289" s="241"/>
      <c r="BW289" s="241"/>
      <c r="BX289" s="241"/>
      <c r="BY289" s="241"/>
      <c r="BZ289" s="241"/>
      <c r="CA289" s="241"/>
      <c r="CB289" s="241"/>
      <c r="CC289" s="241"/>
      <c r="CD289" s="241"/>
      <c r="CE289" s="241" t="e">
        <f>VLOOKUP(D289,[1]Sertifikasi!$B$4:$I$19,8,0)</f>
        <v>#N/A</v>
      </c>
      <c r="CF289" s="13"/>
      <c r="CG289" s="13"/>
      <c r="CH289" s="13"/>
    </row>
    <row r="290" spans="1:86" ht="11.25" customHeight="1" x14ac:dyDescent="0.2">
      <c r="A290" s="13"/>
      <c r="B290" s="238">
        <v>286</v>
      </c>
      <c r="C290" s="241" t="e">
        <f t="shared" ca="1" si="34"/>
        <v>#NUM!</v>
      </c>
      <c r="D290" s="237" t="s">
        <v>3594</v>
      </c>
      <c r="E290" s="239">
        <v>642301198</v>
      </c>
      <c r="F290" s="237">
        <v>1080024841786</v>
      </c>
      <c r="G290" s="240"/>
      <c r="H290" s="241" t="s">
        <v>24</v>
      </c>
      <c r="I290" s="241" t="s">
        <v>24</v>
      </c>
      <c r="J290" s="242">
        <v>45000</v>
      </c>
      <c r="K290" s="241"/>
      <c r="L290" s="241"/>
      <c r="M290" s="241" t="str">
        <f t="shared" si="38"/>
        <v>PKWT</v>
      </c>
      <c r="N290" s="241" t="s">
        <v>187</v>
      </c>
      <c r="O290" s="241"/>
      <c r="P290" s="243">
        <v>45365</v>
      </c>
      <c r="Q290" s="241"/>
      <c r="R290" s="241" t="s">
        <v>206</v>
      </c>
      <c r="S290" s="241" t="s">
        <v>6863</v>
      </c>
      <c r="T290" s="241" t="s">
        <v>312</v>
      </c>
      <c r="U290" s="241" t="s">
        <v>24</v>
      </c>
      <c r="V290" s="241" t="s">
        <v>204</v>
      </c>
      <c r="W290" s="241" t="s">
        <v>706</v>
      </c>
      <c r="X290" s="241" t="s">
        <v>121</v>
      </c>
      <c r="Y290" s="241" t="s">
        <v>313</v>
      </c>
      <c r="Z290" s="241"/>
      <c r="AA290" s="241"/>
      <c r="AB290" s="241" t="s">
        <v>314</v>
      </c>
      <c r="AC290" s="241" t="s">
        <v>2151</v>
      </c>
      <c r="AD290" s="245">
        <v>36437</v>
      </c>
      <c r="AE290" s="241">
        <f t="shared" ca="1" si="35"/>
        <v>25</v>
      </c>
      <c r="AF290" s="246" t="s">
        <v>3595</v>
      </c>
      <c r="AG290" s="241" t="s">
        <v>3596</v>
      </c>
      <c r="AH290" s="240" t="s">
        <v>3597</v>
      </c>
      <c r="AI290" s="240"/>
      <c r="AJ290" s="240"/>
      <c r="AK290" s="241" t="s">
        <v>3598</v>
      </c>
      <c r="AL290" s="246" t="s">
        <v>3599</v>
      </c>
      <c r="AM290" s="246">
        <v>22160059188</v>
      </c>
      <c r="AN290" s="241" t="s">
        <v>4716</v>
      </c>
      <c r="AO290" s="241"/>
      <c r="AP290" s="241"/>
      <c r="AQ290" s="241"/>
      <c r="AR290" s="241"/>
      <c r="AS290" s="241"/>
      <c r="AT290" s="241" t="s">
        <v>306</v>
      </c>
      <c r="AU290" s="241" t="s">
        <v>306</v>
      </c>
      <c r="AV290" s="241" t="s">
        <v>306</v>
      </c>
      <c r="AW290" s="241" t="s">
        <v>306</v>
      </c>
      <c r="AX290" s="241">
        <f t="shared" si="36"/>
        <v>0</v>
      </c>
      <c r="AY290" s="241" t="str">
        <f t="shared" si="37"/>
        <v>TK/0</v>
      </c>
      <c r="AZ290" s="241"/>
      <c r="BA290" s="237"/>
      <c r="BB290" s="241" t="s">
        <v>161</v>
      </c>
      <c r="BC290" s="241" t="s">
        <v>75</v>
      </c>
      <c r="BD290" s="241" t="s">
        <v>91</v>
      </c>
      <c r="BE290" s="241" t="s">
        <v>3600</v>
      </c>
      <c r="BF290" s="241">
        <v>2022</v>
      </c>
      <c r="BG290" s="241" t="s">
        <v>75</v>
      </c>
      <c r="BH290" s="241" t="s">
        <v>91</v>
      </c>
      <c r="BI290" s="241" t="s">
        <v>3600</v>
      </c>
      <c r="BJ290" s="241">
        <v>2022</v>
      </c>
      <c r="BK290" s="247"/>
      <c r="BL290" s="247"/>
      <c r="BM290" s="241"/>
      <c r="BN290" s="241"/>
      <c r="BO290" s="241">
        <v>43</v>
      </c>
      <c r="BP290" s="244"/>
      <c r="BQ290" s="244"/>
      <c r="BR290" s="244"/>
      <c r="BS290" s="244"/>
      <c r="BT290" s="241"/>
      <c r="BU290" s="241"/>
      <c r="BV290" s="241"/>
      <c r="BW290" s="241"/>
      <c r="BX290" s="241"/>
      <c r="BY290" s="241"/>
      <c r="BZ290" s="241"/>
      <c r="CA290" s="241"/>
      <c r="CB290" s="241"/>
      <c r="CC290" s="241"/>
      <c r="CD290" s="241"/>
      <c r="CE290" s="241" t="e">
        <f>VLOOKUP(D290,[1]Sertifikasi!$B$4:$I$19,8,0)</f>
        <v>#N/A</v>
      </c>
      <c r="CF290" s="13"/>
      <c r="CG290" s="13"/>
      <c r="CH290" s="13"/>
    </row>
    <row r="291" spans="1:86" ht="11.25" customHeight="1" x14ac:dyDescent="0.2">
      <c r="A291" s="13"/>
      <c r="B291" s="238">
        <v>287</v>
      </c>
      <c r="C291" s="248" t="s">
        <v>292</v>
      </c>
      <c r="D291" s="237" t="s">
        <v>102</v>
      </c>
      <c r="E291" s="239">
        <v>991500018</v>
      </c>
      <c r="F291" s="237" t="s">
        <v>3601</v>
      </c>
      <c r="G291" s="240"/>
      <c r="H291" s="249" t="s">
        <v>204</v>
      </c>
      <c r="I291" s="241" t="s">
        <v>217</v>
      </c>
      <c r="J291" s="242">
        <v>45133</v>
      </c>
      <c r="K291" s="241"/>
      <c r="L291" s="241"/>
      <c r="M291" s="241" t="str">
        <f t="shared" si="38"/>
        <v>ORGANIK INKA</v>
      </c>
      <c r="N291" s="241" t="s">
        <v>204</v>
      </c>
      <c r="O291" s="253" t="s">
        <v>3602</v>
      </c>
      <c r="P291" s="243">
        <v>45133</v>
      </c>
      <c r="Q291" s="240" t="s">
        <v>139</v>
      </c>
      <c r="R291" s="240" t="s">
        <v>139</v>
      </c>
      <c r="S291" s="241" t="s">
        <v>6863</v>
      </c>
      <c r="T291" s="241" t="s">
        <v>296</v>
      </c>
      <c r="U291" s="241" t="s">
        <v>187</v>
      </c>
      <c r="V291" s="241" t="s">
        <v>6909</v>
      </c>
      <c r="W291" s="241" t="s">
        <v>6909</v>
      </c>
      <c r="X291" s="241" t="s">
        <v>59</v>
      </c>
      <c r="Y291" s="241" t="s">
        <v>298</v>
      </c>
      <c r="Z291" s="241"/>
      <c r="AA291" s="241"/>
      <c r="AB291" s="241" t="s">
        <v>132</v>
      </c>
      <c r="AC291" s="240" t="s">
        <v>1779</v>
      </c>
      <c r="AD291" s="245">
        <v>32907</v>
      </c>
      <c r="AE291" s="241">
        <f t="shared" ca="1" si="35"/>
        <v>35</v>
      </c>
      <c r="AF291" s="240" t="s">
        <v>3603</v>
      </c>
      <c r="AG291" s="241" t="s">
        <v>3604</v>
      </c>
      <c r="AH291" s="240" t="s">
        <v>3605</v>
      </c>
      <c r="AI291" s="240"/>
      <c r="AJ291" s="240"/>
      <c r="AK291" s="240" t="s">
        <v>3606</v>
      </c>
      <c r="AL291" s="240" t="s">
        <v>3607</v>
      </c>
      <c r="AM291" s="240">
        <v>15037840186</v>
      </c>
      <c r="AN291" s="241" t="s">
        <v>4733</v>
      </c>
      <c r="AO291" s="241" t="s">
        <v>3608</v>
      </c>
      <c r="AP291" s="241" t="s">
        <v>3609</v>
      </c>
      <c r="AQ291" s="241"/>
      <c r="AR291" s="241"/>
      <c r="AS291" s="241"/>
      <c r="AT291" s="241" t="s">
        <v>306</v>
      </c>
      <c r="AU291" s="241" t="s">
        <v>306</v>
      </c>
      <c r="AV291" s="241" t="s">
        <v>306</v>
      </c>
      <c r="AW291" s="241" t="s">
        <v>306</v>
      </c>
      <c r="AX291" s="241">
        <f t="shared" si="36"/>
        <v>1</v>
      </c>
      <c r="AY291" s="241" t="str">
        <f t="shared" si="37"/>
        <v>K/1</v>
      </c>
      <c r="AZ291" s="241" t="s">
        <v>3610</v>
      </c>
      <c r="BA291" s="237">
        <v>751464348652000</v>
      </c>
      <c r="BB291" s="249" t="s">
        <v>161</v>
      </c>
      <c r="BC291" s="253" t="s">
        <v>75</v>
      </c>
      <c r="BD291" s="253" t="s">
        <v>83</v>
      </c>
      <c r="BE291" s="240" t="s">
        <v>6783</v>
      </c>
      <c r="BF291" s="240"/>
      <c r="BG291" s="241" t="s">
        <v>75</v>
      </c>
      <c r="BH291" s="253" t="s">
        <v>83</v>
      </c>
      <c r="BI291" s="240" t="s">
        <v>6783</v>
      </c>
      <c r="BJ291" s="240"/>
      <c r="BK291" s="247">
        <v>53022</v>
      </c>
      <c r="BL291" s="247">
        <v>53387</v>
      </c>
      <c r="BM291" s="241"/>
      <c r="BN291" s="241"/>
      <c r="BO291" s="241"/>
      <c r="BP291" s="244"/>
      <c r="BQ291" s="244"/>
      <c r="BR291" s="244"/>
      <c r="BS291" s="244"/>
      <c r="BT291" s="241"/>
      <c r="BU291" s="241"/>
      <c r="BV291" s="241"/>
      <c r="BW291" s="241"/>
      <c r="BX291" s="241"/>
      <c r="BY291" s="241"/>
      <c r="BZ291" s="241"/>
      <c r="CA291" s="241"/>
      <c r="CB291" s="241"/>
      <c r="CC291" s="241"/>
      <c r="CD291" s="241"/>
      <c r="CE291" s="241" t="e">
        <f>VLOOKUP(D291,[1]Sertifikasi!$B$4:$I$19,8,0)</f>
        <v>#N/A</v>
      </c>
      <c r="CF291" s="13"/>
      <c r="CG291" s="13"/>
      <c r="CH291" s="13"/>
    </row>
    <row r="292" spans="1:86" ht="11.25" customHeight="1" x14ac:dyDescent="0.2">
      <c r="A292" s="13"/>
      <c r="B292" s="238">
        <v>288</v>
      </c>
      <c r="C292" s="241" t="e">
        <f t="shared" ref="C292:C306" ca="1" si="39">DATEDIF($E$3,P292,"D")</f>
        <v>#NUM!</v>
      </c>
      <c r="D292" s="237" t="s">
        <v>3623</v>
      </c>
      <c r="E292" s="239">
        <v>642307120</v>
      </c>
      <c r="F292" s="237"/>
      <c r="G292" s="240">
        <v>7249704207</v>
      </c>
      <c r="H292" s="241" t="s">
        <v>25</v>
      </c>
      <c r="I292" s="241" t="s">
        <v>3477</v>
      </c>
      <c r="J292" s="242">
        <v>45174</v>
      </c>
      <c r="K292" s="241"/>
      <c r="L292" s="241"/>
      <c r="M292" s="241" t="str">
        <f t="shared" si="38"/>
        <v>PKWT</v>
      </c>
      <c r="N292" s="241" t="s">
        <v>187</v>
      </c>
      <c r="O292" s="241"/>
      <c r="P292" s="243">
        <v>45539</v>
      </c>
      <c r="Q292" s="241"/>
      <c r="R292" s="241" t="s">
        <v>206</v>
      </c>
      <c r="S292" s="241" t="s">
        <v>6863</v>
      </c>
      <c r="T292" s="241" t="s">
        <v>312</v>
      </c>
      <c r="U292" s="241" t="s">
        <v>24</v>
      </c>
      <c r="V292" s="241" t="s">
        <v>204</v>
      </c>
      <c r="W292" s="241" t="s">
        <v>706</v>
      </c>
      <c r="X292" s="241" t="s">
        <v>121</v>
      </c>
      <c r="Y292" s="241" t="s">
        <v>313</v>
      </c>
      <c r="Z292" s="241" t="s">
        <v>3624</v>
      </c>
      <c r="AA292" s="241"/>
      <c r="AB292" s="241" t="s">
        <v>314</v>
      </c>
      <c r="AC292" s="241" t="s">
        <v>3477</v>
      </c>
      <c r="AD292" s="245">
        <v>36853</v>
      </c>
      <c r="AE292" s="241">
        <f t="shared" ca="1" si="35"/>
        <v>24</v>
      </c>
      <c r="AF292" s="246" t="s">
        <v>3625</v>
      </c>
      <c r="AG292" s="241" t="s">
        <v>3626</v>
      </c>
      <c r="AH292" s="240">
        <v>6285647824003</v>
      </c>
      <c r="AI292" s="240"/>
      <c r="AJ292" s="240"/>
      <c r="AK292" s="241" t="s">
        <v>3627</v>
      </c>
      <c r="AL292" s="246" t="s">
        <v>3628</v>
      </c>
      <c r="AM292" s="246">
        <v>23138645884</v>
      </c>
      <c r="AN292" s="241" t="s">
        <v>4716</v>
      </c>
      <c r="AO292" s="241"/>
      <c r="AP292" s="241"/>
      <c r="AQ292" s="241"/>
      <c r="AR292" s="241"/>
      <c r="AS292" s="241"/>
      <c r="AT292" s="241" t="s">
        <v>306</v>
      </c>
      <c r="AU292" s="241" t="s">
        <v>306</v>
      </c>
      <c r="AV292" s="241" t="s">
        <v>306</v>
      </c>
      <c r="AW292" s="241" t="s">
        <v>306</v>
      </c>
      <c r="AX292" s="241">
        <f t="shared" si="36"/>
        <v>0</v>
      </c>
      <c r="AY292" s="241" t="str">
        <f t="shared" si="37"/>
        <v>TK/0</v>
      </c>
      <c r="AZ292" s="241"/>
      <c r="BA292" s="237"/>
      <c r="BB292" s="241" t="s">
        <v>161</v>
      </c>
      <c r="BC292" s="241" t="s">
        <v>70</v>
      </c>
      <c r="BD292" s="241" t="s">
        <v>99</v>
      </c>
      <c r="BE292" s="241" t="s">
        <v>100</v>
      </c>
      <c r="BF292" s="241">
        <v>2022</v>
      </c>
      <c r="BG292" s="241" t="s">
        <v>70</v>
      </c>
      <c r="BH292" s="241" t="s">
        <v>99</v>
      </c>
      <c r="BI292" s="241" t="s">
        <v>100</v>
      </c>
      <c r="BJ292" s="241">
        <v>2022</v>
      </c>
      <c r="BK292" s="247"/>
      <c r="BL292" s="247"/>
      <c r="BM292" s="241"/>
      <c r="BN292" s="241"/>
      <c r="BO292" s="241"/>
      <c r="BP292" s="244"/>
      <c r="BQ292" s="244"/>
      <c r="BR292" s="244"/>
      <c r="BS292" s="244"/>
      <c r="BT292" s="241"/>
      <c r="BU292" s="241"/>
      <c r="BV292" s="241"/>
      <c r="BW292" s="241"/>
      <c r="BX292" s="241"/>
      <c r="BY292" s="241"/>
      <c r="BZ292" s="241"/>
      <c r="CA292" s="241"/>
      <c r="CB292" s="241"/>
      <c r="CC292" s="241"/>
      <c r="CD292" s="241"/>
      <c r="CE292" s="241" t="e">
        <f>VLOOKUP(D292,[1]Sertifikasi!$B$4:$I$19,8,0)</f>
        <v>#N/A</v>
      </c>
      <c r="CF292" s="13"/>
      <c r="CG292" s="13"/>
      <c r="CH292" s="13"/>
    </row>
    <row r="293" spans="1:86" ht="11.25" customHeight="1" x14ac:dyDescent="0.2">
      <c r="A293" s="13"/>
      <c r="B293" s="238">
        <v>289</v>
      </c>
      <c r="C293" s="241" t="e">
        <f t="shared" ca="1" si="39"/>
        <v>#NUM!</v>
      </c>
      <c r="D293" s="237" t="s">
        <v>3635</v>
      </c>
      <c r="E293" s="239">
        <v>642307121</v>
      </c>
      <c r="F293" s="237"/>
      <c r="G293" s="240">
        <v>7249707591</v>
      </c>
      <c r="H293" s="241" t="s">
        <v>217</v>
      </c>
      <c r="I293" s="241" t="s">
        <v>3636</v>
      </c>
      <c r="J293" s="242">
        <v>45174</v>
      </c>
      <c r="K293" s="241"/>
      <c r="L293" s="241"/>
      <c r="M293" s="241" t="str">
        <f t="shared" si="38"/>
        <v>PKWT</v>
      </c>
      <c r="N293" s="241" t="s">
        <v>187</v>
      </c>
      <c r="O293" s="241"/>
      <c r="P293" s="243">
        <v>45539</v>
      </c>
      <c r="Q293" s="241"/>
      <c r="R293" s="241" t="s">
        <v>206</v>
      </c>
      <c r="S293" s="241" t="s">
        <v>6863</v>
      </c>
      <c r="T293" s="241" t="s">
        <v>312</v>
      </c>
      <c r="U293" s="241" t="s">
        <v>24</v>
      </c>
      <c r="V293" s="241" t="s">
        <v>204</v>
      </c>
      <c r="W293" s="241" t="s">
        <v>706</v>
      </c>
      <c r="X293" s="241" t="s">
        <v>121</v>
      </c>
      <c r="Y293" s="241" t="s">
        <v>313</v>
      </c>
      <c r="Z293" s="241" t="s">
        <v>462</v>
      </c>
      <c r="AA293" s="241"/>
      <c r="AB293" s="241" t="s">
        <v>314</v>
      </c>
      <c r="AC293" s="241" t="s">
        <v>217</v>
      </c>
      <c r="AD293" s="245">
        <v>36569</v>
      </c>
      <c r="AE293" s="241">
        <f t="shared" ca="1" si="35"/>
        <v>25</v>
      </c>
      <c r="AF293" s="246" t="s">
        <v>3637</v>
      </c>
      <c r="AG293" s="241" t="s">
        <v>3638</v>
      </c>
      <c r="AH293" s="240">
        <v>85784023890</v>
      </c>
      <c r="AI293" s="240"/>
      <c r="AJ293" s="240"/>
      <c r="AK293" s="241" t="s">
        <v>3639</v>
      </c>
      <c r="AL293" s="246" t="s">
        <v>3640</v>
      </c>
      <c r="AM293" s="246">
        <v>23138647468</v>
      </c>
      <c r="AN293" s="241" t="s">
        <v>4716</v>
      </c>
      <c r="AO293" s="241"/>
      <c r="AP293" s="241"/>
      <c r="AQ293" s="241"/>
      <c r="AR293" s="241"/>
      <c r="AS293" s="241"/>
      <c r="AT293" s="241" t="s">
        <v>3641</v>
      </c>
      <c r="AU293" s="241" t="s">
        <v>3642</v>
      </c>
      <c r="AV293" s="241" t="s">
        <v>306</v>
      </c>
      <c r="AW293" s="241" t="s">
        <v>306</v>
      </c>
      <c r="AX293" s="241">
        <f t="shared" si="36"/>
        <v>0</v>
      </c>
      <c r="AY293" s="241" t="str">
        <f t="shared" si="37"/>
        <v>TK/0</v>
      </c>
      <c r="AZ293" s="241" t="s">
        <v>3643</v>
      </c>
      <c r="BA293" s="241" t="s">
        <v>3643</v>
      </c>
      <c r="BB293" s="241" t="s">
        <v>161</v>
      </c>
      <c r="BC293" s="241" t="s">
        <v>70</v>
      </c>
      <c r="BD293" s="241" t="s">
        <v>99</v>
      </c>
      <c r="BE293" s="241" t="s">
        <v>100</v>
      </c>
      <c r="BF293" s="241">
        <v>2021</v>
      </c>
      <c r="BG293" s="241" t="s">
        <v>70</v>
      </c>
      <c r="BH293" s="241" t="s">
        <v>99</v>
      </c>
      <c r="BI293" s="241" t="s">
        <v>100</v>
      </c>
      <c r="BJ293" s="241">
        <v>2021</v>
      </c>
      <c r="BK293" s="247"/>
      <c r="BL293" s="247"/>
      <c r="BM293" s="241"/>
      <c r="BN293" s="241"/>
      <c r="BO293" s="241"/>
      <c r="BP293" s="244"/>
      <c r="BQ293" s="244"/>
      <c r="BR293" s="244"/>
      <c r="BS293" s="244"/>
      <c r="BT293" s="241"/>
      <c r="BU293" s="241"/>
      <c r="BV293" s="241"/>
      <c r="BW293" s="241"/>
      <c r="BX293" s="241"/>
      <c r="BY293" s="241"/>
      <c r="BZ293" s="241"/>
      <c r="CA293" s="241"/>
      <c r="CB293" s="241"/>
      <c r="CC293" s="241"/>
      <c r="CD293" s="241"/>
      <c r="CE293" s="241" t="e">
        <f>VLOOKUP(D293,[1]Sertifikasi!$B$4:$I$19,8,0)</f>
        <v>#N/A</v>
      </c>
      <c r="CF293" s="13"/>
      <c r="CG293" s="13"/>
      <c r="CH293" s="13"/>
    </row>
    <row r="294" spans="1:86" ht="11.25" customHeight="1" x14ac:dyDescent="0.2">
      <c r="A294" s="13"/>
      <c r="B294" s="238">
        <v>290</v>
      </c>
      <c r="C294" s="241" t="e">
        <f t="shared" ca="1" si="39"/>
        <v>#NUM!</v>
      </c>
      <c r="D294" s="237" t="s">
        <v>3644</v>
      </c>
      <c r="E294" s="239">
        <v>642307133</v>
      </c>
      <c r="F294" s="237">
        <v>1330027424019</v>
      </c>
      <c r="G294" s="240"/>
      <c r="H294" s="241" t="s">
        <v>24</v>
      </c>
      <c r="I294" s="241" t="s">
        <v>25</v>
      </c>
      <c r="J294" s="242">
        <v>45204</v>
      </c>
      <c r="K294" s="241"/>
      <c r="L294" s="241"/>
      <c r="M294" s="241" t="str">
        <f t="shared" si="38"/>
        <v>PKWT</v>
      </c>
      <c r="N294" s="241" t="s">
        <v>187</v>
      </c>
      <c r="O294" s="241"/>
      <c r="P294" s="243">
        <v>45657</v>
      </c>
      <c r="Q294" s="241"/>
      <c r="R294" s="241" t="s">
        <v>206</v>
      </c>
      <c r="S294" s="241" t="s">
        <v>6863</v>
      </c>
      <c r="T294" s="241" t="s">
        <v>312</v>
      </c>
      <c r="U294" s="241" t="s">
        <v>24</v>
      </c>
      <c r="V294" s="241" t="s">
        <v>204</v>
      </c>
      <c r="W294" s="241" t="s">
        <v>629</v>
      </c>
      <c r="X294" s="241" t="s">
        <v>121</v>
      </c>
      <c r="Y294" s="241" t="s">
        <v>313</v>
      </c>
      <c r="Z294" s="241"/>
      <c r="AA294" s="241"/>
      <c r="AB294" s="241" t="s">
        <v>314</v>
      </c>
      <c r="AC294" s="241" t="s">
        <v>3645</v>
      </c>
      <c r="AD294" s="245">
        <v>37643</v>
      </c>
      <c r="AE294" s="241">
        <f t="shared" ca="1" si="35"/>
        <v>22</v>
      </c>
      <c r="AF294" s="246" t="s">
        <v>3646</v>
      </c>
      <c r="AG294" s="241" t="s">
        <v>3647</v>
      </c>
      <c r="AH294" s="240" t="s">
        <v>3648</v>
      </c>
      <c r="AI294" s="240"/>
      <c r="AJ294" s="240"/>
      <c r="AK294" s="241" t="s">
        <v>3649</v>
      </c>
      <c r="AL294" s="246" t="s">
        <v>3650</v>
      </c>
      <c r="AM294" s="246">
        <v>23156731251</v>
      </c>
      <c r="AN294" s="241" t="s">
        <v>4716</v>
      </c>
      <c r="AO294" s="241"/>
      <c r="AP294" s="241"/>
      <c r="AQ294" s="241"/>
      <c r="AR294" s="241"/>
      <c r="AS294" s="241"/>
      <c r="AT294" s="241" t="s">
        <v>306</v>
      </c>
      <c r="AU294" s="241" t="s">
        <v>306</v>
      </c>
      <c r="AV294" s="241" t="s">
        <v>306</v>
      </c>
      <c r="AW294" s="241" t="s">
        <v>306</v>
      </c>
      <c r="AX294" s="241">
        <f t="shared" si="36"/>
        <v>0</v>
      </c>
      <c r="AY294" s="241" t="str">
        <f t="shared" si="37"/>
        <v>TK/0</v>
      </c>
      <c r="AZ294" s="241"/>
      <c r="BA294" s="237"/>
      <c r="BB294" s="241" t="s">
        <v>161</v>
      </c>
      <c r="BC294" s="241" t="s">
        <v>307</v>
      </c>
      <c r="BD294" s="241" t="s">
        <v>544</v>
      </c>
      <c r="BE294" s="241" t="s">
        <v>3651</v>
      </c>
      <c r="BF294" s="241">
        <v>2021</v>
      </c>
      <c r="BG294" s="241" t="s">
        <v>307</v>
      </c>
      <c r="BH294" s="241" t="s">
        <v>544</v>
      </c>
      <c r="BI294" s="241" t="s">
        <v>3652</v>
      </c>
      <c r="BJ294" s="241">
        <v>2021</v>
      </c>
      <c r="BK294" s="247"/>
      <c r="BL294" s="247"/>
      <c r="BM294" s="241"/>
      <c r="BN294" s="241"/>
      <c r="BO294" s="241"/>
      <c r="BP294" s="244"/>
      <c r="BQ294" s="244"/>
      <c r="BR294" s="244"/>
      <c r="BS294" s="244"/>
      <c r="BT294" s="241"/>
      <c r="BU294" s="241"/>
      <c r="BV294" s="241"/>
      <c r="BW294" s="241"/>
      <c r="BX294" s="241"/>
      <c r="BY294" s="241"/>
      <c r="BZ294" s="241"/>
      <c r="CA294" s="241"/>
      <c r="CB294" s="241"/>
      <c r="CC294" s="241"/>
      <c r="CD294" s="241"/>
      <c r="CE294" s="241" t="e">
        <f>VLOOKUP(D294,[1]Sertifikasi!$B$4:$I$19,8,0)</f>
        <v>#N/A</v>
      </c>
      <c r="CF294" s="13"/>
      <c r="CG294" s="13"/>
      <c r="CH294" s="13"/>
    </row>
    <row r="295" spans="1:86" ht="11.25" customHeight="1" x14ac:dyDescent="0.2">
      <c r="A295" s="13"/>
      <c r="B295" s="238">
        <v>291</v>
      </c>
      <c r="C295" s="241" t="e">
        <f t="shared" ca="1" si="39"/>
        <v>#NUM!</v>
      </c>
      <c r="D295" s="237" t="s">
        <v>3653</v>
      </c>
      <c r="E295" s="239">
        <v>642307132</v>
      </c>
      <c r="F295" s="237">
        <v>1670006022403</v>
      </c>
      <c r="G295" s="240"/>
      <c r="H295" s="241" t="s">
        <v>24</v>
      </c>
      <c r="I295" s="241" t="s">
        <v>2377</v>
      </c>
      <c r="J295" s="242">
        <v>45204</v>
      </c>
      <c r="K295" s="241"/>
      <c r="L295" s="241"/>
      <c r="M295" s="241" t="str">
        <f t="shared" si="38"/>
        <v>PKWT</v>
      </c>
      <c r="N295" s="241" t="s">
        <v>187</v>
      </c>
      <c r="O295" s="241"/>
      <c r="P295" s="243">
        <v>45657</v>
      </c>
      <c r="Q295" s="241"/>
      <c r="R295" s="241" t="s">
        <v>206</v>
      </c>
      <c r="S295" s="241" t="s">
        <v>6863</v>
      </c>
      <c r="T295" s="241" t="s">
        <v>312</v>
      </c>
      <c r="U295" s="241" t="s">
        <v>24</v>
      </c>
      <c r="V295" s="241" t="s">
        <v>443</v>
      </c>
      <c r="W295" s="241" t="s">
        <v>175</v>
      </c>
      <c r="X295" s="241" t="s">
        <v>121</v>
      </c>
      <c r="Y295" s="241" t="s">
        <v>313</v>
      </c>
      <c r="Z295" s="241"/>
      <c r="AA295" s="241"/>
      <c r="AB295" s="241" t="s">
        <v>314</v>
      </c>
      <c r="AC295" s="241" t="s">
        <v>1795</v>
      </c>
      <c r="AD295" s="245">
        <v>35874</v>
      </c>
      <c r="AE295" s="241">
        <f t="shared" ca="1" si="35"/>
        <v>27</v>
      </c>
      <c r="AF295" s="246" t="s">
        <v>3654</v>
      </c>
      <c r="AG295" s="241" t="s">
        <v>3655</v>
      </c>
      <c r="AH295" s="240" t="s">
        <v>3656</v>
      </c>
      <c r="AI295" s="240"/>
      <c r="AJ295" s="240"/>
      <c r="AK295" s="241" t="s">
        <v>3657</v>
      </c>
      <c r="AL295" s="246" t="s">
        <v>3658</v>
      </c>
      <c r="AM295" s="246">
        <v>23156731343</v>
      </c>
      <c r="AN295" s="241" t="s">
        <v>4716</v>
      </c>
      <c r="AO295" s="241"/>
      <c r="AP295" s="241"/>
      <c r="AQ295" s="241"/>
      <c r="AR295" s="241"/>
      <c r="AS295" s="241"/>
      <c r="AT295" s="241" t="s">
        <v>306</v>
      </c>
      <c r="AU295" s="241" t="s">
        <v>306</v>
      </c>
      <c r="AV295" s="241" t="s">
        <v>306</v>
      </c>
      <c r="AW295" s="241" t="s">
        <v>306</v>
      </c>
      <c r="AX295" s="241">
        <f t="shared" si="36"/>
        <v>0</v>
      </c>
      <c r="AY295" s="241" t="str">
        <f t="shared" si="37"/>
        <v>TK/0</v>
      </c>
      <c r="AZ295" s="241"/>
      <c r="BA295" s="237"/>
      <c r="BB295" s="241" t="s">
        <v>161</v>
      </c>
      <c r="BC295" s="241" t="s">
        <v>75</v>
      </c>
      <c r="BD295" s="241" t="s">
        <v>3659</v>
      </c>
      <c r="BE295" s="241" t="s">
        <v>3660</v>
      </c>
      <c r="BF295" s="241">
        <v>2023</v>
      </c>
      <c r="BG295" s="241" t="s">
        <v>75</v>
      </c>
      <c r="BH295" s="241" t="s">
        <v>3659</v>
      </c>
      <c r="BI295" s="241" t="s">
        <v>3660</v>
      </c>
      <c r="BJ295" s="241">
        <v>2023</v>
      </c>
      <c r="BK295" s="247"/>
      <c r="BL295" s="247"/>
      <c r="BM295" s="241"/>
      <c r="BN295" s="241"/>
      <c r="BO295" s="241"/>
      <c r="BP295" s="244"/>
      <c r="BQ295" s="244"/>
      <c r="BR295" s="244"/>
      <c r="BS295" s="244"/>
      <c r="BT295" s="241"/>
      <c r="BU295" s="241"/>
      <c r="BV295" s="241"/>
      <c r="BW295" s="241"/>
      <c r="BX295" s="241"/>
      <c r="BY295" s="241"/>
      <c r="BZ295" s="241"/>
      <c r="CA295" s="241"/>
      <c r="CB295" s="241"/>
      <c r="CC295" s="241"/>
      <c r="CD295" s="241"/>
      <c r="CE295" s="241" t="e">
        <f>VLOOKUP(D295,[1]Sertifikasi!$B$4:$I$19,8,0)</f>
        <v>#N/A</v>
      </c>
      <c r="CF295" s="13"/>
      <c r="CG295" s="119"/>
      <c r="CH295" s="13"/>
    </row>
    <row r="296" spans="1:86" ht="11.25" customHeight="1" x14ac:dyDescent="0.2">
      <c r="A296" s="13"/>
      <c r="B296" s="238">
        <v>292</v>
      </c>
      <c r="C296" s="241" t="e">
        <f t="shared" ca="1" si="39"/>
        <v>#NUM!</v>
      </c>
      <c r="D296" s="237" t="s">
        <v>3661</v>
      </c>
      <c r="E296" s="239">
        <v>642307126</v>
      </c>
      <c r="F296" s="237"/>
      <c r="G296" s="240">
        <v>7219063018</v>
      </c>
      <c r="H296" s="241" t="s">
        <v>217</v>
      </c>
      <c r="I296" s="241" t="s">
        <v>432</v>
      </c>
      <c r="J296" s="242">
        <v>45204</v>
      </c>
      <c r="K296" s="241"/>
      <c r="L296" s="241"/>
      <c r="M296" s="241" t="str">
        <f t="shared" si="38"/>
        <v>PKWT</v>
      </c>
      <c r="N296" s="241" t="s">
        <v>187</v>
      </c>
      <c r="O296" s="241"/>
      <c r="P296" s="243">
        <v>45657</v>
      </c>
      <c r="Q296" s="241"/>
      <c r="R296" s="241" t="s">
        <v>206</v>
      </c>
      <c r="S296" s="241" t="s">
        <v>6863</v>
      </c>
      <c r="T296" s="241" t="s">
        <v>312</v>
      </c>
      <c r="U296" s="241" t="s">
        <v>24</v>
      </c>
      <c r="V296" s="241" t="s">
        <v>204</v>
      </c>
      <c r="W296" s="241" t="s">
        <v>629</v>
      </c>
      <c r="X296" s="241" t="s">
        <v>121</v>
      </c>
      <c r="Y296" s="241" t="s">
        <v>313</v>
      </c>
      <c r="Z296" s="241" t="s">
        <v>462</v>
      </c>
      <c r="AA296" s="241"/>
      <c r="AB296" s="241" t="s">
        <v>314</v>
      </c>
      <c r="AC296" s="241" t="s">
        <v>432</v>
      </c>
      <c r="AD296" s="245">
        <v>36280</v>
      </c>
      <c r="AE296" s="241">
        <f t="shared" ca="1" si="35"/>
        <v>26</v>
      </c>
      <c r="AF296" s="246" t="s">
        <v>3662</v>
      </c>
      <c r="AG296" s="241" t="s">
        <v>3663</v>
      </c>
      <c r="AH296" s="240" t="s">
        <v>3664</v>
      </c>
      <c r="AI296" s="240"/>
      <c r="AJ296" s="240"/>
      <c r="AK296" s="241" t="s">
        <v>3665</v>
      </c>
      <c r="AL296" s="246" t="s">
        <v>3666</v>
      </c>
      <c r="AM296" s="246">
        <v>23156731277</v>
      </c>
      <c r="AN296" s="241" t="s">
        <v>4716</v>
      </c>
      <c r="AO296" s="241"/>
      <c r="AP296" s="241"/>
      <c r="AQ296" s="241"/>
      <c r="AR296" s="241"/>
      <c r="AS296" s="241"/>
      <c r="AT296" s="241" t="s">
        <v>3667</v>
      </c>
      <c r="AU296" s="241" t="s">
        <v>3668</v>
      </c>
      <c r="AV296" s="241" t="s">
        <v>306</v>
      </c>
      <c r="AW296" s="241" t="s">
        <v>306</v>
      </c>
      <c r="AX296" s="241">
        <f t="shared" si="36"/>
        <v>0</v>
      </c>
      <c r="AY296" s="241" t="str">
        <f t="shared" si="37"/>
        <v>TK/0</v>
      </c>
      <c r="AZ296" s="241" t="s">
        <v>3669</v>
      </c>
      <c r="BA296" s="237" t="s">
        <v>3669</v>
      </c>
      <c r="BB296" s="241" t="s">
        <v>161</v>
      </c>
      <c r="BC296" s="241" t="s">
        <v>70</v>
      </c>
      <c r="BD296" s="241" t="s">
        <v>3475</v>
      </c>
      <c r="BE296" s="241" t="s">
        <v>100</v>
      </c>
      <c r="BF296" s="241">
        <v>2020</v>
      </c>
      <c r="BG296" s="241" t="s">
        <v>70</v>
      </c>
      <c r="BH296" s="241" t="s">
        <v>3475</v>
      </c>
      <c r="BI296" s="241" t="s">
        <v>100</v>
      </c>
      <c r="BJ296" s="241">
        <v>2020</v>
      </c>
      <c r="BK296" s="247"/>
      <c r="BL296" s="247"/>
      <c r="BM296" s="241"/>
      <c r="BN296" s="241"/>
      <c r="BO296" s="241"/>
      <c r="BP296" s="244"/>
      <c r="BQ296" s="244"/>
      <c r="BR296" s="244"/>
      <c r="BS296" s="244"/>
      <c r="BT296" s="241"/>
      <c r="BU296" s="241"/>
      <c r="BV296" s="241"/>
      <c r="BW296" s="241"/>
      <c r="BX296" s="241"/>
      <c r="BY296" s="241"/>
      <c r="BZ296" s="241"/>
      <c r="CA296" s="241"/>
      <c r="CB296" s="241"/>
      <c r="CC296" s="241"/>
      <c r="CD296" s="241"/>
      <c r="CE296" s="241" t="e">
        <f>VLOOKUP(D296,[1]Sertifikasi!$B$4:$I$19,8,0)</f>
        <v>#N/A</v>
      </c>
      <c r="CF296" s="13"/>
      <c r="CG296" s="13"/>
      <c r="CH296" s="13"/>
    </row>
    <row r="297" spans="1:86" ht="11.25" customHeight="1" x14ac:dyDescent="0.2">
      <c r="A297" s="13"/>
      <c r="B297" s="238">
        <v>293</v>
      </c>
      <c r="C297" s="241" t="e">
        <f t="shared" ca="1" si="39"/>
        <v>#NUM!</v>
      </c>
      <c r="D297" s="237" t="s">
        <v>3670</v>
      </c>
      <c r="E297" s="239">
        <v>642307134</v>
      </c>
      <c r="F297" s="237">
        <v>1290013817925</v>
      </c>
      <c r="G297" s="240"/>
      <c r="H297" s="241" t="s">
        <v>24</v>
      </c>
      <c r="I297" s="241" t="s">
        <v>3671</v>
      </c>
      <c r="J297" s="242">
        <v>45204</v>
      </c>
      <c r="K297" s="241"/>
      <c r="L297" s="241"/>
      <c r="M297" s="241" t="str">
        <f t="shared" si="38"/>
        <v>PKWT</v>
      </c>
      <c r="N297" s="241" t="s">
        <v>187</v>
      </c>
      <c r="O297" s="241"/>
      <c r="P297" s="243">
        <v>45657</v>
      </c>
      <c r="Q297" s="241"/>
      <c r="R297" s="241" t="s">
        <v>206</v>
      </c>
      <c r="S297" s="241" t="s">
        <v>6863</v>
      </c>
      <c r="T297" s="241" t="s">
        <v>312</v>
      </c>
      <c r="U297" s="241" t="s">
        <v>24</v>
      </c>
      <c r="V297" s="241" t="s">
        <v>443</v>
      </c>
      <c r="W297" s="241" t="s">
        <v>175</v>
      </c>
      <c r="X297" s="241" t="s">
        <v>121</v>
      </c>
      <c r="Y297" s="241" t="s">
        <v>313</v>
      </c>
      <c r="Z297" s="241"/>
      <c r="AA297" s="241"/>
      <c r="AB297" s="241" t="s">
        <v>314</v>
      </c>
      <c r="AC297" s="241" t="s">
        <v>3671</v>
      </c>
      <c r="AD297" s="245">
        <v>36694</v>
      </c>
      <c r="AE297" s="241">
        <f t="shared" ca="1" si="35"/>
        <v>25</v>
      </c>
      <c r="AF297" s="246" t="s">
        <v>3672</v>
      </c>
      <c r="AG297" s="241" t="s">
        <v>3673</v>
      </c>
      <c r="AH297" s="240" t="s">
        <v>3674</v>
      </c>
      <c r="AI297" s="240"/>
      <c r="AJ297" s="240"/>
      <c r="AK297" s="241" t="s">
        <v>3675</v>
      </c>
      <c r="AL297" s="246" t="s">
        <v>3676</v>
      </c>
      <c r="AM297" s="246">
        <v>23156731236</v>
      </c>
      <c r="AN297" s="241" t="s">
        <v>4716</v>
      </c>
      <c r="AO297" s="241"/>
      <c r="AP297" s="241"/>
      <c r="AQ297" s="241"/>
      <c r="AR297" s="241"/>
      <c r="AS297" s="241"/>
      <c r="AT297" s="241" t="s">
        <v>3677</v>
      </c>
      <c r="AU297" s="241" t="s">
        <v>3678</v>
      </c>
      <c r="AV297" s="241" t="s">
        <v>306</v>
      </c>
      <c r="AW297" s="241" t="s">
        <v>306</v>
      </c>
      <c r="AX297" s="241">
        <f t="shared" si="36"/>
        <v>0</v>
      </c>
      <c r="AY297" s="241" t="str">
        <f t="shared" si="37"/>
        <v>TK/0</v>
      </c>
      <c r="AZ297" s="241" t="s">
        <v>3679</v>
      </c>
      <c r="BA297" s="237" t="s">
        <v>3679</v>
      </c>
      <c r="BB297" s="241" t="s">
        <v>161</v>
      </c>
      <c r="BC297" s="241" t="s">
        <v>75</v>
      </c>
      <c r="BD297" s="241" t="s">
        <v>3680</v>
      </c>
      <c r="BE297" s="241" t="s">
        <v>3681</v>
      </c>
      <c r="BF297" s="241">
        <v>2023</v>
      </c>
      <c r="BG297" s="241" t="s">
        <v>75</v>
      </c>
      <c r="BH297" s="241" t="s">
        <v>3680</v>
      </c>
      <c r="BI297" s="241" t="s">
        <v>3681</v>
      </c>
      <c r="BJ297" s="241">
        <v>2023</v>
      </c>
      <c r="BK297" s="247"/>
      <c r="BL297" s="247"/>
      <c r="BM297" s="241"/>
      <c r="BN297" s="241"/>
      <c r="BO297" s="241"/>
      <c r="BP297" s="244"/>
      <c r="BQ297" s="244"/>
      <c r="BR297" s="244"/>
      <c r="BS297" s="244"/>
      <c r="BT297" s="241"/>
      <c r="BU297" s="241"/>
      <c r="BV297" s="241"/>
      <c r="BW297" s="241"/>
      <c r="BX297" s="241"/>
      <c r="BY297" s="241"/>
      <c r="BZ297" s="241"/>
      <c r="CA297" s="241"/>
      <c r="CB297" s="241"/>
      <c r="CC297" s="241"/>
      <c r="CD297" s="241"/>
      <c r="CE297" s="241" t="e">
        <f>VLOOKUP(D297,[1]Sertifikasi!$B$4:$I$19,8,0)</f>
        <v>#N/A</v>
      </c>
      <c r="CF297" s="13"/>
      <c r="CG297" s="13"/>
      <c r="CH297" s="13"/>
    </row>
    <row r="298" spans="1:86" ht="11.25" customHeight="1" x14ac:dyDescent="0.2">
      <c r="A298" s="13"/>
      <c r="B298" s="238">
        <v>294</v>
      </c>
      <c r="C298" s="241" t="e">
        <f t="shared" ca="1" si="39"/>
        <v>#NUM!</v>
      </c>
      <c r="D298" s="237" t="s">
        <v>3682</v>
      </c>
      <c r="E298" s="239">
        <v>642307135</v>
      </c>
      <c r="F298" s="237">
        <v>1710003411389</v>
      </c>
      <c r="G298" s="240"/>
      <c r="H298" s="241" t="s">
        <v>217</v>
      </c>
      <c r="I298" s="241" t="s">
        <v>1779</v>
      </c>
      <c r="J298" s="242">
        <v>45204</v>
      </c>
      <c r="K298" s="241"/>
      <c r="L298" s="241"/>
      <c r="M298" s="241" t="str">
        <f t="shared" si="38"/>
        <v>PKWT</v>
      </c>
      <c r="N298" s="241" t="s">
        <v>187</v>
      </c>
      <c r="O298" s="241"/>
      <c r="P298" s="243">
        <v>45569</v>
      </c>
      <c r="Q298" s="241"/>
      <c r="R298" s="241" t="s">
        <v>206</v>
      </c>
      <c r="S298" s="241" t="s">
        <v>6863</v>
      </c>
      <c r="T298" s="241" t="s">
        <v>312</v>
      </c>
      <c r="U298" s="241" t="s">
        <v>24</v>
      </c>
      <c r="V298" s="241" t="s">
        <v>204</v>
      </c>
      <c r="W298" s="241" t="s">
        <v>706</v>
      </c>
      <c r="X298" s="241" t="s">
        <v>121</v>
      </c>
      <c r="Y298" s="241" t="s">
        <v>313</v>
      </c>
      <c r="Z298" s="241"/>
      <c r="AA298" s="241"/>
      <c r="AB298" s="241" t="s">
        <v>314</v>
      </c>
      <c r="AC298" s="241" t="s">
        <v>1779</v>
      </c>
      <c r="AD298" s="245">
        <v>35846</v>
      </c>
      <c r="AE298" s="241">
        <f t="shared" ca="1" si="35"/>
        <v>27</v>
      </c>
      <c r="AF298" s="246" t="s">
        <v>3683</v>
      </c>
      <c r="AG298" s="241" t="s">
        <v>3684</v>
      </c>
      <c r="AH298" s="240" t="s">
        <v>3685</v>
      </c>
      <c r="AI298" s="240"/>
      <c r="AJ298" s="240"/>
      <c r="AK298" s="241" t="s">
        <v>3686</v>
      </c>
      <c r="AL298" s="246" t="s">
        <v>3687</v>
      </c>
      <c r="AM298" s="246">
        <v>23156731293</v>
      </c>
      <c r="AN298" s="241" t="s">
        <v>4716</v>
      </c>
      <c r="AO298" s="241"/>
      <c r="AP298" s="241"/>
      <c r="AQ298" s="241"/>
      <c r="AR298" s="241"/>
      <c r="AS298" s="241"/>
      <c r="AT298" s="241" t="s">
        <v>306</v>
      </c>
      <c r="AU298" s="241" t="s">
        <v>306</v>
      </c>
      <c r="AV298" s="241" t="s">
        <v>306</v>
      </c>
      <c r="AW298" s="241" t="s">
        <v>306</v>
      </c>
      <c r="AX298" s="241">
        <f t="shared" si="36"/>
        <v>0</v>
      </c>
      <c r="AY298" s="241" t="str">
        <f t="shared" si="37"/>
        <v>TK/0</v>
      </c>
      <c r="AZ298" s="241"/>
      <c r="BA298" s="237"/>
      <c r="BB298" s="241" t="s">
        <v>161</v>
      </c>
      <c r="BC298" s="241" t="s">
        <v>349</v>
      </c>
      <c r="BD298" s="241" t="s">
        <v>6779</v>
      </c>
      <c r="BE298" s="241" t="s">
        <v>3688</v>
      </c>
      <c r="BF298" s="241">
        <v>2017</v>
      </c>
      <c r="BG298" s="241" t="s">
        <v>349</v>
      </c>
      <c r="BH298" s="241" t="s">
        <v>6779</v>
      </c>
      <c r="BI298" s="241" t="s">
        <v>3688</v>
      </c>
      <c r="BJ298" s="241">
        <v>2017</v>
      </c>
      <c r="BK298" s="247"/>
      <c r="BL298" s="247"/>
      <c r="BM298" s="241"/>
      <c r="BN298" s="241"/>
      <c r="BO298" s="241"/>
      <c r="BP298" s="244"/>
      <c r="BQ298" s="244"/>
      <c r="BR298" s="244"/>
      <c r="BS298" s="244"/>
      <c r="BT298" s="241"/>
      <c r="BU298" s="241"/>
      <c r="BV298" s="241"/>
      <c r="BW298" s="241"/>
      <c r="BX298" s="241"/>
      <c r="BY298" s="241"/>
      <c r="BZ298" s="241"/>
      <c r="CA298" s="241"/>
      <c r="CB298" s="241"/>
      <c r="CC298" s="241"/>
      <c r="CD298" s="241"/>
      <c r="CE298" s="241" t="e">
        <f>VLOOKUP(D298,[1]Sertifikasi!$B$4:$I$19,8,0)</f>
        <v>#N/A</v>
      </c>
      <c r="CF298" s="13"/>
      <c r="CG298" s="13"/>
      <c r="CH298" s="13"/>
    </row>
    <row r="299" spans="1:86" ht="11.25" customHeight="1" x14ac:dyDescent="0.2">
      <c r="A299" s="13"/>
      <c r="B299" s="238">
        <v>295</v>
      </c>
      <c r="C299" s="241" t="e">
        <f t="shared" ca="1" si="39"/>
        <v>#NUM!</v>
      </c>
      <c r="D299" s="237" t="s">
        <v>3689</v>
      </c>
      <c r="E299" s="239">
        <v>642307136</v>
      </c>
      <c r="F299" s="237">
        <v>1800013074564</v>
      </c>
      <c r="G299" s="240"/>
      <c r="H299" s="241" t="s">
        <v>217</v>
      </c>
      <c r="I299" s="241" t="s">
        <v>3690</v>
      </c>
      <c r="J299" s="242">
        <v>45204</v>
      </c>
      <c r="K299" s="241"/>
      <c r="L299" s="241"/>
      <c r="M299" s="241" t="str">
        <f t="shared" si="38"/>
        <v>PKWT</v>
      </c>
      <c r="N299" s="241" t="s">
        <v>187</v>
      </c>
      <c r="O299" s="241"/>
      <c r="P299" s="243">
        <v>45569</v>
      </c>
      <c r="Q299" s="241"/>
      <c r="R299" s="241" t="s">
        <v>206</v>
      </c>
      <c r="S299" s="241" t="s">
        <v>6863</v>
      </c>
      <c r="T299" s="241" t="s">
        <v>312</v>
      </c>
      <c r="U299" s="241" t="s">
        <v>33</v>
      </c>
      <c r="V299" s="241" t="s">
        <v>7135</v>
      </c>
      <c r="W299" s="241" t="s">
        <v>51</v>
      </c>
      <c r="X299" s="241" t="s">
        <v>121</v>
      </c>
      <c r="Y299" s="241" t="s">
        <v>313</v>
      </c>
      <c r="Z299" s="241"/>
      <c r="AA299" s="241"/>
      <c r="AB299" s="241" t="s">
        <v>314</v>
      </c>
      <c r="AC299" s="241" t="s">
        <v>867</v>
      </c>
      <c r="AD299" s="245">
        <v>36301</v>
      </c>
      <c r="AE299" s="241">
        <f t="shared" ca="1" si="35"/>
        <v>26</v>
      </c>
      <c r="AF299" s="246" t="s">
        <v>3691</v>
      </c>
      <c r="AG299" s="241" t="s">
        <v>3692</v>
      </c>
      <c r="AH299" s="240" t="s">
        <v>3693</v>
      </c>
      <c r="AI299" s="240"/>
      <c r="AJ299" s="240"/>
      <c r="AK299" s="241" t="s">
        <v>3694</v>
      </c>
      <c r="AL299" s="246" t="s">
        <v>3695</v>
      </c>
      <c r="AM299" s="246">
        <v>23156731285</v>
      </c>
      <c r="AN299" s="241" t="s">
        <v>4716</v>
      </c>
      <c r="AO299" s="241"/>
      <c r="AP299" s="241"/>
      <c r="AQ299" s="241"/>
      <c r="AR299" s="241"/>
      <c r="AS299" s="241"/>
      <c r="AT299" s="241" t="s">
        <v>306</v>
      </c>
      <c r="AU299" s="241" t="s">
        <v>306</v>
      </c>
      <c r="AV299" s="241" t="s">
        <v>306</v>
      </c>
      <c r="AW299" s="241" t="s">
        <v>306</v>
      </c>
      <c r="AX299" s="241">
        <f t="shared" si="36"/>
        <v>0</v>
      </c>
      <c r="AY299" s="241" t="str">
        <f t="shared" si="37"/>
        <v>TK/0</v>
      </c>
      <c r="AZ299" s="241"/>
      <c r="BA299" s="237"/>
      <c r="BB299" s="241" t="s">
        <v>161</v>
      </c>
      <c r="BC299" s="241" t="s">
        <v>349</v>
      </c>
      <c r="BD299" s="241" t="s">
        <v>91</v>
      </c>
      <c r="BE299" s="241" t="s">
        <v>3696</v>
      </c>
      <c r="BF299" s="241"/>
      <c r="BG299" s="241" t="s">
        <v>349</v>
      </c>
      <c r="BH299" s="241" t="s">
        <v>91</v>
      </c>
      <c r="BI299" s="241" t="s">
        <v>3696</v>
      </c>
      <c r="BJ299" s="241"/>
      <c r="BK299" s="247"/>
      <c r="BL299" s="247"/>
      <c r="BM299" s="241"/>
      <c r="BN299" s="241"/>
      <c r="BO299" s="241"/>
      <c r="BP299" s="244"/>
      <c r="BQ299" s="244"/>
      <c r="BR299" s="244"/>
      <c r="BS299" s="244"/>
      <c r="BT299" s="241"/>
      <c r="BU299" s="241"/>
      <c r="BV299" s="241"/>
      <c r="BW299" s="241"/>
      <c r="BX299" s="241"/>
      <c r="BY299" s="241"/>
      <c r="BZ299" s="241"/>
      <c r="CA299" s="241"/>
      <c r="CB299" s="241"/>
      <c r="CC299" s="241"/>
      <c r="CD299" s="241"/>
      <c r="CE299" s="241" t="e">
        <f>VLOOKUP(D299,[1]Sertifikasi!$B$4:$I$19,8,0)</f>
        <v>#N/A</v>
      </c>
      <c r="CF299" s="13"/>
      <c r="CG299" s="13"/>
      <c r="CH299" s="13"/>
    </row>
    <row r="300" spans="1:86" ht="11.25" customHeight="1" x14ac:dyDescent="0.2">
      <c r="A300" s="13"/>
      <c r="B300" s="238">
        <v>296</v>
      </c>
      <c r="C300" s="241" t="e">
        <f t="shared" ca="1" si="39"/>
        <v>#NUM!</v>
      </c>
      <c r="D300" s="237" t="s">
        <v>3697</v>
      </c>
      <c r="E300" s="239">
        <v>642307127</v>
      </c>
      <c r="F300" s="237">
        <v>1800013047933</v>
      </c>
      <c r="G300" s="240"/>
      <c r="H300" s="241" t="s">
        <v>217</v>
      </c>
      <c r="I300" s="241" t="s">
        <v>2687</v>
      </c>
      <c r="J300" s="242">
        <v>45204</v>
      </c>
      <c r="K300" s="241"/>
      <c r="L300" s="241"/>
      <c r="M300" s="241" t="str">
        <f t="shared" si="38"/>
        <v>PKWT</v>
      </c>
      <c r="N300" s="241" t="s">
        <v>187</v>
      </c>
      <c r="O300" s="241"/>
      <c r="P300" s="243">
        <v>45657</v>
      </c>
      <c r="Q300" s="241"/>
      <c r="R300" s="241" t="s">
        <v>206</v>
      </c>
      <c r="S300" s="241" t="s">
        <v>6863</v>
      </c>
      <c r="T300" s="241" t="s">
        <v>312</v>
      </c>
      <c r="U300" s="241" t="s">
        <v>24</v>
      </c>
      <c r="V300" s="241" t="s">
        <v>204</v>
      </c>
      <c r="W300" s="241" t="s">
        <v>706</v>
      </c>
      <c r="X300" s="241" t="s">
        <v>121</v>
      </c>
      <c r="Y300" s="241" t="s">
        <v>313</v>
      </c>
      <c r="Z300" s="241" t="s">
        <v>462</v>
      </c>
      <c r="AA300" s="241"/>
      <c r="AB300" s="241" t="s">
        <v>314</v>
      </c>
      <c r="AC300" s="241" t="s">
        <v>2687</v>
      </c>
      <c r="AD300" s="245">
        <v>37170</v>
      </c>
      <c r="AE300" s="241">
        <f t="shared" ca="1" si="35"/>
        <v>23</v>
      </c>
      <c r="AF300" s="246" t="s">
        <v>3698</v>
      </c>
      <c r="AG300" s="241" t="s">
        <v>3699</v>
      </c>
      <c r="AH300" s="240" t="s">
        <v>3700</v>
      </c>
      <c r="AI300" s="240"/>
      <c r="AJ300" s="240"/>
      <c r="AK300" s="241" t="s">
        <v>3701</v>
      </c>
      <c r="AL300" s="246" t="s">
        <v>3702</v>
      </c>
      <c r="AM300" s="246">
        <v>23156731319</v>
      </c>
      <c r="AN300" s="241" t="s">
        <v>4716</v>
      </c>
      <c r="AO300" s="241"/>
      <c r="AP300" s="241"/>
      <c r="AQ300" s="241"/>
      <c r="AR300" s="241"/>
      <c r="AS300" s="241"/>
      <c r="AT300" s="241" t="s">
        <v>306</v>
      </c>
      <c r="AU300" s="241" t="s">
        <v>306</v>
      </c>
      <c r="AV300" s="241" t="s">
        <v>306</v>
      </c>
      <c r="AW300" s="241" t="s">
        <v>306</v>
      </c>
      <c r="AX300" s="241">
        <f t="shared" si="36"/>
        <v>0</v>
      </c>
      <c r="AY300" s="241" t="str">
        <f t="shared" si="37"/>
        <v>TK/0</v>
      </c>
      <c r="AZ300" s="241"/>
      <c r="BA300" s="237"/>
      <c r="BB300" s="241" t="s">
        <v>161</v>
      </c>
      <c r="BC300" s="241" t="s">
        <v>70</v>
      </c>
      <c r="BD300" s="241" t="s">
        <v>99</v>
      </c>
      <c r="BE300" s="241" t="s">
        <v>100</v>
      </c>
      <c r="BF300" s="241">
        <v>2023</v>
      </c>
      <c r="BG300" s="241" t="s">
        <v>70</v>
      </c>
      <c r="BH300" s="241" t="s">
        <v>99</v>
      </c>
      <c r="BI300" s="241" t="s">
        <v>100</v>
      </c>
      <c r="BJ300" s="241">
        <v>2023</v>
      </c>
      <c r="BK300" s="247"/>
      <c r="BL300" s="247"/>
      <c r="BM300" s="241"/>
      <c r="BN300" s="241"/>
      <c r="BO300" s="241"/>
      <c r="BP300" s="244"/>
      <c r="BQ300" s="244"/>
      <c r="BR300" s="244"/>
      <c r="BS300" s="244"/>
      <c r="BT300" s="241"/>
      <c r="BU300" s="241"/>
      <c r="BV300" s="241"/>
      <c r="BW300" s="241"/>
      <c r="BX300" s="241"/>
      <c r="BY300" s="241"/>
      <c r="BZ300" s="241"/>
      <c r="CA300" s="241"/>
      <c r="CB300" s="241"/>
      <c r="CC300" s="241"/>
      <c r="CD300" s="241"/>
      <c r="CE300" s="241" t="e">
        <f>VLOOKUP(D300,[1]Sertifikasi!$B$4:$I$19,8,0)</f>
        <v>#N/A</v>
      </c>
      <c r="CF300" s="13"/>
      <c r="CG300" s="13"/>
      <c r="CH300" s="13"/>
    </row>
    <row r="301" spans="1:86" ht="11.25" customHeight="1" x14ac:dyDescent="0.2">
      <c r="A301" s="13"/>
      <c r="B301" s="238">
        <v>297</v>
      </c>
      <c r="C301" s="241" t="e">
        <f t="shared" ca="1" si="39"/>
        <v>#NUM!</v>
      </c>
      <c r="D301" s="237" t="s">
        <v>3703</v>
      </c>
      <c r="E301" s="239">
        <v>642307125</v>
      </c>
      <c r="F301" s="237"/>
      <c r="G301" s="240">
        <v>7252451368</v>
      </c>
      <c r="H301" s="241" t="s">
        <v>217</v>
      </c>
      <c r="I301" s="241" t="s">
        <v>3704</v>
      </c>
      <c r="J301" s="242">
        <v>45204</v>
      </c>
      <c r="K301" s="241"/>
      <c r="L301" s="241"/>
      <c r="M301" s="241" t="str">
        <f t="shared" si="38"/>
        <v>PKWT</v>
      </c>
      <c r="N301" s="241" t="s">
        <v>187</v>
      </c>
      <c r="O301" s="241"/>
      <c r="P301" s="243">
        <v>45657</v>
      </c>
      <c r="Q301" s="241"/>
      <c r="R301" s="241" t="s">
        <v>206</v>
      </c>
      <c r="S301" s="241" t="s">
        <v>6863</v>
      </c>
      <c r="T301" s="241" t="s">
        <v>312</v>
      </c>
      <c r="U301" s="241" t="s">
        <v>24</v>
      </c>
      <c r="V301" s="241" t="s">
        <v>204</v>
      </c>
      <c r="W301" s="241" t="s">
        <v>706</v>
      </c>
      <c r="X301" s="241" t="s">
        <v>121</v>
      </c>
      <c r="Y301" s="241" t="s">
        <v>313</v>
      </c>
      <c r="Z301" s="241" t="s">
        <v>462</v>
      </c>
      <c r="AA301" s="241"/>
      <c r="AB301" s="241" t="s">
        <v>314</v>
      </c>
      <c r="AC301" s="241" t="s">
        <v>3704</v>
      </c>
      <c r="AD301" s="245">
        <v>35956</v>
      </c>
      <c r="AE301" s="241">
        <f t="shared" ca="1" si="35"/>
        <v>27</v>
      </c>
      <c r="AF301" s="246" t="s">
        <v>3705</v>
      </c>
      <c r="AG301" s="241" t="s">
        <v>3706</v>
      </c>
      <c r="AH301" s="240" t="s">
        <v>3707</v>
      </c>
      <c r="AI301" s="240"/>
      <c r="AJ301" s="240"/>
      <c r="AK301" s="241" t="s">
        <v>3708</v>
      </c>
      <c r="AL301" s="246" t="s">
        <v>3709</v>
      </c>
      <c r="AM301" s="246">
        <v>23156731335</v>
      </c>
      <c r="AN301" s="241" t="s">
        <v>4716</v>
      </c>
      <c r="AO301" s="241"/>
      <c r="AP301" s="241"/>
      <c r="AQ301" s="241"/>
      <c r="AR301" s="241"/>
      <c r="AS301" s="241"/>
      <c r="AT301" s="241" t="s">
        <v>306</v>
      </c>
      <c r="AU301" s="241" t="s">
        <v>306</v>
      </c>
      <c r="AV301" s="241" t="s">
        <v>306</v>
      </c>
      <c r="AW301" s="241" t="s">
        <v>306</v>
      </c>
      <c r="AX301" s="241">
        <f t="shared" si="36"/>
        <v>0</v>
      </c>
      <c r="AY301" s="241" t="str">
        <f t="shared" si="37"/>
        <v>TK/0</v>
      </c>
      <c r="AZ301" s="241"/>
      <c r="BA301" s="237"/>
      <c r="BB301" s="241" t="s">
        <v>161</v>
      </c>
      <c r="BC301" s="241" t="s">
        <v>70</v>
      </c>
      <c r="BD301" s="241" t="s">
        <v>99</v>
      </c>
      <c r="BE301" s="241" t="s">
        <v>100</v>
      </c>
      <c r="BF301" s="241">
        <v>2021</v>
      </c>
      <c r="BG301" s="241" t="s">
        <v>70</v>
      </c>
      <c r="BH301" s="241" t="s">
        <v>99</v>
      </c>
      <c r="BI301" s="241" t="s">
        <v>100</v>
      </c>
      <c r="BJ301" s="241">
        <v>2021</v>
      </c>
      <c r="BK301" s="247"/>
      <c r="BL301" s="247"/>
      <c r="BM301" s="241"/>
      <c r="BN301" s="241"/>
      <c r="BO301" s="241"/>
      <c r="BP301" s="244"/>
      <c r="BQ301" s="244"/>
      <c r="BR301" s="244"/>
      <c r="BS301" s="244"/>
      <c r="BT301" s="241"/>
      <c r="BU301" s="241"/>
      <c r="BV301" s="241"/>
      <c r="BW301" s="241"/>
      <c r="BX301" s="241"/>
      <c r="BY301" s="241"/>
      <c r="BZ301" s="241"/>
      <c r="CA301" s="241"/>
      <c r="CB301" s="241"/>
      <c r="CC301" s="241"/>
      <c r="CD301" s="241"/>
      <c r="CE301" s="241" t="e">
        <f>VLOOKUP(D301,[1]Sertifikasi!$B$4:$I$19,8,0)</f>
        <v>#N/A</v>
      </c>
      <c r="CF301" s="13"/>
      <c r="CG301" s="13"/>
      <c r="CH301" s="13"/>
    </row>
    <row r="302" spans="1:86" ht="11.25" customHeight="1" x14ac:dyDescent="0.2">
      <c r="A302" s="13"/>
      <c r="B302" s="238">
        <v>298</v>
      </c>
      <c r="C302" s="241" t="e">
        <f t="shared" ca="1" si="39"/>
        <v>#NUM!</v>
      </c>
      <c r="D302" s="237" t="s">
        <v>3710</v>
      </c>
      <c r="E302" s="239">
        <v>642307128</v>
      </c>
      <c r="F302" s="237">
        <v>1560021516259</v>
      </c>
      <c r="G302" s="240"/>
      <c r="H302" s="241" t="s">
        <v>217</v>
      </c>
      <c r="I302" s="241" t="s">
        <v>3711</v>
      </c>
      <c r="J302" s="242">
        <v>45204</v>
      </c>
      <c r="K302" s="241"/>
      <c r="L302" s="241"/>
      <c r="M302" s="241" t="str">
        <f t="shared" ref="M302:M333" si="40">IF(LEFT(E302,2)="99","ORGANIK INKA",IF(LEFT(E302,2)="97","ORGANIK IMSS",IF(LEFT(E302,2)="75","Capeg",IF(LEFT(E302,2)="64","PKWT","Resign"))))</f>
        <v>PKWT</v>
      </c>
      <c r="N302" s="241" t="s">
        <v>187</v>
      </c>
      <c r="O302" s="241"/>
      <c r="P302" s="243">
        <v>45657</v>
      </c>
      <c r="Q302" s="241"/>
      <c r="R302" s="241" t="s">
        <v>206</v>
      </c>
      <c r="S302" s="241" t="s">
        <v>6863</v>
      </c>
      <c r="T302" s="241" t="s">
        <v>312</v>
      </c>
      <c r="U302" s="241" t="s">
        <v>24</v>
      </c>
      <c r="V302" s="241" t="s">
        <v>204</v>
      </c>
      <c r="W302" s="241" t="s">
        <v>706</v>
      </c>
      <c r="X302" s="241" t="s">
        <v>121</v>
      </c>
      <c r="Y302" s="241" t="s">
        <v>313</v>
      </c>
      <c r="Z302" s="241" t="s">
        <v>462</v>
      </c>
      <c r="AA302" s="241"/>
      <c r="AB302" s="241" t="s">
        <v>314</v>
      </c>
      <c r="AC302" s="241" t="s">
        <v>3711</v>
      </c>
      <c r="AD302" s="245">
        <v>37438</v>
      </c>
      <c r="AE302" s="241">
        <f t="shared" ca="1" si="35"/>
        <v>23</v>
      </c>
      <c r="AF302" s="246" t="s">
        <v>3712</v>
      </c>
      <c r="AG302" s="241" t="s">
        <v>3713</v>
      </c>
      <c r="AH302" s="240" t="s">
        <v>3714</v>
      </c>
      <c r="AI302" s="240"/>
      <c r="AJ302" s="240"/>
      <c r="AK302" s="241" t="s">
        <v>3715</v>
      </c>
      <c r="AL302" s="246" t="s">
        <v>3716</v>
      </c>
      <c r="AM302" s="246">
        <v>23156731269</v>
      </c>
      <c r="AN302" s="241" t="s">
        <v>4716</v>
      </c>
      <c r="AO302" s="241"/>
      <c r="AP302" s="241"/>
      <c r="AQ302" s="241"/>
      <c r="AR302" s="241"/>
      <c r="AS302" s="241"/>
      <c r="AT302" s="241" t="s">
        <v>306</v>
      </c>
      <c r="AU302" s="241" t="s">
        <v>306</v>
      </c>
      <c r="AV302" s="241" t="s">
        <v>306</v>
      </c>
      <c r="AW302" s="241" t="s">
        <v>306</v>
      </c>
      <c r="AX302" s="241">
        <f t="shared" si="36"/>
        <v>0</v>
      </c>
      <c r="AY302" s="241" t="str">
        <f t="shared" si="37"/>
        <v>TK/0</v>
      </c>
      <c r="AZ302" s="241"/>
      <c r="BA302" s="237"/>
      <c r="BB302" s="241" t="s">
        <v>161</v>
      </c>
      <c r="BC302" s="241" t="s">
        <v>70</v>
      </c>
      <c r="BD302" s="241" t="s">
        <v>99</v>
      </c>
      <c r="BE302" s="241" t="s">
        <v>100</v>
      </c>
      <c r="BF302" s="241">
        <v>2023</v>
      </c>
      <c r="BG302" s="241" t="s">
        <v>70</v>
      </c>
      <c r="BH302" s="241" t="s">
        <v>99</v>
      </c>
      <c r="BI302" s="241" t="s">
        <v>100</v>
      </c>
      <c r="BJ302" s="241">
        <v>2023</v>
      </c>
      <c r="BK302" s="247"/>
      <c r="BL302" s="247"/>
      <c r="BM302" s="241"/>
      <c r="BN302" s="241"/>
      <c r="BO302" s="241"/>
      <c r="BP302" s="244"/>
      <c r="BQ302" s="244"/>
      <c r="BR302" s="244"/>
      <c r="BS302" s="244"/>
      <c r="BT302" s="241"/>
      <c r="BU302" s="241"/>
      <c r="BV302" s="241"/>
      <c r="BW302" s="241"/>
      <c r="BX302" s="241"/>
      <c r="BY302" s="241"/>
      <c r="BZ302" s="241"/>
      <c r="CA302" s="241"/>
      <c r="CB302" s="241"/>
      <c r="CC302" s="241"/>
      <c r="CD302" s="241"/>
      <c r="CE302" s="241" t="e">
        <f>VLOOKUP(D302,[1]Sertifikasi!$B$4:$I$19,8,0)</f>
        <v>#N/A</v>
      </c>
      <c r="CF302" s="13"/>
      <c r="CG302" s="13"/>
      <c r="CH302" s="13"/>
    </row>
    <row r="303" spans="1:86" ht="11.25" customHeight="1" x14ac:dyDescent="0.2">
      <c r="A303" s="13"/>
      <c r="B303" s="238">
        <v>299</v>
      </c>
      <c r="C303" s="241" t="e">
        <f t="shared" ca="1" si="39"/>
        <v>#NUM!</v>
      </c>
      <c r="D303" s="237" t="s">
        <v>3717</v>
      </c>
      <c r="E303" s="239">
        <v>642307130</v>
      </c>
      <c r="F303" s="237">
        <v>1560021505617</v>
      </c>
      <c r="G303" s="240"/>
      <c r="H303" s="241" t="s">
        <v>217</v>
      </c>
      <c r="I303" s="241" t="s">
        <v>2377</v>
      </c>
      <c r="J303" s="242">
        <v>45204</v>
      </c>
      <c r="K303" s="241"/>
      <c r="L303" s="241"/>
      <c r="M303" s="241" t="str">
        <f t="shared" si="40"/>
        <v>PKWT</v>
      </c>
      <c r="N303" s="241" t="s">
        <v>187</v>
      </c>
      <c r="O303" s="241"/>
      <c r="P303" s="243">
        <v>45657</v>
      </c>
      <c r="Q303" s="241"/>
      <c r="R303" s="241" t="s">
        <v>206</v>
      </c>
      <c r="S303" s="241" t="s">
        <v>6863</v>
      </c>
      <c r="T303" s="241" t="s">
        <v>312</v>
      </c>
      <c r="U303" s="241" t="s">
        <v>24</v>
      </c>
      <c r="V303" s="241" t="s">
        <v>204</v>
      </c>
      <c r="W303" s="241" t="s">
        <v>706</v>
      </c>
      <c r="X303" s="241" t="s">
        <v>121</v>
      </c>
      <c r="Y303" s="241" t="s">
        <v>313</v>
      </c>
      <c r="Z303" s="241" t="s">
        <v>462</v>
      </c>
      <c r="AA303" s="241"/>
      <c r="AB303" s="241" t="s">
        <v>314</v>
      </c>
      <c r="AC303" s="241" t="s">
        <v>2377</v>
      </c>
      <c r="AD303" s="245">
        <v>37384</v>
      </c>
      <c r="AE303" s="241">
        <f t="shared" ca="1" si="35"/>
        <v>23</v>
      </c>
      <c r="AF303" s="246" t="s">
        <v>3718</v>
      </c>
      <c r="AG303" s="241" t="s">
        <v>3719</v>
      </c>
      <c r="AH303" s="240" t="s">
        <v>3720</v>
      </c>
      <c r="AI303" s="240"/>
      <c r="AJ303" s="240"/>
      <c r="AK303" s="241" t="s">
        <v>3721</v>
      </c>
      <c r="AL303" s="246" t="s">
        <v>3722</v>
      </c>
      <c r="AM303" s="246">
        <v>23156731301</v>
      </c>
      <c r="AN303" s="241" t="s">
        <v>4716</v>
      </c>
      <c r="AO303" s="241"/>
      <c r="AP303" s="241"/>
      <c r="AQ303" s="241"/>
      <c r="AR303" s="241"/>
      <c r="AS303" s="241"/>
      <c r="AT303" s="241" t="s">
        <v>306</v>
      </c>
      <c r="AU303" s="241" t="s">
        <v>306</v>
      </c>
      <c r="AV303" s="241" t="s">
        <v>306</v>
      </c>
      <c r="AW303" s="241" t="s">
        <v>306</v>
      </c>
      <c r="AX303" s="241">
        <f t="shared" si="36"/>
        <v>0</v>
      </c>
      <c r="AY303" s="241" t="str">
        <f t="shared" si="37"/>
        <v>TK/0</v>
      </c>
      <c r="AZ303" s="241"/>
      <c r="BA303" s="237"/>
      <c r="BB303" s="241" t="s">
        <v>161</v>
      </c>
      <c r="BC303" s="241" t="s">
        <v>70</v>
      </c>
      <c r="BD303" s="241" t="s">
        <v>99</v>
      </c>
      <c r="BE303" s="241" t="s">
        <v>100</v>
      </c>
      <c r="BF303" s="241">
        <v>2023</v>
      </c>
      <c r="BG303" s="241" t="s">
        <v>70</v>
      </c>
      <c r="BH303" s="241" t="s">
        <v>99</v>
      </c>
      <c r="BI303" s="241" t="s">
        <v>100</v>
      </c>
      <c r="BJ303" s="241">
        <v>2023</v>
      </c>
      <c r="BK303" s="247"/>
      <c r="BL303" s="247"/>
      <c r="BM303" s="241"/>
      <c r="BN303" s="241"/>
      <c r="BO303" s="241"/>
      <c r="BP303" s="244"/>
      <c r="BQ303" s="244"/>
      <c r="BR303" s="244"/>
      <c r="BS303" s="244"/>
      <c r="BT303" s="241"/>
      <c r="BU303" s="241"/>
      <c r="BV303" s="241"/>
      <c r="BW303" s="241"/>
      <c r="BX303" s="241"/>
      <c r="BY303" s="241"/>
      <c r="BZ303" s="241"/>
      <c r="CA303" s="241"/>
      <c r="CB303" s="241"/>
      <c r="CC303" s="241"/>
      <c r="CD303" s="241"/>
      <c r="CE303" s="241" t="e">
        <f>VLOOKUP(D303,[1]Sertifikasi!$B$4:$I$19,8,0)</f>
        <v>#N/A</v>
      </c>
      <c r="CF303" s="13"/>
      <c r="CG303" s="13"/>
      <c r="CH303" s="13"/>
    </row>
    <row r="304" spans="1:86" ht="11.25" customHeight="1" x14ac:dyDescent="0.2">
      <c r="A304" s="13"/>
      <c r="B304" s="238">
        <v>300</v>
      </c>
      <c r="C304" s="241" t="e">
        <f t="shared" ca="1" si="39"/>
        <v>#NUM!</v>
      </c>
      <c r="D304" s="237" t="s">
        <v>2727</v>
      </c>
      <c r="E304" s="239">
        <v>642311138</v>
      </c>
      <c r="F304" s="237">
        <v>1710005602191</v>
      </c>
      <c r="G304" s="240"/>
      <c r="H304" s="241" t="s">
        <v>217</v>
      </c>
      <c r="I304" s="241" t="s">
        <v>217</v>
      </c>
      <c r="J304" s="242">
        <v>45247</v>
      </c>
      <c r="K304" s="241"/>
      <c r="L304" s="241"/>
      <c r="M304" s="241" t="str">
        <f t="shared" si="40"/>
        <v>PKWT</v>
      </c>
      <c r="N304" s="241" t="s">
        <v>187</v>
      </c>
      <c r="O304" s="241"/>
      <c r="P304" s="243">
        <v>45657</v>
      </c>
      <c r="Q304" s="241"/>
      <c r="R304" s="241" t="s">
        <v>206</v>
      </c>
      <c r="S304" s="241" t="s">
        <v>6863</v>
      </c>
      <c r="T304" s="241" t="s">
        <v>312</v>
      </c>
      <c r="U304" s="241" t="s">
        <v>204</v>
      </c>
      <c r="V304" s="241" t="s">
        <v>208</v>
      </c>
      <c r="W304" s="241" t="s">
        <v>6908</v>
      </c>
      <c r="X304" s="241" t="s">
        <v>18</v>
      </c>
      <c r="Y304" s="241" t="s">
        <v>313</v>
      </c>
      <c r="Z304" s="241"/>
      <c r="AA304" s="241"/>
      <c r="AB304" s="241" t="s">
        <v>314</v>
      </c>
      <c r="AC304" s="241" t="s">
        <v>1511</v>
      </c>
      <c r="AD304" s="245">
        <v>36801</v>
      </c>
      <c r="AE304" s="241">
        <f t="shared" ca="1" si="35"/>
        <v>24</v>
      </c>
      <c r="AF304" s="246" t="s">
        <v>3723</v>
      </c>
      <c r="AG304" s="241" t="s">
        <v>2720</v>
      </c>
      <c r="AH304" s="240" t="s">
        <v>3724</v>
      </c>
      <c r="AI304" s="240"/>
      <c r="AJ304" s="240"/>
      <c r="AK304" s="241" t="s">
        <v>3725</v>
      </c>
      <c r="AL304" s="246" t="s">
        <v>3726</v>
      </c>
      <c r="AM304" s="246">
        <v>23206738850</v>
      </c>
      <c r="AN304" s="241" t="s">
        <v>4716</v>
      </c>
      <c r="AO304" s="241"/>
      <c r="AP304" s="241"/>
      <c r="AQ304" s="241"/>
      <c r="AR304" s="241"/>
      <c r="AS304" s="241"/>
      <c r="AT304" s="241" t="s">
        <v>306</v>
      </c>
      <c r="AU304" s="241" t="s">
        <v>306</v>
      </c>
      <c r="AV304" s="241" t="s">
        <v>306</v>
      </c>
      <c r="AW304" s="241" t="s">
        <v>306</v>
      </c>
      <c r="AX304" s="241">
        <f t="shared" si="36"/>
        <v>0</v>
      </c>
      <c r="AY304" s="241" t="str">
        <f t="shared" si="37"/>
        <v>TK/0</v>
      </c>
      <c r="AZ304" s="241"/>
      <c r="BA304" s="249"/>
      <c r="BB304" s="241" t="s">
        <v>161</v>
      </c>
      <c r="BC304" s="241" t="s">
        <v>307</v>
      </c>
      <c r="BD304" s="241" t="s">
        <v>544</v>
      </c>
      <c r="BE304" s="241" t="s">
        <v>3727</v>
      </c>
      <c r="BF304" s="241">
        <v>2019</v>
      </c>
      <c r="BG304" s="241" t="s">
        <v>307</v>
      </c>
      <c r="BH304" s="241" t="s">
        <v>544</v>
      </c>
      <c r="BI304" s="241" t="s">
        <v>3727</v>
      </c>
      <c r="BJ304" s="241">
        <v>2019</v>
      </c>
      <c r="BK304" s="241"/>
      <c r="BL304" s="241"/>
      <c r="BM304" s="241"/>
      <c r="BN304" s="241"/>
      <c r="BO304" s="241"/>
      <c r="BP304" s="241"/>
      <c r="BQ304" s="241"/>
      <c r="BR304" s="241"/>
      <c r="BS304" s="241"/>
      <c r="BT304" s="241"/>
      <c r="BU304" s="241"/>
      <c r="BV304" s="241"/>
      <c r="BW304" s="241"/>
      <c r="BX304" s="241"/>
      <c r="BY304" s="241"/>
      <c r="BZ304" s="241"/>
      <c r="CA304" s="241"/>
      <c r="CB304" s="241"/>
      <c r="CC304" s="241"/>
      <c r="CD304" s="241"/>
      <c r="CE304" s="241"/>
      <c r="CF304" s="13"/>
      <c r="CG304" s="13"/>
      <c r="CH304" s="13"/>
    </row>
    <row r="305" spans="1:86" ht="11.25" customHeight="1" x14ac:dyDescent="0.2">
      <c r="A305" s="13"/>
      <c r="B305" s="238">
        <v>301</v>
      </c>
      <c r="C305" s="241" t="e">
        <f t="shared" ca="1" si="39"/>
        <v>#NUM!</v>
      </c>
      <c r="D305" s="237" t="s">
        <v>3728</v>
      </c>
      <c r="E305" s="239">
        <v>642311137</v>
      </c>
      <c r="F305" s="237">
        <v>1460011119570</v>
      </c>
      <c r="G305" s="240"/>
      <c r="H305" s="241" t="s">
        <v>217</v>
      </c>
      <c r="I305" s="241" t="s">
        <v>217</v>
      </c>
      <c r="J305" s="242">
        <v>45247</v>
      </c>
      <c r="K305" s="241"/>
      <c r="L305" s="241"/>
      <c r="M305" s="241" t="str">
        <f t="shared" si="40"/>
        <v>PKWT</v>
      </c>
      <c r="N305" s="241" t="s">
        <v>187</v>
      </c>
      <c r="O305" s="241"/>
      <c r="P305" s="243">
        <v>45657</v>
      </c>
      <c r="Q305" s="241"/>
      <c r="R305" s="241" t="s">
        <v>206</v>
      </c>
      <c r="S305" s="241" t="s">
        <v>6863</v>
      </c>
      <c r="T305" s="241" t="s">
        <v>312</v>
      </c>
      <c r="U305" s="241" t="s">
        <v>204</v>
      </c>
      <c r="V305" s="241" t="s">
        <v>208</v>
      </c>
      <c r="W305" s="241" t="s">
        <v>6908</v>
      </c>
      <c r="X305" s="241" t="s">
        <v>18</v>
      </c>
      <c r="Y305" s="241" t="s">
        <v>313</v>
      </c>
      <c r="Z305" s="241"/>
      <c r="AA305" s="241"/>
      <c r="AB305" s="241" t="s">
        <v>314</v>
      </c>
      <c r="AC305" s="241" t="s">
        <v>217</v>
      </c>
      <c r="AD305" s="245">
        <v>36317</v>
      </c>
      <c r="AE305" s="241">
        <f t="shared" ca="1" si="35"/>
        <v>26</v>
      </c>
      <c r="AF305" s="246" t="s">
        <v>3729</v>
      </c>
      <c r="AG305" s="241" t="s">
        <v>3730</v>
      </c>
      <c r="AH305" s="240" t="s">
        <v>3731</v>
      </c>
      <c r="AI305" s="240"/>
      <c r="AJ305" s="240"/>
      <c r="AK305" s="241" t="s">
        <v>3732</v>
      </c>
      <c r="AL305" s="246" t="s">
        <v>3733</v>
      </c>
      <c r="AM305" s="246">
        <v>23206738843</v>
      </c>
      <c r="AN305" s="241" t="s">
        <v>4716</v>
      </c>
      <c r="AO305" s="241"/>
      <c r="AP305" s="241"/>
      <c r="AQ305" s="241"/>
      <c r="AR305" s="241"/>
      <c r="AS305" s="241"/>
      <c r="AT305" s="241" t="s">
        <v>306</v>
      </c>
      <c r="AU305" s="241" t="s">
        <v>306</v>
      </c>
      <c r="AV305" s="241" t="s">
        <v>306</v>
      </c>
      <c r="AW305" s="241" t="s">
        <v>306</v>
      </c>
      <c r="AX305" s="241">
        <f t="shared" si="36"/>
        <v>0</v>
      </c>
      <c r="AY305" s="241" t="str">
        <f t="shared" si="37"/>
        <v>TK/0</v>
      </c>
      <c r="AZ305" s="241"/>
      <c r="BA305" s="237"/>
      <c r="BB305" s="241" t="s">
        <v>161</v>
      </c>
      <c r="BC305" s="241" t="s">
        <v>349</v>
      </c>
      <c r="BD305" s="241" t="s">
        <v>515</v>
      </c>
      <c r="BE305" s="241" t="s">
        <v>516</v>
      </c>
      <c r="BF305" s="241">
        <v>2017</v>
      </c>
      <c r="BG305" s="241" t="s">
        <v>349</v>
      </c>
      <c r="BH305" s="241" t="s">
        <v>515</v>
      </c>
      <c r="BI305" s="241" t="s">
        <v>516</v>
      </c>
      <c r="BJ305" s="241">
        <v>2017</v>
      </c>
      <c r="BK305" s="247"/>
      <c r="BL305" s="247"/>
      <c r="BM305" s="241"/>
      <c r="BN305" s="241"/>
      <c r="BO305" s="241"/>
      <c r="BP305" s="244"/>
      <c r="BQ305" s="244"/>
      <c r="BR305" s="244"/>
      <c r="BS305" s="244"/>
      <c r="BT305" s="241"/>
      <c r="BU305" s="241"/>
      <c r="BV305" s="241"/>
      <c r="BW305" s="241"/>
      <c r="BX305" s="241"/>
      <c r="BY305" s="241"/>
      <c r="BZ305" s="241"/>
      <c r="CA305" s="241"/>
      <c r="CB305" s="241"/>
      <c r="CC305" s="241"/>
      <c r="CD305" s="241"/>
      <c r="CE305" s="241"/>
      <c r="CF305" s="13"/>
      <c r="CG305" s="13"/>
      <c r="CH305" s="13"/>
    </row>
    <row r="306" spans="1:86" ht="11.25" customHeight="1" x14ac:dyDescent="0.2">
      <c r="A306" s="13"/>
      <c r="B306" s="238">
        <v>302</v>
      </c>
      <c r="C306" s="241" t="e">
        <f t="shared" ca="1" si="39"/>
        <v>#NUM!</v>
      </c>
      <c r="D306" s="237" t="s">
        <v>3734</v>
      </c>
      <c r="E306" s="239">
        <v>642311139</v>
      </c>
      <c r="F306" s="237">
        <v>1710014518933</v>
      </c>
      <c r="G306" s="240"/>
      <c r="H306" s="241" t="s">
        <v>217</v>
      </c>
      <c r="I306" s="241" t="s">
        <v>217</v>
      </c>
      <c r="J306" s="242">
        <v>45247</v>
      </c>
      <c r="K306" s="241"/>
      <c r="L306" s="241"/>
      <c r="M306" s="241" t="str">
        <f t="shared" si="40"/>
        <v>PKWT</v>
      </c>
      <c r="N306" s="241" t="s">
        <v>187</v>
      </c>
      <c r="O306" s="241"/>
      <c r="P306" s="243">
        <v>45657</v>
      </c>
      <c r="Q306" s="241"/>
      <c r="R306" s="241" t="s">
        <v>206</v>
      </c>
      <c r="S306" s="241" t="s">
        <v>6863</v>
      </c>
      <c r="T306" s="241" t="s">
        <v>312</v>
      </c>
      <c r="U306" s="241" t="s">
        <v>204</v>
      </c>
      <c r="V306" s="241" t="s">
        <v>6012</v>
      </c>
      <c r="W306" s="241" t="s">
        <v>6908</v>
      </c>
      <c r="X306" s="241" t="s">
        <v>18</v>
      </c>
      <c r="Y306" s="241" t="s">
        <v>313</v>
      </c>
      <c r="Z306" s="241"/>
      <c r="AA306" s="241"/>
      <c r="AB306" s="241" t="s">
        <v>314</v>
      </c>
      <c r="AC306" s="241" t="s">
        <v>1533</v>
      </c>
      <c r="AD306" s="245">
        <v>35232</v>
      </c>
      <c r="AE306" s="241">
        <f t="shared" ca="1" si="35"/>
        <v>29</v>
      </c>
      <c r="AF306" s="246" t="s">
        <v>3735</v>
      </c>
      <c r="AG306" s="241" t="s">
        <v>3736</v>
      </c>
      <c r="AH306" s="240" t="s">
        <v>3737</v>
      </c>
      <c r="AI306" s="240"/>
      <c r="AJ306" s="240"/>
      <c r="AK306" s="241" t="s">
        <v>3738</v>
      </c>
      <c r="AL306" s="246" t="s">
        <v>3739</v>
      </c>
      <c r="AM306" s="246">
        <v>23206738868</v>
      </c>
      <c r="AN306" s="241" t="s">
        <v>4716</v>
      </c>
      <c r="AO306" s="241"/>
      <c r="AP306" s="241"/>
      <c r="AQ306" s="241"/>
      <c r="AR306" s="241"/>
      <c r="AS306" s="241"/>
      <c r="AT306" s="241" t="s">
        <v>306</v>
      </c>
      <c r="AU306" s="241" t="s">
        <v>306</v>
      </c>
      <c r="AV306" s="241" t="s">
        <v>306</v>
      </c>
      <c r="AW306" s="241" t="s">
        <v>306</v>
      </c>
      <c r="AX306" s="241">
        <f t="shared" si="36"/>
        <v>0</v>
      </c>
      <c r="AY306" s="241" t="str">
        <f t="shared" si="37"/>
        <v>TK/0</v>
      </c>
      <c r="AZ306" s="241"/>
      <c r="BA306" s="249"/>
      <c r="BB306" s="241" t="s">
        <v>164</v>
      </c>
      <c r="BC306" s="241" t="s">
        <v>349</v>
      </c>
      <c r="BD306" s="241" t="s">
        <v>3740</v>
      </c>
      <c r="BE306" s="241" t="s">
        <v>516</v>
      </c>
      <c r="BF306" s="241">
        <v>2015</v>
      </c>
      <c r="BG306" s="241" t="s">
        <v>349</v>
      </c>
      <c r="BH306" s="241" t="s">
        <v>3740</v>
      </c>
      <c r="BI306" s="241" t="s">
        <v>516</v>
      </c>
      <c r="BJ306" s="241">
        <v>2015</v>
      </c>
      <c r="BK306" s="241"/>
      <c r="BL306" s="241"/>
      <c r="BM306" s="241"/>
      <c r="BN306" s="241"/>
      <c r="BO306" s="241"/>
      <c r="BP306" s="241"/>
      <c r="BQ306" s="241"/>
      <c r="BR306" s="241"/>
      <c r="BS306" s="241"/>
      <c r="BT306" s="241"/>
      <c r="BU306" s="241"/>
      <c r="BV306" s="241"/>
      <c r="BW306" s="241"/>
      <c r="BX306" s="241"/>
      <c r="BY306" s="241"/>
      <c r="BZ306" s="241"/>
      <c r="CA306" s="241"/>
      <c r="CB306" s="241"/>
      <c r="CC306" s="241"/>
      <c r="CD306" s="241"/>
      <c r="CE306" s="241"/>
      <c r="CF306" s="13"/>
      <c r="CG306" s="13"/>
      <c r="CH306" s="13"/>
    </row>
    <row r="307" spans="1:86" ht="11.25" customHeight="1" x14ac:dyDescent="0.2">
      <c r="A307" s="13"/>
      <c r="B307" s="238">
        <v>303</v>
      </c>
      <c r="C307" s="285" t="s">
        <v>292</v>
      </c>
      <c r="D307" s="237" t="s">
        <v>105</v>
      </c>
      <c r="E307" s="241">
        <v>991700061</v>
      </c>
      <c r="F307" s="237">
        <v>1710002026865</v>
      </c>
      <c r="G307" s="240"/>
      <c r="H307" s="249" t="s">
        <v>204</v>
      </c>
      <c r="I307" s="241" t="s">
        <v>3741</v>
      </c>
      <c r="J307" s="242">
        <v>45261</v>
      </c>
      <c r="K307" s="241"/>
      <c r="L307" s="241"/>
      <c r="M307" s="241" t="str">
        <f t="shared" si="40"/>
        <v>ORGANIK INKA</v>
      </c>
      <c r="N307" s="241" t="s">
        <v>204</v>
      </c>
      <c r="O307" s="241" t="s">
        <v>3742</v>
      </c>
      <c r="P307" s="243">
        <v>45261</v>
      </c>
      <c r="Q307" s="240" t="s">
        <v>295</v>
      </c>
      <c r="R307" s="284" t="s">
        <v>137</v>
      </c>
      <c r="S307" s="241" t="s">
        <v>6862</v>
      </c>
      <c r="T307" s="241" t="s">
        <v>296</v>
      </c>
      <c r="U307" s="241" t="s">
        <v>187</v>
      </c>
      <c r="V307" s="241" t="s">
        <v>6996</v>
      </c>
      <c r="W307" s="241" t="s">
        <v>6996</v>
      </c>
      <c r="X307" s="241" t="s">
        <v>59</v>
      </c>
      <c r="Y307" s="241" t="s">
        <v>298</v>
      </c>
      <c r="Z307" s="241"/>
      <c r="AA307" s="241"/>
      <c r="AB307" s="241" t="s">
        <v>133</v>
      </c>
      <c r="AC307" s="241" t="s">
        <v>3741</v>
      </c>
      <c r="AD307" s="245">
        <v>34449</v>
      </c>
      <c r="AE307" s="241">
        <f t="shared" ca="1" si="35"/>
        <v>31</v>
      </c>
      <c r="AF307" s="246" t="s">
        <v>3743</v>
      </c>
      <c r="AG307" s="241" t="s">
        <v>3744</v>
      </c>
      <c r="AH307" s="240" t="s">
        <v>3745</v>
      </c>
      <c r="AI307" s="240"/>
      <c r="AJ307" s="240"/>
      <c r="AK307" s="241" t="s">
        <v>3746</v>
      </c>
      <c r="AL307" s="246" t="s">
        <v>3747</v>
      </c>
      <c r="AM307" s="246">
        <v>16033851219</v>
      </c>
      <c r="AN307" s="241" t="s">
        <v>4716</v>
      </c>
      <c r="AO307" s="241"/>
      <c r="AP307" s="241"/>
      <c r="AQ307" s="241"/>
      <c r="AR307" s="241"/>
      <c r="AS307" s="241"/>
      <c r="AT307" s="241" t="s">
        <v>306</v>
      </c>
      <c r="AU307" s="241" t="s">
        <v>306</v>
      </c>
      <c r="AV307" s="241" t="s">
        <v>306</v>
      </c>
      <c r="AW307" s="241" t="s">
        <v>306</v>
      </c>
      <c r="AX307" s="241">
        <f t="shared" si="36"/>
        <v>0</v>
      </c>
      <c r="AY307" s="241" t="str">
        <f t="shared" si="37"/>
        <v>TK/0</v>
      </c>
      <c r="AZ307" s="241"/>
      <c r="BA307" s="249"/>
      <c r="BB307" s="249" t="s">
        <v>161</v>
      </c>
      <c r="BC307" s="253" t="s">
        <v>75</v>
      </c>
      <c r="BD307" s="241" t="s">
        <v>106</v>
      </c>
      <c r="BE307" s="241" t="s">
        <v>81</v>
      </c>
      <c r="BF307" s="241">
        <v>2016</v>
      </c>
      <c r="BG307" s="241" t="s">
        <v>75</v>
      </c>
      <c r="BH307" s="241" t="s">
        <v>106</v>
      </c>
      <c r="BI307" s="241" t="s">
        <v>81</v>
      </c>
      <c r="BJ307" s="241">
        <v>2016</v>
      </c>
      <c r="BK307" s="241"/>
      <c r="BL307" s="241"/>
      <c r="BM307" s="241"/>
      <c r="BN307" s="241"/>
      <c r="BO307" s="241"/>
      <c r="BP307" s="241"/>
      <c r="BQ307" s="241"/>
      <c r="BR307" s="241"/>
      <c r="BS307" s="241"/>
      <c r="BT307" s="241"/>
      <c r="BU307" s="241"/>
      <c r="BV307" s="241"/>
      <c r="BW307" s="241"/>
      <c r="BX307" s="241"/>
      <c r="BY307" s="241"/>
      <c r="BZ307" s="241"/>
      <c r="CA307" s="241"/>
      <c r="CB307" s="241"/>
      <c r="CC307" s="241"/>
      <c r="CD307" s="241"/>
      <c r="CE307" s="241" t="e">
        <f>VLOOKUP(D307,[1]Sertifikasi!$B$4:$I$19,8,0)</f>
        <v>#N/A</v>
      </c>
      <c r="CF307" s="13"/>
      <c r="CG307" s="13"/>
      <c r="CH307" s="13"/>
    </row>
    <row r="308" spans="1:86" ht="11.25" customHeight="1" x14ac:dyDescent="0.2">
      <c r="A308" s="13"/>
      <c r="B308" s="238">
        <v>304</v>
      </c>
      <c r="C308" s="241" t="e">
        <f t="shared" ref="C308:C339" ca="1" si="41">DATEDIF($E$3,P308,"D")</f>
        <v>#NUM!</v>
      </c>
      <c r="D308" s="237" t="s">
        <v>3748</v>
      </c>
      <c r="E308" s="239">
        <v>642312150</v>
      </c>
      <c r="F308" s="237">
        <v>1660004943932</v>
      </c>
      <c r="G308" s="240"/>
      <c r="H308" s="241" t="s">
        <v>24</v>
      </c>
      <c r="I308" s="241" t="s">
        <v>24</v>
      </c>
      <c r="J308" s="242">
        <v>45275</v>
      </c>
      <c r="K308" s="241"/>
      <c r="L308" s="241"/>
      <c r="M308" s="241" t="str">
        <f t="shared" si="40"/>
        <v>PKWT</v>
      </c>
      <c r="N308" s="241" t="s">
        <v>187</v>
      </c>
      <c r="O308" s="241"/>
      <c r="P308" s="243">
        <v>45838</v>
      </c>
      <c r="Q308" s="241"/>
      <c r="R308" s="241" t="s">
        <v>206</v>
      </c>
      <c r="S308" s="241" t="s">
        <v>6863</v>
      </c>
      <c r="T308" s="241" t="s">
        <v>312</v>
      </c>
      <c r="U308" s="241" t="s">
        <v>24</v>
      </c>
      <c r="V308" s="241" t="s">
        <v>204</v>
      </c>
      <c r="W308" s="241" t="s">
        <v>629</v>
      </c>
      <c r="X308" s="241" t="s">
        <v>121</v>
      </c>
      <c r="Y308" s="241" t="s">
        <v>313</v>
      </c>
      <c r="Z308" s="241"/>
      <c r="AA308" s="241"/>
      <c r="AB308" s="241" t="s">
        <v>132</v>
      </c>
      <c r="AC308" s="241" t="s">
        <v>24</v>
      </c>
      <c r="AD308" s="245">
        <v>38350</v>
      </c>
      <c r="AE308" s="241">
        <f t="shared" ca="1" si="35"/>
        <v>20</v>
      </c>
      <c r="AF308" s="246" t="s">
        <v>3749</v>
      </c>
      <c r="AG308" s="241" t="s">
        <v>3750</v>
      </c>
      <c r="AH308" s="240" t="s">
        <v>3751</v>
      </c>
      <c r="AI308" s="240"/>
      <c r="AJ308" s="240"/>
      <c r="AK308" s="250" t="s">
        <v>3752</v>
      </c>
      <c r="AL308" s="246" t="s">
        <v>3753</v>
      </c>
      <c r="AM308" s="246">
        <v>24009885484</v>
      </c>
      <c r="AN308" s="241" t="s">
        <v>4716</v>
      </c>
      <c r="AO308" s="241"/>
      <c r="AP308" s="241"/>
      <c r="AQ308" s="241"/>
      <c r="AR308" s="241"/>
      <c r="AS308" s="241"/>
      <c r="AT308" s="241" t="s">
        <v>306</v>
      </c>
      <c r="AU308" s="241" t="s">
        <v>306</v>
      </c>
      <c r="AV308" s="241" t="s">
        <v>306</v>
      </c>
      <c r="AW308" s="241" t="s">
        <v>306</v>
      </c>
      <c r="AX308" s="241">
        <f t="shared" si="36"/>
        <v>0</v>
      </c>
      <c r="AY308" s="241" t="str">
        <f t="shared" si="37"/>
        <v>TK/0</v>
      </c>
      <c r="AZ308" s="241"/>
      <c r="BA308" s="249"/>
      <c r="BB308" s="241" t="s">
        <v>161</v>
      </c>
      <c r="BC308" s="241" t="s">
        <v>349</v>
      </c>
      <c r="BD308" s="241" t="s">
        <v>3754</v>
      </c>
      <c r="BE308" s="241" t="s">
        <v>3755</v>
      </c>
      <c r="BF308" s="241"/>
      <c r="BG308" s="241" t="s">
        <v>349</v>
      </c>
      <c r="BH308" s="241" t="s">
        <v>3754</v>
      </c>
      <c r="BI308" s="241" t="s">
        <v>3755</v>
      </c>
      <c r="BJ308" s="241"/>
      <c r="BK308" s="241"/>
      <c r="BL308" s="241"/>
      <c r="BM308" s="241"/>
      <c r="BN308" s="241"/>
      <c r="BO308" s="241"/>
      <c r="BP308" s="241"/>
      <c r="BQ308" s="241"/>
      <c r="BR308" s="241"/>
      <c r="BS308" s="241"/>
      <c r="BT308" s="241"/>
      <c r="BU308" s="241"/>
      <c r="BV308" s="241"/>
      <c r="BW308" s="241"/>
      <c r="BX308" s="241"/>
      <c r="BY308" s="241"/>
      <c r="BZ308" s="241"/>
      <c r="CA308" s="241"/>
      <c r="CB308" s="241"/>
      <c r="CC308" s="241"/>
      <c r="CD308" s="241"/>
      <c r="CE308" s="241"/>
      <c r="CF308" s="13"/>
      <c r="CG308" s="13"/>
      <c r="CH308" s="13"/>
    </row>
    <row r="309" spans="1:86" ht="11.25" customHeight="1" x14ac:dyDescent="0.2">
      <c r="A309" s="13"/>
      <c r="B309" s="238">
        <v>305</v>
      </c>
      <c r="C309" s="241" t="e">
        <f t="shared" ca="1" si="41"/>
        <v>#NUM!</v>
      </c>
      <c r="D309" s="237" t="s">
        <v>3756</v>
      </c>
      <c r="E309" s="239">
        <v>642312140</v>
      </c>
      <c r="F309" s="237">
        <v>1710014832276</v>
      </c>
      <c r="G309" s="240"/>
      <c r="H309" s="241" t="s">
        <v>217</v>
      </c>
      <c r="I309" s="241" t="s">
        <v>23</v>
      </c>
      <c r="J309" s="242">
        <v>45280</v>
      </c>
      <c r="K309" s="241"/>
      <c r="L309" s="241"/>
      <c r="M309" s="241" t="str">
        <f t="shared" si="40"/>
        <v>PKWT</v>
      </c>
      <c r="N309" s="241" t="s">
        <v>187</v>
      </c>
      <c r="O309" s="241"/>
      <c r="P309" s="243">
        <v>45838</v>
      </c>
      <c r="Q309" s="241"/>
      <c r="R309" s="240" t="s">
        <v>139</v>
      </c>
      <c r="S309" s="241" t="s">
        <v>6863</v>
      </c>
      <c r="T309" s="241" t="s">
        <v>296</v>
      </c>
      <c r="U309" s="241" t="s">
        <v>187</v>
      </c>
      <c r="V309" s="241" t="s">
        <v>3757</v>
      </c>
      <c r="W309" s="241" t="s">
        <v>107</v>
      </c>
      <c r="X309" s="241" t="s">
        <v>107</v>
      </c>
      <c r="Y309" s="241" t="s">
        <v>298</v>
      </c>
      <c r="Z309" s="241"/>
      <c r="AA309" s="241"/>
      <c r="AB309" s="241" t="s">
        <v>314</v>
      </c>
      <c r="AC309" s="241" t="s">
        <v>23</v>
      </c>
      <c r="AD309" s="245">
        <v>36769</v>
      </c>
      <c r="AE309" s="241">
        <f t="shared" ca="1" si="35"/>
        <v>25</v>
      </c>
      <c r="AF309" s="246" t="s">
        <v>3758</v>
      </c>
      <c r="AG309" s="241" t="s">
        <v>3759</v>
      </c>
      <c r="AH309" s="240" t="s">
        <v>3760</v>
      </c>
      <c r="AI309" s="240"/>
      <c r="AJ309" s="240"/>
      <c r="AK309" s="241" t="s">
        <v>3761</v>
      </c>
      <c r="AL309" s="246" t="s">
        <v>3762</v>
      </c>
      <c r="AM309" s="246">
        <v>24009885138</v>
      </c>
      <c r="AN309" s="241" t="s">
        <v>4716</v>
      </c>
      <c r="AO309" s="241"/>
      <c r="AP309" s="241"/>
      <c r="AQ309" s="241"/>
      <c r="AR309" s="241"/>
      <c r="AS309" s="241"/>
      <c r="AT309" s="241" t="s">
        <v>3763</v>
      </c>
      <c r="AU309" s="241" t="s">
        <v>3764</v>
      </c>
      <c r="AV309" s="241" t="s">
        <v>306</v>
      </c>
      <c r="AW309" s="241" t="s">
        <v>306</v>
      </c>
      <c r="AX309" s="241">
        <f t="shared" si="36"/>
        <v>0</v>
      </c>
      <c r="AY309" s="241" t="str">
        <f t="shared" si="37"/>
        <v>TK/0</v>
      </c>
      <c r="AZ309" s="241" t="s">
        <v>3765</v>
      </c>
      <c r="BA309" s="249" t="s">
        <v>3765</v>
      </c>
      <c r="BB309" s="241" t="s">
        <v>161</v>
      </c>
      <c r="BC309" s="241" t="s">
        <v>75</v>
      </c>
      <c r="BD309" s="241" t="s">
        <v>80</v>
      </c>
      <c r="BE309" s="241" t="s">
        <v>114</v>
      </c>
      <c r="BF309" s="241">
        <v>2023</v>
      </c>
      <c r="BG309" s="241" t="s">
        <v>75</v>
      </c>
      <c r="BH309" s="241" t="s">
        <v>80</v>
      </c>
      <c r="BI309" s="241" t="s">
        <v>114</v>
      </c>
      <c r="BJ309" s="241">
        <v>2023</v>
      </c>
      <c r="BK309" s="241"/>
      <c r="BL309" s="241"/>
      <c r="BM309" s="241"/>
      <c r="BN309" s="241"/>
      <c r="BO309" s="241"/>
      <c r="BP309" s="241"/>
      <c r="BQ309" s="241"/>
      <c r="BR309" s="241"/>
      <c r="BS309" s="241"/>
      <c r="BT309" s="241"/>
      <c r="BU309" s="241"/>
      <c r="BV309" s="241"/>
      <c r="BW309" s="241"/>
      <c r="BX309" s="241"/>
      <c r="BY309" s="241"/>
      <c r="BZ309" s="241"/>
      <c r="CA309" s="241"/>
      <c r="CB309" s="241"/>
      <c r="CC309" s="241"/>
      <c r="CD309" s="241"/>
      <c r="CE309" s="241"/>
      <c r="CF309" s="13"/>
      <c r="CG309" s="13"/>
      <c r="CH309" s="13"/>
    </row>
    <row r="310" spans="1:86" ht="11.25" customHeight="1" x14ac:dyDescent="0.2">
      <c r="A310" s="13"/>
      <c r="B310" s="238">
        <v>306</v>
      </c>
      <c r="C310" s="241" t="e">
        <f t="shared" ca="1" si="41"/>
        <v>#NUM!</v>
      </c>
      <c r="D310" s="237" t="s">
        <v>3766</v>
      </c>
      <c r="E310" s="239">
        <v>642312141</v>
      </c>
      <c r="F310" s="237">
        <v>1710014832193</v>
      </c>
      <c r="G310" s="240"/>
      <c r="H310" s="241" t="s">
        <v>217</v>
      </c>
      <c r="I310" s="241" t="s">
        <v>315</v>
      </c>
      <c r="J310" s="242">
        <v>45280</v>
      </c>
      <c r="K310" s="241"/>
      <c r="L310" s="241"/>
      <c r="M310" s="241" t="str">
        <f t="shared" si="40"/>
        <v>PKWT</v>
      </c>
      <c r="N310" s="241" t="s">
        <v>187</v>
      </c>
      <c r="O310" s="241"/>
      <c r="P310" s="243">
        <v>45838</v>
      </c>
      <c r="Q310" s="241"/>
      <c r="R310" s="240" t="s">
        <v>139</v>
      </c>
      <c r="S310" s="241" t="s">
        <v>6863</v>
      </c>
      <c r="T310" s="241" t="s">
        <v>296</v>
      </c>
      <c r="U310" s="241" t="s">
        <v>187</v>
      </c>
      <c r="V310" s="241" t="s">
        <v>2827</v>
      </c>
      <c r="W310" s="241" t="s">
        <v>119</v>
      </c>
      <c r="X310" s="241" t="s">
        <v>120</v>
      </c>
      <c r="Y310" s="241" t="s">
        <v>313</v>
      </c>
      <c r="Z310" s="241"/>
      <c r="AA310" s="241"/>
      <c r="AB310" s="241" t="s">
        <v>314</v>
      </c>
      <c r="AC310" s="241" t="s">
        <v>315</v>
      </c>
      <c r="AD310" s="245">
        <v>35539</v>
      </c>
      <c r="AE310" s="241">
        <f t="shared" ca="1" si="35"/>
        <v>28</v>
      </c>
      <c r="AF310" s="246" t="s">
        <v>3767</v>
      </c>
      <c r="AG310" s="241" t="s">
        <v>3768</v>
      </c>
      <c r="AH310" s="240" t="s">
        <v>3769</v>
      </c>
      <c r="AI310" s="240"/>
      <c r="AJ310" s="240"/>
      <c r="AK310" s="241" t="s">
        <v>3770</v>
      </c>
      <c r="AL310" s="246" t="s">
        <v>3771</v>
      </c>
      <c r="AM310" s="246">
        <v>24009885120</v>
      </c>
      <c r="AN310" s="241" t="s">
        <v>4716</v>
      </c>
      <c r="AO310" s="241"/>
      <c r="AP310" s="241"/>
      <c r="AQ310" s="241"/>
      <c r="AR310" s="241"/>
      <c r="AS310" s="241"/>
      <c r="AT310" s="241" t="s">
        <v>306</v>
      </c>
      <c r="AU310" s="241" t="s">
        <v>306</v>
      </c>
      <c r="AV310" s="241" t="s">
        <v>306</v>
      </c>
      <c r="AW310" s="241" t="s">
        <v>306</v>
      </c>
      <c r="AX310" s="241">
        <f t="shared" si="36"/>
        <v>0</v>
      </c>
      <c r="AY310" s="241" t="str">
        <f t="shared" si="37"/>
        <v>TK/0</v>
      </c>
      <c r="AZ310" s="241"/>
      <c r="BA310" s="249"/>
      <c r="BB310" s="241" t="s">
        <v>161</v>
      </c>
      <c r="BC310" s="241" t="s">
        <v>75</v>
      </c>
      <c r="BD310" s="241" t="s">
        <v>3680</v>
      </c>
      <c r="BE310" s="241" t="s">
        <v>81</v>
      </c>
      <c r="BF310" s="241">
        <v>2021</v>
      </c>
      <c r="BG310" s="241" t="s">
        <v>75</v>
      </c>
      <c r="BH310" s="241" t="s">
        <v>3680</v>
      </c>
      <c r="BI310" s="241" t="s">
        <v>81</v>
      </c>
      <c r="BJ310" s="241">
        <v>2021</v>
      </c>
      <c r="BK310" s="241"/>
      <c r="BL310" s="241"/>
      <c r="BM310" s="241"/>
      <c r="BN310" s="241"/>
      <c r="BO310" s="241"/>
      <c r="BP310" s="241"/>
      <c r="BQ310" s="241"/>
      <c r="BR310" s="241"/>
      <c r="BS310" s="241"/>
      <c r="BT310" s="241"/>
      <c r="BU310" s="241"/>
      <c r="BV310" s="241"/>
      <c r="BW310" s="241"/>
      <c r="BX310" s="241"/>
      <c r="BY310" s="241"/>
      <c r="BZ310" s="241"/>
      <c r="CA310" s="241"/>
      <c r="CB310" s="241"/>
      <c r="CC310" s="241"/>
      <c r="CD310" s="241"/>
      <c r="CE310" s="241"/>
      <c r="CF310" s="13"/>
      <c r="CG310" s="13"/>
      <c r="CH310" s="13"/>
    </row>
    <row r="311" spans="1:86" ht="11.25" customHeight="1" x14ac:dyDescent="0.2">
      <c r="A311" s="13"/>
      <c r="B311" s="238">
        <v>307</v>
      </c>
      <c r="C311" s="241" t="e">
        <f t="shared" ca="1" si="41"/>
        <v>#NUM!</v>
      </c>
      <c r="D311" s="237" t="s">
        <v>108</v>
      </c>
      <c r="E311" s="239">
        <v>642312142</v>
      </c>
      <c r="F311" s="237">
        <v>1710014832235</v>
      </c>
      <c r="G311" s="240"/>
      <c r="H311" s="241" t="s">
        <v>217</v>
      </c>
      <c r="I311" s="241" t="s">
        <v>432</v>
      </c>
      <c r="J311" s="242">
        <v>45280</v>
      </c>
      <c r="K311" s="241"/>
      <c r="L311" s="241"/>
      <c r="M311" s="241" t="str">
        <f t="shared" si="40"/>
        <v>PKWT</v>
      </c>
      <c r="N311" s="241" t="s">
        <v>187</v>
      </c>
      <c r="O311" s="241"/>
      <c r="P311" s="243">
        <v>45838</v>
      </c>
      <c r="Q311" s="241"/>
      <c r="R311" s="240" t="s">
        <v>139</v>
      </c>
      <c r="S311" s="241" t="s">
        <v>6863</v>
      </c>
      <c r="T311" s="241" t="s">
        <v>296</v>
      </c>
      <c r="U311" s="241" t="s">
        <v>187</v>
      </c>
      <c r="V311" s="241" t="s">
        <v>6909</v>
      </c>
      <c r="W311" s="241" t="s">
        <v>6909</v>
      </c>
      <c r="X311" s="241" t="s">
        <v>59</v>
      </c>
      <c r="Y311" s="241" t="s">
        <v>298</v>
      </c>
      <c r="Z311" s="241"/>
      <c r="AA311" s="241"/>
      <c r="AB311" s="241" t="s">
        <v>314</v>
      </c>
      <c r="AC311" s="241" t="s">
        <v>432</v>
      </c>
      <c r="AD311" s="245">
        <v>33838</v>
      </c>
      <c r="AE311" s="241">
        <f t="shared" ca="1" si="35"/>
        <v>33</v>
      </c>
      <c r="AF311" s="246" t="s">
        <v>3772</v>
      </c>
      <c r="AG311" s="241" t="s">
        <v>3773</v>
      </c>
      <c r="AH311" s="240" t="s">
        <v>3774</v>
      </c>
      <c r="AI311" s="240"/>
      <c r="AJ311" s="240"/>
      <c r="AK311" s="241" t="s">
        <v>3775</v>
      </c>
      <c r="AL311" s="246" t="s">
        <v>3776</v>
      </c>
      <c r="AM311" s="246">
        <v>24009885179</v>
      </c>
      <c r="AN311" s="241" t="s">
        <v>4716</v>
      </c>
      <c r="AO311" s="241"/>
      <c r="AP311" s="241"/>
      <c r="AQ311" s="241"/>
      <c r="AR311" s="241"/>
      <c r="AS311" s="241"/>
      <c r="AT311" s="241" t="s">
        <v>306</v>
      </c>
      <c r="AU311" s="241" t="s">
        <v>306</v>
      </c>
      <c r="AV311" s="241" t="s">
        <v>306</v>
      </c>
      <c r="AW311" s="241" t="s">
        <v>306</v>
      </c>
      <c r="AX311" s="241">
        <f t="shared" si="36"/>
        <v>0</v>
      </c>
      <c r="AY311" s="241" t="str">
        <f t="shared" si="37"/>
        <v>TK/0</v>
      </c>
      <c r="AZ311" s="241"/>
      <c r="BA311" s="249"/>
      <c r="BB311" s="241" t="s">
        <v>161</v>
      </c>
      <c r="BC311" s="241" t="s">
        <v>109</v>
      </c>
      <c r="BD311" s="241" t="s">
        <v>110</v>
      </c>
      <c r="BE311" s="241" t="s">
        <v>5115</v>
      </c>
      <c r="BF311" s="241">
        <v>2021</v>
      </c>
      <c r="BG311" s="241" t="s">
        <v>109</v>
      </c>
      <c r="BH311" s="241" t="s">
        <v>110</v>
      </c>
      <c r="BI311" s="241" t="s">
        <v>5115</v>
      </c>
      <c r="BJ311" s="241">
        <v>2021</v>
      </c>
      <c r="BK311" s="241"/>
      <c r="BL311" s="241"/>
      <c r="BM311" s="241"/>
      <c r="BN311" s="241"/>
      <c r="BO311" s="241"/>
      <c r="BP311" s="241"/>
      <c r="BQ311" s="241"/>
      <c r="BR311" s="241"/>
      <c r="BS311" s="241"/>
      <c r="BT311" s="241"/>
      <c r="BU311" s="241"/>
      <c r="BV311" s="241"/>
      <c r="BW311" s="241"/>
      <c r="BX311" s="241"/>
      <c r="BY311" s="241"/>
      <c r="BZ311" s="241"/>
      <c r="CA311" s="241"/>
      <c r="CB311" s="241"/>
      <c r="CC311" s="241"/>
      <c r="CD311" s="241"/>
      <c r="CE311" s="241"/>
      <c r="CF311" s="13"/>
      <c r="CG311" s="13"/>
      <c r="CH311" s="13"/>
    </row>
    <row r="312" spans="1:86" ht="11.25" customHeight="1" x14ac:dyDescent="0.2">
      <c r="A312" s="13"/>
      <c r="B312" s="238">
        <v>308</v>
      </c>
      <c r="C312" s="241" t="e">
        <f t="shared" ca="1" si="41"/>
        <v>#NUM!</v>
      </c>
      <c r="D312" s="237" t="s">
        <v>113</v>
      </c>
      <c r="E312" s="239">
        <v>642312143</v>
      </c>
      <c r="F312" s="237">
        <v>1710014832227</v>
      </c>
      <c r="G312" s="240"/>
      <c r="H312" s="241" t="s">
        <v>217</v>
      </c>
      <c r="I312" s="241" t="s">
        <v>3777</v>
      </c>
      <c r="J312" s="242">
        <v>45280</v>
      </c>
      <c r="K312" s="241"/>
      <c r="L312" s="241"/>
      <c r="M312" s="241" t="str">
        <f t="shared" si="40"/>
        <v>PKWT</v>
      </c>
      <c r="N312" s="241" t="s">
        <v>187</v>
      </c>
      <c r="O312" s="241"/>
      <c r="P312" s="243">
        <v>45838</v>
      </c>
      <c r="Q312" s="241"/>
      <c r="R312" s="240" t="s">
        <v>139</v>
      </c>
      <c r="S312" s="241" t="s">
        <v>6863</v>
      </c>
      <c r="T312" s="241" t="s">
        <v>296</v>
      </c>
      <c r="U312" s="241" t="s">
        <v>187</v>
      </c>
      <c r="V312" s="241" t="s">
        <v>6996</v>
      </c>
      <c r="W312" s="241" t="s">
        <v>6996</v>
      </c>
      <c r="X312" s="241" t="s">
        <v>59</v>
      </c>
      <c r="Y312" s="241" t="s">
        <v>298</v>
      </c>
      <c r="Z312" s="241"/>
      <c r="AA312" s="241"/>
      <c r="AB312" s="241" t="s">
        <v>314</v>
      </c>
      <c r="AC312" s="241" t="s">
        <v>3777</v>
      </c>
      <c r="AD312" s="245">
        <v>36947</v>
      </c>
      <c r="AE312" s="241">
        <f t="shared" ca="1" si="35"/>
        <v>24</v>
      </c>
      <c r="AF312" s="246" t="s">
        <v>3778</v>
      </c>
      <c r="AG312" s="241" t="s">
        <v>3779</v>
      </c>
      <c r="AH312" s="240" t="s">
        <v>3780</v>
      </c>
      <c r="AI312" s="240"/>
      <c r="AJ312" s="240"/>
      <c r="AK312" s="241" t="s">
        <v>3781</v>
      </c>
      <c r="AL312" s="246" t="s">
        <v>3782</v>
      </c>
      <c r="AM312" s="246">
        <v>24009885146</v>
      </c>
      <c r="AN312" s="241" t="s">
        <v>4716</v>
      </c>
      <c r="AO312" s="241"/>
      <c r="AP312" s="241"/>
      <c r="AQ312" s="241"/>
      <c r="AR312" s="241"/>
      <c r="AS312" s="241"/>
      <c r="AT312" s="241" t="s">
        <v>3783</v>
      </c>
      <c r="AU312" s="241" t="s">
        <v>3784</v>
      </c>
      <c r="AV312" s="241" t="s">
        <v>306</v>
      </c>
      <c r="AW312" s="241" t="s">
        <v>306</v>
      </c>
      <c r="AX312" s="241">
        <f t="shared" si="36"/>
        <v>0</v>
      </c>
      <c r="AY312" s="241" t="str">
        <f t="shared" si="37"/>
        <v>TK/0</v>
      </c>
      <c r="AZ312" s="296">
        <v>610040891527000</v>
      </c>
      <c r="BA312" s="296">
        <v>610040891527000</v>
      </c>
      <c r="BB312" s="241" t="s">
        <v>161</v>
      </c>
      <c r="BC312" s="241" t="s">
        <v>75</v>
      </c>
      <c r="BD312" s="241" t="s">
        <v>83</v>
      </c>
      <c r="BE312" s="241" t="s">
        <v>114</v>
      </c>
      <c r="BF312" s="241">
        <v>2022</v>
      </c>
      <c r="BG312" s="241" t="s">
        <v>75</v>
      </c>
      <c r="BH312" s="241" t="s">
        <v>83</v>
      </c>
      <c r="BI312" s="241" t="s">
        <v>114</v>
      </c>
      <c r="BJ312" s="241">
        <v>2022</v>
      </c>
      <c r="BK312" s="241"/>
      <c r="BL312" s="241"/>
      <c r="BM312" s="241"/>
      <c r="BN312" s="241"/>
      <c r="BO312" s="241"/>
      <c r="BP312" s="241"/>
      <c r="BQ312" s="241"/>
      <c r="BR312" s="241"/>
      <c r="BS312" s="241"/>
      <c r="BT312" s="241"/>
      <c r="BU312" s="241"/>
      <c r="BV312" s="241"/>
      <c r="BW312" s="241"/>
      <c r="BX312" s="241"/>
      <c r="BY312" s="241"/>
      <c r="BZ312" s="241"/>
      <c r="CA312" s="241"/>
      <c r="CB312" s="241"/>
      <c r="CC312" s="241"/>
      <c r="CD312" s="241"/>
      <c r="CE312" s="241"/>
      <c r="CF312" s="13"/>
      <c r="CG312" s="13"/>
      <c r="CH312" s="13"/>
    </row>
    <row r="313" spans="1:86" ht="11.25" customHeight="1" x14ac:dyDescent="0.2">
      <c r="A313" s="13"/>
      <c r="B313" s="238">
        <v>309</v>
      </c>
      <c r="C313" s="241" t="e">
        <f t="shared" ca="1" si="41"/>
        <v>#NUM!</v>
      </c>
      <c r="D313" s="237" t="s">
        <v>3785</v>
      </c>
      <c r="E313" s="239">
        <v>642312144</v>
      </c>
      <c r="F313" s="237">
        <v>1710014832250</v>
      </c>
      <c r="G313" s="240"/>
      <c r="H313" s="241" t="s">
        <v>217</v>
      </c>
      <c r="I313" s="241" t="s">
        <v>32</v>
      </c>
      <c r="J313" s="242">
        <v>45280</v>
      </c>
      <c r="K313" s="241"/>
      <c r="L313" s="241"/>
      <c r="M313" s="241" t="str">
        <f t="shared" si="40"/>
        <v>PKWT</v>
      </c>
      <c r="N313" s="241" t="s">
        <v>187</v>
      </c>
      <c r="O313" s="241"/>
      <c r="P313" s="243">
        <v>45838</v>
      </c>
      <c r="Q313" s="241"/>
      <c r="R313" s="240" t="s">
        <v>139</v>
      </c>
      <c r="S313" s="241" t="s">
        <v>6863</v>
      </c>
      <c r="T313" s="241" t="s">
        <v>296</v>
      </c>
      <c r="U313" s="241" t="s">
        <v>187</v>
      </c>
      <c r="V313" s="241" t="s">
        <v>1115</v>
      </c>
      <c r="W313" s="241" t="s">
        <v>119</v>
      </c>
      <c r="X313" s="241" t="s">
        <v>120</v>
      </c>
      <c r="Y313" s="241" t="s">
        <v>313</v>
      </c>
      <c r="Z313" s="241"/>
      <c r="AA313" s="241"/>
      <c r="AB313" s="241" t="s">
        <v>314</v>
      </c>
      <c r="AC313" s="241" t="s">
        <v>32</v>
      </c>
      <c r="AD313" s="245">
        <v>35592</v>
      </c>
      <c r="AE313" s="241">
        <f t="shared" ca="1" si="35"/>
        <v>28</v>
      </c>
      <c r="AF313" s="246" t="s">
        <v>3786</v>
      </c>
      <c r="AG313" s="241" t="s">
        <v>3787</v>
      </c>
      <c r="AH313" s="240" t="s">
        <v>3788</v>
      </c>
      <c r="AI313" s="240"/>
      <c r="AJ313" s="240"/>
      <c r="AK313" s="241" t="s">
        <v>3789</v>
      </c>
      <c r="AL313" s="246" t="s">
        <v>3790</v>
      </c>
      <c r="AM313" s="246">
        <v>24009885187</v>
      </c>
      <c r="AN313" s="241" t="s">
        <v>4716</v>
      </c>
      <c r="AO313" s="241"/>
      <c r="AP313" s="241"/>
      <c r="AQ313" s="241"/>
      <c r="AR313" s="241"/>
      <c r="AS313" s="241"/>
      <c r="AT313" s="241" t="s">
        <v>3791</v>
      </c>
      <c r="AU313" s="241" t="s">
        <v>3792</v>
      </c>
      <c r="AV313" s="241" t="s">
        <v>306</v>
      </c>
      <c r="AW313" s="241" t="s">
        <v>306</v>
      </c>
      <c r="AX313" s="241">
        <f t="shared" si="36"/>
        <v>0</v>
      </c>
      <c r="AY313" s="241" t="str">
        <f t="shared" si="37"/>
        <v>TK/0</v>
      </c>
      <c r="AZ313" s="241" t="s">
        <v>3793</v>
      </c>
      <c r="BA313" s="249" t="s">
        <v>3793</v>
      </c>
      <c r="BB313" s="241" t="s">
        <v>161</v>
      </c>
      <c r="BC313" s="241" t="s">
        <v>75</v>
      </c>
      <c r="BD313" s="241" t="s">
        <v>87</v>
      </c>
      <c r="BE313" s="241" t="s">
        <v>3794</v>
      </c>
      <c r="BF313" s="241">
        <v>2023</v>
      </c>
      <c r="BG313" s="241" t="s">
        <v>75</v>
      </c>
      <c r="BH313" s="241" t="s">
        <v>87</v>
      </c>
      <c r="BI313" s="241" t="s">
        <v>3794</v>
      </c>
      <c r="BJ313" s="241">
        <v>2023</v>
      </c>
      <c r="BK313" s="241"/>
      <c r="BL313" s="241"/>
      <c r="BM313" s="241"/>
      <c r="BN313" s="241"/>
      <c r="BO313" s="241"/>
      <c r="BP313" s="241"/>
      <c r="BQ313" s="241"/>
      <c r="BR313" s="241"/>
      <c r="BS313" s="241"/>
      <c r="BT313" s="241"/>
      <c r="BU313" s="241"/>
      <c r="BV313" s="241"/>
      <c r="BW313" s="241"/>
      <c r="BX313" s="241"/>
      <c r="BY313" s="241"/>
      <c r="BZ313" s="241"/>
      <c r="CA313" s="241"/>
      <c r="CB313" s="241"/>
      <c r="CC313" s="241"/>
      <c r="CD313" s="241"/>
      <c r="CE313" s="241"/>
      <c r="CF313" s="13"/>
      <c r="CG313" s="13"/>
      <c r="CH313" s="13"/>
    </row>
    <row r="314" spans="1:86" ht="11.25" customHeight="1" x14ac:dyDescent="0.2">
      <c r="A314" s="13"/>
      <c r="B314" s="238">
        <v>310</v>
      </c>
      <c r="C314" s="241" t="e">
        <f t="shared" ca="1" si="41"/>
        <v>#NUM!</v>
      </c>
      <c r="D314" s="237" t="s">
        <v>3803</v>
      </c>
      <c r="E314" s="239">
        <v>642312146</v>
      </c>
      <c r="F314" s="237">
        <v>1710014832219</v>
      </c>
      <c r="G314" s="240"/>
      <c r="H314" s="241" t="s">
        <v>217</v>
      </c>
      <c r="I314" s="241" t="s">
        <v>1886</v>
      </c>
      <c r="J314" s="242">
        <v>45280</v>
      </c>
      <c r="K314" s="241"/>
      <c r="L314" s="241"/>
      <c r="M314" s="241" t="str">
        <f t="shared" si="40"/>
        <v>PKWT</v>
      </c>
      <c r="N314" s="241" t="s">
        <v>187</v>
      </c>
      <c r="O314" s="241"/>
      <c r="P314" s="243">
        <v>45838</v>
      </c>
      <c r="Q314" s="241"/>
      <c r="R314" s="240" t="s">
        <v>139</v>
      </c>
      <c r="S314" s="241" t="s">
        <v>6863</v>
      </c>
      <c r="T314" s="241" t="s">
        <v>296</v>
      </c>
      <c r="U314" s="241" t="s">
        <v>187</v>
      </c>
      <c r="V314" s="241" t="s">
        <v>1115</v>
      </c>
      <c r="W314" s="241" t="s">
        <v>119</v>
      </c>
      <c r="X314" s="241" t="s">
        <v>120</v>
      </c>
      <c r="Y314" s="241" t="s">
        <v>313</v>
      </c>
      <c r="Z314" s="241"/>
      <c r="AA314" s="241"/>
      <c r="AB314" s="241" t="s">
        <v>314</v>
      </c>
      <c r="AC314" s="241" t="s">
        <v>1886</v>
      </c>
      <c r="AD314" s="245">
        <v>36232</v>
      </c>
      <c r="AE314" s="241">
        <f t="shared" ca="1" si="35"/>
        <v>26</v>
      </c>
      <c r="AF314" s="246" t="s">
        <v>3804</v>
      </c>
      <c r="AG314" s="241" t="s">
        <v>3805</v>
      </c>
      <c r="AH314" s="240" t="s">
        <v>3806</v>
      </c>
      <c r="AI314" s="240"/>
      <c r="AJ314" s="240"/>
      <c r="AK314" s="241" t="s">
        <v>3807</v>
      </c>
      <c r="AL314" s="246" t="s">
        <v>3808</v>
      </c>
      <c r="AM314" s="246">
        <v>24009885104</v>
      </c>
      <c r="AN314" s="241" t="s">
        <v>4716</v>
      </c>
      <c r="AO314" s="241"/>
      <c r="AP314" s="241"/>
      <c r="AQ314" s="241"/>
      <c r="AR314" s="241"/>
      <c r="AS314" s="241"/>
      <c r="AT314" s="241" t="s">
        <v>306</v>
      </c>
      <c r="AU314" s="241" t="s">
        <v>306</v>
      </c>
      <c r="AV314" s="241" t="s">
        <v>306</v>
      </c>
      <c r="AW314" s="241" t="s">
        <v>306</v>
      </c>
      <c r="AX314" s="241">
        <f t="shared" si="36"/>
        <v>0</v>
      </c>
      <c r="AY314" s="241" t="str">
        <f t="shared" si="37"/>
        <v>TK/0</v>
      </c>
      <c r="AZ314" s="241"/>
      <c r="BA314" s="249"/>
      <c r="BB314" s="241" t="s">
        <v>161</v>
      </c>
      <c r="BC314" s="241" t="s">
        <v>75</v>
      </c>
      <c r="BD314" s="241" t="s">
        <v>87</v>
      </c>
      <c r="BE314" s="241" t="s">
        <v>3809</v>
      </c>
      <c r="BF314" s="241">
        <v>2023</v>
      </c>
      <c r="BG314" s="241" t="s">
        <v>75</v>
      </c>
      <c r="BH314" s="241" t="s">
        <v>87</v>
      </c>
      <c r="BI314" s="241" t="s">
        <v>3809</v>
      </c>
      <c r="BJ314" s="241">
        <v>2023</v>
      </c>
      <c r="BK314" s="241"/>
      <c r="BL314" s="241"/>
      <c r="BM314" s="241"/>
      <c r="BN314" s="241"/>
      <c r="BO314" s="241"/>
      <c r="BP314" s="241"/>
      <c r="BQ314" s="241"/>
      <c r="BR314" s="241"/>
      <c r="BS314" s="241"/>
      <c r="BT314" s="241"/>
      <c r="BU314" s="241"/>
      <c r="BV314" s="241"/>
      <c r="BW314" s="241"/>
      <c r="BX314" s="241"/>
      <c r="BY314" s="241"/>
      <c r="BZ314" s="241"/>
      <c r="CA314" s="241"/>
      <c r="CB314" s="241"/>
      <c r="CC314" s="241"/>
      <c r="CD314" s="241"/>
      <c r="CE314" s="241"/>
      <c r="CF314" s="13"/>
      <c r="CG314" s="13"/>
      <c r="CH314" s="13"/>
    </row>
    <row r="315" spans="1:86" ht="11.25" customHeight="1" x14ac:dyDescent="0.2">
      <c r="A315" s="13"/>
      <c r="B315" s="238">
        <v>311</v>
      </c>
      <c r="C315" s="241" t="e">
        <f t="shared" ca="1" si="41"/>
        <v>#NUM!</v>
      </c>
      <c r="D315" s="237" t="s">
        <v>3810</v>
      </c>
      <c r="E315" s="239">
        <v>642312147</v>
      </c>
      <c r="F315" s="237">
        <v>1710014832268</v>
      </c>
      <c r="G315" s="240"/>
      <c r="H315" s="241" t="s">
        <v>217</v>
      </c>
      <c r="I315" s="241" t="s">
        <v>31</v>
      </c>
      <c r="J315" s="242">
        <v>45280</v>
      </c>
      <c r="K315" s="241"/>
      <c r="L315" s="241"/>
      <c r="M315" s="241" t="str">
        <f t="shared" si="40"/>
        <v>PKWT</v>
      </c>
      <c r="N315" s="241" t="s">
        <v>187</v>
      </c>
      <c r="O315" s="241"/>
      <c r="P315" s="243">
        <v>45838</v>
      </c>
      <c r="Q315" s="241"/>
      <c r="R315" s="240" t="s">
        <v>139</v>
      </c>
      <c r="S315" s="241" t="s">
        <v>6863</v>
      </c>
      <c r="T315" s="241" t="s">
        <v>296</v>
      </c>
      <c r="U315" s="241" t="s">
        <v>187</v>
      </c>
      <c r="V315" s="241" t="s">
        <v>3811</v>
      </c>
      <c r="W315" s="241" t="s">
        <v>3811</v>
      </c>
      <c r="X315" s="241" t="s">
        <v>6903</v>
      </c>
      <c r="Y315" s="241" t="s">
        <v>1064</v>
      </c>
      <c r="Z315" s="241"/>
      <c r="AA315" s="241"/>
      <c r="AB315" s="241" t="s">
        <v>314</v>
      </c>
      <c r="AC315" s="241" t="s">
        <v>31</v>
      </c>
      <c r="AD315" s="245">
        <v>36359</v>
      </c>
      <c r="AE315" s="241">
        <f t="shared" ca="1" si="35"/>
        <v>26</v>
      </c>
      <c r="AF315" s="246" t="s">
        <v>3812</v>
      </c>
      <c r="AG315" s="241" t="s">
        <v>3813</v>
      </c>
      <c r="AH315" s="240" t="s">
        <v>3814</v>
      </c>
      <c r="AI315" s="240"/>
      <c r="AJ315" s="240"/>
      <c r="AK315" s="241" t="s">
        <v>3815</v>
      </c>
      <c r="AL315" s="246" t="s">
        <v>3816</v>
      </c>
      <c r="AM315" s="246">
        <v>24036556264</v>
      </c>
      <c r="AN315" s="241" t="s">
        <v>4716</v>
      </c>
      <c r="AO315" s="241"/>
      <c r="AP315" s="241"/>
      <c r="AQ315" s="241"/>
      <c r="AR315" s="241"/>
      <c r="AS315" s="241"/>
      <c r="AT315" s="241" t="s">
        <v>306</v>
      </c>
      <c r="AU315" s="241" t="s">
        <v>306</v>
      </c>
      <c r="AV315" s="241" t="s">
        <v>306</v>
      </c>
      <c r="AW315" s="241" t="s">
        <v>306</v>
      </c>
      <c r="AX315" s="241">
        <f t="shared" si="36"/>
        <v>0</v>
      </c>
      <c r="AY315" s="241" t="str">
        <f t="shared" si="37"/>
        <v>TK/0</v>
      </c>
      <c r="AZ315" s="241" t="s">
        <v>3817</v>
      </c>
      <c r="BA315" s="249" t="s">
        <v>3817</v>
      </c>
      <c r="BB315" s="241" t="s">
        <v>161</v>
      </c>
      <c r="BC315" s="241" t="s">
        <v>75</v>
      </c>
      <c r="BD315" s="241" t="s">
        <v>1925</v>
      </c>
      <c r="BE315" s="241" t="s">
        <v>402</v>
      </c>
      <c r="BF315" s="241"/>
      <c r="BG315" s="241" t="s">
        <v>75</v>
      </c>
      <c r="BH315" s="241" t="s">
        <v>1925</v>
      </c>
      <c r="BI315" s="241" t="s">
        <v>402</v>
      </c>
      <c r="BJ315" s="241"/>
      <c r="BK315" s="241"/>
      <c r="BL315" s="241"/>
      <c r="BM315" s="241"/>
      <c r="BN315" s="241"/>
      <c r="BO315" s="241"/>
      <c r="BP315" s="241"/>
      <c r="BQ315" s="241"/>
      <c r="BR315" s="241"/>
      <c r="BS315" s="241"/>
      <c r="BT315" s="241"/>
      <c r="BU315" s="241"/>
      <c r="BV315" s="241"/>
      <c r="BW315" s="241"/>
      <c r="BX315" s="241"/>
      <c r="BY315" s="241"/>
      <c r="BZ315" s="241"/>
      <c r="CA315" s="241"/>
      <c r="CB315" s="241"/>
      <c r="CC315" s="241"/>
      <c r="CD315" s="241"/>
      <c r="CE315" s="241"/>
      <c r="CF315" s="13"/>
      <c r="CG315" s="13"/>
      <c r="CH315" s="13"/>
    </row>
    <row r="316" spans="1:86" ht="11.25" customHeight="1" x14ac:dyDescent="0.2">
      <c r="A316" s="13"/>
      <c r="B316" s="238">
        <v>312</v>
      </c>
      <c r="C316" s="241" t="e">
        <f t="shared" ca="1" si="41"/>
        <v>#NUM!</v>
      </c>
      <c r="D316" s="237" t="s">
        <v>3818</v>
      </c>
      <c r="E316" s="239">
        <v>642312148</v>
      </c>
      <c r="F316" s="237">
        <v>1710014832201</v>
      </c>
      <c r="G316" s="240"/>
      <c r="H316" s="241" t="s">
        <v>217</v>
      </c>
      <c r="I316" s="241" t="s">
        <v>217</v>
      </c>
      <c r="J316" s="242">
        <v>45280</v>
      </c>
      <c r="K316" s="241"/>
      <c r="L316" s="241"/>
      <c r="M316" s="241" t="str">
        <f t="shared" si="40"/>
        <v>PKWT</v>
      </c>
      <c r="N316" s="241" t="s">
        <v>187</v>
      </c>
      <c r="O316" s="241"/>
      <c r="P316" s="243">
        <v>45838</v>
      </c>
      <c r="Q316" s="241"/>
      <c r="R316" s="240" t="s">
        <v>139</v>
      </c>
      <c r="S316" s="241" t="s">
        <v>6863</v>
      </c>
      <c r="T316" s="241" t="s">
        <v>296</v>
      </c>
      <c r="U316" s="241" t="s">
        <v>187</v>
      </c>
      <c r="V316" s="241" t="s">
        <v>43</v>
      </c>
      <c r="W316" s="241" t="s">
        <v>43</v>
      </c>
      <c r="X316" s="241" t="s">
        <v>6116</v>
      </c>
      <c r="Y316" s="241" t="s">
        <v>1064</v>
      </c>
      <c r="Z316" s="241"/>
      <c r="AA316" s="241"/>
      <c r="AB316" s="241" t="s">
        <v>133</v>
      </c>
      <c r="AC316" s="241" t="s">
        <v>217</v>
      </c>
      <c r="AD316" s="245">
        <v>35318</v>
      </c>
      <c r="AE316" s="241">
        <f t="shared" ca="1" si="35"/>
        <v>29</v>
      </c>
      <c r="AF316" s="246" t="s">
        <v>3819</v>
      </c>
      <c r="AG316" s="241" t="s">
        <v>3820</v>
      </c>
      <c r="AH316" s="240" t="s">
        <v>3821</v>
      </c>
      <c r="AI316" s="240"/>
      <c r="AJ316" s="240"/>
      <c r="AK316" s="241" t="s">
        <v>3822</v>
      </c>
      <c r="AL316" s="246" t="s">
        <v>3823</v>
      </c>
      <c r="AM316" s="246">
        <v>24036556249</v>
      </c>
      <c r="AN316" s="241" t="s">
        <v>4716</v>
      </c>
      <c r="AO316" s="241"/>
      <c r="AP316" s="241"/>
      <c r="AQ316" s="241"/>
      <c r="AR316" s="241"/>
      <c r="AS316" s="241"/>
      <c r="AT316" s="241" t="s">
        <v>306</v>
      </c>
      <c r="AU316" s="241" t="s">
        <v>306</v>
      </c>
      <c r="AV316" s="241" t="s">
        <v>306</v>
      </c>
      <c r="AW316" s="241" t="s">
        <v>306</v>
      </c>
      <c r="AX316" s="241">
        <f t="shared" si="36"/>
        <v>0</v>
      </c>
      <c r="AY316" s="241" t="str">
        <f t="shared" si="37"/>
        <v>TK/0</v>
      </c>
      <c r="AZ316" s="241"/>
      <c r="BA316" s="249"/>
      <c r="BB316" s="241" t="s">
        <v>161</v>
      </c>
      <c r="BC316" s="241" t="s">
        <v>75</v>
      </c>
      <c r="BD316" s="241" t="s">
        <v>43</v>
      </c>
      <c r="BE316" s="241" t="s">
        <v>81</v>
      </c>
      <c r="BF316" s="241">
        <v>2018</v>
      </c>
      <c r="BG316" s="241" t="s">
        <v>75</v>
      </c>
      <c r="BH316" s="241" t="s">
        <v>43</v>
      </c>
      <c r="BI316" s="241" t="s">
        <v>81</v>
      </c>
      <c r="BJ316" s="241">
        <v>2018</v>
      </c>
      <c r="BK316" s="241"/>
      <c r="BL316" s="241"/>
      <c r="BM316" s="241"/>
      <c r="BN316" s="241"/>
      <c r="BO316" s="241"/>
      <c r="BP316" s="241"/>
      <c r="BQ316" s="241"/>
      <c r="BR316" s="241"/>
      <c r="BS316" s="241"/>
      <c r="BT316" s="241"/>
      <c r="BU316" s="241"/>
      <c r="BV316" s="241"/>
      <c r="BW316" s="241"/>
      <c r="BX316" s="241"/>
      <c r="BY316" s="241"/>
      <c r="BZ316" s="241"/>
      <c r="CA316" s="241"/>
      <c r="CB316" s="241"/>
      <c r="CC316" s="241"/>
      <c r="CD316" s="241"/>
      <c r="CE316" s="241"/>
      <c r="CF316" s="13"/>
      <c r="CG316" s="13"/>
      <c r="CH316" s="13"/>
    </row>
    <row r="317" spans="1:86" ht="11.25" customHeight="1" x14ac:dyDescent="0.2">
      <c r="A317" s="13"/>
      <c r="B317" s="238">
        <v>313</v>
      </c>
      <c r="C317" s="241" t="e">
        <f t="shared" ca="1" si="41"/>
        <v>#NUM!</v>
      </c>
      <c r="D317" s="237" t="s">
        <v>3824</v>
      </c>
      <c r="E317" s="239">
        <v>642312149</v>
      </c>
      <c r="F317" s="237">
        <v>1710012742618</v>
      </c>
      <c r="G317" s="240"/>
      <c r="H317" s="241" t="s">
        <v>217</v>
      </c>
      <c r="I317" s="241" t="s">
        <v>217</v>
      </c>
      <c r="J317" s="242">
        <v>45280</v>
      </c>
      <c r="K317" s="241"/>
      <c r="L317" s="241"/>
      <c r="M317" s="241" t="str">
        <f t="shared" si="40"/>
        <v>PKWT</v>
      </c>
      <c r="N317" s="241" t="s">
        <v>187</v>
      </c>
      <c r="O317" s="241"/>
      <c r="P317" s="243">
        <v>45838</v>
      </c>
      <c r="Q317" s="241"/>
      <c r="R317" s="240" t="s">
        <v>139</v>
      </c>
      <c r="S317" s="241" t="s">
        <v>6863</v>
      </c>
      <c r="T317" s="241" t="s">
        <v>296</v>
      </c>
      <c r="U317" s="241" t="s">
        <v>187</v>
      </c>
      <c r="V317" s="241" t="s">
        <v>1150</v>
      </c>
      <c r="W317" s="241" t="s">
        <v>1150</v>
      </c>
      <c r="X317" s="241" t="s">
        <v>6903</v>
      </c>
      <c r="Y317" s="241" t="s">
        <v>1064</v>
      </c>
      <c r="Z317" s="241"/>
      <c r="AA317" s="241"/>
      <c r="AB317" s="241" t="s">
        <v>133</v>
      </c>
      <c r="AC317" s="241" t="s">
        <v>217</v>
      </c>
      <c r="AD317" s="245">
        <v>36670</v>
      </c>
      <c r="AE317" s="241">
        <f t="shared" ca="1" si="35"/>
        <v>25</v>
      </c>
      <c r="AF317" s="246" t="s">
        <v>3825</v>
      </c>
      <c r="AG317" s="241" t="s">
        <v>3826</v>
      </c>
      <c r="AH317" s="240" t="s">
        <v>3827</v>
      </c>
      <c r="AI317" s="240"/>
      <c r="AJ317" s="240"/>
      <c r="AK317" s="241" t="s">
        <v>3828</v>
      </c>
      <c r="AL317" s="246" t="s">
        <v>3829</v>
      </c>
      <c r="AM317" s="246">
        <v>24009885153</v>
      </c>
      <c r="AN317" s="241" t="s">
        <v>4716</v>
      </c>
      <c r="AO317" s="241"/>
      <c r="AP317" s="241"/>
      <c r="AQ317" s="241"/>
      <c r="AR317" s="241"/>
      <c r="AS317" s="241"/>
      <c r="AT317" s="241" t="s">
        <v>306</v>
      </c>
      <c r="AU317" s="241" t="s">
        <v>3830</v>
      </c>
      <c r="AV317" s="241" t="s">
        <v>306</v>
      </c>
      <c r="AW317" s="241" t="s">
        <v>306</v>
      </c>
      <c r="AX317" s="241">
        <f t="shared" si="36"/>
        <v>0</v>
      </c>
      <c r="AY317" s="241" t="str">
        <f t="shared" si="37"/>
        <v>TK/0</v>
      </c>
      <c r="AZ317" s="241" t="s">
        <v>3831</v>
      </c>
      <c r="BA317" s="249" t="s">
        <v>3831</v>
      </c>
      <c r="BB317" s="241" t="s">
        <v>161</v>
      </c>
      <c r="BC317" s="241" t="s">
        <v>75</v>
      </c>
      <c r="BD317" s="241" t="s">
        <v>106</v>
      </c>
      <c r="BE317" s="241" t="s">
        <v>1902</v>
      </c>
      <c r="BF317" s="241">
        <v>2023</v>
      </c>
      <c r="BG317" s="241" t="s">
        <v>75</v>
      </c>
      <c r="BH317" s="241" t="s">
        <v>106</v>
      </c>
      <c r="BI317" s="241" t="s">
        <v>1902</v>
      </c>
      <c r="BJ317" s="241">
        <v>2023</v>
      </c>
      <c r="BK317" s="241"/>
      <c r="BL317" s="241"/>
      <c r="BM317" s="241"/>
      <c r="BN317" s="241"/>
      <c r="BO317" s="241"/>
      <c r="BP317" s="241"/>
      <c r="BQ317" s="241"/>
      <c r="BR317" s="241"/>
      <c r="BS317" s="241"/>
      <c r="BT317" s="241"/>
      <c r="BU317" s="241"/>
      <c r="BV317" s="241"/>
      <c r="BW317" s="241"/>
      <c r="BX317" s="241"/>
      <c r="BY317" s="241"/>
      <c r="BZ317" s="241"/>
      <c r="CA317" s="241"/>
      <c r="CB317" s="241"/>
      <c r="CC317" s="241"/>
      <c r="CD317" s="241"/>
      <c r="CE317" s="241"/>
      <c r="CF317" s="13"/>
      <c r="CG317" s="13"/>
      <c r="CH317" s="13"/>
    </row>
    <row r="318" spans="1:86" ht="11.25" customHeight="1" x14ac:dyDescent="0.2">
      <c r="A318" s="13"/>
      <c r="B318" s="238">
        <v>314</v>
      </c>
      <c r="C318" s="241" t="e">
        <f t="shared" ca="1" si="41"/>
        <v>#NUM!</v>
      </c>
      <c r="D318" s="237" t="s">
        <v>3832</v>
      </c>
      <c r="E318" s="239">
        <v>642401151</v>
      </c>
      <c r="F318" s="237">
        <v>1710014724671</v>
      </c>
      <c r="G318" s="240"/>
      <c r="H318" s="241" t="s">
        <v>217</v>
      </c>
      <c r="I318" s="241" t="s">
        <v>32</v>
      </c>
      <c r="J318" s="242">
        <v>45292</v>
      </c>
      <c r="K318" s="241"/>
      <c r="L318" s="241"/>
      <c r="M318" s="241" t="str">
        <f t="shared" si="40"/>
        <v>PKWT</v>
      </c>
      <c r="N318" s="241" t="s">
        <v>187</v>
      </c>
      <c r="O318" s="241"/>
      <c r="P318" s="243">
        <v>45657</v>
      </c>
      <c r="Q318" s="241"/>
      <c r="R318" s="241" t="s">
        <v>206</v>
      </c>
      <c r="S318" s="241" t="s">
        <v>6863</v>
      </c>
      <c r="T318" s="241" t="s">
        <v>312</v>
      </c>
      <c r="U318" s="241" t="s">
        <v>32</v>
      </c>
      <c r="V318" s="241" t="s">
        <v>3833</v>
      </c>
      <c r="W318" s="241" t="s">
        <v>6911</v>
      </c>
      <c r="X318" s="241" t="s">
        <v>18</v>
      </c>
      <c r="Y318" s="241" t="s">
        <v>313</v>
      </c>
      <c r="Z318" s="241"/>
      <c r="AA318" s="241"/>
      <c r="AB318" s="241" t="s">
        <v>314</v>
      </c>
      <c r="AC318" s="241" t="s">
        <v>32</v>
      </c>
      <c r="AD318" s="245">
        <v>35091</v>
      </c>
      <c r="AE318" s="241">
        <f t="shared" ca="1" si="35"/>
        <v>29</v>
      </c>
      <c r="AF318" s="246" t="s">
        <v>3834</v>
      </c>
      <c r="AG318" s="241" t="s">
        <v>3835</v>
      </c>
      <c r="AH318" s="240" t="s">
        <v>3836</v>
      </c>
      <c r="AI318" s="240"/>
      <c r="AJ318" s="240"/>
      <c r="AK318" s="241" t="s">
        <v>3837</v>
      </c>
      <c r="AL318" s="246" t="s">
        <v>3838</v>
      </c>
      <c r="AM318" s="246">
        <v>22051869927</v>
      </c>
      <c r="AN318" s="241" t="s">
        <v>4733</v>
      </c>
      <c r="AO318" s="241" t="s">
        <v>3839</v>
      </c>
      <c r="AP318" s="241" t="s">
        <v>3840</v>
      </c>
      <c r="AQ318" s="241"/>
      <c r="AR318" s="241"/>
      <c r="AS318" s="241"/>
      <c r="AT318" s="241" t="s">
        <v>306</v>
      </c>
      <c r="AU318" s="241" t="s">
        <v>306</v>
      </c>
      <c r="AV318" s="241" t="s">
        <v>306</v>
      </c>
      <c r="AW318" s="241" t="s">
        <v>306</v>
      </c>
      <c r="AX318" s="241">
        <f t="shared" si="36"/>
        <v>1</v>
      </c>
      <c r="AY318" s="241" t="str">
        <f t="shared" si="37"/>
        <v>K/1</v>
      </c>
      <c r="AZ318" s="241"/>
      <c r="BA318" s="249"/>
      <c r="BB318" s="241" t="s">
        <v>161</v>
      </c>
      <c r="BC318" s="241" t="s">
        <v>349</v>
      </c>
      <c r="BD318" s="241" t="s">
        <v>527</v>
      </c>
      <c r="BE318" s="241" t="s">
        <v>3841</v>
      </c>
      <c r="BF318" s="241">
        <v>2014</v>
      </c>
      <c r="BG318" s="241" t="s">
        <v>349</v>
      </c>
      <c r="BH318" s="241" t="s">
        <v>527</v>
      </c>
      <c r="BI318" s="241" t="s">
        <v>3841</v>
      </c>
      <c r="BJ318" s="241">
        <v>2014</v>
      </c>
      <c r="BK318" s="241"/>
      <c r="BL318" s="241"/>
      <c r="BM318" s="241"/>
      <c r="BN318" s="241"/>
      <c r="BO318" s="241"/>
      <c r="BP318" s="241"/>
      <c r="BQ318" s="241"/>
      <c r="BR318" s="241"/>
      <c r="BS318" s="241"/>
      <c r="BT318" s="241"/>
      <c r="BU318" s="241"/>
      <c r="BV318" s="241"/>
      <c r="BW318" s="241"/>
      <c r="BX318" s="241"/>
      <c r="BY318" s="241"/>
      <c r="BZ318" s="241"/>
      <c r="CA318" s="241"/>
      <c r="CB318" s="241"/>
      <c r="CC318" s="241"/>
      <c r="CD318" s="241"/>
      <c r="CE318" s="241"/>
      <c r="CF318" s="13"/>
      <c r="CG318" s="13"/>
      <c r="CH318" s="13"/>
    </row>
    <row r="319" spans="1:86" ht="11.25" customHeight="1" x14ac:dyDescent="0.2">
      <c r="A319" s="13"/>
      <c r="B319" s="238">
        <v>315</v>
      </c>
      <c r="C319" s="241" t="e">
        <f t="shared" ca="1" si="41"/>
        <v>#NUM!</v>
      </c>
      <c r="D319" s="237" t="s">
        <v>3842</v>
      </c>
      <c r="E319" s="239">
        <v>642401152</v>
      </c>
      <c r="F319" s="237">
        <v>1710014746898</v>
      </c>
      <c r="G319" s="240"/>
      <c r="H319" s="241" t="s">
        <v>217</v>
      </c>
      <c r="I319" s="241" t="s">
        <v>315</v>
      </c>
      <c r="J319" s="242">
        <v>45292</v>
      </c>
      <c r="K319" s="241"/>
      <c r="L319" s="241"/>
      <c r="M319" s="241" t="str">
        <f t="shared" si="40"/>
        <v>PKWT</v>
      </c>
      <c r="N319" s="241" t="s">
        <v>187</v>
      </c>
      <c r="O319" s="241"/>
      <c r="P319" s="243">
        <v>45657</v>
      </c>
      <c r="Q319" s="241"/>
      <c r="R319" s="241" t="s">
        <v>206</v>
      </c>
      <c r="S319" s="241" t="s">
        <v>6863</v>
      </c>
      <c r="T319" s="241" t="s">
        <v>312</v>
      </c>
      <c r="U319" s="241" t="s">
        <v>23</v>
      </c>
      <c r="V319" s="241" t="s">
        <v>443</v>
      </c>
      <c r="W319" s="241" t="s">
        <v>51</v>
      </c>
      <c r="X319" s="241" t="s">
        <v>121</v>
      </c>
      <c r="Y319" s="241" t="s">
        <v>313</v>
      </c>
      <c r="Z319" s="241"/>
      <c r="AA319" s="241"/>
      <c r="AB319" s="241" t="s">
        <v>314</v>
      </c>
      <c r="AC319" s="241" t="s">
        <v>217</v>
      </c>
      <c r="AD319" s="245">
        <v>36560</v>
      </c>
      <c r="AE319" s="241">
        <f t="shared" ca="1" si="35"/>
        <v>25</v>
      </c>
      <c r="AF319" s="246" t="s">
        <v>3843</v>
      </c>
      <c r="AG319" s="241" t="s">
        <v>3844</v>
      </c>
      <c r="AH319" s="240" t="s">
        <v>3845</v>
      </c>
      <c r="AI319" s="240"/>
      <c r="AJ319" s="240"/>
      <c r="AK319" s="241" t="s">
        <v>3846</v>
      </c>
      <c r="AL319" s="246" t="s">
        <v>3847</v>
      </c>
      <c r="AM319" s="246">
        <v>24009885195</v>
      </c>
      <c r="AN319" s="241" t="s">
        <v>4716</v>
      </c>
      <c r="AO319" s="241"/>
      <c r="AP319" s="241"/>
      <c r="AQ319" s="241"/>
      <c r="AR319" s="241"/>
      <c r="AS319" s="241"/>
      <c r="AT319" s="241" t="s">
        <v>306</v>
      </c>
      <c r="AU319" s="241" t="s">
        <v>306</v>
      </c>
      <c r="AV319" s="241" t="s">
        <v>306</v>
      </c>
      <c r="AW319" s="241" t="s">
        <v>306</v>
      </c>
      <c r="AX319" s="241">
        <f t="shared" si="36"/>
        <v>0</v>
      </c>
      <c r="AY319" s="241" t="str">
        <f t="shared" si="37"/>
        <v>TK/0</v>
      </c>
      <c r="AZ319" s="241"/>
      <c r="BA319" s="249"/>
      <c r="BB319" s="241" t="s">
        <v>161</v>
      </c>
      <c r="BC319" s="241" t="s">
        <v>70</v>
      </c>
      <c r="BD319" s="241" t="s">
        <v>515</v>
      </c>
      <c r="BE319" s="241" t="s">
        <v>72</v>
      </c>
      <c r="BF319" s="241">
        <v>2021</v>
      </c>
      <c r="BG319" s="241" t="s">
        <v>70</v>
      </c>
      <c r="BH319" s="241" t="s">
        <v>515</v>
      </c>
      <c r="BI319" s="241" t="s">
        <v>72</v>
      </c>
      <c r="BJ319" s="241">
        <v>2021</v>
      </c>
      <c r="BK319" s="241"/>
      <c r="BL319" s="241"/>
      <c r="BM319" s="241"/>
      <c r="BN319" s="241"/>
      <c r="BO319" s="241"/>
      <c r="BP319" s="241"/>
      <c r="BQ319" s="241"/>
      <c r="BR319" s="241"/>
      <c r="BS319" s="241"/>
      <c r="BT319" s="241"/>
      <c r="BU319" s="241"/>
      <c r="BV319" s="241"/>
      <c r="BW319" s="241"/>
      <c r="BX319" s="241"/>
      <c r="BY319" s="241"/>
      <c r="BZ319" s="241"/>
      <c r="CA319" s="241"/>
      <c r="CB319" s="241"/>
      <c r="CC319" s="241"/>
      <c r="CD319" s="241"/>
      <c r="CE319" s="241"/>
      <c r="CF319" s="13"/>
      <c r="CG319" s="13"/>
      <c r="CH319" s="13"/>
    </row>
    <row r="320" spans="1:86" ht="11.25" customHeight="1" x14ac:dyDescent="0.2">
      <c r="A320" s="13"/>
      <c r="B320" s="238">
        <v>316</v>
      </c>
      <c r="C320" s="241" t="e">
        <f t="shared" ca="1" si="41"/>
        <v>#NUM!</v>
      </c>
      <c r="D320" s="237" t="s">
        <v>3854</v>
      </c>
      <c r="E320" s="239">
        <v>642401154</v>
      </c>
      <c r="F320" s="237">
        <v>1710014827987</v>
      </c>
      <c r="G320" s="240"/>
      <c r="H320" s="241" t="s">
        <v>217</v>
      </c>
      <c r="I320" s="241" t="s">
        <v>217</v>
      </c>
      <c r="J320" s="242">
        <v>45292</v>
      </c>
      <c r="K320" s="241"/>
      <c r="L320" s="241"/>
      <c r="M320" s="241" t="str">
        <f t="shared" si="40"/>
        <v>PKWT</v>
      </c>
      <c r="N320" s="241" t="s">
        <v>187</v>
      </c>
      <c r="O320" s="241"/>
      <c r="P320" s="243">
        <v>45657</v>
      </c>
      <c r="Q320" s="241"/>
      <c r="R320" s="241" t="s">
        <v>206</v>
      </c>
      <c r="S320" s="241" t="s">
        <v>6863</v>
      </c>
      <c r="T320" s="241" t="s">
        <v>312</v>
      </c>
      <c r="U320" s="241" t="s">
        <v>23</v>
      </c>
      <c r="V320" s="241" t="s">
        <v>443</v>
      </c>
      <c r="W320" s="241" t="s">
        <v>51</v>
      </c>
      <c r="X320" s="241" t="s">
        <v>121</v>
      </c>
      <c r="Y320" s="241" t="s">
        <v>313</v>
      </c>
      <c r="Z320" s="241"/>
      <c r="AA320" s="241"/>
      <c r="AB320" s="241" t="s">
        <v>314</v>
      </c>
      <c r="AC320" s="241" t="s">
        <v>217</v>
      </c>
      <c r="AD320" s="245">
        <v>37957</v>
      </c>
      <c r="AE320" s="241">
        <f t="shared" ca="1" si="35"/>
        <v>21</v>
      </c>
      <c r="AF320" s="246" t="s">
        <v>3855</v>
      </c>
      <c r="AG320" s="241" t="s">
        <v>3856</v>
      </c>
      <c r="AH320" s="240" t="s">
        <v>3857</v>
      </c>
      <c r="AI320" s="240"/>
      <c r="AJ320" s="240"/>
      <c r="AK320" s="250" t="s">
        <v>3858</v>
      </c>
      <c r="AL320" s="246" t="s">
        <v>3859</v>
      </c>
      <c r="AM320" s="246">
        <v>24009885310</v>
      </c>
      <c r="AN320" s="241" t="s">
        <v>4716</v>
      </c>
      <c r="AO320" s="241"/>
      <c r="AP320" s="241"/>
      <c r="AQ320" s="241"/>
      <c r="AR320" s="241"/>
      <c r="AS320" s="241"/>
      <c r="AT320" s="241" t="s">
        <v>306</v>
      </c>
      <c r="AU320" s="241" t="s">
        <v>306</v>
      </c>
      <c r="AV320" s="241" t="s">
        <v>306</v>
      </c>
      <c r="AW320" s="241" t="s">
        <v>306</v>
      </c>
      <c r="AX320" s="241">
        <f t="shared" si="36"/>
        <v>0</v>
      </c>
      <c r="AY320" s="241" t="str">
        <f t="shared" si="37"/>
        <v>TK/0</v>
      </c>
      <c r="AZ320" s="241"/>
      <c r="BA320" s="249"/>
      <c r="BB320" s="241" t="s">
        <v>161</v>
      </c>
      <c r="BC320" s="241" t="s">
        <v>349</v>
      </c>
      <c r="BD320" s="241" t="s">
        <v>91</v>
      </c>
      <c r="BE320" s="241" t="s">
        <v>516</v>
      </c>
      <c r="BF320" s="241">
        <v>2023</v>
      </c>
      <c r="BG320" s="241" t="s">
        <v>349</v>
      </c>
      <c r="BH320" s="241" t="s">
        <v>91</v>
      </c>
      <c r="BI320" s="241" t="s">
        <v>516</v>
      </c>
      <c r="BJ320" s="241">
        <v>2023</v>
      </c>
      <c r="BK320" s="241"/>
      <c r="BL320" s="241"/>
      <c r="BM320" s="241"/>
      <c r="BN320" s="241"/>
      <c r="BO320" s="241"/>
      <c r="BP320" s="241"/>
      <c r="BQ320" s="241"/>
      <c r="BR320" s="241"/>
      <c r="BS320" s="241"/>
      <c r="BT320" s="241"/>
      <c r="BU320" s="241"/>
      <c r="BV320" s="241"/>
      <c r="BW320" s="241"/>
      <c r="BX320" s="241"/>
      <c r="BY320" s="241"/>
      <c r="BZ320" s="241"/>
      <c r="CA320" s="241"/>
      <c r="CB320" s="241"/>
      <c r="CC320" s="241"/>
      <c r="CD320" s="241"/>
      <c r="CE320" s="241"/>
      <c r="CF320" s="13"/>
      <c r="CG320" s="13"/>
      <c r="CH320" s="13"/>
    </row>
    <row r="321" spans="1:86" ht="11.25" customHeight="1" x14ac:dyDescent="0.2">
      <c r="A321" s="13"/>
      <c r="B321" s="238">
        <v>317</v>
      </c>
      <c r="C321" s="241" t="e">
        <f t="shared" ca="1" si="41"/>
        <v>#NUM!</v>
      </c>
      <c r="D321" s="237" t="s">
        <v>3860</v>
      </c>
      <c r="E321" s="239">
        <v>642401155</v>
      </c>
      <c r="F321" s="237">
        <v>1710013892099</v>
      </c>
      <c r="G321" s="240"/>
      <c r="H321" s="241" t="s">
        <v>217</v>
      </c>
      <c r="I321" s="241" t="s">
        <v>217</v>
      </c>
      <c r="J321" s="242">
        <v>45292</v>
      </c>
      <c r="K321" s="241"/>
      <c r="L321" s="241"/>
      <c r="M321" s="241" t="str">
        <f t="shared" si="40"/>
        <v>PKWT</v>
      </c>
      <c r="N321" s="241" t="s">
        <v>187</v>
      </c>
      <c r="O321" s="241"/>
      <c r="P321" s="243">
        <v>45657</v>
      </c>
      <c r="Q321" s="241"/>
      <c r="R321" s="241" t="s">
        <v>206</v>
      </c>
      <c r="S321" s="241" t="s">
        <v>6863</v>
      </c>
      <c r="T321" s="241" t="s">
        <v>312</v>
      </c>
      <c r="U321" s="241" t="s">
        <v>204</v>
      </c>
      <c r="V321" s="241" t="s">
        <v>7150</v>
      </c>
      <c r="W321" s="241" t="s">
        <v>121</v>
      </c>
      <c r="X321" s="241" t="s">
        <v>121</v>
      </c>
      <c r="Y321" s="241" t="s">
        <v>313</v>
      </c>
      <c r="Z321" s="241"/>
      <c r="AA321" s="241"/>
      <c r="AB321" s="241" t="s">
        <v>314</v>
      </c>
      <c r="AC321" s="241" t="s">
        <v>217</v>
      </c>
      <c r="AD321" s="245">
        <v>35889</v>
      </c>
      <c r="AE321" s="241">
        <f t="shared" ca="1" si="35"/>
        <v>27</v>
      </c>
      <c r="AF321" s="246" t="s">
        <v>3861</v>
      </c>
      <c r="AG321" s="241" t="s">
        <v>3862</v>
      </c>
      <c r="AH321" s="240" t="s">
        <v>3863</v>
      </c>
      <c r="AI321" s="240"/>
      <c r="AJ321" s="240"/>
      <c r="AK321" s="241" t="s">
        <v>3864</v>
      </c>
      <c r="AL321" s="246" t="s">
        <v>3865</v>
      </c>
      <c r="AM321" s="246">
        <v>24009885575</v>
      </c>
      <c r="AN321" s="241" t="s">
        <v>4716</v>
      </c>
      <c r="AO321" s="241"/>
      <c r="AP321" s="241"/>
      <c r="AQ321" s="241"/>
      <c r="AR321" s="241"/>
      <c r="AS321" s="241"/>
      <c r="AT321" s="241" t="s">
        <v>306</v>
      </c>
      <c r="AU321" s="241" t="s">
        <v>306</v>
      </c>
      <c r="AV321" s="241" t="s">
        <v>306</v>
      </c>
      <c r="AW321" s="241" t="s">
        <v>306</v>
      </c>
      <c r="AX321" s="241">
        <f t="shared" si="36"/>
        <v>0</v>
      </c>
      <c r="AY321" s="241" t="str">
        <f t="shared" si="37"/>
        <v>TK/0</v>
      </c>
      <c r="AZ321" s="241"/>
      <c r="BA321" s="249"/>
      <c r="BB321" s="241" t="s">
        <v>161</v>
      </c>
      <c r="BC321" s="241" t="s">
        <v>349</v>
      </c>
      <c r="BD321" s="241" t="s">
        <v>1742</v>
      </c>
      <c r="BE321" s="241" t="s">
        <v>516</v>
      </c>
      <c r="BF321" s="241">
        <v>2016</v>
      </c>
      <c r="BG321" s="241" t="s">
        <v>349</v>
      </c>
      <c r="BH321" s="241" t="s">
        <v>1742</v>
      </c>
      <c r="BI321" s="241" t="s">
        <v>516</v>
      </c>
      <c r="BJ321" s="241">
        <v>2016</v>
      </c>
      <c r="BK321" s="241"/>
      <c r="BL321" s="241"/>
      <c r="BM321" s="241"/>
      <c r="BN321" s="241"/>
      <c r="BO321" s="241"/>
      <c r="BP321" s="241"/>
      <c r="BQ321" s="241"/>
      <c r="BR321" s="241"/>
      <c r="BS321" s="241"/>
      <c r="BT321" s="241"/>
      <c r="BU321" s="241"/>
      <c r="BV321" s="241"/>
      <c r="BW321" s="241"/>
      <c r="BX321" s="241"/>
      <c r="BY321" s="241"/>
      <c r="BZ321" s="241"/>
      <c r="CA321" s="241"/>
      <c r="CB321" s="241"/>
      <c r="CC321" s="241"/>
      <c r="CD321" s="241"/>
      <c r="CE321" s="241"/>
      <c r="CF321" s="13"/>
      <c r="CG321" s="13"/>
      <c r="CH321" s="13"/>
    </row>
    <row r="322" spans="1:86" ht="11.25" customHeight="1" x14ac:dyDescent="0.2">
      <c r="A322" s="13"/>
      <c r="B322" s="238">
        <v>318</v>
      </c>
      <c r="C322" s="241" t="e">
        <f t="shared" ca="1" si="41"/>
        <v>#NUM!</v>
      </c>
      <c r="D322" s="237" t="s">
        <v>3866</v>
      </c>
      <c r="E322" s="239">
        <v>642401156</v>
      </c>
      <c r="F322" s="237">
        <v>1710014832128</v>
      </c>
      <c r="G322" s="240"/>
      <c r="H322" s="241" t="s">
        <v>217</v>
      </c>
      <c r="I322" s="241" t="s">
        <v>217</v>
      </c>
      <c r="J322" s="242">
        <v>45292</v>
      </c>
      <c r="K322" s="241"/>
      <c r="L322" s="241"/>
      <c r="M322" s="241" t="str">
        <f t="shared" si="40"/>
        <v>PKWT</v>
      </c>
      <c r="N322" s="241" t="s">
        <v>187</v>
      </c>
      <c r="O322" s="241"/>
      <c r="P322" s="243">
        <v>45657</v>
      </c>
      <c r="Q322" s="241"/>
      <c r="R322" s="241" t="s">
        <v>206</v>
      </c>
      <c r="S322" s="241" t="s">
        <v>6863</v>
      </c>
      <c r="T322" s="241" t="s">
        <v>312</v>
      </c>
      <c r="U322" s="241" t="s">
        <v>204</v>
      </c>
      <c r="V322" s="321"/>
      <c r="W322" s="321"/>
      <c r="X322" s="321" t="s">
        <v>121</v>
      </c>
      <c r="Y322" s="321" t="s">
        <v>313</v>
      </c>
      <c r="Z322" s="241"/>
      <c r="AA322" s="241"/>
      <c r="AB322" s="241" t="s">
        <v>314</v>
      </c>
      <c r="AC322" s="241" t="s">
        <v>217</v>
      </c>
      <c r="AD322" s="245">
        <v>36877</v>
      </c>
      <c r="AE322" s="241">
        <f t="shared" ca="1" si="35"/>
        <v>24</v>
      </c>
      <c r="AF322" s="246" t="s">
        <v>3867</v>
      </c>
      <c r="AG322" s="241" t="s">
        <v>3868</v>
      </c>
      <c r="AH322" s="240" t="s">
        <v>3869</v>
      </c>
      <c r="AI322" s="240"/>
      <c r="AJ322" s="240"/>
      <c r="AK322" s="241" t="s">
        <v>3870</v>
      </c>
      <c r="AL322" s="246" t="s">
        <v>3871</v>
      </c>
      <c r="AM322" s="246">
        <v>24009885237</v>
      </c>
      <c r="AN322" s="241" t="s">
        <v>4716</v>
      </c>
      <c r="AO322" s="241"/>
      <c r="AP322" s="241"/>
      <c r="AQ322" s="241"/>
      <c r="AR322" s="241"/>
      <c r="AS322" s="241"/>
      <c r="AT322" s="241" t="s">
        <v>306</v>
      </c>
      <c r="AU322" s="241" t="s">
        <v>306</v>
      </c>
      <c r="AV322" s="241" t="s">
        <v>306</v>
      </c>
      <c r="AW322" s="241" t="s">
        <v>306</v>
      </c>
      <c r="AX322" s="241">
        <f t="shared" si="36"/>
        <v>0</v>
      </c>
      <c r="AY322" s="241" t="str">
        <f t="shared" si="37"/>
        <v>TK/0</v>
      </c>
      <c r="AZ322" s="241"/>
      <c r="BA322" s="249"/>
      <c r="BB322" s="241" t="s">
        <v>161</v>
      </c>
      <c r="BC322" s="241" t="s">
        <v>70</v>
      </c>
      <c r="BD322" s="241" t="s">
        <v>3527</v>
      </c>
      <c r="BE322" s="241" t="s">
        <v>100</v>
      </c>
      <c r="BF322" s="241">
        <v>2022</v>
      </c>
      <c r="BG322" s="241" t="s">
        <v>70</v>
      </c>
      <c r="BH322" s="241" t="s">
        <v>3527</v>
      </c>
      <c r="BI322" s="241" t="s">
        <v>100</v>
      </c>
      <c r="BJ322" s="241">
        <v>2022</v>
      </c>
      <c r="BK322" s="241"/>
      <c r="BL322" s="241"/>
      <c r="BM322" s="241"/>
      <c r="BN322" s="241"/>
      <c r="BO322" s="241"/>
      <c r="BP322" s="241"/>
      <c r="BQ322" s="241"/>
      <c r="BR322" s="241"/>
      <c r="BS322" s="241"/>
      <c r="BT322" s="241"/>
      <c r="BU322" s="241"/>
      <c r="BV322" s="241"/>
      <c r="BW322" s="241"/>
      <c r="BX322" s="241"/>
      <c r="BY322" s="241"/>
      <c r="BZ322" s="241"/>
      <c r="CA322" s="241"/>
      <c r="CB322" s="241"/>
      <c r="CC322" s="241"/>
      <c r="CD322" s="241"/>
      <c r="CE322" s="241"/>
      <c r="CF322" s="13"/>
      <c r="CG322" s="13"/>
      <c r="CH322" s="13"/>
    </row>
    <row r="323" spans="1:86" s="277" customFormat="1" ht="11.25" customHeight="1" x14ac:dyDescent="0.2">
      <c r="A323" s="276"/>
      <c r="B323" s="238">
        <v>319</v>
      </c>
      <c r="C323" s="241" t="e">
        <f t="shared" ca="1" si="41"/>
        <v>#NUM!</v>
      </c>
      <c r="D323" s="237" t="s">
        <v>3872</v>
      </c>
      <c r="E323" s="239">
        <v>642401157</v>
      </c>
      <c r="F323" s="237">
        <v>1710003196519</v>
      </c>
      <c r="G323" s="240"/>
      <c r="H323" s="241" t="s">
        <v>217</v>
      </c>
      <c r="I323" s="241" t="s">
        <v>311</v>
      </c>
      <c r="J323" s="242">
        <v>45292</v>
      </c>
      <c r="K323" s="241"/>
      <c r="L323" s="241"/>
      <c r="M323" s="241" t="str">
        <f t="shared" si="40"/>
        <v>PKWT</v>
      </c>
      <c r="N323" s="241" t="s">
        <v>187</v>
      </c>
      <c r="O323" s="241"/>
      <c r="P323" s="243">
        <v>45657</v>
      </c>
      <c r="Q323" s="241"/>
      <c r="R323" s="241" t="s">
        <v>206</v>
      </c>
      <c r="S323" s="241" t="s">
        <v>6863</v>
      </c>
      <c r="T323" s="241" t="s">
        <v>312</v>
      </c>
      <c r="U323" s="241" t="s">
        <v>204</v>
      </c>
      <c r="V323" s="241" t="s">
        <v>6211</v>
      </c>
      <c r="W323" s="241" t="s">
        <v>121</v>
      </c>
      <c r="X323" s="241" t="s">
        <v>121</v>
      </c>
      <c r="Y323" s="241" t="s">
        <v>313</v>
      </c>
      <c r="Z323" s="241"/>
      <c r="AA323" s="241"/>
      <c r="AB323" s="241" t="s">
        <v>314</v>
      </c>
      <c r="AC323" s="241" t="s">
        <v>311</v>
      </c>
      <c r="AD323" s="245">
        <v>36399</v>
      </c>
      <c r="AE323" s="241">
        <f t="shared" ca="1" si="35"/>
        <v>26</v>
      </c>
      <c r="AF323" s="246" t="s">
        <v>3873</v>
      </c>
      <c r="AG323" s="241" t="s">
        <v>3874</v>
      </c>
      <c r="AH323" s="240" t="s">
        <v>3875</v>
      </c>
      <c r="AI323" s="240"/>
      <c r="AJ323" s="240"/>
      <c r="AK323" s="241" t="s">
        <v>3870</v>
      </c>
      <c r="AL323" s="246" t="s">
        <v>3876</v>
      </c>
      <c r="AM323" s="246">
        <v>24009885344</v>
      </c>
      <c r="AN323" s="241" t="s">
        <v>4716</v>
      </c>
      <c r="AO323" s="241"/>
      <c r="AP323" s="241"/>
      <c r="AQ323" s="241"/>
      <c r="AR323" s="241"/>
      <c r="AS323" s="241"/>
      <c r="AT323" s="241" t="s">
        <v>306</v>
      </c>
      <c r="AU323" s="241" t="s">
        <v>306</v>
      </c>
      <c r="AV323" s="241" t="s">
        <v>306</v>
      </c>
      <c r="AW323" s="241" t="s">
        <v>306</v>
      </c>
      <c r="AX323" s="241">
        <f t="shared" si="36"/>
        <v>0</v>
      </c>
      <c r="AY323" s="241" t="str">
        <f t="shared" si="37"/>
        <v>TK/0</v>
      </c>
      <c r="AZ323" s="241"/>
      <c r="BA323" s="249"/>
      <c r="BB323" s="241" t="s">
        <v>161</v>
      </c>
      <c r="BC323" s="241" t="s">
        <v>349</v>
      </c>
      <c r="BD323" s="241" t="s">
        <v>91</v>
      </c>
      <c r="BE323" s="241" t="s">
        <v>3877</v>
      </c>
      <c r="BF323" s="241">
        <v>2017</v>
      </c>
      <c r="BG323" s="241" t="s">
        <v>349</v>
      </c>
      <c r="BH323" s="241" t="s">
        <v>91</v>
      </c>
      <c r="BI323" s="241" t="s">
        <v>3877</v>
      </c>
      <c r="BJ323" s="241">
        <v>2017</v>
      </c>
      <c r="BK323" s="241"/>
      <c r="BL323" s="241"/>
      <c r="BM323" s="241"/>
      <c r="BN323" s="241"/>
      <c r="BO323" s="241"/>
      <c r="BP323" s="241"/>
      <c r="BQ323" s="241"/>
      <c r="BR323" s="241"/>
      <c r="BS323" s="241"/>
      <c r="BT323" s="241"/>
      <c r="BU323" s="241"/>
      <c r="BV323" s="241"/>
      <c r="BW323" s="241"/>
      <c r="BX323" s="241"/>
      <c r="BY323" s="241"/>
      <c r="BZ323" s="241"/>
      <c r="CA323" s="241"/>
      <c r="CB323" s="241"/>
      <c r="CC323" s="241"/>
      <c r="CD323" s="241"/>
      <c r="CE323" s="241"/>
      <c r="CF323" s="276"/>
      <c r="CG323" s="276"/>
      <c r="CH323" s="276"/>
    </row>
    <row r="324" spans="1:86" ht="11.25" customHeight="1" x14ac:dyDescent="0.2">
      <c r="A324" s="13"/>
      <c r="B324" s="238">
        <v>320</v>
      </c>
      <c r="C324" s="241" t="e">
        <f t="shared" ca="1" si="41"/>
        <v>#NUM!</v>
      </c>
      <c r="D324" s="237" t="s">
        <v>3878</v>
      </c>
      <c r="E324" s="239">
        <v>642401158</v>
      </c>
      <c r="F324" s="237">
        <v>1710014832144</v>
      </c>
      <c r="G324" s="240"/>
      <c r="H324" s="241" t="s">
        <v>217</v>
      </c>
      <c r="I324" s="241" t="s">
        <v>217</v>
      </c>
      <c r="J324" s="242">
        <v>45292</v>
      </c>
      <c r="K324" s="241"/>
      <c r="L324" s="241"/>
      <c r="M324" s="241" t="str">
        <f t="shared" si="40"/>
        <v>PKWT</v>
      </c>
      <c r="N324" s="241" t="s">
        <v>187</v>
      </c>
      <c r="O324" s="241"/>
      <c r="P324" s="243">
        <v>45657</v>
      </c>
      <c r="Q324" s="241"/>
      <c r="R324" s="241" t="s">
        <v>206</v>
      </c>
      <c r="S324" s="241" t="s">
        <v>6863</v>
      </c>
      <c r="T324" s="241" t="s">
        <v>312</v>
      </c>
      <c r="U324" s="241" t="s">
        <v>204</v>
      </c>
      <c r="V324" s="241" t="s">
        <v>7150</v>
      </c>
      <c r="W324" s="241" t="s">
        <v>121</v>
      </c>
      <c r="X324" s="241" t="s">
        <v>121</v>
      </c>
      <c r="Y324" s="241" t="s">
        <v>313</v>
      </c>
      <c r="Z324" s="241"/>
      <c r="AA324" s="241"/>
      <c r="AB324" s="241" t="s">
        <v>314</v>
      </c>
      <c r="AC324" s="241" t="s">
        <v>217</v>
      </c>
      <c r="AD324" s="245">
        <v>37014</v>
      </c>
      <c r="AE324" s="241">
        <f t="shared" ca="1" si="35"/>
        <v>24</v>
      </c>
      <c r="AF324" s="246" t="s">
        <v>3879</v>
      </c>
      <c r="AG324" s="241" t="s">
        <v>3880</v>
      </c>
      <c r="AH324" s="240" t="s">
        <v>3881</v>
      </c>
      <c r="AI324" s="240"/>
      <c r="AJ324" s="240"/>
      <c r="AK324" s="241" t="s">
        <v>3882</v>
      </c>
      <c r="AL324" s="246" t="s">
        <v>3883</v>
      </c>
      <c r="AM324" s="246">
        <v>24009885559</v>
      </c>
      <c r="AN324" s="241" t="s">
        <v>4716</v>
      </c>
      <c r="AO324" s="241"/>
      <c r="AP324" s="241"/>
      <c r="AQ324" s="241"/>
      <c r="AR324" s="241"/>
      <c r="AS324" s="241"/>
      <c r="AT324" s="241" t="s">
        <v>306</v>
      </c>
      <c r="AU324" s="241" t="s">
        <v>306</v>
      </c>
      <c r="AV324" s="241" t="s">
        <v>306</v>
      </c>
      <c r="AW324" s="241" t="s">
        <v>306</v>
      </c>
      <c r="AX324" s="241">
        <f t="shared" si="36"/>
        <v>0</v>
      </c>
      <c r="AY324" s="241" t="str">
        <f t="shared" si="37"/>
        <v>TK/0</v>
      </c>
      <c r="AZ324" s="241"/>
      <c r="BA324" s="249"/>
      <c r="BB324" s="241" t="s">
        <v>161</v>
      </c>
      <c r="BC324" s="241" t="s">
        <v>156</v>
      </c>
      <c r="BD324" s="241" t="s">
        <v>3884</v>
      </c>
      <c r="BE324" s="241" t="s">
        <v>72</v>
      </c>
      <c r="BF324" s="241">
        <v>2023</v>
      </c>
      <c r="BG324" s="241" t="s">
        <v>156</v>
      </c>
      <c r="BH324" s="241" t="s">
        <v>3884</v>
      </c>
      <c r="BI324" s="241" t="s">
        <v>72</v>
      </c>
      <c r="BJ324" s="241">
        <v>2023</v>
      </c>
      <c r="BK324" s="241"/>
      <c r="BL324" s="241"/>
      <c r="BM324" s="241"/>
      <c r="BN324" s="241"/>
      <c r="BO324" s="241"/>
      <c r="BP324" s="241"/>
      <c r="BQ324" s="241"/>
      <c r="BR324" s="241"/>
      <c r="BS324" s="241"/>
      <c r="BT324" s="241"/>
      <c r="BU324" s="241"/>
      <c r="BV324" s="241"/>
      <c r="BW324" s="241"/>
      <c r="BX324" s="241"/>
      <c r="BY324" s="241"/>
      <c r="BZ324" s="241"/>
      <c r="CA324" s="241"/>
      <c r="CB324" s="241"/>
      <c r="CC324" s="241"/>
      <c r="CD324" s="241"/>
      <c r="CE324" s="241"/>
      <c r="CF324" s="13"/>
      <c r="CG324" s="13"/>
      <c r="CH324" s="13"/>
    </row>
    <row r="325" spans="1:86" ht="11.25" customHeight="1" x14ac:dyDescent="0.2">
      <c r="A325" s="13"/>
      <c r="B325" s="238">
        <v>321</v>
      </c>
      <c r="C325" s="241" t="e">
        <f t="shared" ca="1" si="41"/>
        <v>#NUM!</v>
      </c>
      <c r="D325" s="237" t="s">
        <v>3885</v>
      </c>
      <c r="E325" s="239">
        <v>642401159</v>
      </c>
      <c r="F325" s="237">
        <v>1710014828035</v>
      </c>
      <c r="G325" s="240"/>
      <c r="H325" s="241" t="s">
        <v>217</v>
      </c>
      <c r="I325" s="241" t="s">
        <v>432</v>
      </c>
      <c r="J325" s="242">
        <v>45292</v>
      </c>
      <c r="K325" s="241"/>
      <c r="L325" s="241"/>
      <c r="M325" s="241" t="str">
        <f t="shared" si="40"/>
        <v>PKWT</v>
      </c>
      <c r="N325" s="241" t="s">
        <v>187</v>
      </c>
      <c r="O325" s="241"/>
      <c r="P325" s="243">
        <v>45657</v>
      </c>
      <c r="Q325" s="241"/>
      <c r="R325" s="241" t="s">
        <v>206</v>
      </c>
      <c r="S325" s="241" t="s">
        <v>6863</v>
      </c>
      <c r="T325" s="241" t="s">
        <v>312</v>
      </c>
      <c r="U325" s="241" t="s">
        <v>27</v>
      </c>
      <c r="V325" s="241" t="s">
        <v>204</v>
      </c>
      <c r="W325" s="241" t="s">
        <v>7140</v>
      </c>
      <c r="X325" s="241" t="s">
        <v>121</v>
      </c>
      <c r="Y325" s="241" t="s">
        <v>313</v>
      </c>
      <c r="Z325" s="241"/>
      <c r="AA325" s="241"/>
      <c r="AB325" s="241" t="s">
        <v>314</v>
      </c>
      <c r="AC325" s="241" t="s">
        <v>432</v>
      </c>
      <c r="AD325" s="245">
        <v>36883</v>
      </c>
      <c r="AE325" s="241">
        <f t="shared" ref="AE325:AE388" ca="1" si="42">DATEDIF(AD325,$E$3,"y")</f>
        <v>24</v>
      </c>
      <c r="AF325" s="246" t="s">
        <v>3886</v>
      </c>
      <c r="AG325" s="241" t="s">
        <v>3887</v>
      </c>
      <c r="AH325" s="240" t="s">
        <v>3888</v>
      </c>
      <c r="AI325" s="240"/>
      <c r="AJ325" s="240"/>
      <c r="AK325" s="241" t="s">
        <v>3889</v>
      </c>
      <c r="AL325" s="246" t="s">
        <v>3890</v>
      </c>
      <c r="AM325" s="246">
        <v>24009885492</v>
      </c>
      <c r="AN325" s="241" t="s">
        <v>4716</v>
      </c>
      <c r="AO325" s="241"/>
      <c r="AP325" s="241"/>
      <c r="AQ325" s="241"/>
      <c r="AR325" s="241"/>
      <c r="AS325" s="241"/>
      <c r="AT325" s="241" t="s">
        <v>306</v>
      </c>
      <c r="AU325" s="241" t="s">
        <v>306</v>
      </c>
      <c r="AV325" s="241" t="s">
        <v>306</v>
      </c>
      <c r="AW325" s="241" t="s">
        <v>306</v>
      </c>
      <c r="AX325" s="241">
        <f t="shared" ref="AX325:AX388" si="43">COUNTA(AP325:AS325)</f>
        <v>0</v>
      </c>
      <c r="AY325" s="241" t="str">
        <f t="shared" ref="AY325:AY388" si="44">IF(AN325="Menikah","K","TK")&amp;"/"&amp;AX325</f>
        <v>TK/0</v>
      </c>
      <c r="AZ325" s="241"/>
      <c r="BA325" s="249"/>
      <c r="BB325" s="241" t="s">
        <v>161</v>
      </c>
      <c r="BC325" s="241" t="s">
        <v>156</v>
      </c>
      <c r="BD325" s="241" t="s">
        <v>3884</v>
      </c>
      <c r="BE325" s="241" t="s">
        <v>72</v>
      </c>
      <c r="BF325" s="241">
        <v>2022</v>
      </c>
      <c r="BG325" s="241" t="s">
        <v>156</v>
      </c>
      <c r="BH325" s="241" t="s">
        <v>3884</v>
      </c>
      <c r="BI325" s="241" t="s">
        <v>72</v>
      </c>
      <c r="BJ325" s="241">
        <v>2022</v>
      </c>
      <c r="BK325" s="241"/>
      <c r="BL325" s="241"/>
      <c r="BM325" s="241"/>
      <c r="BN325" s="241"/>
      <c r="BO325" s="241"/>
      <c r="BP325" s="241"/>
      <c r="BQ325" s="241"/>
      <c r="BR325" s="241"/>
      <c r="BS325" s="241"/>
      <c r="BT325" s="241"/>
      <c r="BU325" s="241"/>
      <c r="BV325" s="241"/>
      <c r="BW325" s="241"/>
      <c r="BX325" s="241"/>
      <c r="BY325" s="241"/>
      <c r="BZ325" s="241"/>
      <c r="CA325" s="241"/>
      <c r="CB325" s="241"/>
      <c r="CC325" s="241"/>
      <c r="CD325" s="241"/>
      <c r="CE325" s="241"/>
      <c r="CF325" s="13"/>
      <c r="CG325" s="13"/>
      <c r="CH325" s="13"/>
    </row>
    <row r="326" spans="1:86" ht="11.25" customHeight="1" x14ac:dyDescent="0.2">
      <c r="A326" s="13"/>
      <c r="B326" s="238">
        <v>322</v>
      </c>
      <c r="C326" s="241" t="e">
        <f t="shared" ca="1" si="41"/>
        <v>#NUM!</v>
      </c>
      <c r="D326" s="237" t="s">
        <v>3900</v>
      </c>
      <c r="E326" s="239">
        <v>642401161</v>
      </c>
      <c r="F326" s="237">
        <v>1710014827961</v>
      </c>
      <c r="G326" s="240"/>
      <c r="H326" s="241" t="s">
        <v>217</v>
      </c>
      <c r="I326" s="241" t="s">
        <v>217</v>
      </c>
      <c r="J326" s="242">
        <v>45292</v>
      </c>
      <c r="K326" s="241"/>
      <c r="L326" s="241"/>
      <c r="M326" s="241" t="str">
        <f t="shared" si="40"/>
        <v>PKWT</v>
      </c>
      <c r="N326" s="241" t="s">
        <v>187</v>
      </c>
      <c r="O326" s="241"/>
      <c r="P326" s="243">
        <v>45657</v>
      </c>
      <c r="Q326" s="241"/>
      <c r="R326" s="241" t="s">
        <v>206</v>
      </c>
      <c r="S326" s="241" t="s">
        <v>6863</v>
      </c>
      <c r="T326" s="241" t="s">
        <v>312</v>
      </c>
      <c r="U326" s="241" t="s">
        <v>23</v>
      </c>
      <c r="V326" s="241" t="s">
        <v>443</v>
      </c>
      <c r="W326" s="241" t="s">
        <v>51</v>
      </c>
      <c r="X326" s="241" t="s">
        <v>121</v>
      </c>
      <c r="Y326" s="241" t="s">
        <v>313</v>
      </c>
      <c r="Z326" s="241"/>
      <c r="AA326" s="241"/>
      <c r="AB326" s="241" t="s">
        <v>314</v>
      </c>
      <c r="AC326" s="241" t="s">
        <v>372</v>
      </c>
      <c r="AD326" s="245">
        <v>37784</v>
      </c>
      <c r="AE326" s="241">
        <f t="shared" ca="1" si="42"/>
        <v>22</v>
      </c>
      <c r="AF326" s="246" t="s">
        <v>3901</v>
      </c>
      <c r="AG326" s="241" t="s">
        <v>3902</v>
      </c>
      <c r="AH326" s="240" t="s">
        <v>3903</v>
      </c>
      <c r="AI326" s="240"/>
      <c r="AJ326" s="240"/>
      <c r="AK326" s="241" t="s">
        <v>3904</v>
      </c>
      <c r="AL326" s="246" t="s">
        <v>3905</v>
      </c>
      <c r="AM326" s="246">
        <v>24009885468</v>
      </c>
      <c r="AN326" s="241" t="s">
        <v>4716</v>
      </c>
      <c r="AO326" s="241"/>
      <c r="AP326" s="241"/>
      <c r="AQ326" s="241"/>
      <c r="AR326" s="241"/>
      <c r="AS326" s="241"/>
      <c r="AT326" s="241" t="s">
        <v>306</v>
      </c>
      <c r="AU326" s="241" t="s">
        <v>306</v>
      </c>
      <c r="AV326" s="241" t="s">
        <v>306</v>
      </c>
      <c r="AW326" s="241" t="s">
        <v>306</v>
      </c>
      <c r="AX326" s="241">
        <f t="shared" si="43"/>
        <v>0</v>
      </c>
      <c r="AY326" s="241" t="str">
        <f t="shared" si="44"/>
        <v>TK/0</v>
      </c>
      <c r="AZ326" s="241"/>
      <c r="BA326" s="249"/>
      <c r="BB326" s="241" t="s">
        <v>161</v>
      </c>
      <c r="BC326" s="241" t="s">
        <v>349</v>
      </c>
      <c r="BD326" s="241" t="s">
        <v>91</v>
      </c>
      <c r="BE326" s="241" t="s">
        <v>775</v>
      </c>
      <c r="BF326" s="241">
        <v>2022</v>
      </c>
      <c r="BG326" s="241" t="s">
        <v>349</v>
      </c>
      <c r="BH326" s="241" t="s">
        <v>91</v>
      </c>
      <c r="BI326" s="241" t="s">
        <v>775</v>
      </c>
      <c r="BJ326" s="241">
        <v>2022</v>
      </c>
      <c r="BK326" s="241"/>
      <c r="BL326" s="241"/>
      <c r="BM326" s="241"/>
      <c r="BN326" s="241"/>
      <c r="BO326" s="241"/>
      <c r="BP326" s="241"/>
      <c r="BQ326" s="241"/>
      <c r="BR326" s="241"/>
      <c r="BS326" s="241"/>
      <c r="BT326" s="241"/>
      <c r="BU326" s="241"/>
      <c r="BV326" s="241"/>
      <c r="BW326" s="241"/>
      <c r="BX326" s="241"/>
      <c r="BY326" s="241"/>
      <c r="BZ326" s="241"/>
      <c r="CA326" s="241"/>
      <c r="CB326" s="241"/>
      <c r="CC326" s="241"/>
      <c r="CD326" s="241"/>
      <c r="CE326" s="241"/>
      <c r="CF326" s="13"/>
      <c r="CG326" s="13"/>
      <c r="CH326" s="13"/>
    </row>
    <row r="327" spans="1:86" ht="11.25" customHeight="1" x14ac:dyDescent="0.2">
      <c r="A327" s="13"/>
      <c r="B327" s="238">
        <v>323</v>
      </c>
      <c r="C327" s="241" t="e">
        <f t="shared" ca="1" si="41"/>
        <v>#NUM!</v>
      </c>
      <c r="D327" s="237" t="s">
        <v>3906</v>
      </c>
      <c r="E327" s="239">
        <v>642401162</v>
      </c>
      <c r="F327" s="237">
        <v>1710014828001</v>
      </c>
      <c r="G327" s="240"/>
      <c r="H327" s="241" t="s">
        <v>217</v>
      </c>
      <c r="I327" s="241" t="s">
        <v>217</v>
      </c>
      <c r="J327" s="242">
        <v>45292</v>
      </c>
      <c r="K327" s="241"/>
      <c r="L327" s="241"/>
      <c r="M327" s="241" t="str">
        <f t="shared" si="40"/>
        <v>PKWT</v>
      </c>
      <c r="N327" s="241" t="s">
        <v>187</v>
      </c>
      <c r="O327" s="241"/>
      <c r="P327" s="243">
        <v>45657</v>
      </c>
      <c r="Q327" s="241"/>
      <c r="R327" s="241" t="s">
        <v>206</v>
      </c>
      <c r="S327" s="241" t="s">
        <v>6863</v>
      </c>
      <c r="T327" s="241" t="s">
        <v>312</v>
      </c>
      <c r="U327" s="241" t="s">
        <v>33</v>
      </c>
      <c r="V327" s="241" t="s">
        <v>204</v>
      </c>
      <c r="W327" s="241" t="s">
        <v>7140</v>
      </c>
      <c r="X327" s="241" t="s">
        <v>121</v>
      </c>
      <c r="Y327" s="241" t="s">
        <v>313</v>
      </c>
      <c r="Z327" s="241"/>
      <c r="AA327" s="241"/>
      <c r="AB327" s="241" t="s">
        <v>314</v>
      </c>
      <c r="AC327" s="241" t="s">
        <v>217</v>
      </c>
      <c r="AD327" s="245">
        <v>34187</v>
      </c>
      <c r="AE327" s="241">
        <f t="shared" ca="1" si="42"/>
        <v>32</v>
      </c>
      <c r="AF327" s="246" t="s">
        <v>3907</v>
      </c>
      <c r="AG327" s="241" t="s">
        <v>3908</v>
      </c>
      <c r="AH327" s="240" t="s">
        <v>3909</v>
      </c>
      <c r="AI327" s="240"/>
      <c r="AJ327" s="240"/>
      <c r="AK327" s="241" t="s">
        <v>3910</v>
      </c>
      <c r="AL327" s="246" t="s">
        <v>3911</v>
      </c>
      <c r="AM327" s="246">
        <v>24009885518</v>
      </c>
      <c r="AN327" s="241" t="s">
        <v>4716</v>
      </c>
      <c r="AO327" s="241"/>
      <c r="AP327" s="241"/>
      <c r="AQ327" s="241"/>
      <c r="AR327" s="241"/>
      <c r="AS327" s="241"/>
      <c r="AT327" s="241" t="s">
        <v>306</v>
      </c>
      <c r="AU327" s="241" t="s">
        <v>306</v>
      </c>
      <c r="AV327" s="241" t="s">
        <v>306</v>
      </c>
      <c r="AW327" s="241" t="s">
        <v>306</v>
      </c>
      <c r="AX327" s="241">
        <f t="shared" si="43"/>
        <v>0</v>
      </c>
      <c r="AY327" s="241" t="str">
        <f t="shared" si="44"/>
        <v>TK/0</v>
      </c>
      <c r="AZ327" s="241"/>
      <c r="BA327" s="249"/>
      <c r="BB327" s="241" t="s">
        <v>161</v>
      </c>
      <c r="BC327" s="241" t="s">
        <v>349</v>
      </c>
      <c r="BD327" s="241" t="s">
        <v>91</v>
      </c>
      <c r="BE327" s="241" t="s">
        <v>790</v>
      </c>
      <c r="BF327" s="241">
        <v>2011</v>
      </c>
      <c r="BG327" s="241" t="s">
        <v>349</v>
      </c>
      <c r="BH327" s="241" t="s">
        <v>91</v>
      </c>
      <c r="BI327" s="241" t="s">
        <v>790</v>
      </c>
      <c r="BJ327" s="241">
        <v>2011</v>
      </c>
      <c r="BK327" s="241"/>
      <c r="BL327" s="241"/>
      <c r="BM327" s="241"/>
      <c r="BN327" s="241"/>
      <c r="BO327" s="241"/>
      <c r="BP327" s="241"/>
      <c r="BQ327" s="241"/>
      <c r="BR327" s="241"/>
      <c r="BS327" s="241"/>
      <c r="BT327" s="241"/>
      <c r="BU327" s="241"/>
      <c r="BV327" s="241"/>
      <c r="BW327" s="241"/>
      <c r="BX327" s="241"/>
      <c r="BY327" s="241"/>
      <c r="BZ327" s="241"/>
      <c r="CA327" s="241"/>
      <c r="CB327" s="241"/>
      <c r="CC327" s="241"/>
      <c r="CD327" s="241"/>
      <c r="CE327" s="241"/>
      <c r="CF327" s="13"/>
      <c r="CG327" s="13"/>
      <c r="CH327" s="13"/>
    </row>
    <row r="328" spans="1:86" ht="11.25" customHeight="1" x14ac:dyDescent="0.2">
      <c r="A328" s="13"/>
      <c r="B328" s="238">
        <v>324</v>
      </c>
      <c r="C328" s="241" t="e">
        <f t="shared" ca="1" si="41"/>
        <v>#NUM!</v>
      </c>
      <c r="D328" s="237" t="s">
        <v>3912</v>
      </c>
      <c r="E328" s="239">
        <v>642401163</v>
      </c>
      <c r="F328" s="237">
        <v>1710014827979</v>
      </c>
      <c r="G328" s="240"/>
      <c r="H328" s="241" t="s">
        <v>217</v>
      </c>
      <c r="I328" s="241" t="s">
        <v>217</v>
      </c>
      <c r="J328" s="242">
        <v>45292</v>
      </c>
      <c r="K328" s="241"/>
      <c r="L328" s="241"/>
      <c r="M328" s="241" t="str">
        <f t="shared" si="40"/>
        <v>PKWT</v>
      </c>
      <c r="N328" s="241" t="s">
        <v>187</v>
      </c>
      <c r="O328" s="241"/>
      <c r="P328" s="243">
        <v>45657</v>
      </c>
      <c r="Q328" s="241"/>
      <c r="R328" s="241" t="s">
        <v>206</v>
      </c>
      <c r="S328" s="241" t="s">
        <v>6863</v>
      </c>
      <c r="T328" s="241" t="s">
        <v>312</v>
      </c>
      <c r="U328" s="241" t="s">
        <v>23</v>
      </c>
      <c r="V328" s="241" t="s">
        <v>443</v>
      </c>
      <c r="W328" s="241" t="s">
        <v>51</v>
      </c>
      <c r="X328" s="241" t="s">
        <v>121</v>
      </c>
      <c r="Y328" s="241" t="s">
        <v>313</v>
      </c>
      <c r="Z328" s="241"/>
      <c r="AA328" s="241"/>
      <c r="AB328" s="241" t="s">
        <v>314</v>
      </c>
      <c r="AC328" s="241" t="s">
        <v>217</v>
      </c>
      <c r="AD328" s="245">
        <v>36468</v>
      </c>
      <c r="AE328" s="241">
        <f t="shared" ca="1" si="42"/>
        <v>25</v>
      </c>
      <c r="AF328" s="246" t="s">
        <v>3913</v>
      </c>
      <c r="AG328" s="241" t="s">
        <v>3914</v>
      </c>
      <c r="AH328" s="240" t="s">
        <v>3915</v>
      </c>
      <c r="AI328" s="240"/>
      <c r="AJ328" s="240"/>
      <c r="AK328" s="241" t="s">
        <v>3916</v>
      </c>
      <c r="AL328" s="246" t="s">
        <v>3917</v>
      </c>
      <c r="AM328" s="246">
        <v>24009885385</v>
      </c>
      <c r="AN328" s="241" t="s">
        <v>4716</v>
      </c>
      <c r="AO328" s="241"/>
      <c r="AP328" s="241"/>
      <c r="AQ328" s="241"/>
      <c r="AR328" s="241"/>
      <c r="AS328" s="241"/>
      <c r="AT328" s="241" t="s">
        <v>306</v>
      </c>
      <c r="AU328" s="241" t="s">
        <v>306</v>
      </c>
      <c r="AV328" s="241" t="s">
        <v>306</v>
      </c>
      <c r="AW328" s="241" t="s">
        <v>306</v>
      </c>
      <c r="AX328" s="241">
        <f t="shared" si="43"/>
        <v>0</v>
      </c>
      <c r="AY328" s="241" t="str">
        <f t="shared" si="44"/>
        <v>TK/0</v>
      </c>
      <c r="AZ328" s="241"/>
      <c r="BA328" s="249"/>
      <c r="BB328" s="241" t="s">
        <v>161</v>
      </c>
      <c r="BC328" s="241" t="s">
        <v>70</v>
      </c>
      <c r="BD328" s="241" t="s">
        <v>4502</v>
      </c>
      <c r="BE328" s="241" t="s">
        <v>72</v>
      </c>
      <c r="BF328" s="241">
        <v>2021</v>
      </c>
      <c r="BG328" s="241" t="s">
        <v>70</v>
      </c>
      <c r="BH328" s="241" t="s">
        <v>4502</v>
      </c>
      <c r="BI328" s="241" t="s">
        <v>72</v>
      </c>
      <c r="BJ328" s="241">
        <v>2021</v>
      </c>
      <c r="BK328" s="241"/>
      <c r="BL328" s="241"/>
      <c r="BM328" s="241"/>
      <c r="BN328" s="241"/>
      <c r="BO328" s="241"/>
      <c r="BP328" s="241"/>
      <c r="BQ328" s="241"/>
      <c r="BR328" s="241"/>
      <c r="BS328" s="241"/>
      <c r="BT328" s="241"/>
      <c r="BU328" s="241"/>
      <c r="BV328" s="241"/>
      <c r="BW328" s="241"/>
      <c r="BX328" s="241"/>
      <c r="BY328" s="241"/>
      <c r="BZ328" s="241"/>
      <c r="CA328" s="241"/>
      <c r="CB328" s="241"/>
      <c r="CC328" s="241"/>
      <c r="CD328" s="241"/>
      <c r="CE328" s="241"/>
      <c r="CF328" s="13"/>
      <c r="CG328" s="13"/>
      <c r="CH328" s="13"/>
    </row>
    <row r="329" spans="1:86" ht="11.25" customHeight="1" x14ac:dyDescent="0.2">
      <c r="A329" s="13"/>
      <c r="B329" s="238">
        <v>325</v>
      </c>
      <c r="C329" s="241" t="e">
        <f t="shared" ca="1" si="41"/>
        <v>#NUM!</v>
      </c>
      <c r="D329" s="237" t="s">
        <v>3918</v>
      </c>
      <c r="E329" s="239">
        <v>642401164</v>
      </c>
      <c r="F329" s="237">
        <v>1710014832094</v>
      </c>
      <c r="G329" s="240"/>
      <c r="H329" s="241" t="s">
        <v>217</v>
      </c>
      <c r="I329" s="241" t="s">
        <v>315</v>
      </c>
      <c r="J329" s="242">
        <v>45292</v>
      </c>
      <c r="K329" s="241"/>
      <c r="L329" s="241"/>
      <c r="M329" s="241" t="str">
        <f t="shared" si="40"/>
        <v>PKWT</v>
      </c>
      <c r="N329" s="241" t="s">
        <v>187</v>
      </c>
      <c r="O329" s="241"/>
      <c r="P329" s="243">
        <v>45657</v>
      </c>
      <c r="Q329" s="241"/>
      <c r="R329" s="241" t="s">
        <v>206</v>
      </c>
      <c r="S329" s="241" t="s">
        <v>6863</v>
      </c>
      <c r="T329" s="241" t="s">
        <v>312</v>
      </c>
      <c r="U329" s="241" t="s">
        <v>204</v>
      </c>
      <c r="V329" s="241" t="s">
        <v>208</v>
      </c>
      <c r="W329" s="241" t="s">
        <v>6908</v>
      </c>
      <c r="X329" s="241" t="s">
        <v>18</v>
      </c>
      <c r="Y329" s="241" t="s">
        <v>313</v>
      </c>
      <c r="Z329" s="241"/>
      <c r="AA329" s="241"/>
      <c r="AB329" s="241" t="s">
        <v>314</v>
      </c>
      <c r="AC329" s="241" t="s">
        <v>315</v>
      </c>
      <c r="AD329" s="245">
        <v>36728</v>
      </c>
      <c r="AE329" s="241">
        <f t="shared" ca="1" si="42"/>
        <v>25</v>
      </c>
      <c r="AF329" s="246" t="s">
        <v>3919</v>
      </c>
      <c r="AG329" s="241" t="s">
        <v>3920</v>
      </c>
      <c r="AH329" s="240" t="s">
        <v>3921</v>
      </c>
      <c r="AI329" s="240"/>
      <c r="AJ329" s="240"/>
      <c r="AK329" s="241" t="s">
        <v>3922</v>
      </c>
      <c r="AL329" s="246" t="s">
        <v>3923</v>
      </c>
      <c r="AM329" s="246">
        <v>24009885369</v>
      </c>
      <c r="AN329" s="241" t="s">
        <v>4716</v>
      </c>
      <c r="AO329" s="241"/>
      <c r="AP329" s="241"/>
      <c r="AQ329" s="241"/>
      <c r="AR329" s="241"/>
      <c r="AS329" s="241"/>
      <c r="AT329" s="241" t="s">
        <v>306</v>
      </c>
      <c r="AU329" s="241" t="s">
        <v>306</v>
      </c>
      <c r="AV329" s="241" t="s">
        <v>306</v>
      </c>
      <c r="AW329" s="241" t="s">
        <v>306</v>
      </c>
      <c r="AX329" s="241">
        <f t="shared" si="43"/>
        <v>0</v>
      </c>
      <c r="AY329" s="241" t="str">
        <f t="shared" si="44"/>
        <v>TK/0</v>
      </c>
      <c r="AZ329" s="241"/>
      <c r="BA329" s="249"/>
      <c r="BB329" s="241" t="s">
        <v>161</v>
      </c>
      <c r="BC329" s="241" t="s">
        <v>349</v>
      </c>
      <c r="BD329" s="241" t="s">
        <v>515</v>
      </c>
      <c r="BE329" s="241" t="s">
        <v>2931</v>
      </c>
      <c r="BF329" s="241">
        <v>2019</v>
      </c>
      <c r="BG329" s="241" t="s">
        <v>349</v>
      </c>
      <c r="BH329" s="241" t="s">
        <v>515</v>
      </c>
      <c r="BI329" s="241" t="s">
        <v>2931</v>
      </c>
      <c r="BJ329" s="241">
        <v>2019</v>
      </c>
      <c r="BK329" s="241"/>
      <c r="BL329" s="241"/>
      <c r="BM329" s="241"/>
      <c r="BN329" s="241"/>
      <c r="BO329" s="241"/>
      <c r="BP329" s="241"/>
      <c r="BQ329" s="241"/>
      <c r="BR329" s="241"/>
      <c r="BS329" s="241"/>
      <c r="BT329" s="241"/>
      <c r="BU329" s="241"/>
      <c r="BV329" s="241"/>
      <c r="BW329" s="241"/>
      <c r="BX329" s="241"/>
      <c r="BY329" s="241"/>
      <c r="BZ329" s="241"/>
      <c r="CA329" s="241"/>
      <c r="CB329" s="241"/>
      <c r="CC329" s="241"/>
      <c r="CD329" s="241"/>
      <c r="CE329" s="241"/>
      <c r="CF329" s="13"/>
      <c r="CG329" s="13"/>
      <c r="CH329" s="13"/>
    </row>
    <row r="330" spans="1:86" ht="11.25" customHeight="1" x14ac:dyDescent="0.2">
      <c r="A330" s="13"/>
      <c r="B330" s="238">
        <v>326</v>
      </c>
      <c r="C330" s="241" t="e">
        <f t="shared" ca="1" si="41"/>
        <v>#NUM!</v>
      </c>
      <c r="D330" s="237" t="s">
        <v>3924</v>
      </c>
      <c r="E330" s="239">
        <v>642401165</v>
      </c>
      <c r="F330" s="237">
        <v>1710014832185</v>
      </c>
      <c r="G330" s="240"/>
      <c r="H330" s="241" t="s">
        <v>217</v>
      </c>
      <c r="I330" s="241" t="s">
        <v>217</v>
      </c>
      <c r="J330" s="242">
        <v>45292</v>
      </c>
      <c r="K330" s="241"/>
      <c r="L330" s="241"/>
      <c r="M330" s="241" t="str">
        <f t="shared" si="40"/>
        <v>PKWT</v>
      </c>
      <c r="N330" s="241" t="s">
        <v>187</v>
      </c>
      <c r="O330" s="241"/>
      <c r="P330" s="243">
        <v>45657</v>
      </c>
      <c r="Q330" s="241"/>
      <c r="R330" s="241" t="s">
        <v>206</v>
      </c>
      <c r="S330" s="241" t="s">
        <v>6863</v>
      </c>
      <c r="T330" s="241" t="s">
        <v>312</v>
      </c>
      <c r="U330" s="241" t="s">
        <v>31</v>
      </c>
      <c r="V330" s="241" t="s">
        <v>204</v>
      </c>
      <c r="W330" s="241" t="s">
        <v>6183</v>
      </c>
      <c r="X330" s="241" t="s">
        <v>121</v>
      </c>
      <c r="Y330" s="241" t="s">
        <v>313</v>
      </c>
      <c r="Z330" s="241"/>
      <c r="AA330" s="241"/>
      <c r="AB330" s="241" t="s">
        <v>314</v>
      </c>
      <c r="AC330" s="241" t="s">
        <v>217</v>
      </c>
      <c r="AD330" s="245">
        <v>34671</v>
      </c>
      <c r="AE330" s="241">
        <f t="shared" ca="1" si="42"/>
        <v>30</v>
      </c>
      <c r="AF330" s="246" t="s">
        <v>3925</v>
      </c>
      <c r="AG330" s="241" t="s">
        <v>3926</v>
      </c>
      <c r="AH330" s="240" t="s">
        <v>3927</v>
      </c>
      <c r="AI330" s="240"/>
      <c r="AJ330" s="240"/>
      <c r="AK330" s="241" t="s">
        <v>3928</v>
      </c>
      <c r="AL330" s="246" t="s">
        <v>3929</v>
      </c>
      <c r="AM330" s="246">
        <v>24009885393</v>
      </c>
      <c r="AN330" s="241" t="s">
        <v>4716</v>
      </c>
      <c r="AO330" s="241"/>
      <c r="AP330" s="241"/>
      <c r="AQ330" s="241"/>
      <c r="AR330" s="241"/>
      <c r="AS330" s="241"/>
      <c r="AT330" s="241" t="s">
        <v>306</v>
      </c>
      <c r="AU330" s="241" t="s">
        <v>306</v>
      </c>
      <c r="AV330" s="241" t="s">
        <v>306</v>
      </c>
      <c r="AW330" s="241" t="s">
        <v>306</v>
      </c>
      <c r="AX330" s="241">
        <f t="shared" si="43"/>
        <v>0</v>
      </c>
      <c r="AY330" s="241" t="str">
        <f t="shared" si="44"/>
        <v>TK/0</v>
      </c>
      <c r="AZ330" s="241"/>
      <c r="BA330" s="249"/>
      <c r="BB330" s="241" t="s">
        <v>161</v>
      </c>
      <c r="BC330" s="241" t="s">
        <v>349</v>
      </c>
      <c r="BD330" s="241" t="s">
        <v>91</v>
      </c>
      <c r="BE330" s="241" t="s">
        <v>790</v>
      </c>
      <c r="BF330" s="241">
        <v>2014</v>
      </c>
      <c r="BG330" s="241" t="s">
        <v>349</v>
      </c>
      <c r="BH330" s="241" t="s">
        <v>91</v>
      </c>
      <c r="BI330" s="241" t="s">
        <v>790</v>
      </c>
      <c r="BJ330" s="241">
        <v>2014</v>
      </c>
      <c r="BK330" s="241"/>
      <c r="BL330" s="241"/>
      <c r="BM330" s="241"/>
      <c r="BN330" s="241"/>
      <c r="BO330" s="241"/>
      <c r="BP330" s="241"/>
      <c r="BQ330" s="241"/>
      <c r="BR330" s="241"/>
      <c r="BS330" s="241"/>
      <c r="BT330" s="241"/>
      <c r="BU330" s="241"/>
      <c r="BV330" s="241"/>
      <c r="BW330" s="241"/>
      <c r="BX330" s="241"/>
      <c r="BY330" s="241"/>
      <c r="BZ330" s="241"/>
      <c r="CA330" s="241"/>
      <c r="CB330" s="241"/>
      <c r="CC330" s="241"/>
      <c r="CD330" s="241"/>
      <c r="CE330" s="241"/>
      <c r="CF330" s="13"/>
      <c r="CG330" s="13"/>
      <c r="CH330" s="13"/>
    </row>
    <row r="331" spans="1:86" ht="11.25" customHeight="1" x14ac:dyDescent="0.2">
      <c r="A331" s="13"/>
      <c r="B331" s="238">
        <v>327</v>
      </c>
      <c r="C331" s="241" t="e">
        <f t="shared" ca="1" si="41"/>
        <v>#NUM!</v>
      </c>
      <c r="D331" s="237" t="s">
        <v>3930</v>
      </c>
      <c r="E331" s="239">
        <v>642401166</v>
      </c>
      <c r="F331" s="237">
        <v>1710014832177</v>
      </c>
      <c r="G331" s="240"/>
      <c r="H331" s="241" t="s">
        <v>217</v>
      </c>
      <c r="I331" s="241" t="s">
        <v>217</v>
      </c>
      <c r="J331" s="242">
        <v>45292</v>
      </c>
      <c r="K331" s="241"/>
      <c r="L331" s="241"/>
      <c r="M331" s="241" t="str">
        <f t="shared" si="40"/>
        <v>PKWT</v>
      </c>
      <c r="N331" s="241" t="s">
        <v>187</v>
      </c>
      <c r="O331" s="241"/>
      <c r="P331" s="243">
        <v>45657</v>
      </c>
      <c r="Q331" s="241"/>
      <c r="R331" s="241" t="s">
        <v>206</v>
      </c>
      <c r="S331" s="241" t="s">
        <v>6863</v>
      </c>
      <c r="T331" s="241" t="s">
        <v>312</v>
      </c>
      <c r="U331" s="241" t="s">
        <v>204</v>
      </c>
      <c r="V331" s="241" t="s">
        <v>6012</v>
      </c>
      <c r="W331" s="241" t="s">
        <v>6908</v>
      </c>
      <c r="X331" s="241" t="s">
        <v>18</v>
      </c>
      <c r="Y331" s="241" t="s">
        <v>313</v>
      </c>
      <c r="Z331" s="241"/>
      <c r="AA331" s="241"/>
      <c r="AB331" s="241" t="s">
        <v>314</v>
      </c>
      <c r="AC331" s="241" t="s">
        <v>217</v>
      </c>
      <c r="AD331" s="245">
        <v>36954</v>
      </c>
      <c r="AE331" s="241">
        <f t="shared" ca="1" si="42"/>
        <v>24</v>
      </c>
      <c r="AF331" s="246" t="s">
        <v>3931</v>
      </c>
      <c r="AG331" s="241" t="s">
        <v>3932</v>
      </c>
      <c r="AH331" s="240" t="s">
        <v>3933</v>
      </c>
      <c r="AI331" s="240"/>
      <c r="AJ331" s="240"/>
      <c r="AK331" s="241" t="s">
        <v>3934</v>
      </c>
      <c r="AL331" s="246" t="s">
        <v>3935</v>
      </c>
      <c r="AM331" s="246">
        <v>24009885302</v>
      </c>
      <c r="AN331" s="241" t="s">
        <v>4716</v>
      </c>
      <c r="AO331" s="241"/>
      <c r="AP331" s="241"/>
      <c r="AQ331" s="241"/>
      <c r="AR331" s="241"/>
      <c r="AS331" s="241"/>
      <c r="AT331" s="241" t="s">
        <v>306</v>
      </c>
      <c r="AU331" s="241" t="s">
        <v>306</v>
      </c>
      <c r="AV331" s="241" t="s">
        <v>306</v>
      </c>
      <c r="AW331" s="241" t="s">
        <v>306</v>
      </c>
      <c r="AX331" s="241">
        <f t="shared" si="43"/>
        <v>0</v>
      </c>
      <c r="AY331" s="241" t="str">
        <f t="shared" si="44"/>
        <v>TK/0</v>
      </c>
      <c r="AZ331" s="241"/>
      <c r="BA331" s="249"/>
      <c r="BB331" s="241" t="s">
        <v>161</v>
      </c>
      <c r="BC331" s="241" t="s">
        <v>349</v>
      </c>
      <c r="BD331" s="241" t="s">
        <v>91</v>
      </c>
      <c r="BE331" s="241" t="s">
        <v>350</v>
      </c>
      <c r="BF331" s="241">
        <v>2021</v>
      </c>
      <c r="BG331" s="241" t="s">
        <v>349</v>
      </c>
      <c r="BH331" s="241" t="s">
        <v>91</v>
      </c>
      <c r="BI331" s="241" t="s">
        <v>350</v>
      </c>
      <c r="BJ331" s="241">
        <v>2021</v>
      </c>
      <c r="BK331" s="241"/>
      <c r="BL331" s="241"/>
      <c r="BM331" s="241"/>
      <c r="BN331" s="241"/>
      <c r="BO331" s="241"/>
      <c r="BP331" s="241"/>
      <c r="BQ331" s="241"/>
      <c r="BR331" s="241"/>
      <c r="BS331" s="241"/>
      <c r="BT331" s="241"/>
      <c r="BU331" s="241"/>
      <c r="BV331" s="241"/>
      <c r="BW331" s="241"/>
      <c r="BX331" s="241"/>
      <c r="BY331" s="241"/>
      <c r="BZ331" s="241"/>
      <c r="CA331" s="241"/>
      <c r="CB331" s="241"/>
      <c r="CC331" s="241"/>
      <c r="CD331" s="241"/>
      <c r="CE331" s="241"/>
      <c r="CF331" s="13"/>
      <c r="CG331" s="13"/>
      <c r="CH331" s="13"/>
    </row>
    <row r="332" spans="1:86" ht="11.25" customHeight="1" x14ac:dyDescent="0.2">
      <c r="A332" s="13"/>
      <c r="B332" s="238">
        <v>328</v>
      </c>
      <c r="C332" s="241" t="e">
        <f t="shared" ca="1" si="41"/>
        <v>#NUM!</v>
      </c>
      <c r="D332" s="237" t="s">
        <v>3936</v>
      </c>
      <c r="E332" s="239">
        <v>642401167</v>
      </c>
      <c r="F332" s="237">
        <v>1710014724689</v>
      </c>
      <c r="G332" s="240"/>
      <c r="H332" s="241" t="s">
        <v>217</v>
      </c>
      <c r="I332" s="241" t="s">
        <v>32</v>
      </c>
      <c r="J332" s="242">
        <v>45292</v>
      </c>
      <c r="K332" s="241"/>
      <c r="L332" s="241"/>
      <c r="M332" s="241" t="str">
        <f t="shared" si="40"/>
        <v>PKWT</v>
      </c>
      <c r="N332" s="241" t="s">
        <v>187</v>
      </c>
      <c r="O332" s="241"/>
      <c r="P332" s="243">
        <v>45657</v>
      </c>
      <c r="Q332" s="241"/>
      <c r="R332" s="241" t="s">
        <v>206</v>
      </c>
      <c r="S332" s="241" t="s">
        <v>6863</v>
      </c>
      <c r="T332" s="241" t="s">
        <v>312</v>
      </c>
      <c r="U332" s="241" t="s">
        <v>1087</v>
      </c>
      <c r="V332" s="241" t="s">
        <v>204</v>
      </c>
      <c r="W332" s="241" t="s">
        <v>6183</v>
      </c>
      <c r="X332" s="241" t="s">
        <v>121</v>
      </c>
      <c r="Y332" s="241" t="s">
        <v>313</v>
      </c>
      <c r="Z332" s="241"/>
      <c r="AA332" s="241"/>
      <c r="AB332" s="241" t="s">
        <v>314</v>
      </c>
      <c r="AC332" s="241" t="s">
        <v>32</v>
      </c>
      <c r="AD332" s="245">
        <v>38307</v>
      </c>
      <c r="AE332" s="241">
        <f t="shared" ca="1" si="42"/>
        <v>20</v>
      </c>
      <c r="AF332" s="246" t="s">
        <v>3937</v>
      </c>
      <c r="AG332" s="241" t="s">
        <v>3938</v>
      </c>
      <c r="AH332" s="240" t="s">
        <v>3939</v>
      </c>
      <c r="AI332" s="240"/>
      <c r="AJ332" s="240"/>
      <c r="AK332" s="241" t="s">
        <v>3940</v>
      </c>
      <c r="AL332" s="246" t="s">
        <v>3941</v>
      </c>
      <c r="AM332" s="246">
        <v>24009885286</v>
      </c>
      <c r="AN332" s="241" t="s">
        <v>4716</v>
      </c>
      <c r="AO332" s="241"/>
      <c r="AP332" s="241"/>
      <c r="AQ332" s="241"/>
      <c r="AR332" s="241"/>
      <c r="AS332" s="241"/>
      <c r="AT332" s="241" t="s">
        <v>306</v>
      </c>
      <c r="AU332" s="241" t="s">
        <v>306</v>
      </c>
      <c r="AV332" s="241" t="s">
        <v>306</v>
      </c>
      <c r="AW332" s="241" t="s">
        <v>306</v>
      </c>
      <c r="AX332" s="241">
        <f t="shared" si="43"/>
        <v>0</v>
      </c>
      <c r="AY332" s="241" t="str">
        <f t="shared" si="44"/>
        <v>TK/0</v>
      </c>
      <c r="AZ332" s="241"/>
      <c r="BA332" s="249"/>
      <c r="BB332" s="241" t="s">
        <v>161</v>
      </c>
      <c r="BC332" s="241" t="s">
        <v>349</v>
      </c>
      <c r="BD332" s="241" t="s">
        <v>4502</v>
      </c>
      <c r="BE332" s="241" t="s">
        <v>3841</v>
      </c>
      <c r="BF332" s="241">
        <v>2023</v>
      </c>
      <c r="BG332" s="241" t="s">
        <v>349</v>
      </c>
      <c r="BH332" s="241" t="s">
        <v>4502</v>
      </c>
      <c r="BI332" s="241" t="s">
        <v>3841</v>
      </c>
      <c r="BJ332" s="241">
        <v>2023</v>
      </c>
      <c r="BK332" s="241"/>
      <c r="BL332" s="241"/>
      <c r="BM332" s="241"/>
      <c r="BN332" s="241"/>
      <c r="BO332" s="241"/>
      <c r="BP332" s="241"/>
      <c r="BQ332" s="241"/>
      <c r="BR332" s="241"/>
      <c r="BS332" s="241"/>
      <c r="BT332" s="241"/>
      <c r="BU332" s="241"/>
      <c r="BV332" s="241"/>
      <c r="BW332" s="241"/>
      <c r="BX332" s="241"/>
      <c r="BY332" s="241"/>
      <c r="BZ332" s="241"/>
      <c r="CA332" s="241"/>
      <c r="CB332" s="241"/>
      <c r="CC332" s="241"/>
      <c r="CD332" s="241"/>
      <c r="CE332" s="241"/>
      <c r="CF332" s="13"/>
      <c r="CG332" s="13"/>
      <c r="CH332" s="13"/>
    </row>
    <row r="333" spans="1:86" ht="11.25" customHeight="1" x14ac:dyDescent="0.2">
      <c r="A333" s="13"/>
      <c r="B333" s="238">
        <v>329</v>
      </c>
      <c r="C333" s="241" t="e">
        <f t="shared" ca="1" si="41"/>
        <v>#NUM!</v>
      </c>
      <c r="D333" s="237" t="s">
        <v>3942</v>
      </c>
      <c r="E333" s="239">
        <v>642401168</v>
      </c>
      <c r="F333" s="237">
        <v>1710014832060</v>
      </c>
      <c r="G333" s="240"/>
      <c r="H333" s="241" t="s">
        <v>217</v>
      </c>
      <c r="I333" s="241" t="s">
        <v>217</v>
      </c>
      <c r="J333" s="242">
        <v>45292</v>
      </c>
      <c r="K333" s="241"/>
      <c r="L333" s="241"/>
      <c r="M333" s="241" t="str">
        <f t="shared" si="40"/>
        <v>PKWT</v>
      </c>
      <c r="N333" s="241" t="s">
        <v>187</v>
      </c>
      <c r="O333" s="241"/>
      <c r="P333" s="243">
        <v>45657</v>
      </c>
      <c r="Q333" s="241"/>
      <c r="R333" s="241" t="s">
        <v>206</v>
      </c>
      <c r="S333" s="241" t="s">
        <v>6863</v>
      </c>
      <c r="T333" s="241" t="s">
        <v>312</v>
      </c>
      <c r="U333" s="241" t="s">
        <v>204</v>
      </c>
      <c r="V333" s="241" t="s">
        <v>208</v>
      </c>
      <c r="W333" s="241" t="s">
        <v>6908</v>
      </c>
      <c r="X333" s="241" t="s">
        <v>18</v>
      </c>
      <c r="Y333" s="241" t="s">
        <v>313</v>
      </c>
      <c r="Z333" s="241"/>
      <c r="AA333" s="241"/>
      <c r="AB333" s="241" t="s">
        <v>314</v>
      </c>
      <c r="AC333" s="241" t="s">
        <v>217</v>
      </c>
      <c r="AD333" s="245">
        <v>36882</v>
      </c>
      <c r="AE333" s="241">
        <f t="shared" ca="1" si="42"/>
        <v>24</v>
      </c>
      <c r="AF333" s="246" t="s">
        <v>3943</v>
      </c>
      <c r="AG333" s="241" t="s">
        <v>3944</v>
      </c>
      <c r="AH333" s="240" t="s">
        <v>3945</v>
      </c>
      <c r="AI333" s="240"/>
      <c r="AJ333" s="240"/>
      <c r="AK333" s="241" t="s">
        <v>3946</v>
      </c>
      <c r="AL333" s="246" t="s">
        <v>3947</v>
      </c>
      <c r="AM333" s="246">
        <v>24009885427</v>
      </c>
      <c r="AN333" s="241" t="s">
        <v>4716</v>
      </c>
      <c r="AO333" s="241"/>
      <c r="AP333" s="241"/>
      <c r="AQ333" s="241"/>
      <c r="AR333" s="241"/>
      <c r="AS333" s="241"/>
      <c r="AT333" s="241" t="s">
        <v>306</v>
      </c>
      <c r="AU333" s="241" t="s">
        <v>306</v>
      </c>
      <c r="AV333" s="241" t="s">
        <v>306</v>
      </c>
      <c r="AW333" s="241" t="s">
        <v>306</v>
      </c>
      <c r="AX333" s="241">
        <f t="shared" si="43"/>
        <v>0</v>
      </c>
      <c r="AY333" s="241" t="str">
        <f t="shared" si="44"/>
        <v>TK/0</v>
      </c>
      <c r="AZ333" s="241"/>
      <c r="BA333" s="249"/>
      <c r="BB333" s="241" t="s">
        <v>161</v>
      </c>
      <c r="BC333" s="241" t="s">
        <v>70</v>
      </c>
      <c r="BD333" s="241" t="s">
        <v>3527</v>
      </c>
      <c r="BE333" s="241" t="s">
        <v>100</v>
      </c>
      <c r="BF333" s="241">
        <v>2022</v>
      </c>
      <c r="BG333" s="241" t="s">
        <v>70</v>
      </c>
      <c r="BH333" s="241" t="s">
        <v>3527</v>
      </c>
      <c r="BI333" s="241" t="s">
        <v>100</v>
      </c>
      <c r="BJ333" s="241">
        <v>2022</v>
      </c>
      <c r="BK333" s="241"/>
      <c r="BL333" s="241"/>
      <c r="BM333" s="241"/>
      <c r="BN333" s="241"/>
      <c r="BO333" s="241"/>
      <c r="BP333" s="241"/>
      <c r="BQ333" s="241"/>
      <c r="BR333" s="241"/>
      <c r="BS333" s="241"/>
      <c r="BT333" s="241"/>
      <c r="BU333" s="241"/>
      <c r="BV333" s="241"/>
      <c r="BW333" s="241"/>
      <c r="BX333" s="241"/>
      <c r="BY333" s="241"/>
      <c r="BZ333" s="241"/>
      <c r="CA333" s="241"/>
      <c r="CB333" s="241"/>
      <c r="CC333" s="241"/>
      <c r="CD333" s="241"/>
      <c r="CE333" s="241"/>
      <c r="CF333" s="13"/>
      <c r="CG333" s="13"/>
      <c r="CH333" s="13"/>
    </row>
    <row r="334" spans="1:86" ht="11.25" customHeight="1" x14ac:dyDescent="0.2">
      <c r="A334" s="13"/>
      <c r="B334" s="238">
        <v>330</v>
      </c>
      <c r="C334" s="241" t="e">
        <f t="shared" ca="1" si="41"/>
        <v>#NUM!</v>
      </c>
      <c r="D334" s="237" t="s">
        <v>3948</v>
      </c>
      <c r="E334" s="239">
        <v>642401169</v>
      </c>
      <c r="F334" s="237">
        <v>1710014832086</v>
      </c>
      <c r="G334" s="240"/>
      <c r="H334" s="241" t="s">
        <v>217</v>
      </c>
      <c r="I334" s="241" t="s">
        <v>217</v>
      </c>
      <c r="J334" s="242">
        <v>45292</v>
      </c>
      <c r="K334" s="241"/>
      <c r="L334" s="241"/>
      <c r="M334" s="241" t="str">
        <f t="shared" ref="M334:M365" si="45">IF(LEFT(E334,2)="99","ORGANIK INKA",IF(LEFT(E334,2)="97","ORGANIK IMSS",IF(LEFT(E334,2)="75","Capeg",IF(LEFT(E334,2)="64","PKWT","Resign"))))</f>
        <v>PKWT</v>
      </c>
      <c r="N334" s="241" t="s">
        <v>187</v>
      </c>
      <c r="O334" s="241"/>
      <c r="P334" s="243">
        <v>45657</v>
      </c>
      <c r="Q334" s="241"/>
      <c r="R334" s="241" t="s">
        <v>206</v>
      </c>
      <c r="S334" s="241" t="s">
        <v>6863</v>
      </c>
      <c r="T334" s="241" t="s">
        <v>312</v>
      </c>
      <c r="U334" s="241" t="s">
        <v>204</v>
      </c>
      <c r="V334" s="241" t="s">
        <v>208</v>
      </c>
      <c r="W334" s="241" t="s">
        <v>6908</v>
      </c>
      <c r="X334" s="241" t="s">
        <v>18</v>
      </c>
      <c r="Y334" s="241" t="s">
        <v>313</v>
      </c>
      <c r="Z334" s="241"/>
      <c r="AA334" s="241"/>
      <c r="AB334" s="241" t="s">
        <v>314</v>
      </c>
      <c r="AC334" s="241" t="s">
        <v>217</v>
      </c>
      <c r="AD334" s="245">
        <v>36279</v>
      </c>
      <c r="AE334" s="241">
        <f t="shared" ca="1" si="42"/>
        <v>26</v>
      </c>
      <c r="AF334" s="246" t="s">
        <v>3949</v>
      </c>
      <c r="AG334" s="241" t="s">
        <v>3950</v>
      </c>
      <c r="AH334" s="240" t="s">
        <v>3951</v>
      </c>
      <c r="AI334" s="240"/>
      <c r="AJ334" s="240"/>
      <c r="AK334" s="241" t="s">
        <v>3952</v>
      </c>
      <c r="AL334" s="246" t="s">
        <v>3953</v>
      </c>
      <c r="AM334" s="246">
        <v>24009885443</v>
      </c>
      <c r="AN334" s="241" t="s">
        <v>4716</v>
      </c>
      <c r="AO334" s="241"/>
      <c r="AP334" s="241"/>
      <c r="AQ334" s="241"/>
      <c r="AR334" s="241"/>
      <c r="AS334" s="241"/>
      <c r="AT334" s="241" t="s">
        <v>306</v>
      </c>
      <c r="AU334" s="241" t="s">
        <v>306</v>
      </c>
      <c r="AV334" s="241" t="s">
        <v>306</v>
      </c>
      <c r="AW334" s="241" t="s">
        <v>306</v>
      </c>
      <c r="AX334" s="241">
        <f t="shared" si="43"/>
        <v>0</v>
      </c>
      <c r="AY334" s="241" t="str">
        <f t="shared" si="44"/>
        <v>TK/0</v>
      </c>
      <c r="AZ334" s="241"/>
      <c r="BA334" s="249"/>
      <c r="BB334" s="241" t="s">
        <v>161</v>
      </c>
      <c r="BC334" s="241" t="s">
        <v>349</v>
      </c>
      <c r="BD334" s="241" t="s">
        <v>515</v>
      </c>
      <c r="BE334" s="241" t="s">
        <v>3954</v>
      </c>
      <c r="BF334" s="241">
        <v>2017</v>
      </c>
      <c r="BG334" s="241" t="s">
        <v>349</v>
      </c>
      <c r="BH334" s="241" t="s">
        <v>515</v>
      </c>
      <c r="BI334" s="241" t="s">
        <v>3954</v>
      </c>
      <c r="BJ334" s="241">
        <v>2017</v>
      </c>
      <c r="BK334" s="241"/>
      <c r="BL334" s="241"/>
      <c r="BM334" s="241"/>
      <c r="BN334" s="241"/>
      <c r="BO334" s="241"/>
      <c r="BP334" s="241"/>
      <c r="BQ334" s="241"/>
      <c r="BR334" s="241"/>
      <c r="BS334" s="241"/>
      <c r="BT334" s="241"/>
      <c r="BU334" s="241"/>
      <c r="BV334" s="241"/>
      <c r="BW334" s="241"/>
      <c r="BX334" s="241"/>
      <c r="BY334" s="241"/>
      <c r="BZ334" s="241"/>
      <c r="CA334" s="241"/>
      <c r="CB334" s="241"/>
      <c r="CC334" s="241"/>
      <c r="CD334" s="241"/>
      <c r="CE334" s="241"/>
      <c r="CF334" s="13"/>
      <c r="CG334" s="13"/>
      <c r="CH334" s="13"/>
    </row>
    <row r="335" spans="1:86" ht="11.25" customHeight="1" x14ac:dyDescent="0.2">
      <c r="A335" s="13"/>
      <c r="B335" s="238">
        <v>331</v>
      </c>
      <c r="C335" s="241" t="e">
        <f t="shared" ca="1" si="41"/>
        <v>#NUM!</v>
      </c>
      <c r="D335" s="237" t="s">
        <v>3955</v>
      </c>
      <c r="E335" s="239">
        <v>642401170</v>
      </c>
      <c r="F335" s="237">
        <v>1710014832110</v>
      </c>
      <c r="G335" s="240"/>
      <c r="H335" s="241" t="s">
        <v>217</v>
      </c>
      <c r="I335" s="241" t="s">
        <v>217</v>
      </c>
      <c r="J335" s="242">
        <v>45292</v>
      </c>
      <c r="K335" s="241"/>
      <c r="L335" s="241"/>
      <c r="M335" s="241" t="str">
        <f t="shared" si="45"/>
        <v>PKWT</v>
      </c>
      <c r="N335" s="241" t="s">
        <v>187</v>
      </c>
      <c r="O335" s="241"/>
      <c r="P335" s="243">
        <v>45657</v>
      </c>
      <c r="Q335" s="241"/>
      <c r="R335" s="241" t="s">
        <v>206</v>
      </c>
      <c r="S335" s="241" t="s">
        <v>6863</v>
      </c>
      <c r="T335" s="241" t="s">
        <v>312</v>
      </c>
      <c r="U335" s="241" t="s">
        <v>204</v>
      </c>
      <c r="V335" s="241" t="s">
        <v>208</v>
      </c>
      <c r="W335" s="241" t="s">
        <v>6908</v>
      </c>
      <c r="X335" s="241" t="s">
        <v>18</v>
      </c>
      <c r="Y335" s="241" t="s">
        <v>313</v>
      </c>
      <c r="Z335" s="241"/>
      <c r="AA335" s="241"/>
      <c r="AB335" s="241" t="s">
        <v>314</v>
      </c>
      <c r="AC335" s="241" t="s">
        <v>217</v>
      </c>
      <c r="AD335" s="245">
        <v>37560</v>
      </c>
      <c r="AE335" s="241">
        <f t="shared" ca="1" si="42"/>
        <v>22</v>
      </c>
      <c r="AF335" s="246" t="s">
        <v>3956</v>
      </c>
      <c r="AG335" s="241" t="s">
        <v>3957</v>
      </c>
      <c r="AH335" s="240" t="s">
        <v>3958</v>
      </c>
      <c r="AI335" s="240"/>
      <c r="AJ335" s="240"/>
      <c r="AK335" s="241" t="s">
        <v>3959</v>
      </c>
      <c r="AL335" s="246" t="s">
        <v>3960</v>
      </c>
      <c r="AM335" s="246">
        <v>24009885534</v>
      </c>
      <c r="AN335" s="241" t="s">
        <v>4716</v>
      </c>
      <c r="AO335" s="241"/>
      <c r="AP335" s="241"/>
      <c r="AQ335" s="241"/>
      <c r="AR335" s="241"/>
      <c r="AS335" s="241"/>
      <c r="AT335" s="241" t="s">
        <v>306</v>
      </c>
      <c r="AU335" s="241" t="s">
        <v>306</v>
      </c>
      <c r="AV335" s="241" t="s">
        <v>306</v>
      </c>
      <c r="AW335" s="241" t="s">
        <v>306</v>
      </c>
      <c r="AX335" s="241">
        <f t="shared" si="43"/>
        <v>0</v>
      </c>
      <c r="AY335" s="241" t="str">
        <f t="shared" si="44"/>
        <v>TK/0</v>
      </c>
      <c r="AZ335" s="241"/>
      <c r="BA335" s="249"/>
      <c r="BB335" s="241" t="s">
        <v>161</v>
      </c>
      <c r="BC335" s="241" t="s">
        <v>349</v>
      </c>
      <c r="BD335" s="241" t="s">
        <v>515</v>
      </c>
      <c r="BE335" s="241" t="s">
        <v>3961</v>
      </c>
      <c r="BF335" s="241">
        <v>2021</v>
      </c>
      <c r="BG335" s="241" t="s">
        <v>349</v>
      </c>
      <c r="BH335" s="241" t="s">
        <v>515</v>
      </c>
      <c r="BI335" s="241" t="s">
        <v>3961</v>
      </c>
      <c r="BJ335" s="241">
        <v>2021</v>
      </c>
      <c r="BK335" s="241"/>
      <c r="BL335" s="241"/>
      <c r="BM335" s="241"/>
      <c r="BN335" s="241"/>
      <c r="BO335" s="241"/>
      <c r="BP335" s="241"/>
      <c r="BQ335" s="241"/>
      <c r="BR335" s="241"/>
      <c r="BS335" s="241"/>
      <c r="BT335" s="241"/>
      <c r="BU335" s="241"/>
      <c r="BV335" s="241"/>
      <c r="BW335" s="241"/>
      <c r="BX335" s="241"/>
      <c r="BY335" s="241"/>
      <c r="BZ335" s="241"/>
      <c r="CA335" s="241"/>
      <c r="CB335" s="241"/>
      <c r="CC335" s="241"/>
      <c r="CD335" s="241"/>
      <c r="CE335" s="241"/>
      <c r="CF335" s="13"/>
      <c r="CG335" s="13"/>
      <c r="CH335" s="13"/>
    </row>
    <row r="336" spans="1:86" ht="11.25" customHeight="1" x14ac:dyDescent="0.2">
      <c r="A336" s="13"/>
      <c r="B336" s="238">
        <v>332</v>
      </c>
      <c r="C336" s="241" t="e">
        <f t="shared" ca="1" si="41"/>
        <v>#NUM!</v>
      </c>
      <c r="D336" s="237" t="s">
        <v>3968</v>
      </c>
      <c r="E336" s="239">
        <v>642401172</v>
      </c>
      <c r="F336" s="237">
        <v>1710014827953</v>
      </c>
      <c r="G336" s="240"/>
      <c r="H336" s="241" t="s">
        <v>217</v>
      </c>
      <c r="I336" s="241" t="s">
        <v>217</v>
      </c>
      <c r="J336" s="242">
        <v>45292</v>
      </c>
      <c r="K336" s="241"/>
      <c r="L336" s="241"/>
      <c r="M336" s="241" t="str">
        <f t="shared" si="45"/>
        <v>PKWT</v>
      </c>
      <c r="N336" s="241" t="s">
        <v>187</v>
      </c>
      <c r="O336" s="241"/>
      <c r="P336" s="243">
        <v>45657</v>
      </c>
      <c r="Q336" s="241"/>
      <c r="R336" s="241" t="s">
        <v>206</v>
      </c>
      <c r="S336" s="241" t="s">
        <v>6863</v>
      </c>
      <c r="T336" s="241" t="s">
        <v>312</v>
      </c>
      <c r="U336" s="241" t="s">
        <v>23</v>
      </c>
      <c r="V336" s="241" t="s">
        <v>443</v>
      </c>
      <c r="W336" s="241" t="s">
        <v>51</v>
      </c>
      <c r="X336" s="241" t="s">
        <v>121</v>
      </c>
      <c r="Y336" s="241" t="s">
        <v>313</v>
      </c>
      <c r="Z336" s="241"/>
      <c r="AA336" s="241"/>
      <c r="AB336" s="241" t="s">
        <v>314</v>
      </c>
      <c r="AC336" s="241" t="s">
        <v>217</v>
      </c>
      <c r="AD336" s="245">
        <v>37160</v>
      </c>
      <c r="AE336" s="241">
        <f t="shared" ca="1" si="42"/>
        <v>24</v>
      </c>
      <c r="AF336" s="246" t="s">
        <v>3969</v>
      </c>
      <c r="AG336" s="241" t="s">
        <v>3970</v>
      </c>
      <c r="AH336" s="240" t="s">
        <v>3971</v>
      </c>
      <c r="AI336" s="240"/>
      <c r="AJ336" s="240"/>
      <c r="AK336" s="241" t="s">
        <v>3972</v>
      </c>
      <c r="AL336" s="246" t="s">
        <v>3973</v>
      </c>
      <c r="AM336" s="246">
        <v>24009885401</v>
      </c>
      <c r="AN336" s="241" t="s">
        <v>4716</v>
      </c>
      <c r="AO336" s="241"/>
      <c r="AP336" s="241"/>
      <c r="AQ336" s="241"/>
      <c r="AR336" s="241"/>
      <c r="AS336" s="241"/>
      <c r="AT336" s="241" t="s">
        <v>306</v>
      </c>
      <c r="AU336" s="241" t="s">
        <v>306</v>
      </c>
      <c r="AV336" s="241" t="s">
        <v>306</v>
      </c>
      <c r="AW336" s="241" t="s">
        <v>306</v>
      </c>
      <c r="AX336" s="241">
        <f t="shared" si="43"/>
        <v>0</v>
      </c>
      <c r="AY336" s="241" t="str">
        <f t="shared" si="44"/>
        <v>TK/0</v>
      </c>
      <c r="AZ336" s="241"/>
      <c r="BA336" s="249"/>
      <c r="BB336" s="241" t="s">
        <v>161</v>
      </c>
      <c r="BC336" s="241" t="s">
        <v>349</v>
      </c>
      <c r="BD336" s="241" t="s">
        <v>91</v>
      </c>
      <c r="BE336" s="241" t="s">
        <v>1292</v>
      </c>
      <c r="BF336" s="241">
        <v>2019</v>
      </c>
      <c r="BG336" s="241" t="s">
        <v>349</v>
      </c>
      <c r="BH336" s="241" t="s">
        <v>91</v>
      </c>
      <c r="BI336" s="241" t="s">
        <v>1292</v>
      </c>
      <c r="BJ336" s="241">
        <v>2019</v>
      </c>
      <c r="BK336" s="241"/>
      <c r="BL336" s="241"/>
      <c r="BM336" s="241"/>
      <c r="BN336" s="241"/>
      <c r="BO336" s="241"/>
      <c r="BP336" s="241"/>
      <c r="BQ336" s="241"/>
      <c r="BR336" s="241"/>
      <c r="BS336" s="241"/>
      <c r="BT336" s="241"/>
      <c r="BU336" s="241"/>
      <c r="BV336" s="241"/>
      <c r="BW336" s="241"/>
      <c r="BX336" s="241"/>
      <c r="BY336" s="241"/>
      <c r="BZ336" s="241"/>
      <c r="CA336" s="241"/>
      <c r="CB336" s="241"/>
      <c r="CC336" s="241"/>
      <c r="CD336" s="241"/>
      <c r="CE336" s="241"/>
      <c r="CF336" s="13"/>
      <c r="CG336" s="13"/>
      <c r="CH336" s="13"/>
    </row>
    <row r="337" spans="1:86" ht="11.25" customHeight="1" x14ac:dyDescent="0.2">
      <c r="A337" s="13"/>
      <c r="B337" s="238">
        <v>333</v>
      </c>
      <c r="C337" s="241" t="e">
        <f t="shared" ca="1" si="41"/>
        <v>#NUM!</v>
      </c>
      <c r="D337" s="237" t="s">
        <v>3974</v>
      </c>
      <c r="E337" s="239">
        <v>642401173</v>
      </c>
      <c r="F337" s="237">
        <v>1710014738275</v>
      </c>
      <c r="G337" s="240"/>
      <c r="H337" s="241" t="s">
        <v>217</v>
      </c>
      <c r="I337" s="241" t="s">
        <v>311</v>
      </c>
      <c r="J337" s="242">
        <v>45292</v>
      </c>
      <c r="K337" s="241"/>
      <c r="L337" s="241"/>
      <c r="M337" s="241" t="str">
        <f t="shared" si="45"/>
        <v>PKWT</v>
      </c>
      <c r="N337" s="241" t="s">
        <v>187</v>
      </c>
      <c r="O337" s="241"/>
      <c r="P337" s="243">
        <v>45657</v>
      </c>
      <c r="Q337" s="241"/>
      <c r="R337" s="241" t="s">
        <v>206</v>
      </c>
      <c r="S337" s="241" t="s">
        <v>6863</v>
      </c>
      <c r="T337" s="241" t="s">
        <v>312</v>
      </c>
      <c r="U337" s="241" t="s">
        <v>204</v>
      </c>
      <c r="V337" s="241" t="s">
        <v>6211</v>
      </c>
      <c r="W337" s="241" t="s">
        <v>121</v>
      </c>
      <c r="X337" s="241" t="s">
        <v>121</v>
      </c>
      <c r="Y337" s="241" t="s">
        <v>313</v>
      </c>
      <c r="Z337" s="241"/>
      <c r="AA337" s="241"/>
      <c r="AB337" s="241" t="s">
        <v>314</v>
      </c>
      <c r="AC337" s="241" t="s">
        <v>217</v>
      </c>
      <c r="AD337" s="245">
        <v>36458</v>
      </c>
      <c r="AE337" s="241">
        <f t="shared" ca="1" si="42"/>
        <v>25</v>
      </c>
      <c r="AF337" s="246" t="s">
        <v>3975</v>
      </c>
      <c r="AG337" s="241" t="s">
        <v>3976</v>
      </c>
      <c r="AH337" s="240" t="s">
        <v>3977</v>
      </c>
      <c r="AI337" s="240"/>
      <c r="AJ337" s="240"/>
      <c r="AK337" s="241" t="s">
        <v>3978</v>
      </c>
      <c r="AL337" s="246" t="s">
        <v>3979</v>
      </c>
      <c r="AM337" s="246">
        <v>24009885526</v>
      </c>
      <c r="AN337" s="241" t="s">
        <v>4716</v>
      </c>
      <c r="AO337" s="241"/>
      <c r="AP337" s="241"/>
      <c r="AQ337" s="241"/>
      <c r="AR337" s="241"/>
      <c r="AS337" s="241"/>
      <c r="AT337" s="241" t="s">
        <v>306</v>
      </c>
      <c r="AU337" s="241" t="s">
        <v>306</v>
      </c>
      <c r="AV337" s="241" t="s">
        <v>306</v>
      </c>
      <c r="AW337" s="241" t="s">
        <v>306</v>
      </c>
      <c r="AX337" s="241">
        <f t="shared" si="43"/>
        <v>0</v>
      </c>
      <c r="AY337" s="241" t="str">
        <f t="shared" si="44"/>
        <v>TK/0</v>
      </c>
      <c r="AZ337" s="241"/>
      <c r="BA337" s="249"/>
      <c r="BB337" s="241" t="s">
        <v>161</v>
      </c>
      <c r="BC337" s="241" t="s">
        <v>70</v>
      </c>
      <c r="BD337" s="241" t="s">
        <v>2834</v>
      </c>
      <c r="BE337" s="241" t="s">
        <v>72</v>
      </c>
      <c r="BF337" s="241">
        <v>2023</v>
      </c>
      <c r="BG337" s="241" t="s">
        <v>70</v>
      </c>
      <c r="BH337" s="241" t="s">
        <v>2834</v>
      </c>
      <c r="BI337" s="241" t="s">
        <v>72</v>
      </c>
      <c r="BJ337" s="241">
        <v>2023</v>
      </c>
      <c r="BK337" s="241"/>
      <c r="BL337" s="241"/>
      <c r="BM337" s="241"/>
      <c r="BN337" s="241"/>
      <c r="BO337" s="241"/>
      <c r="BP337" s="241"/>
      <c r="BQ337" s="241"/>
      <c r="BR337" s="241"/>
      <c r="BS337" s="241"/>
      <c r="BT337" s="241"/>
      <c r="BU337" s="241"/>
      <c r="BV337" s="241"/>
      <c r="BW337" s="241"/>
      <c r="BX337" s="241"/>
      <c r="BY337" s="241"/>
      <c r="BZ337" s="241"/>
      <c r="CA337" s="241"/>
      <c r="CB337" s="241"/>
      <c r="CC337" s="241"/>
      <c r="CD337" s="241"/>
      <c r="CE337" s="241"/>
      <c r="CF337" s="13"/>
      <c r="CG337" s="13"/>
      <c r="CH337" s="13"/>
    </row>
    <row r="338" spans="1:86" ht="11.25" customHeight="1" x14ac:dyDescent="0.2">
      <c r="A338" s="13"/>
      <c r="B338" s="238">
        <v>334</v>
      </c>
      <c r="C338" s="241" t="e">
        <f t="shared" ca="1" si="41"/>
        <v>#NUM!</v>
      </c>
      <c r="D338" s="237" t="s">
        <v>3980</v>
      </c>
      <c r="E338" s="239">
        <v>642401174</v>
      </c>
      <c r="F338" s="237">
        <v>1710000670938</v>
      </c>
      <c r="G338" s="240"/>
      <c r="H338" s="241" t="s">
        <v>217</v>
      </c>
      <c r="I338" s="241" t="s">
        <v>217</v>
      </c>
      <c r="J338" s="242">
        <v>45292</v>
      </c>
      <c r="K338" s="241"/>
      <c r="L338" s="241"/>
      <c r="M338" s="241" t="str">
        <f t="shared" si="45"/>
        <v>PKWT</v>
      </c>
      <c r="N338" s="241" t="s">
        <v>187</v>
      </c>
      <c r="O338" s="241"/>
      <c r="P338" s="243">
        <v>45657</v>
      </c>
      <c r="Q338" s="241"/>
      <c r="R338" s="241" t="s">
        <v>206</v>
      </c>
      <c r="S338" s="241" t="s">
        <v>6863</v>
      </c>
      <c r="T338" s="241" t="s">
        <v>312</v>
      </c>
      <c r="U338" s="241" t="s">
        <v>204</v>
      </c>
      <c r="V338" s="241" t="s">
        <v>208</v>
      </c>
      <c r="W338" s="241" t="s">
        <v>6908</v>
      </c>
      <c r="X338" s="241" t="s">
        <v>18</v>
      </c>
      <c r="Y338" s="241" t="s">
        <v>313</v>
      </c>
      <c r="Z338" s="241"/>
      <c r="AA338" s="241"/>
      <c r="AB338" s="241" t="s">
        <v>314</v>
      </c>
      <c r="AC338" s="241" t="s">
        <v>217</v>
      </c>
      <c r="AD338" s="245">
        <v>33548</v>
      </c>
      <c r="AE338" s="241">
        <f t="shared" ca="1" si="42"/>
        <v>33</v>
      </c>
      <c r="AF338" s="246" t="s">
        <v>3981</v>
      </c>
      <c r="AG338" s="241" t="s">
        <v>3982</v>
      </c>
      <c r="AH338" s="240" t="s">
        <v>3983</v>
      </c>
      <c r="AI338" s="240"/>
      <c r="AJ338" s="240"/>
      <c r="AK338" s="241" t="s">
        <v>3984</v>
      </c>
      <c r="AL338" s="246" t="s">
        <v>3985</v>
      </c>
      <c r="AM338" s="246" t="s">
        <v>6822</v>
      </c>
      <c r="AN338" s="241" t="s">
        <v>4733</v>
      </c>
      <c r="AO338" s="241"/>
      <c r="AP338" s="241"/>
      <c r="AQ338" s="241"/>
      <c r="AR338" s="241"/>
      <c r="AS338" s="241"/>
      <c r="AT338" s="241" t="s">
        <v>306</v>
      </c>
      <c r="AU338" s="241" t="s">
        <v>306</v>
      </c>
      <c r="AV338" s="241" t="s">
        <v>306</v>
      </c>
      <c r="AW338" s="241" t="s">
        <v>306</v>
      </c>
      <c r="AX338" s="241">
        <f t="shared" si="43"/>
        <v>0</v>
      </c>
      <c r="AY338" s="241" t="str">
        <f t="shared" si="44"/>
        <v>K/0</v>
      </c>
      <c r="AZ338" s="241"/>
      <c r="BA338" s="249"/>
      <c r="BB338" s="241" t="s">
        <v>161</v>
      </c>
      <c r="BC338" s="241" t="s">
        <v>349</v>
      </c>
      <c r="BD338" s="241" t="s">
        <v>527</v>
      </c>
      <c r="BE338" s="241" t="s">
        <v>516</v>
      </c>
      <c r="BF338" s="241">
        <v>2010</v>
      </c>
      <c r="BG338" s="241" t="s">
        <v>349</v>
      </c>
      <c r="BH338" s="241" t="s">
        <v>527</v>
      </c>
      <c r="BI338" s="241" t="s">
        <v>516</v>
      </c>
      <c r="BJ338" s="241">
        <v>2010</v>
      </c>
      <c r="BK338" s="241"/>
      <c r="BL338" s="241"/>
      <c r="BM338" s="241"/>
      <c r="BN338" s="241"/>
      <c r="BO338" s="241"/>
      <c r="BP338" s="241"/>
      <c r="BQ338" s="241"/>
      <c r="BR338" s="241"/>
      <c r="BS338" s="241"/>
      <c r="BT338" s="241"/>
      <c r="BU338" s="241"/>
      <c r="BV338" s="241"/>
      <c r="BW338" s="241"/>
      <c r="BX338" s="241"/>
      <c r="BY338" s="241"/>
      <c r="BZ338" s="241"/>
      <c r="CA338" s="241"/>
      <c r="CB338" s="241"/>
      <c r="CC338" s="241"/>
      <c r="CD338" s="241"/>
      <c r="CE338" s="241"/>
      <c r="CF338" s="13"/>
      <c r="CG338" s="13"/>
      <c r="CH338" s="13"/>
    </row>
    <row r="339" spans="1:86" ht="11.25" customHeight="1" x14ac:dyDescent="0.2">
      <c r="A339" s="13"/>
      <c r="B339" s="238">
        <v>335</v>
      </c>
      <c r="C339" s="241" t="e">
        <f t="shared" ca="1" si="41"/>
        <v>#NUM!</v>
      </c>
      <c r="D339" s="237" t="s">
        <v>3986</v>
      </c>
      <c r="E339" s="239">
        <v>642401177</v>
      </c>
      <c r="F339" s="237">
        <v>1710014724697</v>
      </c>
      <c r="G339" s="240"/>
      <c r="H339" s="241" t="s">
        <v>217</v>
      </c>
      <c r="I339" s="241" t="s">
        <v>32</v>
      </c>
      <c r="J339" s="242">
        <v>45292</v>
      </c>
      <c r="K339" s="241"/>
      <c r="L339" s="241"/>
      <c r="M339" s="241" t="str">
        <f t="shared" si="45"/>
        <v>PKWT</v>
      </c>
      <c r="N339" s="241" t="s">
        <v>187</v>
      </c>
      <c r="O339" s="241"/>
      <c r="P339" s="243">
        <v>45657</v>
      </c>
      <c r="Q339" s="241"/>
      <c r="R339" s="241" t="s">
        <v>206</v>
      </c>
      <c r="S339" s="241" t="s">
        <v>6863</v>
      </c>
      <c r="T339" s="241" t="s">
        <v>312</v>
      </c>
      <c r="U339" s="241" t="s">
        <v>32</v>
      </c>
      <c r="V339" s="241" t="s">
        <v>3833</v>
      </c>
      <c r="W339" s="241" t="s">
        <v>6911</v>
      </c>
      <c r="X339" s="241" t="s">
        <v>18</v>
      </c>
      <c r="Y339" s="241" t="s">
        <v>313</v>
      </c>
      <c r="Z339" s="241"/>
      <c r="AA339" s="241"/>
      <c r="AB339" s="241" t="s">
        <v>314</v>
      </c>
      <c r="AC339" s="241" t="s">
        <v>217</v>
      </c>
      <c r="AD339" s="245">
        <v>37364</v>
      </c>
      <c r="AE339" s="241">
        <f t="shared" ca="1" si="42"/>
        <v>23</v>
      </c>
      <c r="AF339" s="246" t="s">
        <v>3987</v>
      </c>
      <c r="AG339" s="241" t="s">
        <v>3988</v>
      </c>
      <c r="AH339" s="240" t="s">
        <v>3989</v>
      </c>
      <c r="AI339" s="240"/>
      <c r="AJ339" s="240"/>
      <c r="AK339" s="241" t="s">
        <v>3990</v>
      </c>
      <c r="AL339" s="246" t="s">
        <v>3991</v>
      </c>
      <c r="AM339" s="246">
        <v>23085566612</v>
      </c>
      <c r="AN339" s="241" t="s">
        <v>4716</v>
      </c>
      <c r="AO339" s="241"/>
      <c r="AP339" s="241"/>
      <c r="AQ339" s="241"/>
      <c r="AR339" s="241"/>
      <c r="AS339" s="241"/>
      <c r="AT339" s="241" t="s">
        <v>306</v>
      </c>
      <c r="AU339" s="241" t="s">
        <v>306</v>
      </c>
      <c r="AV339" s="241" t="s">
        <v>306</v>
      </c>
      <c r="AW339" s="241" t="s">
        <v>306</v>
      </c>
      <c r="AX339" s="241">
        <f t="shared" si="43"/>
        <v>0</v>
      </c>
      <c r="AY339" s="241" t="str">
        <f t="shared" si="44"/>
        <v>TK/0</v>
      </c>
      <c r="AZ339" s="241"/>
      <c r="BA339" s="249"/>
      <c r="BB339" s="241" t="s">
        <v>161</v>
      </c>
      <c r="BC339" s="241" t="s">
        <v>349</v>
      </c>
      <c r="BD339" s="241" t="s">
        <v>3992</v>
      </c>
      <c r="BE339" s="241" t="s">
        <v>3841</v>
      </c>
      <c r="BF339" s="241">
        <v>2021</v>
      </c>
      <c r="BG339" s="241" t="s">
        <v>349</v>
      </c>
      <c r="BH339" s="241" t="s">
        <v>3992</v>
      </c>
      <c r="BI339" s="241" t="s">
        <v>3841</v>
      </c>
      <c r="BJ339" s="241">
        <v>2021</v>
      </c>
      <c r="BK339" s="241"/>
      <c r="BL339" s="241"/>
      <c r="BM339" s="241"/>
      <c r="BN339" s="241"/>
      <c r="BO339" s="241"/>
      <c r="BP339" s="241"/>
      <c r="BQ339" s="241"/>
      <c r="BR339" s="241"/>
      <c r="BS339" s="241"/>
      <c r="BT339" s="241"/>
      <c r="BU339" s="241"/>
      <c r="BV339" s="241"/>
      <c r="BW339" s="241"/>
      <c r="BX339" s="241"/>
      <c r="BY339" s="241"/>
      <c r="BZ339" s="241"/>
      <c r="CA339" s="241"/>
      <c r="CB339" s="241"/>
      <c r="CC339" s="241"/>
      <c r="CD339" s="241"/>
      <c r="CE339" s="241"/>
      <c r="CF339" s="13"/>
      <c r="CG339" s="13"/>
      <c r="CH339" s="13"/>
    </row>
    <row r="340" spans="1:86" ht="11.25" customHeight="1" x14ac:dyDescent="0.2">
      <c r="A340" s="13"/>
      <c r="B340" s="238">
        <v>336</v>
      </c>
      <c r="C340" s="241" t="e">
        <f t="shared" ref="C340:C371" ca="1" si="46">DATEDIF($E$3,P340,"D")</f>
        <v>#NUM!</v>
      </c>
      <c r="D340" s="237" t="s">
        <v>3993</v>
      </c>
      <c r="E340" s="239">
        <v>642401178</v>
      </c>
      <c r="F340" s="237">
        <v>1710014729704</v>
      </c>
      <c r="G340" s="240"/>
      <c r="H340" s="241" t="s">
        <v>217</v>
      </c>
      <c r="I340" s="241" t="s">
        <v>217</v>
      </c>
      <c r="J340" s="242">
        <v>45292</v>
      </c>
      <c r="K340" s="241"/>
      <c r="L340" s="241"/>
      <c r="M340" s="241" t="str">
        <f t="shared" si="45"/>
        <v>PKWT</v>
      </c>
      <c r="N340" s="241" t="s">
        <v>187</v>
      </c>
      <c r="O340" s="241"/>
      <c r="P340" s="243">
        <v>45657</v>
      </c>
      <c r="Q340" s="241"/>
      <c r="R340" s="241" t="s">
        <v>206</v>
      </c>
      <c r="S340" s="241" t="s">
        <v>6863</v>
      </c>
      <c r="T340" s="241" t="s">
        <v>312</v>
      </c>
      <c r="U340" s="241" t="s">
        <v>204</v>
      </c>
      <c r="V340" s="241" t="s">
        <v>208</v>
      </c>
      <c r="W340" s="241" t="s">
        <v>6908</v>
      </c>
      <c r="X340" s="241" t="s">
        <v>18</v>
      </c>
      <c r="Y340" s="241" t="s">
        <v>313</v>
      </c>
      <c r="Z340" s="241"/>
      <c r="AA340" s="241"/>
      <c r="AB340" s="241" t="s">
        <v>314</v>
      </c>
      <c r="AC340" s="241" t="s">
        <v>217</v>
      </c>
      <c r="AD340" s="245">
        <v>36948</v>
      </c>
      <c r="AE340" s="241">
        <f t="shared" ca="1" si="42"/>
        <v>24</v>
      </c>
      <c r="AF340" s="246" t="s">
        <v>3994</v>
      </c>
      <c r="AG340" s="241" t="s">
        <v>3995</v>
      </c>
      <c r="AH340" s="240"/>
      <c r="AI340" s="240"/>
      <c r="AJ340" s="240"/>
      <c r="AK340" s="241" t="s">
        <v>3996</v>
      </c>
      <c r="AL340" s="246" t="s">
        <v>3997</v>
      </c>
      <c r="AM340" s="246">
        <v>24009885278</v>
      </c>
      <c r="AN340" s="241" t="s">
        <v>4716</v>
      </c>
      <c r="AO340" s="241"/>
      <c r="AP340" s="241"/>
      <c r="AQ340" s="241"/>
      <c r="AR340" s="241"/>
      <c r="AS340" s="241"/>
      <c r="AT340" s="241" t="s">
        <v>306</v>
      </c>
      <c r="AU340" s="241" t="s">
        <v>306</v>
      </c>
      <c r="AV340" s="241" t="s">
        <v>306</v>
      </c>
      <c r="AW340" s="241" t="s">
        <v>306</v>
      </c>
      <c r="AX340" s="241">
        <f t="shared" si="43"/>
        <v>0</v>
      </c>
      <c r="AY340" s="241" t="str">
        <f t="shared" si="44"/>
        <v>TK/0</v>
      </c>
      <c r="AZ340" s="241"/>
      <c r="BA340" s="249"/>
      <c r="BB340" s="241" t="s">
        <v>161</v>
      </c>
      <c r="BC340" s="241" t="s">
        <v>70</v>
      </c>
      <c r="BD340" s="241" t="s">
        <v>3527</v>
      </c>
      <c r="BE340" s="241" t="s">
        <v>100</v>
      </c>
      <c r="BF340" s="241">
        <v>2022</v>
      </c>
      <c r="BG340" s="241" t="s">
        <v>70</v>
      </c>
      <c r="BH340" s="241" t="s">
        <v>3527</v>
      </c>
      <c r="BI340" s="241" t="s">
        <v>100</v>
      </c>
      <c r="BJ340" s="241">
        <v>2022</v>
      </c>
      <c r="BK340" s="241"/>
      <c r="BL340" s="241"/>
      <c r="BM340" s="241"/>
      <c r="BN340" s="241"/>
      <c r="BO340" s="241"/>
      <c r="BP340" s="241"/>
      <c r="BQ340" s="241"/>
      <c r="BR340" s="241"/>
      <c r="BS340" s="241"/>
      <c r="BT340" s="241"/>
      <c r="BU340" s="241"/>
      <c r="BV340" s="241"/>
      <c r="BW340" s="241"/>
      <c r="BX340" s="241"/>
      <c r="BY340" s="241"/>
      <c r="BZ340" s="241"/>
      <c r="CA340" s="241"/>
      <c r="CB340" s="241"/>
      <c r="CC340" s="241"/>
      <c r="CD340" s="241"/>
      <c r="CE340" s="241"/>
      <c r="CF340" s="13"/>
      <c r="CG340" s="13"/>
      <c r="CH340" s="13"/>
    </row>
    <row r="341" spans="1:86" ht="11.25" customHeight="1" x14ac:dyDescent="0.2">
      <c r="A341" s="13"/>
      <c r="B341" s="238">
        <v>337</v>
      </c>
      <c r="C341" s="241" t="e">
        <f t="shared" ca="1" si="46"/>
        <v>#NUM!</v>
      </c>
      <c r="D341" s="237" t="s">
        <v>3998</v>
      </c>
      <c r="E341" s="239">
        <v>642401180</v>
      </c>
      <c r="F341" s="237">
        <v>1710014832169</v>
      </c>
      <c r="G341" s="240"/>
      <c r="H341" s="241" t="s">
        <v>217</v>
      </c>
      <c r="I341" s="241" t="s">
        <v>695</v>
      </c>
      <c r="J341" s="242">
        <v>45292</v>
      </c>
      <c r="K341" s="241"/>
      <c r="L341" s="241"/>
      <c r="M341" s="241" t="str">
        <f t="shared" si="45"/>
        <v>PKWT</v>
      </c>
      <c r="N341" s="241" t="s">
        <v>187</v>
      </c>
      <c r="O341" s="241"/>
      <c r="P341" s="243">
        <v>45657</v>
      </c>
      <c r="Q341" s="241"/>
      <c r="R341" s="241" t="s">
        <v>206</v>
      </c>
      <c r="S341" s="241" t="s">
        <v>6863</v>
      </c>
      <c r="T341" s="241" t="s">
        <v>312</v>
      </c>
      <c r="U341" s="241" t="s">
        <v>24</v>
      </c>
      <c r="V341" s="241" t="s">
        <v>443</v>
      </c>
      <c r="W341" s="241" t="s">
        <v>175</v>
      </c>
      <c r="X341" s="241" t="s">
        <v>121</v>
      </c>
      <c r="Y341" s="241" t="s">
        <v>313</v>
      </c>
      <c r="Z341" s="241"/>
      <c r="AA341" s="241"/>
      <c r="AB341" s="241" t="s">
        <v>314</v>
      </c>
      <c r="AC341" s="241" t="s">
        <v>695</v>
      </c>
      <c r="AD341" s="245">
        <v>36775</v>
      </c>
      <c r="AE341" s="241">
        <f t="shared" ca="1" si="42"/>
        <v>25</v>
      </c>
      <c r="AF341" s="246" t="s">
        <v>3999</v>
      </c>
      <c r="AG341" s="241" t="s">
        <v>4000</v>
      </c>
      <c r="AH341" s="240" t="s">
        <v>4001</v>
      </c>
      <c r="AI341" s="240"/>
      <c r="AJ341" s="240"/>
      <c r="AK341" s="241" t="s">
        <v>4002</v>
      </c>
      <c r="AL341" s="246" t="s">
        <v>4003</v>
      </c>
      <c r="AM341" s="246">
        <v>24009885377</v>
      </c>
      <c r="AN341" s="241" t="s">
        <v>4716</v>
      </c>
      <c r="AO341" s="241"/>
      <c r="AP341" s="241"/>
      <c r="AQ341" s="241"/>
      <c r="AR341" s="241"/>
      <c r="AS341" s="241"/>
      <c r="AT341" s="241" t="s">
        <v>306</v>
      </c>
      <c r="AU341" s="241" t="s">
        <v>306</v>
      </c>
      <c r="AV341" s="241" t="s">
        <v>306</v>
      </c>
      <c r="AW341" s="241" t="s">
        <v>306</v>
      </c>
      <c r="AX341" s="241">
        <f t="shared" si="43"/>
        <v>0</v>
      </c>
      <c r="AY341" s="241" t="str">
        <f t="shared" si="44"/>
        <v>TK/0</v>
      </c>
      <c r="AZ341" s="241"/>
      <c r="BA341" s="249"/>
      <c r="BB341" s="241" t="s">
        <v>161</v>
      </c>
      <c r="BC341" s="241" t="s">
        <v>156</v>
      </c>
      <c r="BD341" s="241" t="s">
        <v>3884</v>
      </c>
      <c r="BE341" s="241" t="s">
        <v>72</v>
      </c>
      <c r="BF341" s="241">
        <v>2022</v>
      </c>
      <c r="BG341" s="241" t="s">
        <v>156</v>
      </c>
      <c r="BH341" s="241" t="s">
        <v>3884</v>
      </c>
      <c r="BI341" s="241" t="s">
        <v>72</v>
      </c>
      <c r="BJ341" s="241">
        <v>2022</v>
      </c>
      <c r="BK341" s="241"/>
      <c r="BL341" s="241"/>
      <c r="BM341" s="241"/>
      <c r="BN341" s="241"/>
      <c r="BO341" s="241"/>
      <c r="BP341" s="241"/>
      <c r="BQ341" s="241"/>
      <c r="BR341" s="241"/>
      <c r="BS341" s="241"/>
      <c r="BT341" s="241"/>
      <c r="BU341" s="241"/>
      <c r="BV341" s="241"/>
      <c r="BW341" s="241"/>
      <c r="BX341" s="241"/>
      <c r="BY341" s="241"/>
      <c r="BZ341" s="241"/>
      <c r="CA341" s="241"/>
      <c r="CB341" s="241"/>
      <c r="CC341" s="241"/>
      <c r="CD341" s="241"/>
      <c r="CE341" s="241"/>
      <c r="CF341" s="13"/>
      <c r="CG341" s="13"/>
      <c r="CH341" s="13"/>
    </row>
    <row r="342" spans="1:86" ht="11.25" customHeight="1" x14ac:dyDescent="0.2">
      <c r="A342" s="13"/>
      <c r="B342" s="238">
        <v>338</v>
      </c>
      <c r="C342" s="241" t="e">
        <f t="shared" ca="1" si="46"/>
        <v>#NUM!</v>
      </c>
      <c r="D342" s="237" t="s">
        <v>4004</v>
      </c>
      <c r="E342" s="239">
        <v>642401181</v>
      </c>
      <c r="F342" s="237">
        <v>1710001954356</v>
      </c>
      <c r="G342" s="240"/>
      <c r="H342" s="241" t="s">
        <v>217</v>
      </c>
      <c r="I342" s="241" t="s">
        <v>311</v>
      </c>
      <c r="J342" s="242">
        <v>45292</v>
      </c>
      <c r="K342" s="241"/>
      <c r="L342" s="241"/>
      <c r="M342" s="241" t="str">
        <f t="shared" si="45"/>
        <v>PKWT</v>
      </c>
      <c r="N342" s="241" t="s">
        <v>187</v>
      </c>
      <c r="O342" s="241"/>
      <c r="P342" s="243">
        <v>45657</v>
      </c>
      <c r="Q342" s="241"/>
      <c r="R342" s="241" t="s">
        <v>206</v>
      </c>
      <c r="S342" s="241" t="s">
        <v>6863</v>
      </c>
      <c r="T342" s="241" t="s">
        <v>312</v>
      </c>
      <c r="U342" s="241" t="s">
        <v>27</v>
      </c>
      <c r="V342" s="241" t="s">
        <v>204</v>
      </c>
      <c r="W342" s="241" t="s">
        <v>6183</v>
      </c>
      <c r="X342" s="241" t="s">
        <v>121</v>
      </c>
      <c r="Y342" s="241" t="s">
        <v>313</v>
      </c>
      <c r="Z342" s="241"/>
      <c r="AA342" s="241"/>
      <c r="AB342" s="241" t="s">
        <v>314</v>
      </c>
      <c r="AC342" s="241" t="s">
        <v>311</v>
      </c>
      <c r="AD342" s="245">
        <v>35576</v>
      </c>
      <c r="AE342" s="241">
        <f t="shared" ca="1" si="42"/>
        <v>28</v>
      </c>
      <c r="AF342" s="246" t="s">
        <v>4005</v>
      </c>
      <c r="AG342" s="241" t="s">
        <v>4006</v>
      </c>
      <c r="AH342" s="240" t="s">
        <v>4007</v>
      </c>
      <c r="AI342" s="240"/>
      <c r="AJ342" s="240"/>
      <c r="AK342" s="241" t="s">
        <v>4008</v>
      </c>
      <c r="AL342" s="246" t="s">
        <v>4009</v>
      </c>
      <c r="AM342" s="246">
        <v>16029748601</v>
      </c>
      <c r="AN342" s="241" t="s">
        <v>4716</v>
      </c>
      <c r="AO342" s="241"/>
      <c r="AP342" s="241"/>
      <c r="AQ342" s="241"/>
      <c r="AR342" s="241"/>
      <c r="AS342" s="241"/>
      <c r="AT342" s="241" t="s">
        <v>306</v>
      </c>
      <c r="AU342" s="241" t="s">
        <v>306</v>
      </c>
      <c r="AV342" s="241" t="s">
        <v>306</v>
      </c>
      <c r="AW342" s="241" t="s">
        <v>306</v>
      </c>
      <c r="AX342" s="241">
        <f t="shared" si="43"/>
        <v>0</v>
      </c>
      <c r="AY342" s="241" t="str">
        <f t="shared" si="44"/>
        <v>TK/0</v>
      </c>
      <c r="AZ342" s="241"/>
      <c r="BA342" s="249"/>
      <c r="BB342" s="241" t="s">
        <v>161</v>
      </c>
      <c r="BC342" s="241" t="s">
        <v>349</v>
      </c>
      <c r="BD342" s="241" t="s">
        <v>4010</v>
      </c>
      <c r="BE342" s="241" t="s">
        <v>3877</v>
      </c>
      <c r="BF342" s="241">
        <v>2016</v>
      </c>
      <c r="BG342" s="241" t="s">
        <v>349</v>
      </c>
      <c r="BH342" s="241" t="s">
        <v>4010</v>
      </c>
      <c r="BI342" s="241" t="s">
        <v>3877</v>
      </c>
      <c r="BJ342" s="241">
        <v>2016</v>
      </c>
      <c r="BK342" s="241"/>
      <c r="BL342" s="241"/>
      <c r="BM342" s="241"/>
      <c r="BN342" s="241"/>
      <c r="BO342" s="241"/>
      <c r="BP342" s="241"/>
      <c r="BQ342" s="241"/>
      <c r="BR342" s="241"/>
      <c r="BS342" s="241"/>
      <c r="BT342" s="241"/>
      <c r="BU342" s="241"/>
      <c r="BV342" s="241"/>
      <c r="BW342" s="241"/>
      <c r="BX342" s="241"/>
      <c r="BY342" s="241"/>
      <c r="BZ342" s="241"/>
      <c r="CA342" s="241"/>
      <c r="CB342" s="241"/>
      <c r="CC342" s="241"/>
      <c r="CD342" s="241"/>
      <c r="CE342" s="241"/>
      <c r="CF342" s="13"/>
      <c r="CG342" s="13"/>
      <c r="CH342" s="13"/>
    </row>
    <row r="343" spans="1:86" ht="11.25" customHeight="1" x14ac:dyDescent="0.2">
      <c r="A343" s="13"/>
      <c r="B343" s="238">
        <v>339</v>
      </c>
      <c r="C343" s="241" t="e">
        <f t="shared" ca="1" si="46"/>
        <v>#NUM!</v>
      </c>
      <c r="D343" s="237" t="s">
        <v>4011</v>
      </c>
      <c r="E343" s="239">
        <v>642401182</v>
      </c>
      <c r="F343" s="237">
        <v>1710014828027</v>
      </c>
      <c r="G343" s="240"/>
      <c r="H343" s="241" t="s">
        <v>217</v>
      </c>
      <c r="I343" s="241" t="s">
        <v>311</v>
      </c>
      <c r="J343" s="242">
        <v>45292</v>
      </c>
      <c r="K343" s="241"/>
      <c r="L343" s="241"/>
      <c r="M343" s="241" t="str">
        <f t="shared" si="45"/>
        <v>PKWT</v>
      </c>
      <c r="N343" s="241" t="s">
        <v>187</v>
      </c>
      <c r="O343" s="241"/>
      <c r="P343" s="243">
        <v>45657</v>
      </c>
      <c r="Q343" s="241"/>
      <c r="R343" s="241" t="s">
        <v>206</v>
      </c>
      <c r="S343" s="241" t="s">
        <v>6863</v>
      </c>
      <c r="T343" s="241" t="s">
        <v>312</v>
      </c>
      <c r="U343" s="241" t="s">
        <v>204</v>
      </c>
      <c r="V343" s="241" t="s">
        <v>6211</v>
      </c>
      <c r="W343" s="241" t="s">
        <v>121</v>
      </c>
      <c r="X343" s="241" t="s">
        <v>121</v>
      </c>
      <c r="Y343" s="241" t="s">
        <v>313</v>
      </c>
      <c r="Z343" s="241"/>
      <c r="AA343" s="241"/>
      <c r="AB343" s="241" t="s">
        <v>314</v>
      </c>
      <c r="AC343" s="241" t="s">
        <v>311</v>
      </c>
      <c r="AD343" s="245">
        <v>35737</v>
      </c>
      <c r="AE343" s="241">
        <f t="shared" ca="1" si="42"/>
        <v>27</v>
      </c>
      <c r="AF343" s="246" t="s">
        <v>4012</v>
      </c>
      <c r="AG343" s="241" t="s">
        <v>4013</v>
      </c>
      <c r="AH343" s="240" t="s">
        <v>4014</v>
      </c>
      <c r="AI343" s="240"/>
      <c r="AJ343" s="240"/>
      <c r="AK343" s="241" t="s">
        <v>4015</v>
      </c>
      <c r="AL343" s="246" t="s">
        <v>4016</v>
      </c>
      <c r="AM343" s="246">
        <v>24009885641</v>
      </c>
      <c r="AN343" s="241" t="s">
        <v>4716</v>
      </c>
      <c r="AO343" s="241"/>
      <c r="AP343" s="241"/>
      <c r="AQ343" s="241"/>
      <c r="AR343" s="241"/>
      <c r="AS343" s="241"/>
      <c r="AT343" s="241" t="s">
        <v>306</v>
      </c>
      <c r="AU343" s="241" t="s">
        <v>306</v>
      </c>
      <c r="AV343" s="241" t="s">
        <v>306</v>
      </c>
      <c r="AW343" s="241" t="s">
        <v>306</v>
      </c>
      <c r="AX343" s="241">
        <f t="shared" si="43"/>
        <v>0</v>
      </c>
      <c r="AY343" s="241" t="str">
        <f t="shared" si="44"/>
        <v>TK/0</v>
      </c>
      <c r="AZ343" s="241"/>
      <c r="BA343" s="249"/>
      <c r="BB343" s="241" t="s">
        <v>161</v>
      </c>
      <c r="BC343" s="241" t="s">
        <v>349</v>
      </c>
      <c r="BD343" s="241" t="s">
        <v>4010</v>
      </c>
      <c r="BE343" s="241" t="s">
        <v>3877</v>
      </c>
      <c r="BF343" s="241">
        <v>2016</v>
      </c>
      <c r="BG343" s="241" t="s">
        <v>349</v>
      </c>
      <c r="BH343" s="241" t="s">
        <v>4010</v>
      </c>
      <c r="BI343" s="241" t="s">
        <v>3877</v>
      </c>
      <c r="BJ343" s="241">
        <v>2016</v>
      </c>
      <c r="BK343" s="241"/>
      <c r="BL343" s="241"/>
      <c r="BM343" s="241"/>
      <c r="BN343" s="241"/>
      <c r="BO343" s="241"/>
      <c r="BP343" s="241"/>
      <c r="BQ343" s="241"/>
      <c r="BR343" s="241"/>
      <c r="BS343" s="241"/>
      <c r="BT343" s="241"/>
      <c r="BU343" s="241"/>
      <c r="BV343" s="241"/>
      <c r="BW343" s="241"/>
      <c r="BX343" s="241"/>
      <c r="BY343" s="241"/>
      <c r="BZ343" s="241"/>
      <c r="CA343" s="241"/>
      <c r="CB343" s="241"/>
      <c r="CC343" s="241"/>
      <c r="CD343" s="241"/>
      <c r="CE343" s="241"/>
      <c r="CF343" s="13"/>
      <c r="CG343" s="13"/>
      <c r="CH343" s="13"/>
    </row>
    <row r="344" spans="1:86" ht="11.25" customHeight="1" x14ac:dyDescent="0.2">
      <c r="A344" s="13"/>
      <c r="B344" s="238">
        <v>340</v>
      </c>
      <c r="C344" s="241" t="e">
        <f t="shared" ca="1" si="46"/>
        <v>#NUM!</v>
      </c>
      <c r="D344" s="237" t="s">
        <v>4017</v>
      </c>
      <c r="E344" s="239">
        <v>642401183</v>
      </c>
      <c r="F344" s="237">
        <v>1710014832151</v>
      </c>
      <c r="G344" s="240"/>
      <c r="H344" s="241" t="s">
        <v>217</v>
      </c>
      <c r="I344" s="241" t="s">
        <v>432</v>
      </c>
      <c r="J344" s="242">
        <v>45292</v>
      </c>
      <c r="K344" s="241"/>
      <c r="L344" s="241"/>
      <c r="M344" s="241" t="str">
        <f t="shared" si="45"/>
        <v>PKWT</v>
      </c>
      <c r="N344" s="241" t="s">
        <v>187</v>
      </c>
      <c r="O344" s="241"/>
      <c r="P344" s="243">
        <v>45657</v>
      </c>
      <c r="Q344" s="241"/>
      <c r="R344" s="241" t="s">
        <v>206</v>
      </c>
      <c r="S344" s="241" t="s">
        <v>6863</v>
      </c>
      <c r="T344" s="241" t="s">
        <v>312</v>
      </c>
      <c r="U344" s="241" t="s">
        <v>24</v>
      </c>
      <c r="V344" s="241" t="s">
        <v>204</v>
      </c>
      <c r="W344" s="241" t="s">
        <v>629</v>
      </c>
      <c r="X344" s="241" t="s">
        <v>121</v>
      </c>
      <c r="Y344" s="241" t="s">
        <v>313</v>
      </c>
      <c r="Z344" s="241"/>
      <c r="AA344" s="241"/>
      <c r="AB344" s="241" t="s">
        <v>314</v>
      </c>
      <c r="AC344" s="241" t="s">
        <v>432</v>
      </c>
      <c r="AD344" s="245">
        <v>37779</v>
      </c>
      <c r="AE344" s="241">
        <f t="shared" ca="1" si="42"/>
        <v>22</v>
      </c>
      <c r="AF344" s="246" t="s">
        <v>4018</v>
      </c>
      <c r="AG344" s="241" t="s">
        <v>4019</v>
      </c>
      <c r="AH344" s="240" t="s">
        <v>4020</v>
      </c>
      <c r="AI344" s="240"/>
      <c r="AJ344" s="240"/>
      <c r="AK344" s="241" t="s">
        <v>4021</v>
      </c>
      <c r="AL344" s="246" t="s">
        <v>4022</v>
      </c>
      <c r="AM344" s="246">
        <v>22017315650</v>
      </c>
      <c r="AN344" s="241" t="s">
        <v>4716</v>
      </c>
      <c r="AO344" s="241"/>
      <c r="AP344" s="241"/>
      <c r="AQ344" s="241"/>
      <c r="AR344" s="241"/>
      <c r="AS344" s="241"/>
      <c r="AT344" s="241" t="s">
        <v>4023</v>
      </c>
      <c r="AU344" s="241" t="s">
        <v>4024</v>
      </c>
      <c r="AV344" s="241" t="s">
        <v>306</v>
      </c>
      <c r="AW344" s="241" t="s">
        <v>306</v>
      </c>
      <c r="AX344" s="241">
        <f t="shared" si="43"/>
        <v>0</v>
      </c>
      <c r="AY344" s="241" t="str">
        <f t="shared" si="44"/>
        <v>TK/0</v>
      </c>
      <c r="AZ344" s="241" t="s">
        <v>4025</v>
      </c>
      <c r="BA344" s="241" t="s">
        <v>4025</v>
      </c>
      <c r="BB344" s="241" t="s">
        <v>161</v>
      </c>
      <c r="BC344" s="241" t="s">
        <v>349</v>
      </c>
      <c r="BD344" s="241" t="s">
        <v>515</v>
      </c>
      <c r="BE344" s="241" t="s">
        <v>4026</v>
      </c>
      <c r="BF344" s="241">
        <v>2021</v>
      </c>
      <c r="BG344" s="241" t="s">
        <v>349</v>
      </c>
      <c r="BH344" s="241" t="s">
        <v>515</v>
      </c>
      <c r="BI344" s="241" t="s">
        <v>4026</v>
      </c>
      <c r="BJ344" s="241">
        <v>2021</v>
      </c>
      <c r="BK344" s="241"/>
      <c r="BL344" s="241"/>
      <c r="BM344" s="241"/>
      <c r="BN344" s="241"/>
      <c r="BO344" s="241"/>
      <c r="BP344" s="241"/>
      <c r="BQ344" s="241"/>
      <c r="BR344" s="241"/>
      <c r="BS344" s="241"/>
      <c r="BT344" s="241"/>
      <c r="BU344" s="241"/>
      <c r="BV344" s="241"/>
      <c r="BW344" s="241"/>
      <c r="BX344" s="241"/>
      <c r="BY344" s="241"/>
      <c r="BZ344" s="241"/>
      <c r="CA344" s="241"/>
      <c r="CB344" s="241"/>
      <c r="CC344" s="241"/>
      <c r="CD344" s="241"/>
      <c r="CE344" s="241"/>
      <c r="CF344" s="13"/>
      <c r="CG344" s="13"/>
      <c r="CH344" s="13"/>
    </row>
    <row r="345" spans="1:86" ht="11.25" customHeight="1" x14ac:dyDescent="0.2">
      <c r="A345" s="13"/>
      <c r="B345" s="238">
        <v>341</v>
      </c>
      <c r="C345" s="241" t="e">
        <f t="shared" ca="1" si="46"/>
        <v>#NUM!</v>
      </c>
      <c r="D345" s="237" t="s">
        <v>4027</v>
      </c>
      <c r="E345" s="239">
        <v>642401184</v>
      </c>
      <c r="F345" s="237">
        <v>1710014730694</v>
      </c>
      <c r="G345" s="240"/>
      <c r="H345" s="241" t="s">
        <v>217</v>
      </c>
      <c r="I345" s="241" t="s">
        <v>217</v>
      </c>
      <c r="J345" s="242">
        <v>45292</v>
      </c>
      <c r="K345" s="241"/>
      <c r="L345" s="241"/>
      <c r="M345" s="241" t="str">
        <f t="shared" si="45"/>
        <v>PKWT</v>
      </c>
      <c r="N345" s="241" t="s">
        <v>187</v>
      </c>
      <c r="O345" s="241"/>
      <c r="P345" s="243">
        <v>45657</v>
      </c>
      <c r="Q345" s="241"/>
      <c r="R345" s="241" t="s">
        <v>206</v>
      </c>
      <c r="S345" s="241" t="s">
        <v>6863</v>
      </c>
      <c r="T345" s="241" t="s">
        <v>312</v>
      </c>
      <c r="U345" s="241" t="s">
        <v>204</v>
      </c>
      <c r="V345" s="241" t="s">
        <v>6211</v>
      </c>
      <c r="W345" s="241" t="s">
        <v>121</v>
      </c>
      <c r="X345" s="241" t="s">
        <v>121</v>
      </c>
      <c r="Y345" s="241" t="s">
        <v>313</v>
      </c>
      <c r="Z345" s="241"/>
      <c r="AA345" s="241"/>
      <c r="AB345" s="241" t="s">
        <v>314</v>
      </c>
      <c r="AC345" s="241" t="s">
        <v>217</v>
      </c>
      <c r="AD345" s="245">
        <v>36868</v>
      </c>
      <c r="AE345" s="241">
        <f t="shared" ca="1" si="42"/>
        <v>24</v>
      </c>
      <c r="AF345" s="246" t="s">
        <v>4028</v>
      </c>
      <c r="AG345" s="241" t="s">
        <v>4029</v>
      </c>
      <c r="AH345" s="240" t="s">
        <v>4030</v>
      </c>
      <c r="AI345" s="240"/>
      <c r="AJ345" s="240"/>
      <c r="AK345" s="241" t="s">
        <v>4031</v>
      </c>
      <c r="AL345" s="246" t="s">
        <v>4032</v>
      </c>
      <c r="AM345" s="246">
        <v>24009885112</v>
      </c>
      <c r="AN345" s="241" t="s">
        <v>4716</v>
      </c>
      <c r="AO345" s="241"/>
      <c r="AP345" s="241"/>
      <c r="AQ345" s="241"/>
      <c r="AR345" s="241"/>
      <c r="AS345" s="241"/>
      <c r="AT345" s="241" t="s">
        <v>306</v>
      </c>
      <c r="AU345" s="241" t="s">
        <v>306</v>
      </c>
      <c r="AV345" s="241" t="s">
        <v>306</v>
      </c>
      <c r="AW345" s="241" t="s">
        <v>306</v>
      </c>
      <c r="AX345" s="241">
        <f t="shared" si="43"/>
        <v>0</v>
      </c>
      <c r="AY345" s="241" t="str">
        <f t="shared" si="44"/>
        <v>TK/0</v>
      </c>
      <c r="AZ345" s="241"/>
      <c r="BA345" s="249"/>
      <c r="BB345" s="241" t="s">
        <v>161</v>
      </c>
      <c r="BC345" s="241" t="s">
        <v>70</v>
      </c>
      <c r="BD345" s="241" t="s">
        <v>2834</v>
      </c>
      <c r="BE345" s="241" t="s">
        <v>72</v>
      </c>
      <c r="BF345" s="241">
        <v>2022</v>
      </c>
      <c r="BG345" s="241" t="s">
        <v>70</v>
      </c>
      <c r="BH345" s="241" t="s">
        <v>2834</v>
      </c>
      <c r="BI345" s="241" t="s">
        <v>72</v>
      </c>
      <c r="BJ345" s="241">
        <v>2022</v>
      </c>
      <c r="BK345" s="241"/>
      <c r="BL345" s="241"/>
      <c r="BM345" s="241"/>
      <c r="BN345" s="241"/>
      <c r="BO345" s="241"/>
      <c r="BP345" s="241"/>
      <c r="BQ345" s="241"/>
      <c r="BR345" s="241"/>
      <c r="BS345" s="241"/>
      <c r="BT345" s="241"/>
      <c r="BU345" s="241"/>
      <c r="BV345" s="241"/>
      <c r="BW345" s="241"/>
      <c r="BX345" s="241"/>
      <c r="BY345" s="241"/>
      <c r="BZ345" s="241"/>
      <c r="CA345" s="241"/>
      <c r="CB345" s="241"/>
      <c r="CC345" s="241"/>
      <c r="CD345" s="241"/>
      <c r="CE345" s="241"/>
      <c r="CF345" s="13"/>
      <c r="CG345" s="13"/>
      <c r="CH345" s="13"/>
    </row>
    <row r="346" spans="1:86" ht="11.25" customHeight="1" x14ac:dyDescent="0.2">
      <c r="A346" s="13"/>
      <c r="B346" s="238">
        <v>342</v>
      </c>
      <c r="C346" s="241" t="e">
        <f t="shared" ca="1" si="46"/>
        <v>#NUM!</v>
      </c>
      <c r="D346" s="237" t="s">
        <v>4033</v>
      </c>
      <c r="E346" s="239">
        <v>642401185</v>
      </c>
      <c r="F346" s="237">
        <v>1710014749769</v>
      </c>
      <c r="G346" s="240"/>
      <c r="H346" s="241" t="s">
        <v>217</v>
      </c>
      <c r="I346" s="241" t="s">
        <v>311</v>
      </c>
      <c r="J346" s="242">
        <v>45292</v>
      </c>
      <c r="K346" s="241"/>
      <c r="L346" s="241"/>
      <c r="M346" s="241" t="str">
        <f t="shared" si="45"/>
        <v>PKWT</v>
      </c>
      <c r="N346" s="241" t="s">
        <v>187</v>
      </c>
      <c r="O346" s="241"/>
      <c r="P346" s="243">
        <v>45657</v>
      </c>
      <c r="Q346" s="241"/>
      <c r="R346" s="241" t="s">
        <v>206</v>
      </c>
      <c r="S346" s="241" t="s">
        <v>6863</v>
      </c>
      <c r="T346" s="241" t="s">
        <v>312</v>
      </c>
      <c r="U346" s="241" t="s">
        <v>204</v>
      </c>
      <c r="V346" s="241" t="s">
        <v>6211</v>
      </c>
      <c r="W346" s="241" t="s">
        <v>121</v>
      </c>
      <c r="X346" s="241" t="s">
        <v>121</v>
      </c>
      <c r="Y346" s="241" t="s">
        <v>313</v>
      </c>
      <c r="Z346" s="241"/>
      <c r="AA346" s="241"/>
      <c r="AB346" s="241" t="s">
        <v>314</v>
      </c>
      <c r="AC346" s="241" t="s">
        <v>217</v>
      </c>
      <c r="AD346" s="245">
        <v>37212</v>
      </c>
      <c r="AE346" s="241">
        <f t="shared" ca="1" si="42"/>
        <v>23</v>
      </c>
      <c r="AF346" s="246" t="s">
        <v>4034</v>
      </c>
      <c r="AG346" s="241" t="s">
        <v>4035</v>
      </c>
      <c r="AH346" s="240" t="s">
        <v>4036</v>
      </c>
      <c r="AI346" s="240"/>
      <c r="AJ346" s="240"/>
      <c r="AK346" s="241" t="s">
        <v>4037</v>
      </c>
      <c r="AL346" s="246" t="s">
        <v>4038</v>
      </c>
      <c r="AM346" s="246">
        <v>24009885591</v>
      </c>
      <c r="AN346" s="241" t="s">
        <v>4716</v>
      </c>
      <c r="AO346" s="241"/>
      <c r="AP346" s="241"/>
      <c r="AQ346" s="241"/>
      <c r="AR346" s="241"/>
      <c r="AS346" s="241"/>
      <c r="AT346" s="241" t="s">
        <v>306</v>
      </c>
      <c r="AU346" s="241" t="s">
        <v>306</v>
      </c>
      <c r="AV346" s="241" t="s">
        <v>306</v>
      </c>
      <c r="AW346" s="241" t="s">
        <v>306</v>
      </c>
      <c r="AX346" s="241">
        <f t="shared" si="43"/>
        <v>0</v>
      </c>
      <c r="AY346" s="241" t="str">
        <f t="shared" si="44"/>
        <v>TK/0</v>
      </c>
      <c r="AZ346" s="241"/>
      <c r="BA346" s="249"/>
      <c r="BB346" s="241" t="s">
        <v>161</v>
      </c>
      <c r="BC346" s="241" t="s">
        <v>70</v>
      </c>
      <c r="BD346" s="241" t="s">
        <v>2834</v>
      </c>
      <c r="BE346" s="241" t="s">
        <v>72</v>
      </c>
      <c r="BF346" s="241">
        <v>2023</v>
      </c>
      <c r="BG346" s="241" t="s">
        <v>70</v>
      </c>
      <c r="BH346" s="241" t="s">
        <v>2834</v>
      </c>
      <c r="BI346" s="241" t="s">
        <v>72</v>
      </c>
      <c r="BJ346" s="241">
        <v>2023</v>
      </c>
      <c r="BK346" s="241"/>
      <c r="BL346" s="241"/>
      <c r="BM346" s="241"/>
      <c r="BN346" s="241"/>
      <c r="BO346" s="241"/>
      <c r="BP346" s="241"/>
      <c r="BQ346" s="241"/>
      <c r="BR346" s="241"/>
      <c r="BS346" s="241"/>
      <c r="BT346" s="241"/>
      <c r="BU346" s="241"/>
      <c r="BV346" s="241"/>
      <c r="BW346" s="241"/>
      <c r="BX346" s="241"/>
      <c r="BY346" s="241"/>
      <c r="BZ346" s="241"/>
      <c r="CA346" s="241"/>
      <c r="CB346" s="241"/>
      <c r="CC346" s="241"/>
      <c r="CD346" s="241"/>
      <c r="CE346" s="241"/>
      <c r="CF346" s="13"/>
      <c r="CG346" s="13"/>
      <c r="CH346" s="13"/>
    </row>
    <row r="347" spans="1:86" ht="11.25" customHeight="1" x14ac:dyDescent="0.2">
      <c r="A347" s="13"/>
      <c r="B347" s="238">
        <v>343</v>
      </c>
      <c r="C347" s="241" t="e">
        <f t="shared" ca="1" si="46"/>
        <v>#NUM!</v>
      </c>
      <c r="D347" s="237" t="s">
        <v>4039</v>
      </c>
      <c r="E347" s="239">
        <v>642401186</v>
      </c>
      <c r="F347" s="237">
        <v>1710014729035</v>
      </c>
      <c r="G347" s="240"/>
      <c r="H347" s="241" t="s">
        <v>217</v>
      </c>
      <c r="I347" s="241" t="s">
        <v>311</v>
      </c>
      <c r="J347" s="242">
        <v>45292</v>
      </c>
      <c r="K347" s="241"/>
      <c r="L347" s="241"/>
      <c r="M347" s="241" t="str">
        <f t="shared" si="45"/>
        <v>PKWT</v>
      </c>
      <c r="N347" s="241" t="s">
        <v>187</v>
      </c>
      <c r="O347" s="241"/>
      <c r="P347" s="243">
        <v>45657</v>
      </c>
      <c r="Q347" s="241"/>
      <c r="R347" s="241" t="s">
        <v>206</v>
      </c>
      <c r="S347" s="241" t="s">
        <v>6863</v>
      </c>
      <c r="T347" s="241" t="s">
        <v>312</v>
      </c>
      <c r="U347" s="241" t="s">
        <v>204</v>
      </c>
      <c r="V347" s="241" t="s">
        <v>6211</v>
      </c>
      <c r="W347" s="241" t="s">
        <v>121</v>
      </c>
      <c r="X347" s="241" t="s">
        <v>121</v>
      </c>
      <c r="Y347" s="241" t="s">
        <v>313</v>
      </c>
      <c r="Z347" s="241"/>
      <c r="AA347" s="241"/>
      <c r="AB347" s="241" t="s">
        <v>314</v>
      </c>
      <c r="AC347" s="241" t="s">
        <v>217</v>
      </c>
      <c r="AD347" s="245">
        <v>37421</v>
      </c>
      <c r="AE347" s="241">
        <f t="shared" ca="1" si="42"/>
        <v>23</v>
      </c>
      <c r="AF347" s="246" t="s">
        <v>4040</v>
      </c>
      <c r="AG347" s="241" t="s">
        <v>4041</v>
      </c>
      <c r="AH347" s="240" t="s">
        <v>4042</v>
      </c>
      <c r="AI347" s="240"/>
      <c r="AJ347" s="240"/>
      <c r="AK347" s="241" t="s">
        <v>4043</v>
      </c>
      <c r="AL347" s="246" t="s">
        <v>4044</v>
      </c>
      <c r="AM347" s="246">
        <v>24009885260</v>
      </c>
      <c r="AN347" s="241" t="s">
        <v>4716</v>
      </c>
      <c r="AO347" s="241"/>
      <c r="AP347" s="241"/>
      <c r="AQ347" s="241"/>
      <c r="AR347" s="241"/>
      <c r="AS347" s="241"/>
      <c r="AT347" s="241" t="s">
        <v>306</v>
      </c>
      <c r="AU347" s="241" t="s">
        <v>306</v>
      </c>
      <c r="AV347" s="241" t="s">
        <v>306</v>
      </c>
      <c r="AW347" s="241" t="s">
        <v>306</v>
      </c>
      <c r="AX347" s="241">
        <f t="shared" si="43"/>
        <v>0</v>
      </c>
      <c r="AY347" s="241" t="str">
        <f t="shared" si="44"/>
        <v>TK/0</v>
      </c>
      <c r="AZ347" s="241"/>
      <c r="BA347" s="249"/>
      <c r="BB347" s="241" t="s">
        <v>161</v>
      </c>
      <c r="BC347" s="241" t="s">
        <v>70</v>
      </c>
      <c r="BD347" s="241" t="s">
        <v>2834</v>
      </c>
      <c r="BE347" s="241" t="s">
        <v>72</v>
      </c>
      <c r="BF347" s="241">
        <v>2023</v>
      </c>
      <c r="BG347" s="241" t="s">
        <v>70</v>
      </c>
      <c r="BH347" s="241" t="s">
        <v>2834</v>
      </c>
      <c r="BI347" s="241" t="s">
        <v>72</v>
      </c>
      <c r="BJ347" s="241">
        <v>2023</v>
      </c>
      <c r="BK347" s="241"/>
      <c r="BL347" s="241"/>
      <c r="BM347" s="241"/>
      <c r="BN347" s="241"/>
      <c r="BO347" s="241"/>
      <c r="BP347" s="241"/>
      <c r="BQ347" s="241"/>
      <c r="BR347" s="241"/>
      <c r="BS347" s="241"/>
      <c r="BT347" s="241"/>
      <c r="BU347" s="241"/>
      <c r="BV347" s="241"/>
      <c r="BW347" s="241"/>
      <c r="BX347" s="241"/>
      <c r="BY347" s="241"/>
      <c r="BZ347" s="241"/>
      <c r="CA347" s="241"/>
      <c r="CB347" s="241"/>
      <c r="CC347" s="241"/>
      <c r="CD347" s="241"/>
      <c r="CE347" s="241"/>
      <c r="CF347" s="13"/>
      <c r="CG347" s="13"/>
      <c r="CH347" s="13"/>
    </row>
    <row r="348" spans="1:86" ht="11.25" customHeight="1" x14ac:dyDescent="0.2">
      <c r="A348" s="13"/>
      <c r="B348" s="238">
        <v>344</v>
      </c>
      <c r="C348" s="241" t="e">
        <f t="shared" ca="1" si="46"/>
        <v>#NUM!</v>
      </c>
      <c r="D348" s="237" t="s">
        <v>4045</v>
      </c>
      <c r="E348" s="239">
        <v>642401187</v>
      </c>
      <c r="F348" s="237">
        <v>1710014828043</v>
      </c>
      <c r="G348" s="240"/>
      <c r="H348" s="241" t="s">
        <v>217</v>
      </c>
      <c r="I348" s="241" t="s">
        <v>217</v>
      </c>
      <c r="J348" s="242">
        <v>45292</v>
      </c>
      <c r="K348" s="241"/>
      <c r="L348" s="241"/>
      <c r="M348" s="241" t="str">
        <f t="shared" si="45"/>
        <v>PKWT</v>
      </c>
      <c r="N348" s="241" t="s">
        <v>187</v>
      </c>
      <c r="O348" s="241"/>
      <c r="P348" s="243">
        <v>45657</v>
      </c>
      <c r="Q348" s="241"/>
      <c r="R348" s="241" t="s">
        <v>206</v>
      </c>
      <c r="S348" s="241" t="s">
        <v>6863</v>
      </c>
      <c r="T348" s="241" t="s">
        <v>312</v>
      </c>
      <c r="U348" s="241" t="s">
        <v>24</v>
      </c>
      <c r="V348" s="241" t="s">
        <v>443</v>
      </c>
      <c r="W348" s="241" t="s">
        <v>175</v>
      </c>
      <c r="X348" s="241" t="s">
        <v>121</v>
      </c>
      <c r="Y348" s="241" t="s">
        <v>313</v>
      </c>
      <c r="Z348" s="241"/>
      <c r="AA348" s="241"/>
      <c r="AB348" s="241" t="s">
        <v>314</v>
      </c>
      <c r="AC348" s="241" t="s">
        <v>217</v>
      </c>
      <c r="AD348" s="245">
        <v>36063</v>
      </c>
      <c r="AE348" s="241">
        <f t="shared" ca="1" si="42"/>
        <v>27</v>
      </c>
      <c r="AF348" s="246" t="s">
        <v>4046</v>
      </c>
      <c r="AG348" s="241" t="s">
        <v>4047</v>
      </c>
      <c r="AH348" s="240" t="s">
        <v>4048</v>
      </c>
      <c r="AI348" s="240"/>
      <c r="AJ348" s="240"/>
      <c r="AK348" s="241" t="s">
        <v>4049</v>
      </c>
      <c r="AL348" s="246" t="s">
        <v>4050</v>
      </c>
      <c r="AM348" s="246">
        <v>24009885229</v>
      </c>
      <c r="AN348" s="241" t="s">
        <v>4716</v>
      </c>
      <c r="AO348" s="241"/>
      <c r="AP348" s="241"/>
      <c r="AQ348" s="241"/>
      <c r="AR348" s="241"/>
      <c r="AS348" s="241"/>
      <c r="AT348" s="241" t="s">
        <v>306</v>
      </c>
      <c r="AU348" s="241" t="s">
        <v>306</v>
      </c>
      <c r="AV348" s="241" t="s">
        <v>306</v>
      </c>
      <c r="AW348" s="241" t="s">
        <v>306</v>
      </c>
      <c r="AX348" s="241">
        <f t="shared" si="43"/>
        <v>0</v>
      </c>
      <c r="AY348" s="241" t="str">
        <f t="shared" si="44"/>
        <v>TK/0</v>
      </c>
      <c r="AZ348" s="241"/>
      <c r="BA348" s="249"/>
      <c r="BB348" s="241" t="s">
        <v>161</v>
      </c>
      <c r="BC348" s="241" t="s">
        <v>75</v>
      </c>
      <c r="BD348" s="241" t="s">
        <v>91</v>
      </c>
      <c r="BE348" s="241" t="s">
        <v>92</v>
      </c>
      <c r="BF348" s="241">
        <v>2022</v>
      </c>
      <c r="BG348" s="241" t="s">
        <v>75</v>
      </c>
      <c r="BH348" s="241" t="s">
        <v>91</v>
      </c>
      <c r="BI348" s="241" t="s">
        <v>92</v>
      </c>
      <c r="BJ348" s="241">
        <v>2022</v>
      </c>
      <c r="BK348" s="241"/>
      <c r="BL348" s="241"/>
      <c r="BM348" s="241"/>
      <c r="BN348" s="241"/>
      <c r="BO348" s="241"/>
      <c r="BP348" s="241"/>
      <c r="BQ348" s="241"/>
      <c r="BR348" s="241"/>
      <c r="BS348" s="241"/>
      <c r="BT348" s="241"/>
      <c r="BU348" s="241"/>
      <c r="BV348" s="241"/>
      <c r="BW348" s="241"/>
      <c r="BX348" s="241"/>
      <c r="BY348" s="241"/>
      <c r="BZ348" s="241"/>
      <c r="CA348" s="241"/>
      <c r="CB348" s="241"/>
      <c r="CC348" s="241"/>
      <c r="CD348" s="241"/>
      <c r="CE348" s="241"/>
      <c r="CF348" s="13"/>
      <c r="CG348" s="13"/>
      <c r="CH348" s="13"/>
    </row>
    <row r="349" spans="1:86" ht="11.25" customHeight="1" x14ac:dyDescent="0.2">
      <c r="A349" s="13"/>
      <c r="B349" s="238">
        <v>345</v>
      </c>
      <c r="C349" s="241" t="e">
        <f t="shared" ca="1" si="46"/>
        <v>#NUM!</v>
      </c>
      <c r="D349" s="237" t="s">
        <v>4051</v>
      </c>
      <c r="E349" s="239">
        <v>642401188</v>
      </c>
      <c r="F349" s="237">
        <v>1710001048597</v>
      </c>
      <c r="G349" s="240"/>
      <c r="H349" s="241" t="s">
        <v>217</v>
      </c>
      <c r="I349" s="241" t="s">
        <v>217</v>
      </c>
      <c r="J349" s="242">
        <v>45292</v>
      </c>
      <c r="K349" s="241"/>
      <c r="L349" s="241"/>
      <c r="M349" s="241" t="str">
        <f t="shared" si="45"/>
        <v>PKWT</v>
      </c>
      <c r="N349" s="241" t="s">
        <v>187</v>
      </c>
      <c r="O349" s="241"/>
      <c r="P349" s="243">
        <v>45657</v>
      </c>
      <c r="Q349" s="241"/>
      <c r="R349" s="241" t="s">
        <v>206</v>
      </c>
      <c r="S349" s="241" t="s">
        <v>6863</v>
      </c>
      <c r="T349" s="241" t="s">
        <v>312</v>
      </c>
      <c r="U349" s="241" t="s">
        <v>24</v>
      </c>
      <c r="V349" s="241" t="s">
        <v>443</v>
      </c>
      <c r="W349" s="241" t="s">
        <v>175</v>
      </c>
      <c r="X349" s="241" t="s">
        <v>121</v>
      </c>
      <c r="Y349" s="241" t="s">
        <v>313</v>
      </c>
      <c r="Z349" s="241"/>
      <c r="AA349" s="241"/>
      <c r="AB349" s="241" t="s">
        <v>314</v>
      </c>
      <c r="AC349" s="241" t="s">
        <v>217</v>
      </c>
      <c r="AD349" s="245">
        <v>34876</v>
      </c>
      <c r="AE349" s="241">
        <f t="shared" ca="1" si="42"/>
        <v>30</v>
      </c>
      <c r="AF349" s="246" t="s">
        <v>4052</v>
      </c>
      <c r="AG349" s="241" t="s">
        <v>4053</v>
      </c>
      <c r="AH349" s="240" t="s">
        <v>4054</v>
      </c>
      <c r="AI349" s="240"/>
      <c r="AJ349" s="240"/>
      <c r="AK349" s="241" t="s">
        <v>4055</v>
      </c>
      <c r="AL349" s="246" t="s">
        <v>4056</v>
      </c>
      <c r="AM349" s="246">
        <v>24009885567</v>
      </c>
      <c r="AN349" s="241" t="s">
        <v>4716</v>
      </c>
      <c r="AO349" s="241"/>
      <c r="AP349" s="241"/>
      <c r="AQ349" s="241"/>
      <c r="AR349" s="241"/>
      <c r="AS349" s="241"/>
      <c r="AT349" s="241" t="s">
        <v>306</v>
      </c>
      <c r="AU349" s="241" t="s">
        <v>306</v>
      </c>
      <c r="AV349" s="241" t="s">
        <v>306</v>
      </c>
      <c r="AW349" s="241" t="s">
        <v>306</v>
      </c>
      <c r="AX349" s="241">
        <f t="shared" si="43"/>
        <v>0</v>
      </c>
      <c r="AY349" s="241" t="str">
        <f t="shared" si="44"/>
        <v>TK/0</v>
      </c>
      <c r="AZ349" s="241"/>
      <c r="BA349" s="249"/>
      <c r="BB349" s="241" t="s">
        <v>161</v>
      </c>
      <c r="BC349" s="241" t="s">
        <v>75</v>
      </c>
      <c r="BD349" s="241" t="s">
        <v>91</v>
      </c>
      <c r="BE349" s="241" t="s">
        <v>4057</v>
      </c>
      <c r="BF349" s="241">
        <v>2019</v>
      </c>
      <c r="BG349" s="241" t="s">
        <v>75</v>
      </c>
      <c r="BH349" s="241" t="s">
        <v>91</v>
      </c>
      <c r="BI349" s="241" t="s">
        <v>4057</v>
      </c>
      <c r="BJ349" s="241">
        <v>2019</v>
      </c>
      <c r="BK349" s="241"/>
      <c r="BL349" s="241"/>
      <c r="BM349" s="241"/>
      <c r="BN349" s="241"/>
      <c r="BO349" s="241"/>
      <c r="BP349" s="241"/>
      <c r="BQ349" s="241"/>
      <c r="BR349" s="241"/>
      <c r="BS349" s="241"/>
      <c r="BT349" s="241"/>
      <c r="BU349" s="241"/>
      <c r="BV349" s="241"/>
      <c r="BW349" s="241"/>
      <c r="BX349" s="241"/>
      <c r="BY349" s="241"/>
      <c r="BZ349" s="241"/>
      <c r="CA349" s="241"/>
      <c r="CB349" s="241"/>
      <c r="CC349" s="241"/>
      <c r="CD349" s="241"/>
      <c r="CE349" s="241"/>
      <c r="CF349" s="13"/>
      <c r="CG349" s="13"/>
      <c r="CH349" s="13"/>
    </row>
    <row r="350" spans="1:86" ht="11.25" customHeight="1" x14ac:dyDescent="0.2">
      <c r="A350" s="13"/>
      <c r="B350" s="238">
        <v>346</v>
      </c>
      <c r="C350" s="241" t="e">
        <f t="shared" ca="1" si="46"/>
        <v>#NUM!</v>
      </c>
      <c r="D350" s="237" t="s">
        <v>4058</v>
      </c>
      <c r="E350" s="239">
        <v>642401189</v>
      </c>
      <c r="F350" s="237">
        <v>1840006696726</v>
      </c>
      <c r="G350" s="240"/>
      <c r="H350" s="241" t="s">
        <v>217</v>
      </c>
      <c r="I350" s="241" t="s">
        <v>1571</v>
      </c>
      <c r="J350" s="242">
        <v>45292</v>
      </c>
      <c r="K350" s="241"/>
      <c r="L350" s="241"/>
      <c r="M350" s="241" t="str">
        <f t="shared" si="45"/>
        <v>PKWT</v>
      </c>
      <c r="N350" s="241" t="s">
        <v>187</v>
      </c>
      <c r="O350" s="241"/>
      <c r="P350" s="243">
        <v>45657</v>
      </c>
      <c r="Q350" s="241"/>
      <c r="R350" s="241" t="s">
        <v>206</v>
      </c>
      <c r="S350" s="241" t="s">
        <v>6863</v>
      </c>
      <c r="T350" s="241" t="s">
        <v>312</v>
      </c>
      <c r="U350" s="241" t="s">
        <v>204</v>
      </c>
      <c r="V350" s="241" t="s">
        <v>6211</v>
      </c>
      <c r="W350" s="241" t="s">
        <v>121</v>
      </c>
      <c r="X350" s="241" t="s">
        <v>121</v>
      </c>
      <c r="Y350" s="241" t="s">
        <v>313</v>
      </c>
      <c r="Z350" s="241"/>
      <c r="AA350" s="241"/>
      <c r="AB350" s="241" t="s">
        <v>314</v>
      </c>
      <c r="AC350" s="241" t="s">
        <v>1571</v>
      </c>
      <c r="AD350" s="245">
        <v>37063</v>
      </c>
      <c r="AE350" s="241">
        <f t="shared" ca="1" si="42"/>
        <v>24</v>
      </c>
      <c r="AF350" s="246" t="s">
        <v>4059</v>
      </c>
      <c r="AG350" s="241" t="s">
        <v>4060</v>
      </c>
      <c r="AH350" s="240" t="s">
        <v>4061</v>
      </c>
      <c r="AI350" s="240"/>
      <c r="AJ350" s="240"/>
      <c r="AK350" s="241" t="s">
        <v>4062</v>
      </c>
      <c r="AL350" s="246" t="s">
        <v>4063</v>
      </c>
      <c r="AM350" s="246">
        <v>24009885351</v>
      </c>
      <c r="AN350" s="241" t="s">
        <v>4716</v>
      </c>
      <c r="AO350" s="241"/>
      <c r="AP350" s="241"/>
      <c r="AQ350" s="241"/>
      <c r="AR350" s="241"/>
      <c r="AS350" s="241"/>
      <c r="AT350" s="241" t="s">
        <v>306</v>
      </c>
      <c r="AU350" s="241" t="s">
        <v>306</v>
      </c>
      <c r="AV350" s="241" t="s">
        <v>306</v>
      </c>
      <c r="AW350" s="241" t="s">
        <v>306</v>
      </c>
      <c r="AX350" s="241">
        <f t="shared" si="43"/>
        <v>0</v>
      </c>
      <c r="AY350" s="241" t="str">
        <f t="shared" si="44"/>
        <v>TK/0</v>
      </c>
      <c r="AZ350" s="241"/>
      <c r="BA350" s="249"/>
      <c r="BB350" s="241" t="s">
        <v>161</v>
      </c>
      <c r="BC350" s="241" t="s">
        <v>75</v>
      </c>
      <c r="BD350" s="241" t="s">
        <v>91</v>
      </c>
      <c r="BE350" s="241" t="s">
        <v>4064</v>
      </c>
      <c r="BF350" s="241">
        <v>2024</v>
      </c>
      <c r="BG350" s="241" t="s">
        <v>75</v>
      </c>
      <c r="BH350" s="241" t="s">
        <v>91</v>
      </c>
      <c r="BI350" s="241" t="s">
        <v>4064</v>
      </c>
      <c r="BJ350" s="241">
        <v>2024</v>
      </c>
      <c r="BK350" s="241"/>
      <c r="BL350" s="241"/>
      <c r="BM350" s="241"/>
      <c r="BN350" s="241"/>
      <c r="BO350" s="241"/>
      <c r="BP350" s="241"/>
      <c r="BQ350" s="241"/>
      <c r="BR350" s="241"/>
      <c r="BS350" s="241"/>
      <c r="BT350" s="241"/>
      <c r="BU350" s="241"/>
      <c r="BV350" s="241"/>
      <c r="BW350" s="241"/>
      <c r="BX350" s="241"/>
      <c r="BY350" s="241"/>
      <c r="BZ350" s="241"/>
      <c r="CA350" s="241"/>
      <c r="CB350" s="241"/>
      <c r="CC350" s="241"/>
      <c r="CD350" s="241"/>
      <c r="CE350" s="241"/>
      <c r="CF350" s="13"/>
      <c r="CG350" s="13"/>
      <c r="CH350" s="13"/>
    </row>
    <row r="351" spans="1:86" ht="11.25" customHeight="1" x14ac:dyDescent="0.2">
      <c r="A351" s="13"/>
      <c r="B351" s="238">
        <v>347</v>
      </c>
      <c r="C351" s="241" t="e">
        <f t="shared" ca="1" si="46"/>
        <v>#NUM!</v>
      </c>
      <c r="D351" s="237" t="s">
        <v>4065</v>
      </c>
      <c r="E351" s="239">
        <v>642401191</v>
      </c>
      <c r="F351" s="237">
        <v>1710014827938</v>
      </c>
      <c r="G351" s="240"/>
      <c r="H351" s="241" t="s">
        <v>217</v>
      </c>
      <c r="I351" s="241" t="s">
        <v>311</v>
      </c>
      <c r="J351" s="242">
        <v>45292</v>
      </c>
      <c r="K351" s="241"/>
      <c r="L351" s="241"/>
      <c r="M351" s="241" t="str">
        <f t="shared" si="45"/>
        <v>PKWT</v>
      </c>
      <c r="N351" s="241" t="s">
        <v>187</v>
      </c>
      <c r="O351" s="241"/>
      <c r="P351" s="243">
        <v>45657</v>
      </c>
      <c r="Q351" s="241"/>
      <c r="R351" s="241" t="s">
        <v>206</v>
      </c>
      <c r="S351" s="241" t="s">
        <v>6863</v>
      </c>
      <c r="T351" s="241" t="s">
        <v>312</v>
      </c>
      <c r="U351" s="241" t="s">
        <v>204</v>
      </c>
      <c r="V351" s="241" t="s">
        <v>6211</v>
      </c>
      <c r="W351" s="241" t="s">
        <v>121</v>
      </c>
      <c r="X351" s="241" t="s">
        <v>121</v>
      </c>
      <c r="Y351" s="241" t="s">
        <v>313</v>
      </c>
      <c r="Z351" s="241"/>
      <c r="AA351" s="241"/>
      <c r="AB351" s="241" t="s">
        <v>314</v>
      </c>
      <c r="AC351" s="241" t="s">
        <v>311</v>
      </c>
      <c r="AD351" s="245">
        <v>34215</v>
      </c>
      <c r="AE351" s="241">
        <f t="shared" ca="1" si="42"/>
        <v>32</v>
      </c>
      <c r="AF351" s="246" t="s">
        <v>4066</v>
      </c>
      <c r="AG351" s="241" t="s">
        <v>4067</v>
      </c>
      <c r="AH351" s="240" t="s">
        <v>4068</v>
      </c>
      <c r="AI351" s="240"/>
      <c r="AJ351" s="240"/>
      <c r="AK351" s="241" t="s">
        <v>4069</v>
      </c>
      <c r="AL351" s="246" t="s">
        <v>4070</v>
      </c>
      <c r="AM351" s="246">
        <v>22011395591</v>
      </c>
      <c r="AN351" s="241" t="s">
        <v>4733</v>
      </c>
      <c r="AO351" s="241"/>
      <c r="AP351" s="241"/>
      <c r="AQ351" s="241"/>
      <c r="AR351" s="241"/>
      <c r="AS351" s="241"/>
      <c r="AT351" s="241" t="s">
        <v>306</v>
      </c>
      <c r="AU351" s="241" t="s">
        <v>306</v>
      </c>
      <c r="AV351" s="241" t="s">
        <v>306</v>
      </c>
      <c r="AW351" s="241" t="s">
        <v>306</v>
      </c>
      <c r="AX351" s="241">
        <f t="shared" si="43"/>
        <v>0</v>
      </c>
      <c r="AY351" s="241" t="str">
        <f t="shared" si="44"/>
        <v>K/0</v>
      </c>
      <c r="AZ351" s="241"/>
      <c r="BA351" s="249"/>
      <c r="BB351" s="241" t="s">
        <v>161</v>
      </c>
      <c r="BC351" s="241" t="s">
        <v>349</v>
      </c>
      <c r="BD351" s="241" t="s">
        <v>6779</v>
      </c>
      <c r="BE351" s="241" t="s">
        <v>327</v>
      </c>
      <c r="BF351" s="241">
        <v>2012</v>
      </c>
      <c r="BG351" s="241" t="s">
        <v>349</v>
      </c>
      <c r="BH351" s="241" t="s">
        <v>6779</v>
      </c>
      <c r="BI351" s="241" t="s">
        <v>327</v>
      </c>
      <c r="BJ351" s="241">
        <v>2012</v>
      </c>
      <c r="BK351" s="241"/>
      <c r="BL351" s="241"/>
      <c r="BM351" s="241"/>
      <c r="BN351" s="241"/>
      <c r="BO351" s="241"/>
      <c r="BP351" s="241"/>
      <c r="BQ351" s="241"/>
      <c r="BR351" s="241"/>
      <c r="BS351" s="241"/>
      <c r="BT351" s="241"/>
      <c r="BU351" s="241"/>
      <c r="BV351" s="241"/>
      <c r="BW351" s="241"/>
      <c r="BX351" s="241"/>
      <c r="BY351" s="241"/>
      <c r="BZ351" s="241"/>
      <c r="CA351" s="241"/>
      <c r="CB351" s="241"/>
      <c r="CC351" s="241"/>
      <c r="CD351" s="241"/>
      <c r="CE351" s="241"/>
      <c r="CF351" s="13"/>
      <c r="CG351" s="13"/>
      <c r="CH351" s="13"/>
    </row>
    <row r="352" spans="1:86" ht="11.25" customHeight="1" x14ac:dyDescent="0.2">
      <c r="A352" s="13"/>
      <c r="B352" s="238">
        <v>348</v>
      </c>
      <c r="C352" s="241" t="e">
        <f t="shared" ca="1" si="46"/>
        <v>#NUM!</v>
      </c>
      <c r="D352" s="237" t="s">
        <v>4071</v>
      </c>
      <c r="E352" s="239">
        <v>642401192</v>
      </c>
      <c r="F352" s="237">
        <v>1710014832136</v>
      </c>
      <c r="G352" s="240"/>
      <c r="H352" s="241" t="s">
        <v>217</v>
      </c>
      <c r="I352" s="241" t="s">
        <v>315</v>
      </c>
      <c r="J352" s="242">
        <v>45292</v>
      </c>
      <c r="K352" s="241"/>
      <c r="L352" s="241"/>
      <c r="M352" s="241" t="str">
        <f t="shared" si="45"/>
        <v>PKWT</v>
      </c>
      <c r="N352" s="241" t="s">
        <v>187</v>
      </c>
      <c r="O352" s="241"/>
      <c r="P352" s="243">
        <v>45657</v>
      </c>
      <c r="Q352" s="241"/>
      <c r="R352" s="241" t="s">
        <v>206</v>
      </c>
      <c r="S352" s="241" t="s">
        <v>6863</v>
      </c>
      <c r="T352" s="241" t="s">
        <v>312</v>
      </c>
      <c r="U352" s="241" t="s">
        <v>204</v>
      </c>
      <c r="V352" s="241" t="s">
        <v>208</v>
      </c>
      <c r="W352" s="241" t="s">
        <v>6908</v>
      </c>
      <c r="X352" s="241" t="s">
        <v>18</v>
      </c>
      <c r="Y352" s="241" t="s">
        <v>313</v>
      </c>
      <c r="Z352" s="241"/>
      <c r="AA352" s="241"/>
      <c r="AB352" s="241" t="s">
        <v>314</v>
      </c>
      <c r="AC352" s="241" t="s">
        <v>315</v>
      </c>
      <c r="AD352" s="245">
        <v>34118</v>
      </c>
      <c r="AE352" s="241">
        <f t="shared" ca="1" si="42"/>
        <v>32</v>
      </c>
      <c r="AF352" s="246" t="s">
        <v>4072</v>
      </c>
      <c r="AG352" s="241" t="s">
        <v>4073</v>
      </c>
      <c r="AH352" s="240" t="s">
        <v>4074</v>
      </c>
      <c r="AI352" s="240"/>
      <c r="AJ352" s="240"/>
      <c r="AK352" s="241" t="s">
        <v>4075</v>
      </c>
      <c r="AL352" s="246" t="s">
        <v>4076</v>
      </c>
      <c r="AM352" s="246">
        <v>24009885252</v>
      </c>
      <c r="AN352" s="241" t="s">
        <v>4716</v>
      </c>
      <c r="AO352" s="241"/>
      <c r="AP352" s="241"/>
      <c r="AQ352" s="241"/>
      <c r="AR352" s="241"/>
      <c r="AS352" s="241"/>
      <c r="AT352" s="241" t="s">
        <v>306</v>
      </c>
      <c r="AU352" s="241" t="s">
        <v>306</v>
      </c>
      <c r="AV352" s="241" t="s">
        <v>306</v>
      </c>
      <c r="AW352" s="241" t="s">
        <v>306</v>
      </c>
      <c r="AX352" s="241">
        <f t="shared" si="43"/>
        <v>0</v>
      </c>
      <c r="AY352" s="241" t="str">
        <f t="shared" si="44"/>
        <v>TK/0</v>
      </c>
      <c r="AZ352" s="241"/>
      <c r="BA352" s="249"/>
      <c r="BB352" s="241" t="s">
        <v>161</v>
      </c>
      <c r="BC352" s="241" t="s">
        <v>307</v>
      </c>
      <c r="BD352" s="241" t="s">
        <v>544</v>
      </c>
      <c r="BE352" s="241" t="s">
        <v>4077</v>
      </c>
      <c r="BF352" s="241">
        <v>2012</v>
      </c>
      <c r="BG352" s="241" t="s">
        <v>307</v>
      </c>
      <c r="BH352" s="241" t="s">
        <v>544</v>
      </c>
      <c r="BI352" s="241" t="s">
        <v>4077</v>
      </c>
      <c r="BJ352" s="241">
        <v>2012</v>
      </c>
      <c r="BK352" s="241"/>
      <c r="BL352" s="241"/>
      <c r="BM352" s="241"/>
      <c r="BN352" s="241"/>
      <c r="BO352" s="241"/>
      <c r="BP352" s="241"/>
      <c r="BQ352" s="241"/>
      <c r="BR352" s="241"/>
      <c r="BS352" s="241"/>
      <c r="BT352" s="241"/>
      <c r="BU352" s="241"/>
      <c r="BV352" s="241"/>
      <c r="BW352" s="241"/>
      <c r="BX352" s="241"/>
      <c r="BY352" s="241"/>
      <c r="BZ352" s="241"/>
      <c r="CA352" s="241"/>
      <c r="CB352" s="241"/>
      <c r="CC352" s="241"/>
      <c r="CD352" s="241"/>
      <c r="CE352" s="241"/>
      <c r="CF352" s="13"/>
      <c r="CG352" s="13"/>
      <c r="CH352" s="13"/>
    </row>
    <row r="353" spans="1:86" ht="11.25" customHeight="1" x14ac:dyDescent="0.2">
      <c r="A353" s="13"/>
      <c r="B353" s="238">
        <v>349</v>
      </c>
      <c r="C353" s="241" t="e">
        <f t="shared" ca="1" si="46"/>
        <v>#NUM!</v>
      </c>
      <c r="D353" s="237" t="s">
        <v>4078</v>
      </c>
      <c r="E353" s="239">
        <v>642401193</v>
      </c>
      <c r="F353" s="237">
        <v>1710014832102</v>
      </c>
      <c r="G353" s="240"/>
      <c r="H353" s="241" t="s">
        <v>217</v>
      </c>
      <c r="I353" s="241" t="s">
        <v>217</v>
      </c>
      <c r="J353" s="242">
        <v>45292</v>
      </c>
      <c r="K353" s="241"/>
      <c r="L353" s="241"/>
      <c r="M353" s="241" t="str">
        <f t="shared" si="45"/>
        <v>PKWT</v>
      </c>
      <c r="N353" s="241" t="s">
        <v>187</v>
      </c>
      <c r="O353" s="241"/>
      <c r="P353" s="243">
        <v>45657</v>
      </c>
      <c r="Q353" s="241"/>
      <c r="R353" s="241" t="s">
        <v>206</v>
      </c>
      <c r="S353" s="241" t="s">
        <v>6863</v>
      </c>
      <c r="T353" s="241" t="s">
        <v>312</v>
      </c>
      <c r="U353" s="241" t="s">
        <v>204</v>
      </c>
      <c r="V353" s="241" t="s">
        <v>208</v>
      </c>
      <c r="W353" s="241" t="s">
        <v>6908</v>
      </c>
      <c r="X353" s="241" t="s">
        <v>18</v>
      </c>
      <c r="Y353" s="241" t="s">
        <v>313</v>
      </c>
      <c r="Z353" s="241"/>
      <c r="AA353" s="241"/>
      <c r="AB353" s="241" t="s">
        <v>314</v>
      </c>
      <c r="AC353" s="241" t="s">
        <v>217</v>
      </c>
      <c r="AD353" s="245">
        <v>37139</v>
      </c>
      <c r="AE353" s="241">
        <f t="shared" ca="1" si="42"/>
        <v>24</v>
      </c>
      <c r="AF353" s="246" t="s">
        <v>4079</v>
      </c>
      <c r="AG353" s="241" t="s">
        <v>4080</v>
      </c>
      <c r="AH353" s="240" t="s">
        <v>4081</v>
      </c>
      <c r="AI353" s="240"/>
      <c r="AJ353" s="240"/>
      <c r="AK353" s="241" t="s">
        <v>4082</v>
      </c>
      <c r="AL353" s="246" t="s">
        <v>4083</v>
      </c>
      <c r="AM353" s="246">
        <v>24009885435</v>
      </c>
      <c r="AN353" s="241" t="s">
        <v>4716</v>
      </c>
      <c r="AO353" s="241"/>
      <c r="AP353" s="241"/>
      <c r="AQ353" s="241"/>
      <c r="AR353" s="241"/>
      <c r="AS353" s="241"/>
      <c r="AT353" s="241" t="s">
        <v>306</v>
      </c>
      <c r="AU353" s="241" t="s">
        <v>306</v>
      </c>
      <c r="AV353" s="241" t="s">
        <v>306</v>
      </c>
      <c r="AW353" s="241" t="s">
        <v>306</v>
      </c>
      <c r="AX353" s="241">
        <f t="shared" si="43"/>
        <v>0</v>
      </c>
      <c r="AY353" s="241" t="str">
        <f t="shared" si="44"/>
        <v>TK/0</v>
      </c>
      <c r="AZ353" s="241"/>
      <c r="BA353" s="249"/>
      <c r="BB353" s="241" t="s">
        <v>161</v>
      </c>
      <c r="BC353" s="241" t="s">
        <v>349</v>
      </c>
      <c r="BD353" s="241" t="s">
        <v>1742</v>
      </c>
      <c r="BE353" s="241" t="s">
        <v>516</v>
      </c>
      <c r="BF353" s="241">
        <v>2020</v>
      </c>
      <c r="BG353" s="241" t="s">
        <v>349</v>
      </c>
      <c r="BH353" s="241" t="s">
        <v>1742</v>
      </c>
      <c r="BI353" s="241" t="s">
        <v>516</v>
      </c>
      <c r="BJ353" s="241">
        <v>2020</v>
      </c>
      <c r="BK353" s="241"/>
      <c r="BL353" s="241"/>
      <c r="BM353" s="241"/>
      <c r="BN353" s="241"/>
      <c r="BO353" s="241"/>
      <c r="BP353" s="241"/>
      <c r="BQ353" s="241"/>
      <c r="BR353" s="241"/>
      <c r="BS353" s="241"/>
      <c r="BT353" s="241"/>
      <c r="BU353" s="241"/>
      <c r="BV353" s="241"/>
      <c r="BW353" s="241"/>
      <c r="BX353" s="241"/>
      <c r="BY353" s="241"/>
      <c r="BZ353" s="241"/>
      <c r="CA353" s="241"/>
      <c r="CB353" s="241"/>
      <c r="CC353" s="241"/>
      <c r="CD353" s="241"/>
      <c r="CE353" s="241"/>
      <c r="CF353" s="13"/>
      <c r="CG353" s="13"/>
      <c r="CH353" s="13"/>
    </row>
    <row r="354" spans="1:86" ht="11.25" customHeight="1" x14ac:dyDescent="0.2">
      <c r="A354" s="13"/>
      <c r="B354" s="238">
        <v>350</v>
      </c>
      <c r="C354" s="241" t="e">
        <f t="shared" ca="1" si="46"/>
        <v>#NUM!</v>
      </c>
      <c r="D354" s="237" t="s">
        <v>4084</v>
      </c>
      <c r="E354" s="239">
        <v>642401194</v>
      </c>
      <c r="F354" s="237">
        <v>1710014729282</v>
      </c>
      <c r="G354" s="240"/>
      <c r="H354" s="241" t="s">
        <v>217</v>
      </c>
      <c r="I354" s="241" t="s">
        <v>311</v>
      </c>
      <c r="J354" s="242">
        <v>45292</v>
      </c>
      <c r="K354" s="241"/>
      <c r="L354" s="241"/>
      <c r="M354" s="241" t="str">
        <f t="shared" si="45"/>
        <v>PKWT</v>
      </c>
      <c r="N354" s="241" t="s">
        <v>187</v>
      </c>
      <c r="O354" s="241"/>
      <c r="P354" s="243">
        <v>45657</v>
      </c>
      <c r="Q354" s="241"/>
      <c r="R354" s="241" t="s">
        <v>206</v>
      </c>
      <c r="S354" s="241" t="s">
        <v>6863</v>
      </c>
      <c r="T354" s="241" t="s">
        <v>312</v>
      </c>
      <c r="U354" s="241" t="s">
        <v>204</v>
      </c>
      <c r="V354" s="241" t="s">
        <v>208</v>
      </c>
      <c r="W354" s="241" t="s">
        <v>6908</v>
      </c>
      <c r="X354" s="241" t="s">
        <v>18</v>
      </c>
      <c r="Y354" s="241" t="s">
        <v>313</v>
      </c>
      <c r="Z354" s="241"/>
      <c r="AA354" s="241"/>
      <c r="AB354" s="241" t="s">
        <v>314</v>
      </c>
      <c r="AC354" s="241" t="s">
        <v>217</v>
      </c>
      <c r="AD354" s="245">
        <v>30183</v>
      </c>
      <c r="AE354" s="241">
        <f t="shared" ca="1" si="42"/>
        <v>43</v>
      </c>
      <c r="AF354" s="246" t="s">
        <v>4085</v>
      </c>
      <c r="AG354" s="241" t="s">
        <v>4086</v>
      </c>
      <c r="AH354" s="240" t="s">
        <v>4087</v>
      </c>
      <c r="AI354" s="240"/>
      <c r="AJ354" s="240"/>
      <c r="AK354" s="241" t="s">
        <v>4088</v>
      </c>
      <c r="AL354" s="246" t="s">
        <v>4089</v>
      </c>
      <c r="AM354" s="246">
        <v>24009885245</v>
      </c>
      <c r="AN354" s="241" t="s">
        <v>4733</v>
      </c>
      <c r="AO354" s="241"/>
      <c r="AP354" s="241"/>
      <c r="AQ354" s="241"/>
      <c r="AR354" s="241"/>
      <c r="AS354" s="241"/>
      <c r="AT354" s="241" t="s">
        <v>306</v>
      </c>
      <c r="AU354" s="241" t="s">
        <v>306</v>
      </c>
      <c r="AV354" s="241" t="s">
        <v>306</v>
      </c>
      <c r="AW354" s="241" t="s">
        <v>306</v>
      </c>
      <c r="AX354" s="241">
        <f t="shared" si="43"/>
        <v>0</v>
      </c>
      <c r="AY354" s="241" t="str">
        <f t="shared" si="44"/>
        <v>K/0</v>
      </c>
      <c r="AZ354" s="241"/>
      <c r="BA354" s="249"/>
      <c r="BB354" s="241" t="s">
        <v>161</v>
      </c>
      <c r="BC354" s="241" t="s">
        <v>349</v>
      </c>
      <c r="BD354" s="241" t="s">
        <v>91</v>
      </c>
      <c r="BE354" s="241" t="s">
        <v>1146</v>
      </c>
      <c r="BF354" s="241">
        <v>2002</v>
      </c>
      <c r="BG354" s="241" t="s">
        <v>349</v>
      </c>
      <c r="BH354" s="241" t="s">
        <v>91</v>
      </c>
      <c r="BI354" s="241" t="s">
        <v>1146</v>
      </c>
      <c r="BJ354" s="241">
        <v>2002</v>
      </c>
      <c r="BK354" s="241"/>
      <c r="BL354" s="241"/>
      <c r="BM354" s="241"/>
      <c r="BN354" s="241"/>
      <c r="BO354" s="241"/>
      <c r="BP354" s="241"/>
      <c r="BQ354" s="241"/>
      <c r="BR354" s="241"/>
      <c r="BS354" s="241"/>
      <c r="BT354" s="241"/>
      <c r="BU354" s="241"/>
      <c r="BV354" s="241"/>
      <c r="BW354" s="241"/>
      <c r="BX354" s="241"/>
      <c r="BY354" s="241"/>
      <c r="BZ354" s="241"/>
      <c r="CA354" s="241"/>
      <c r="CB354" s="241"/>
      <c r="CC354" s="241"/>
      <c r="CD354" s="241"/>
      <c r="CE354" s="241"/>
      <c r="CF354" s="13"/>
      <c r="CG354" s="13"/>
      <c r="CH354" s="13"/>
    </row>
    <row r="355" spans="1:86" ht="11.25" customHeight="1" x14ac:dyDescent="0.2">
      <c r="A355" s="13"/>
      <c r="B355" s="238">
        <v>351</v>
      </c>
      <c r="C355" s="241" t="e">
        <f t="shared" ca="1" si="46"/>
        <v>#NUM!</v>
      </c>
      <c r="D355" s="237" t="s">
        <v>4090</v>
      </c>
      <c r="E355" s="239">
        <v>642401195</v>
      </c>
      <c r="F355" s="237">
        <v>1710014758109</v>
      </c>
      <c r="G355" s="240"/>
      <c r="H355" s="241" t="s">
        <v>217</v>
      </c>
      <c r="I355" s="241" t="s">
        <v>217</v>
      </c>
      <c r="J355" s="242">
        <v>45292</v>
      </c>
      <c r="K355" s="241"/>
      <c r="L355" s="241"/>
      <c r="M355" s="241" t="str">
        <f t="shared" si="45"/>
        <v>PKWT</v>
      </c>
      <c r="N355" s="241" t="s">
        <v>187</v>
      </c>
      <c r="O355" s="241"/>
      <c r="P355" s="243">
        <v>45657</v>
      </c>
      <c r="Q355" s="241"/>
      <c r="R355" s="241" t="s">
        <v>206</v>
      </c>
      <c r="S355" s="241" t="s">
        <v>6863</v>
      </c>
      <c r="T355" s="241" t="s">
        <v>312</v>
      </c>
      <c r="U355" s="241" t="s">
        <v>204</v>
      </c>
      <c r="V355" s="241" t="s">
        <v>208</v>
      </c>
      <c r="W355" s="241" t="s">
        <v>6908</v>
      </c>
      <c r="X355" s="241" t="s">
        <v>18</v>
      </c>
      <c r="Y355" s="241" t="s">
        <v>313</v>
      </c>
      <c r="Z355" s="241"/>
      <c r="AA355" s="241"/>
      <c r="AB355" s="241" t="s">
        <v>314</v>
      </c>
      <c r="AC355" s="241" t="s">
        <v>315</v>
      </c>
      <c r="AD355" s="245">
        <v>30420</v>
      </c>
      <c r="AE355" s="241">
        <f t="shared" ca="1" si="42"/>
        <v>42</v>
      </c>
      <c r="AF355" s="246" t="s">
        <v>4091</v>
      </c>
      <c r="AG355" s="241" t="s">
        <v>4092</v>
      </c>
      <c r="AH355" s="240" t="s">
        <v>4093</v>
      </c>
      <c r="AI355" s="240"/>
      <c r="AJ355" s="240"/>
      <c r="AK355" s="241" t="s">
        <v>4094</v>
      </c>
      <c r="AL355" s="246" t="s">
        <v>4095</v>
      </c>
      <c r="AM355" s="246">
        <v>24009885328</v>
      </c>
      <c r="AN355" s="241" t="s">
        <v>4733</v>
      </c>
      <c r="AO355" s="241"/>
      <c r="AP355" s="241"/>
      <c r="AQ355" s="241"/>
      <c r="AR355" s="241"/>
      <c r="AS355" s="241"/>
      <c r="AT355" s="241" t="s">
        <v>306</v>
      </c>
      <c r="AU355" s="241" t="s">
        <v>306</v>
      </c>
      <c r="AV355" s="241" t="s">
        <v>306</v>
      </c>
      <c r="AW355" s="241" t="s">
        <v>306</v>
      </c>
      <c r="AX355" s="241">
        <f t="shared" si="43"/>
        <v>0</v>
      </c>
      <c r="AY355" s="241" t="str">
        <f t="shared" si="44"/>
        <v>K/0</v>
      </c>
      <c r="AZ355" s="241"/>
      <c r="BA355" s="249"/>
      <c r="BB355" s="241" t="s">
        <v>161</v>
      </c>
      <c r="BC355" s="241" t="s">
        <v>153</v>
      </c>
      <c r="BD355" s="241"/>
      <c r="BE355" s="241" t="s">
        <v>4096</v>
      </c>
      <c r="BF355" s="241">
        <v>1999</v>
      </c>
      <c r="BG355" s="241" t="s">
        <v>153</v>
      </c>
      <c r="BH355" s="241"/>
      <c r="BI355" s="241" t="s">
        <v>4096</v>
      </c>
      <c r="BJ355" s="241">
        <v>1999</v>
      </c>
      <c r="BK355" s="241"/>
      <c r="BL355" s="241"/>
      <c r="BM355" s="241"/>
      <c r="BN355" s="241"/>
      <c r="BO355" s="241"/>
      <c r="BP355" s="241"/>
      <c r="BQ355" s="241"/>
      <c r="BR355" s="241"/>
      <c r="BS355" s="241"/>
      <c r="BT355" s="241"/>
      <c r="BU355" s="241"/>
      <c r="BV355" s="241"/>
      <c r="BW355" s="241"/>
      <c r="BX355" s="241"/>
      <c r="BY355" s="241"/>
      <c r="BZ355" s="241"/>
      <c r="CA355" s="241"/>
      <c r="CB355" s="241"/>
      <c r="CC355" s="241"/>
      <c r="CD355" s="241"/>
      <c r="CE355" s="241"/>
      <c r="CF355" s="13"/>
      <c r="CG355" s="13"/>
      <c r="CH355" s="13"/>
    </row>
    <row r="356" spans="1:86" ht="11.25" customHeight="1" x14ac:dyDescent="0.2">
      <c r="A356" s="13"/>
      <c r="B356" s="238">
        <v>352</v>
      </c>
      <c r="C356" s="241" t="e">
        <f t="shared" ca="1" si="46"/>
        <v>#NUM!</v>
      </c>
      <c r="D356" s="237" t="s">
        <v>4097</v>
      </c>
      <c r="E356" s="239">
        <v>642401196</v>
      </c>
      <c r="F356" s="237">
        <v>1710014728706</v>
      </c>
      <c r="G356" s="240"/>
      <c r="H356" s="241" t="s">
        <v>217</v>
      </c>
      <c r="I356" s="241" t="s">
        <v>217</v>
      </c>
      <c r="J356" s="242">
        <v>45292</v>
      </c>
      <c r="K356" s="241"/>
      <c r="L356" s="241"/>
      <c r="M356" s="241" t="str">
        <f t="shared" si="45"/>
        <v>PKWT</v>
      </c>
      <c r="N356" s="241" t="s">
        <v>187</v>
      </c>
      <c r="O356" s="241"/>
      <c r="P356" s="243">
        <v>45657</v>
      </c>
      <c r="Q356" s="241"/>
      <c r="R356" s="241" t="s">
        <v>206</v>
      </c>
      <c r="S356" s="241" t="s">
        <v>6863</v>
      </c>
      <c r="T356" s="241" t="s">
        <v>312</v>
      </c>
      <c r="U356" s="241" t="s">
        <v>204</v>
      </c>
      <c r="V356" s="241" t="s">
        <v>208</v>
      </c>
      <c r="W356" s="241" t="s">
        <v>6908</v>
      </c>
      <c r="X356" s="241" t="s">
        <v>18</v>
      </c>
      <c r="Y356" s="241" t="s">
        <v>313</v>
      </c>
      <c r="Z356" s="241"/>
      <c r="AA356" s="241"/>
      <c r="AB356" s="241" t="s">
        <v>314</v>
      </c>
      <c r="AC356" s="241" t="s">
        <v>217</v>
      </c>
      <c r="AD356" s="245">
        <v>33144</v>
      </c>
      <c r="AE356" s="241">
        <f t="shared" ca="1" si="42"/>
        <v>35</v>
      </c>
      <c r="AF356" s="246" t="s">
        <v>4098</v>
      </c>
      <c r="AG356" s="241" t="s">
        <v>4099</v>
      </c>
      <c r="AH356" s="240" t="s">
        <v>4100</v>
      </c>
      <c r="AI356" s="240"/>
      <c r="AJ356" s="240"/>
      <c r="AK356" s="241" t="s">
        <v>4101</v>
      </c>
      <c r="AL356" s="246" t="s">
        <v>4102</v>
      </c>
      <c r="AM356" s="246">
        <v>24009885476</v>
      </c>
      <c r="AN356" s="241" t="s">
        <v>4733</v>
      </c>
      <c r="AO356" s="241"/>
      <c r="AP356" s="241"/>
      <c r="AQ356" s="241"/>
      <c r="AR356" s="241"/>
      <c r="AS356" s="241"/>
      <c r="AT356" s="241" t="s">
        <v>306</v>
      </c>
      <c r="AU356" s="241" t="s">
        <v>306</v>
      </c>
      <c r="AV356" s="241" t="s">
        <v>306</v>
      </c>
      <c r="AW356" s="241" t="s">
        <v>306</v>
      </c>
      <c r="AX356" s="241">
        <f t="shared" si="43"/>
        <v>0</v>
      </c>
      <c r="AY356" s="241" t="str">
        <f t="shared" si="44"/>
        <v>K/0</v>
      </c>
      <c r="AZ356" s="241"/>
      <c r="BA356" s="249"/>
      <c r="BB356" s="241" t="s">
        <v>161</v>
      </c>
      <c r="BC356" s="241" t="s">
        <v>349</v>
      </c>
      <c r="BD356" s="241" t="s">
        <v>91</v>
      </c>
      <c r="BE356" s="241" t="s">
        <v>560</v>
      </c>
      <c r="BF356" s="241">
        <v>2010</v>
      </c>
      <c r="BG356" s="241" t="s">
        <v>349</v>
      </c>
      <c r="BH356" s="241" t="s">
        <v>91</v>
      </c>
      <c r="BI356" s="241" t="s">
        <v>560</v>
      </c>
      <c r="BJ356" s="241">
        <v>2010</v>
      </c>
      <c r="BK356" s="241"/>
      <c r="BL356" s="241"/>
      <c r="BM356" s="241"/>
      <c r="BN356" s="241"/>
      <c r="BO356" s="241"/>
      <c r="BP356" s="241"/>
      <c r="BQ356" s="241"/>
      <c r="BR356" s="241"/>
      <c r="BS356" s="241"/>
      <c r="BT356" s="241"/>
      <c r="BU356" s="241"/>
      <c r="BV356" s="241"/>
      <c r="BW356" s="241"/>
      <c r="BX356" s="241"/>
      <c r="BY356" s="241"/>
      <c r="BZ356" s="241"/>
      <c r="CA356" s="241"/>
      <c r="CB356" s="241"/>
      <c r="CC356" s="241"/>
      <c r="CD356" s="241"/>
      <c r="CE356" s="241"/>
      <c r="CF356" s="13"/>
      <c r="CG356" s="13"/>
      <c r="CH356" s="13"/>
    </row>
    <row r="357" spans="1:86" ht="11.25" customHeight="1" x14ac:dyDescent="0.2">
      <c r="A357" s="13"/>
      <c r="B357" s="238">
        <v>353</v>
      </c>
      <c r="C357" s="241" t="e">
        <f t="shared" ca="1" si="46"/>
        <v>#NUM!</v>
      </c>
      <c r="D357" s="237" t="s">
        <v>4103</v>
      </c>
      <c r="E357" s="239">
        <v>642401197</v>
      </c>
      <c r="F357" s="237">
        <v>1710014728730</v>
      </c>
      <c r="G357" s="240"/>
      <c r="H357" s="241" t="s">
        <v>217</v>
      </c>
      <c r="I357" s="241" t="s">
        <v>217</v>
      </c>
      <c r="J357" s="242">
        <v>45292</v>
      </c>
      <c r="K357" s="241"/>
      <c r="L357" s="241"/>
      <c r="M357" s="241" t="str">
        <f t="shared" si="45"/>
        <v>PKWT</v>
      </c>
      <c r="N357" s="241" t="s">
        <v>187</v>
      </c>
      <c r="O357" s="241"/>
      <c r="P357" s="243">
        <v>45657</v>
      </c>
      <c r="Q357" s="241"/>
      <c r="R357" s="241" t="s">
        <v>206</v>
      </c>
      <c r="S357" s="241" t="s">
        <v>6863</v>
      </c>
      <c r="T357" s="241" t="s">
        <v>312</v>
      </c>
      <c r="U357" s="241" t="s">
        <v>204</v>
      </c>
      <c r="V357" s="241" t="s">
        <v>208</v>
      </c>
      <c r="W357" s="241" t="s">
        <v>6908</v>
      </c>
      <c r="X357" s="241" t="s">
        <v>18</v>
      </c>
      <c r="Y357" s="241" t="s">
        <v>313</v>
      </c>
      <c r="Z357" s="241"/>
      <c r="AA357" s="241"/>
      <c r="AB357" s="241" t="s">
        <v>314</v>
      </c>
      <c r="AC357" s="241" t="s">
        <v>217</v>
      </c>
      <c r="AD357" s="245">
        <v>31737</v>
      </c>
      <c r="AE357" s="241">
        <f t="shared" ca="1" si="42"/>
        <v>38</v>
      </c>
      <c r="AF357" s="246" t="s">
        <v>4104</v>
      </c>
      <c r="AG357" s="241" t="s">
        <v>4105</v>
      </c>
      <c r="AH357" s="240" t="s">
        <v>4106</v>
      </c>
      <c r="AI357" s="240"/>
      <c r="AJ357" s="240"/>
      <c r="AK357" s="241" t="s">
        <v>4107</v>
      </c>
      <c r="AL357" s="246" t="s">
        <v>4108</v>
      </c>
      <c r="AM357" s="246">
        <v>24009885617</v>
      </c>
      <c r="AN357" s="241" t="s">
        <v>4733</v>
      </c>
      <c r="AO357" s="241"/>
      <c r="AP357" s="241"/>
      <c r="AQ357" s="241"/>
      <c r="AR357" s="241"/>
      <c r="AS357" s="241"/>
      <c r="AT357" s="241" t="s">
        <v>306</v>
      </c>
      <c r="AU357" s="241" t="s">
        <v>306</v>
      </c>
      <c r="AV357" s="241" t="s">
        <v>306</v>
      </c>
      <c r="AW357" s="241" t="s">
        <v>306</v>
      </c>
      <c r="AX357" s="241">
        <f t="shared" si="43"/>
        <v>0</v>
      </c>
      <c r="AY357" s="241" t="str">
        <f t="shared" si="44"/>
        <v>K/0</v>
      </c>
      <c r="AZ357" s="241"/>
      <c r="BA357" s="249"/>
      <c r="BB357" s="241" t="s">
        <v>161</v>
      </c>
      <c r="BC357" s="241" t="s">
        <v>153</v>
      </c>
      <c r="BD357" s="241"/>
      <c r="BE357" s="241" t="s">
        <v>4109</v>
      </c>
      <c r="BF357" s="241">
        <v>2003</v>
      </c>
      <c r="BG357" s="241" t="s">
        <v>153</v>
      </c>
      <c r="BH357" s="250"/>
      <c r="BI357" s="241" t="s">
        <v>4109</v>
      </c>
      <c r="BJ357" s="241">
        <v>2003</v>
      </c>
      <c r="BK357" s="241"/>
      <c r="BL357" s="241"/>
      <c r="BM357" s="241"/>
      <c r="BN357" s="241"/>
      <c r="BO357" s="241"/>
      <c r="BP357" s="241"/>
      <c r="BQ357" s="241"/>
      <c r="BR357" s="241"/>
      <c r="BS357" s="241"/>
      <c r="BT357" s="241"/>
      <c r="BU357" s="241"/>
      <c r="BV357" s="241"/>
      <c r="BW357" s="241"/>
      <c r="BX357" s="241"/>
      <c r="BY357" s="241"/>
      <c r="BZ357" s="241"/>
      <c r="CA357" s="241"/>
      <c r="CB357" s="241"/>
      <c r="CC357" s="241"/>
      <c r="CD357" s="241"/>
      <c r="CE357" s="241"/>
      <c r="CF357" s="13"/>
      <c r="CG357" s="13"/>
      <c r="CH357" s="13"/>
    </row>
    <row r="358" spans="1:86" ht="11.25" customHeight="1" x14ac:dyDescent="0.2">
      <c r="A358" s="13"/>
      <c r="B358" s="238">
        <v>354</v>
      </c>
      <c r="C358" s="241" t="e">
        <f t="shared" ca="1" si="46"/>
        <v>#NUM!</v>
      </c>
      <c r="D358" s="237" t="s">
        <v>4110</v>
      </c>
      <c r="E358" s="239">
        <v>642401198</v>
      </c>
      <c r="F358" s="237">
        <v>1710014832078</v>
      </c>
      <c r="G358" s="240"/>
      <c r="H358" s="241" t="s">
        <v>217</v>
      </c>
      <c r="I358" s="241" t="s">
        <v>217</v>
      </c>
      <c r="J358" s="242">
        <v>45292</v>
      </c>
      <c r="K358" s="241"/>
      <c r="L358" s="241"/>
      <c r="M358" s="241" t="str">
        <f t="shared" si="45"/>
        <v>PKWT</v>
      </c>
      <c r="N358" s="241" t="s">
        <v>187</v>
      </c>
      <c r="O358" s="241"/>
      <c r="P358" s="243">
        <v>45657</v>
      </c>
      <c r="Q358" s="241"/>
      <c r="R358" s="241" t="s">
        <v>206</v>
      </c>
      <c r="S358" s="241" t="s">
        <v>6863</v>
      </c>
      <c r="T358" s="241" t="s">
        <v>312</v>
      </c>
      <c r="U358" s="241" t="s">
        <v>204</v>
      </c>
      <c r="V358" s="241" t="s">
        <v>208</v>
      </c>
      <c r="W358" s="241" t="s">
        <v>6908</v>
      </c>
      <c r="X358" s="241" t="s">
        <v>18</v>
      </c>
      <c r="Y358" s="241" t="s">
        <v>313</v>
      </c>
      <c r="Z358" s="241"/>
      <c r="AA358" s="241"/>
      <c r="AB358" s="241" t="s">
        <v>314</v>
      </c>
      <c r="AC358" s="241" t="s">
        <v>217</v>
      </c>
      <c r="AD358" s="245">
        <v>36170</v>
      </c>
      <c r="AE358" s="241">
        <f t="shared" ca="1" si="42"/>
        <v>26</v>
      </c>
      <c r="AF358" s="246" t="s">
        <v>4111</v>
      </c>
      <c r="AG358" s="241" t="s">
        <v>4112</v>
      </c>
      <c r="AH358" s="240" t="s">
        <v>4113</v>
      </c>
      <c r="AI358" s="240"/>
      <c r="AJ358" s="240"/>
      <c r="AK358" s="250" t="s">
        <v>4114</v>
      </c>
      <c r="AL358" s="246" t="s">
        <v>4115</v>
      </c>
      <c r="AM358" s="246">
        <v>24009885211</v>
      </c>
      <c r="AN358" s="241" t="s">
        <v>4733</v>
      </c>
      <c r="AO358" s="241"/>
      <c r="AP358" s="241"/>
      <c r="AQ358" s="241"/>
      <c r="AR358" s="241"/>
      <c r="AS358" s="241"/>
      <c r="AT358" s="241" t="s">
        <v>306</v>
      </c>
      <c r="AU358" s="241" t="s">
        <v>306</v>
      </c>
      <c r="AV358" s="241" t="s">
        <v>306</v>
      </c>
      <c r="AW358" s="241" t="s">
        <v>306</v>
      </c>
      <c r="AX358" s="241">
        <f t="shared" si="43"/>
        <v>0</v>
      </c>
      <c r="AY358" s="241" t="str">
        <f t="shared" si="44"/>
        <v>K/0</v>
      </c>
      <c r="AZ358" s="241"/>
      <c r="BA358" s="249"/>
      <c r="BB358" s="241" t="s">
        <v>161</v>
      </c>
      <c r="BC358" s="241" t="s">
        <v>349</v>
      </c>
      <c r="BD358" s="241" t="s">
        <v>515</v>
      </c>
      <c r="BE358" s="241" t="s">
        <v>1274</v>
      </c>
      <c r="BF358" s="241">
        <v>2017</v>
      </c>
      <c r="BG358" s="241" t="s">
        <v>349</v>
      </c>
      <c r="BH358" s="241" t="s">
        <v>515</v>
      </c>
      <c r="BI358" s="241" t="s">
        <v>1274</v>
      </c>
      <c r="BJ358" s="241">
        <v>2017</v>
      </c>
      <c r="BK358" s="241"/>
      <c r="BL358" s="241"/>
      <c r="BM358" s="241"/>
      <c r="BN358" s="241"/>
      <c r="BO358" s="241"/>
      <c r="BP358" s="241"/>
      <c r="BQ358" s="241"/>
      <c r="BR358" s="241"/>
      <c r="BS358" s="241"/>
      <c r="BT358" s="241"/>
      <c r="BU358" s="241"/>
      <c r="BV358" s="241"/>
      <c r="BW358" s="241"/>
      <c r="BX358" s="241"/>
      <c r="BY358" s="241"/>
      <c r="BZ358" s="241"/>
      <c r="CA358" s="241"/>
      <c r="CB358" s="241"/>
      <c r="CC358" s="241"/>
      <c r="CD358" s="241"/>
      <c r="CE358" s="241"/>
      <c r="CF358" s="13"/>
      <c r="CG358" s="13"/>
      <c r="CH358" s="13"/>
    </row>
    <row r="359" spans="1:86" ht="11.25" customHeight="1" x14ac:dyDescent="0.2">
      <c r="A359" s="13"/>
      <c r="B359" s="238">
        <v>355</v>
      </c>
      <c r="C359" s="241" t="e">
        <f t="shared" ca="1" si="46"/>
        <v>#NUM!</v>
      </c>
      <c r="D359" s="237" t="s">
        <v>4116</v>
      </c>
      <c r="E359" s="239">
        <v>642401199</v>
      </c>
      <c r="F359" s="237">
        <v>1710014724721</v>
      </c>
      <c r="G359" s="240"/>
      <c r="H359" s="241" t="s">
        <v>217</v>
      </c>
      <c r="I359" s="241" t="s">
        <v>32</v>
      </c>
      <c r="J359" s="242">
        <v>45292</v>
      </c>
      <c r="K359" s="241"/>
      <c r="L359" s="241"/>
      <c r="M359" s="241" t="str">
        <f t="shared" si="45"/>
        <v>PKWT</v>
      </c>
      <c r="N359" s="241" t="s">
        <v>187</v>
      </c>
      <c r="O359" s="241"/>
      <c r="P359" s="243">
        <v>45657</v>
      </c>
      <c r="Q359" s="241"/>
      <c r="R359" s="241" t="s">
        <v>206</v>
      </c>
      <c r="S359" s="241" t="s">
        <v>6863</v>
      </c>
      <c r="T359" s="241" t="s">
        <v>312</v>
      </c>
      <c r="U359" s="241" t="s">
        <v>32</v>
      </c>
      <c r="V359" s="241" t="s">
        <v>3833</v>
      </c>
      <c r="W359" s="241" t="s">
        <v>6911</v>
      </c>
      <c r="X359" s="241" t="s">
        <v>18</v>
      </c>
      <c r="Y359" s="241" t="s">
        <v>313</v>
      </c>
      <c r="Z359" s="241"/>
      <c r="AA359" s="241"/>
      <c r="AB359" s="241" t="s">
        <v>314</v>
      </c>
      <c r="AC359" s="241" t="s">
        <v>32</v>
      </c>
      <c r="AD359" s="245">
        <v>34444</v>
      </c>
      <c r="AE359" s="241">
        <f t="shared" ca="1" si="42"/>
        <v>31</v>
      </c>
      <c r="AF359" s="246" t="s">
        <v>4117</v>
      </c>
      <c r="AG359" s="241" t="s">
        <v>4118</v>
      </c>
      <c r="AH359" s="240" t="s">
        <v>4119</v>
      </c>
      <c r="AI359" s="240"/>
      <c r="AJ359" s="240"/>
      <c r="AK359" s="241" t="s">
        <v>4120</v>
      </c>
      <c r="AL359" s="246" t="s">
        <v>4121</v>
      </c>
      <c r="AM359" s="246">
        <v>24009885096</v>
      </c>
      <c r="AN359" s="241" t="s">
        <v>4733</v>
      </c>
      <c r="AO359" s="241"/>
      <c r="AP359" s="241"/>
      <c r="AQ359" s="241"/>
      <c r="AR359" s="241"/>
      <c r="AS359" s="241"/>
      <c r="AT359" s="241" t="s">
        <v>306</v>
      </c>
      <c r="AU359" s="241" t="s">
        <v>306</v>
      </c>
      <c r="AV359" s="241" t="s">
        <v>306</v>
      </c>
      <c r="AW359" s="241" t="s">
        <v>306</v>
      </c>
      <c r="AX359" s="241">
        <f t="shared" si="43"/>
        <v>0</v>
      </c>
      <c r="AY359" s="241" t="str">
        <f t="shared" si="44"/>
        <v>K/0</v>
      </c>
      <c r="AZ359" s="241"/>
      <c r="BA359" s="249"/>
      <c r="BB359" s="241" t="s">
        <v>161</v>
      </c>
      <c r="BC359" s="241" t="s">
        <v>307</v>
      </c>
      <c r="BD359" s="241" t="s">
        <v>308</v>
      </c>
      <c r="BE359" s="241" t="s">
        <v>4122</v>
      </c>
      <c r="BF359" s="241">
        <v>2017</v>
      </c>
      <c r="BG359" s="241" t="s">
        <v>307</v>
      </c>
      <c r="BH359" s="241" t="s">
        <v>308</v>
      </c>
      <c r="BI359" s="241" t="s">
        <v>4122</v>
      </c>
      <c r="BJ359" s="241">
        <v>2017</v>
      </c>
      <c r="BK359" s="241"/>
      <c r="BL359" s="241"/>
      <c r="BM359" s="241"/>
      <c r="BN359" s="241"/>
      <c r="BO359" s="241"/>
      <c r="BP359" s="241"/>
      <c r="BQ359" s="241"/>
      <c r="BR359" s="241"/>
      <c r="BS359" s="241"/>
      <c r="BT359" s="241"/>
      <c r="BU359" s="241"/>
      <c r="BV359" s="241"/>
      <c r="BW359" s="241"/>
      <c r="BX359" s="241"/>
      <c r="BY359" s="241"/>
      <c r="BZ359" s="241"/>
      <c r="CA359" s="241"/>
      <c r="CB359" s="241"/>
      <c r="CC359" s="241"/>
      <c r="CD359" s="241"/>
      <c r="CE359" s="241"/>
      <c r="CF359" s="13"/>
      <c r="CG359" s="13"/>
      <c r="CH359" s="13"/>
    </row>
    <row r="360" spans="1:86" ht="11.25" customHeight="1" x14ac:dyDescent="0.2">
      <c r="A360" s="13"/>
      <c r="B360" s="238">
        <v>356</v>
      </c>
      <c r="C360" s="241" t="e">
        <f t="shared" ca="1" si="46"/>
        <v>#NUM!</v>
      </c>
      <c r="D360" s="237" t="s">
        <v>4123</v>
      </c>
      <c r="E360" s="239">
        <v>642401200</v>
      </c>
      <c r="F360" s="237">
        <v>1710014827995</v>
      </c>
      <c r="G360" s="240"/>
      <c r="H360" s="241" t="s">
        <v>217</v>
      </c>
      <c r="I360" s="241" t="s">
        <v>311</v>
      </c>
      <c r="J360" s="242">
        <v>45292</v>
      </c>
      <c r="K360" s="241"/>
      <c r="L360" s="241"/>
      <c r="M360" s="241" t="str">
        <f t="shared" si="45"/>
        <v>PKWT</v>
      </c>
      <c r="N360" s="241" t="s">
        <v>187</v>
      </c>
      <c r="O360" s="241"/>
      <c r="P360" s="243">
        <v>45657</v>
      </c>
      <c r="Q360" s="241"/>
      <c r="R360" s="241" t="s">
        <v>206</v>
      </c>
      <c r="S360" s="241" t="s">
        <v>6863</v>
      </c>
      <c r="T360" s="241" t="s">
        <v>312</v>
      </c>
      <c r="U360" s="241" t="s">
        <v>23</v>
      </c>
      <c r="V360" s="241" t="s">
        <v>443</v>
      </c>
      <c r="W360" s="241" t="s">
        <v>51</v>
      </c>
      <c r="X360" s="241" t="s">
        <v>121</v>
      </c>
      <c r="Y360" s="241" t="s">
        <v>121</v>
      </c>
      <c r="Z360" s="241"/>
      <c r="AA360" s="241"/>
      <c r="AB360" s="241" t="s">
        <v>314</v>
      </c>
      <c r="AC360" s="241" t="s">
        <v>311</v>
      </c>
      <c r="AD360" s="245">
        <v>37780</v>
      </c>
      <c r="AE360" s="241">
        <f t="shared" ca="1" si="42"/>
        <v>22</v>
      </c>
      <c r="AF360" s="246" t="s">
        <v>4124</v>
      </c>
      <c r="AG360" s="241" t="s">
        <v>4125</v>
      </c>
      <c r="AH360" s="240" t="s">
        <v>4126</v>
      </c>
      <c r="AI360" s="240"/>
      <c r="AJ360" s="240"/>
      <c r="AK360" s="241" t="s">
        <v>4127</v>
      </c>
      <c r="AL360" s="246" t="s">
        <v>4128</v>
      </c>
      <c r="AM360" s="246">
        <v>24009885583</v>
      </c>
      <c r="AN360" s="241" t="s">
        <v>4716</v>
      </c>
      <c r="AO360" s="241"/>
      <c r="AP360" s="241"/>
      <c r="AQ360" s="241"/>
      <c r="AR360" s="241"/>
      <c r="AS360" s="241"/>
      <c r="AT360" s="241" t="s">
        <v>306</v>
      </c>
      <c r="AU360" s="241" t="s">
        <v>306</v>
      </c>
      <c r="AV360" s="241" t="s">
        <v>306</v>
      </c>
      <c r="AW360" s="241" t="s">
        <v>306</v>
      </c>
      <c r="AX360" s="241">
        <f t="shared" si="43"/>
        <v>0</v>
      </c>
      <c r="AY360" s="241" t="str">
        <f t="shared" si="44"/>
        <v>TK/0</v>
      </c>
      <c r="AZ360" s="241"/>
      <c r="BA360" s="249"/>
      <c r="BB360" s="241" t="s">
        <v>161</v>
      </c>
      <c r="BC360" s="241" t="s">
        <v>349</v>
      </c>
      <c r="BD360" s="241" t="s">
        <v>515</v>
      </c>
      <c r="BE360" s="241" t="s">
        <v>4129</v>
      </c>
      <c r="BF360" s="241">
        <v>2022</v>
      </c>
      <c r="BG360" s="241" t="s">
        <v>349</v>
      </c>
      <c r="BH360" s="241" t="s">
        <v>515</v>
      </c>
      <c r="BI360" s="241" t="s">
        <v>4129</v>
      </c>
      <c r="BJ360" s="241">
        <v>2022</v>
      </c>
      <c r="BK360" s="241"/>
      <c r="BL360" s="241"/>
      <c r="BM360" s="241"/>
      <c r="BN360" s="241"/>
      <c r="BO360" s="241"/>
      <c r="BP360" s="241"/>
      <c r="BQ360" s="241"/>
      <c r="BR360" s="241"/>
      <c r="BS360" s="241"/>
      <c r="BT360" s="241"/>
      <c r="BU360" s="241"/>
      <c r="BV360" s="241"/>
      <c r="BW360" s="241"/>
      <c r="BX360" s="241"/>
      <c r="BY360" s="241"/>
      <c r="BZ360" s="241"/>
      <c r="CA360" s="241"/>
      <c r="CB360" s="241"/>
      <c r="CC360" s="241"/>
      <c r="CD360" s="241"/>
      <c r="CE360" s="241"/>
      <c r="CF360" s="13"/>
      <c r="CG360" s="13"/>
      <c r="CH360" s="13"/>
    </row>
    <row r="361" spans="1:86" ht="11.25" customHeight="1" x14ac:dyDescent="0.2">
      <c r="A361" s="13"/>
      <c r="B361" s="238">
        <v>357</v>
      </c>
      <c r="C361" s="241" t="e">
        <f t="shared" ca="1" si="46"/>
        <v>#NUM!</v>
      </c>
      <c r="D361" s="237" t="s">
        <v>4130</v>
      </c>
      <c r="E361" s="239">
        <v>642401201</v>
      </c>
      <c r="F361" s="237">
        <v>1710014827946</v>
      </c>
      <c r="G361" s="240"/>
      <c r="H361" s="241" t="s">
        <v>217</v>
      </c>
      <c r="I361" s="241" t="s">
        <v>311</v>
      </c>
      <c r="J361" s="242">
        <v>45292</v>
      </c>
      <c r="K361" s="241"/>
      <c r="L361" s="241"/>
      <c r="M361" s="241" t="str">
        <f t="shared" si="45"/>
        <v>PKWT</v>
      </c>
      <c r="N361" s="241" t="s">
        <v>187</v>
      </c>
      <c r="O361" s="241"/>
      <c r="P361" s="243">
        <v>45657</v>
      </c>
      <c r="Q361" s="241"/>
      <c r="R361" s="241" t="s">
        <v>206</v>
      </c>
      <c r="S361" s="241" t="s">
        <v>6863</v>
      </c>
      <c r="T361" s="241" t="s">
        <v>312</v>
      </c>
      <c r="U361" s="241" t="s">
        <v>23</v>
      </c>
      <c r="V361" s="241" t="s">
        <v>443</v>
      </c>
      <c r="W361" s="241" t="s">
        <v>51</v>
      </c>
      <c r="X361" s="241" t="s">
        <v>121</v>
      </c>
      <c r="Y361" s="241" t="s">
        <v>313</v>
      </c>
      <c r="Z361" s="241"/>
      <c r="AA361" s="241"/>
      <c r="AB361" s="241" t="s">
        <v>314</v>
      </c>
      <c r="AC361" s="241" t="s">
        <v>311</v>
      </c>
      <c r="AD361" s="245">
        <v>37727</v>
      </c>
      <c r="AE361" s="241">
        <f t="shared" ca="1" si="42"/>
        <v>22</v>
      </c>
      <c r="AF361" s="246" t="s">
        <v>4131</v>
      </c>
      <c r="AG361" s="241" t="s">
        <v>4132</v>
      </c>
      <c r="AH361" s="240" t="s">
        <v>4133</v>
      </c>
      <c r="AI361" s="240"/>
      <c r="AJ361" s="240"/>
      <c r="AK361" s="241" t="s">
        <v>4134</v>
      </c>
      <c r="AL361" s="246" t="s">
        <v>4135</v>
      </c>
      <c r="AM361" s="246">
        <v>24009885609</v>
      </c>
      <c r="AN361" s="241" t="s">
        <v>4716</v>
      </c>
      <c r="AO361" s="241"/>
      <c r="AP361" s="241"/>
      <c r="AQ361" s="241"/>
      <c r="AR361" s="241"/>
      <c r="AS361" s="241"/>
      <c r="AT361" s="241" t="s">
        <v>4136</v>
      </c>
      <c r="AU361" s="241" t="s">
        <v>4137</v>
      </c>
      <c r="AV361" s="241" t="s">
        <v>306</v>
      </c>
      <c r="AW361" s="241" t="s">
        <v>306</v>
      </c>
      <c r="AX361" s="241">
        <f t="shared" si="43"/>
        <v>0</v>
      </c>
      <c r="AY361" s="241" t="str">
        <f t="shared" si="44"/>
        <v>TK/0</v>
      </c>
      <c r="AZ361" s="241" t="s">
        <v>4138</v>
      </c>
      <c r="BA361" s="249" t="s">
        <v>4139</v>
      </c>
      <c r="BB361" s="241" t="s">
        <v>161</v>
      </c>
      <c r="BC361" s="241" t="s">
        <v>349</v>
      </c>
      <c r="BD361" s="241" t="s">
        <v>515</v>
      </c>
      <c r="BE361" s="241" t="s">
        <v>4140</v>
      </c>
      <c r="BF361" s="241">
        <v>2022</v>
      </c>
      <c r="BG361" s="241" t="s">
        <v>349</v>
      </c>
      <c r="BH361" s="241" t="s">
        <v>515</v>
      </c>
      <c r="BI361" s="241" t="s">
        <v>4140</v>
      </c>
      <c r="BJ361" s="241">
        <v>2022</v>
      </c>
      <c r="BK361" s="241"/>
      <c r="BL361" s="241"/>
      <c r="BM361" s="241"/>
      <c r="BN361" s="241"/>
      <c r="BO361" s="241"/>
      <c r="BP361" s="241"/>
      <c r="BQ361" s="241"/>
      <c r="BR361" s="241"/>
      <c r="BS361" s="241"/>
      <c r="BT361" s="241"/>
      <c r="BU361" s="241"/>
      <c r="BV361" s="241"/>
      <c r="BW361" s="241"/>
      <c r="BX361" s="241"/>
      <c r="BY361" s="241"/>
      <c r="BZ361" s="241"/>
      <c r="CA361" s="241"/>
      <c r="CB361" s="241"/>
      <c r="CC361" s="241"/>
      <c r="CD361" s="241"/>
      <c r="CE361" s="241"/>
      <c r="CF361" s="13"/>
      <c r="CG361" s="13"/>
      <c r="CH361" s="13"/>
    </row>
    <row r="362" spans="1:86" ht="11.25" customHeight="1" x14ac:dyDescent="0.2">
      <c r="A362" s="13"/>
      <c r="B362" s="238">
        <v>358</v>
      </c>
      <c r="C362" s="241" t="e">
        <f t="shared" ca="1" si="46"/>
        <v>#NUM!</v>
      </c>
      <c r="D362" s="237" t="s">
        <v>4141</v>
      </c>
      <c r="E362" s="239">
        <v>642401202</v>
      </c>
      <c r="F362" s="237"/>
      <c r="G362" s="240">
        <v>7261131026</v>
      </c>
      <c r="H362" s="241" t="s">
        <v>217</v>
      </c>
      <c r="I362" s="241" t="s">
        <v>24</v>
      </c>
      <c r="J362" s="242">
        <v>45292</v>
      </c>
      <c r="K362" s="241"/>
      <c r="L362" s="241"/>
      <c r="M362" s="241" t="str">
        <f t="shared" si="45"/>
        <v>PKWT</v>
      </c>
      <c r="N362" s="241" t="s">
        <v>187</v>
      </c>
      <c r="O362" s="241"/>
      <c r="P362" s="243">
        <v>45657</v>
      </c>
      <c r="Q362" s="241"/>
      <c r="R362" s="241" t="s">
        <v>206</v>
      </c>
      <c r="S362" s="241" t="s">
        <v>6863</v>
      </c>
      <c r="T362" s="241" t="s">
        <v>312</v>
      </c>
      <c r="U362" s="241" t="s">
        <v>24</v>
      </c>
      <c r="V362" s="241" t="s">
        <v>443</v>
      </c>
      <c r="W362" s="241" t="s">
        <v>175</v>
      </c>
      <c r="X362" s="241" t="s">
        <v>121</v>
      </c>
      <c r="Y362" s="241" t="s">
        <v>313</v>
      </c>
      <c r="Z362" s="241"/>
      <c r="AA362" s="241"/>
      <c r="AB362" s="241" t="s">
        <v>314</v>
      </c>
      <c r="AC362" s="241" t="s">
        <v>24</v>
      </c>
      <c r="AD362" s="245">
        <v>34840</v>
      </c>
      <c r="AE362" s="241">
        <f t="shared" ca="1" si="42"/>
        <v>30</v>
      </c>
      <c r="AF362" s="246" t="s">
        <v>4142</v>
      </c>
      <c r="AG362" s="241" t="s">
        <v>4143</v>
      </c>
      <c r="AH362" s="240" t="s">
        <v>4144</v>
      </c>
      <c r="AI362" s="240"/>
      <c r="AJ362" s="240"/>
      <c r="AK362" s="241" t="s">
        <v>4145</v>
      </c>
      <c r="AL362" s="246" t="s">
        <v>4146</v>
      </c>
      <c r="AM362" s="246">
        <v>24009885294</v>
      </c>
      <c r="AN362" s="241" t="s">
        <v>4716</v>
      </c>
      <c r="AO362" s="241"/>
      <c r="AP362" s="241"/>
      <c r="AQ362" s="241"/>
      <c r="AR362" s="241"/>
      <c r="AS362" s="241"/>
      <c r="AT362" s="241" t="s">
        <v>306</v>
      </c>
      <c r="AU362" s="241" t="s">
        <v>306</v>
      </c>
      <c r="AV362" s="241" t="s">
        <v>306</v>
      </c>
      <c r="AW362" s="241" t="s">
        <v>306</v>
      </c>
      <c r="AX362" s="241">
        <f t="shared" si="43"/>
        <v>0</v>
      </c>
      <c r="AY362" s="241" t="str">
        <f t="shared" si="44"/>
        <v>TK/0</v>
      </c>
      <c r="AZ362" s="241"/>
      <c r="BA362" s="249"/>
      <c r="BB362" s="241" t="s">
        <v>161</v>
      </c>
      <c r="BC362" s="241" t="s">
        <v>75</v>
      </c>
      <c r="BD362" s="241" t="s">
        <v>106</v>
      </c>
      <c r="BE362" s="241" t="s">
        <v>4147</v>
      </c>
      <c r="BF362" s="241">
        <v>2018</v>
      </c>
      <c r="BG362" s="241" t="s">
        <v>75</v>
      </c>
      <c r="BH362" s="241" t="s">
        <v>106</v>
      </c>
      <c r="BI362" s="241" t="s">
        <v>4147</v>
      </c>
      <c r="BJ362" s="241">
        <v>2018</v>
      </c>
      <c r="BK362" s="241"/>
      <c r="BL362" s="241"/>
      <c r="BM362" s="241"/>
      <c r="BN362" s="241"/>
      <c r="BO362" s="241"/>
      <c r="BP362" s="241"/>
      <c r="BQ362" s="241"/>
      <c r="BR362" s="241"/>
      <c r="BS362" s="241"/>
      <c r="BT362" s="241"/>
      <c r="BU362" s="241"/>
      <c r="BV362" s="241"/>
      <c r="BW362" s="241"/>
      <c r="BX362" s="241"/>
      <c r="BY362" s="241"/>
      <c r="BZ362" s="241"/>
      <c r="CA362" s="241"/>
      <c r="CB362" s="241"/>
      <c r="CC362" s="241"/>
      <c r="CD362" s="241"/>
      <c r="CE362" s="241"/>
      <c r="CF362" s="13"/>
      <c r="CG362" s="13"/>
      <c r="CH362" s="13"/>
    </row>
    <row r="363" spans="1:86" ht="11.25" customHeight="1" x14ac:dyDescent="0.2">
      <c r="A363" s="13"/>
      <c r="B363" s="238">
        <v>359</v>
      </c>
      <c r="C363" s="241" t="e">
        <f t="shared" ca="1" si="46"/>
        <v>#NUM!</v>
      </c>
      <c r="D363" s="237" t="s">
        <v>4148</v>
      </c>
      <c r="E363" s="239">
        <v>642401203</v>
      </c>
      <c r="F363" s="237">
        <v>1570010862861</v>
      </c>
      <c r="G363" s="240"/>
      <c r="H363" s="241" t="s">
        <v>217</v>
      </c>
      <c r="I363" s="241" t="s">
        <v>24</v>
      </c>
      <c r="J363" s="242">
        <v>45292</v>
      </c>
      <c r="K363" s="241"/>
      <c r="L363" s="241"/>
      <c r="M363" s="241" t="str">
        <f t="shared" si="45"/>
        <v>PKWT</v>
      </c>
      <c r="N363" s="241" t="s">
        <v>187</v>
      </c>
      <c r="O363" s="241"/>
      <c r="P363" s="243">
        <v>45657</v>
      </c>
      <c r="Q363" s="241"/>
      <c r="R363" s="241" t="s">
        <v>206</v>
      </c>
      <c r="S363" s="241" t="s">
        <v>6863</v>
      </c>
      <c r="T363" s="241" t="s">
        <v>312</v>
      </c>
      <c r="U363" s="241" t="s">
        <v>24</v>
      </c>
      <c r="V363" s="241" t="s">
        <v>204</v>
      </c>
      <c r="W363" s="241" t="s">
        <v>6183</v>
      </c>
      <c r="X363" s="241" t="s">
        <v>121</v>
      </c>
      <c r="Y363" s="241" t="s">
        <v>313</v>
      </c>
      <c r="Z363" s="241"/>
      <c r="AA363" s="241"/>
      <c r="AB363" s="241" t="s">
        <v>314</v>
      </c>
      <c r="AC363" s="241" t="s">
        <v>24</v>
      </c>
      <c r="AD363" s="245">
        <v>38343</v>
      </c>
      <c r="AE363" s="241">
        <f t="shared" ca="1" si="42"/>
        <v>20</v>
      </c>
      <c r="AF363" s="246" t="s">
        <v>4149</v>
      </c>
      <c r="AG363" s="241" t="s">
        <v>4150</v>
      </c>
      <c r="AH363" s="240" t="s">
        <v>4151</v>
      </c>
      <c r="AI363" s="240" t="s">
        <v>4152</v>
      </c>
      <c r="AJ363" s="240"/>
      <c r="AK363" s="241" t="s">
        <v>4153</v>
      </c>
      <c r="AL363" s="246" t="s">
        <v>4154</v>
      </c>
      <c r="AM363" s="246">
        <v>24009885542</v>
      </c>
      <c r="AN363" s="241" t="s">
        <v>4716</v>
      </c>
      <c r="AO363" s="241"/>
      <c r="AP363" s="241"/>
      <c r="AQ363" s="241"/>
      <c r="AR363" s="241"/>
      <c r="AS363" s="241"/>
      <c r="AT363" s="241" t="s">
        <v>4155</v>
      </c>
      <c r="AU363" s="241" t="s">
        <v>4156</v>
      </c>
      <c r="AV363" s="241" t="s">
        <v>306</v>
      </c>
      <c r="AW363" s="241" t="s">
        <v>306</v>
      </c>
      <c r="AX363" s="241">
        <f t="shared" si="43"/>
        <v>0</v>
      </c>
      <c r="AY363" s="241" t="str">
        <f t="shared" si="44"/>
        <v>TK/0</v>
      </c>
      <c r="AZ363" s="241" t="s">
        <v>4157</v>
      </c>
      <c r="BA363" s="249" t="s">
        <v>4157</v>
      </c>
      <c r="BB363" s="241" t="s">
        <v>161</v>
      </c>
      <c r="BC363" s="241" t="s">
        <v>349</v>
      </c>
      <c r="BD363" s="241" t="s">
        <v>1213</v>
      </c>
      <c r="BE363" s="241" t="s">
        <v>4158</v>
      </c>
      <c r="BF363" s="241">
        <v>2023</v>
      </c>
      <c r="BG363" s="241" t="s">
        <v>349</v>
      </c>
      <c r="BH363" s="241" t="s">
        <v>1213</v>
      </c>
      <c r="BI363" s="241" t="s">
        <v>4158</v>
      </c>
      <c r="BJ363" s="241">
        <v>2023</v>
      </c>
      <c r="BK363" s="241"/>
      <c r="BL363" s="241"/>
      <c r="BM363" s="241"/>
      <c r="BN363" s="241"/>
      <c r="BO363" s="241"/>
      <c r="BP363" s="241"/>
      <c r="BQ363" s="241"/>
      <c r="BR363" s="241"/>
      <c r="BS363" s="241"/>
      <c r="BT363" s="241"/>
      <c r="BU363" s="241"/>
      <c r="BV363" s="241"/>
      <c r="BW363" s="241"/>
      <c r="BX363" s="241"/>
      <c r="BY363" s="241"/>
      <c r="BZ363" s="241"/>
      <c r="CA363" s="241"/>
      <c r="CB363" s="241"/>
      <c r="CC363" s="241"/>
      <c r="CD363" s="241"/>
      <c r="CE363" s="241"/>
      <c r="CF363" s="13"/>
      <c r="CG363" s="13"/>
      <c r="CH363" s="13"/>
    </row>
    <row r="364" spans="1:86" ht="11.25" customHeight="1" x14ac:dyDescent="0.2">
      <c r="A364" s="13"/>
      <c r="B364" s="238">
        <v>360</v>
      </c>
      <c r="C364" s="241" t="e">
        <f t="shared" ca="1" si="46"/>
        <v>#NUM!</v>
      </c>
      <c r="D364" s="237" t="s">
        <v>4159</v>
      </c>
      <c r="E364" s="239">
        <v>642401204</v>
      </c>
      <c r="F364" s="237">
        <v>1710010882663</v>
      </c>
      <c r="G364" s="246"/>
      <c r="H364" s="241" t="s">
        <v>217</v>
      </c>
      <c r="I364" s="241" t="s">
        <v>311</v>
      </c>
      <c r="J364" s="242">
        <v>45292</v>
      </c>
      <c r="K364" s="241"/>
      <c r="L364" s="241"/>
      <c r="M364" s="241" t="str">
        <f t="shared" si="45"/>
        <v>PKWT</v>
      </c>
      <c r="N364" s="241" t="s">
        <v>187</v>
      </c>
      <c r="O364" s="241"/>
      <c r="P364" s="243">
        <v>45657</v>
      </c>
      <c r="Q364" s="241"/>
      <c r="R364" s="240" t="s">
        <v>139</v>
      </c>
      <c r="S364" s="241" t="s">
        <v>6863</v>
      </c>
      <c r="T364" s="241" t="s">
        <v>312</v>
      </c>
      <c r="U364" s="241" t="s">
        <v>204</v>
      </c>
      <c r="V364" s="241" t="s">
        <v>6012</v>
      </c>
      <c r="W364" s="241" t="s">
        <v>6908</v>
      </c>
      <c r="X364" s="241" t="s">
        <v>18</v>
      </c>
      <c r="Y364" s="241" t="s">
        <v>313</v>
      </c>
      <c r="Z364" s="241"/>
      <c r="AA364" s="241"/>
      <c r="AB364" s="241" t="s">
        <v>314</v>
      </c>
      <c r="AC364" s="241" t="s">
        <v>311</v>
      </c>
      <c r="AD364" s="245">
        <v>37217</v>
      </c>
      <c r="AE364" s="241">
        <f t="shared" ca="1" si="42"/>
        <v>23</v>
      </c>
      <c r="AF364" s="246" t="s">
        <v>4160</v>
      </c>
      <c r="AG364" s="241" t="s">
        <v>4161</v>
      </c>
      <c r="AH364" s="240" t="s">
        <v>4162</v>
      </c>
      <c r="AI364" s="240"/>
      <c r="AJ364" s="240"/>
      <c r="AK364" s="250" t="s">
        <v>4163</v>
      </c>
      <c r="AL364" s="246" t="s">
        <v>4164</v>
      </c>
      <c r="AM364" s="246">
        <v>22023994100</v>
      </c>
      <c r="AN364" s="241" t="s">
        <v>4716</v>
      </c>
      <c r="AO364" s="241"/>
      <c r="AP364" s="241"/>
      <c r="AQ364" s="241"/>
      <c r="AR364" s="241"/>
      <c r="AS364" s="241"/>
      <c r="AT364" s="241" t="s">
        <v>990</v>
      </c>
      <c r="AU364" s="241" t="s">
        <v>4165</v>
      </c>
      <c r="AV364" s="241" t="s">
        <v>306</v>
      </c>
      <c r="AW364" s="241" t="s">
        <v>306</v>
      </c>
      <c r="AX364" s="241">
        <f t="shared" si="43"/>
        <v>0</v>
      </c>
      <c r="AY364" s="241" t="str">
        <f t="shared" si="44"/>
        <v>TK/0</v>
      </c>
      <c r="AZ364" s="241"/>
      <c r="BA364" s="249"/>
      <c r="BB364" s="241" t="s">
        <v>161</v>
      </c>
      <c r="BC364" s="241" t="s">
        <v>349</v>
      </c>
      <c r="BD364" s="241" t="s">
        <v>4166</v>
      </c>
      <c r="BE364" s="241" t="s">
        <v>1762</v>
      </c>
      <c r="BF364" s="241">
        <v>2019</v>
      </c>
      <c r="BG364" s="241" t="s">
        <v>349</v>
      </c>
      <c r="BH364" s="241" t="s">
        <v>4166</v>
      </c>
      <c r="BI364" s="241" t="s">
        <v>1762</v>
      </c>
      <c r="BJ364" s="241">
        <v>2019</v>
      </c>
      <c r="BK364" s="241"/>
      <c r="BL364" s="241"/>
      <c r="BM364" s="241" t="s">
        <v>351</v>
      </c>
      <c r="BN364" s="241" t="s">
        <v>351</v>
      </c>
      <c r="BO364" s="241">
        <v>42</v>
      </c>
      <c r="BP364" s="241"/>
      <c r="BQ364" s="241"/>
      <c r="BR364" s="241"/>
      <c r="BS364" s="241"/>
      <c r="BT364" s="241"/>
      <c r="BU364" s="241"/>
      <c r="BV364" s="241"/>
      <c r="BW364" s="241"/>
      <c r="BX364" s="241"/>
      <c r="BY364" s="241"/>
      <c r="BZ364" s="241"/>
      <c r="CA364" s="241"/>
      <c r="CB364" s="241"/>
      <c r="CC364" s="241"/>
      <c r="CD364" s="241"/>
      <c r="CE364" s="241"/>
      <c r="CF364" s="13"/>
      <c r="CG364" s="13"/>
      <c r="CH364" s="13"/>
    </row>
    <row r="365" spans="1:86" ht="11.25" customHeight="1" x14ac:dyDescent="0.2">
      <c r="A365" s="13"/>
      <c r="B365" s="238">
        <v>361</v>
      </c>
      <c r="C365" s="241" t="e">
        <f t="shared" ca="1" si="46"/>
        <v>#NUM!</v>
      </c>
      <c r="D365" s="237" t="s">
        <v>4167</v>
      </c>
      <c r="E365" s="239">
        <v>642402189</v>
      </c>
      <c r="F365" s="237">
        <v>1710012336825</v>
      </c>
      <c r="G365" s="246"/>
      <c r="H365" s="241" t="s">
        <v>32</v>
      </c>
      <c r="I365" s="241" t="s">
        <v>217</v>
      </c>
      <c r="J365" s="242">
        <v>45323</v>
      </c>
      <c r="K365" s="241"/>
      <c r="L365" s="241"/>
      <c r="M365" s="241" t="str">
        <f t="shared" si="45"/>
        <v>PKWT</v>
      </c>
      <c r="N365" s="241" t="s">
        <v>187</v>
      </c>
      <c r="O365" s="241"/>
      <c r="P365" s="243">
        <v>45657</v>
      </c>
      <c r="Q365" s="241"/>
      <c r="R365" s="241" t="s">
        <v>206</v>
      </c>
      <c r="S365" s="241" t="s">
        <v>6863</v>
      </c>
      <c r="T365" s="241" t="s">
        <v>312</v>
      </c>
      <c r="U365" s="241" t="s">
        <v>32</v>
      </c>
      <c r="V365" s="241" t="s">
        <v>3833</v>
      </c>
      <c r="W365" s="241" t="s">
        <v>6911</v>
      </c>
      <c r="X365" s="241" t="s">
        <v>18</v>
      </c>
      <c r="Y365" s="241" t="s">
        <v>313</v>
      </c>
      <c r="Z365" s="241"/>
      <c r="AA365" s="241"/>
      <c r="AB365" s="241" t="s">
        <v>314</v>
      </c>
      <c r="AC365" s="241" t="s">
        <v>24</v>
      </c>
      <c r="AD365" s="245">
        <v>26535</v>
      </c>
      <c r="AE365" s="241">
        <f t="shared" ca="1" si="42"/>
        <v>53</v>
      </c>
      <c r="AF365" s="246" t="s">
        <v>4168</v>
      </c>
      <c r="AG365" s="241" t="s">
        <v>4169</v>
      </c>
      <c r="AH365" s="240" t="s">
        <v>4170</v>
      </c>
      <c r="AI365" s="240" t="s">
        <v>4170</v>
      </c>
      <c r="AJ365" s="240"/>
      <c r="AK365" s="250" t="s">
        <v>4171</v>
      </c>
      <c r="AL365" s="246" t="s">
        <v>4172</v>
      </c>
      <c r="AM365" s="246">
        <v>21062476367</v>
      </c>
      <c r="AN365" s="241" t="s">
        <v>6821</v>
      </c>
      <c r="AO365" s="241"/>
      <c r="AP365" s="241"/>
      <c r="AQ365" s="241"/>
      <c r="AR365" s="241"/>
      <c r="AS365" s="241"/>
      <c r="AT365" s="241" t="s">
        <v>4173</v>
      </c>
      <c r="AU365" s="241" t="s">
        <v>4174</v>
      </c>
      <c r="AV365" s="241" t="s">
        <v>306</v>
      </c>
      <c r="AW365" s="241" t="s">
        <v>4175</v>
      </c>
      <c r="AX365" s="241">
        <f t="shared" si="43"/>
        <v>0</v>
      </c>
      <c r="AY365" s="241" t="str">
        <f t="shared" si="44"/>
        <v>TK/0</v>
      </c>
      <c r="AZ365" s="241"/>
      <c r="BA365" s="249" t="s">
        <v>4176</v>
      </c>
      <c r="BB365" s="241" t="s">
        <v>161</v>
      </c>
      <c r="BC365" s="241" t="s">
        <v>349</v>
      </c>
      <c r="BD365" s="241" t="s">
        <v>91</v>
      </c>
      <c r="BE365" s="241" t="s">
        <v>4177</v>
      </c>
      <c r="BF365" s="241">
        <v>1991</v>
      </c>
      <c r="BG365" s="241" t="s">
        <v>349</v>
      </c>
      <c r="BH365" s="241" t="s">
        <v>91</v>
      </c>
      <c r="BI365" s="241" t="s">
        <v>4177</v>
      </c>
      <c r="BJ365" s="241">
        <v>1991</v>
      </c>
      <c r="BK365" s="241"/>
      <c r="BL365" s="241"/>
      <c r="BM365" s="241" t="s">
        <v>4178</v>
      </c>
      <c r="BN365" s="241">
        <v>36</v>
      </c>
      <c r="BO365" s="241">
        <v>42</v>
      </c>
      <c r="BP365" s="241"/>
      <c r="BQ365" s="241"/>
      <c r="BR365" s="241"/>
      <c r="BS365" s="241"/>
      <c r="BT365" s="241"/>
      <c r="BU365" s="241"/>
      <c r="BV365" s="241"/>
      <c r="BW365" s="241"/>
      <c r="BX365" s="241"/>
      <c r="BY365" s="241"/>
      <c r="BZ365" s="241"/>
      <c r="CA365" s="241"/>
      <c r="CB365" s="241"/>
      <c r="CC365" s="241"/>
      <c r="CD365" s="241"/>
      <c r="CE365" s="241"/>
      <c r="CF365" s="13"/>
      <c r="CG365" s="13"/>
      <c r="CH365" s="13"/>
    </row>
    <row r="366" spans="1:86" ht="11.25" customHeight="1" x14ac:dyDescent="0.2">
      <c r="A366" s="13"/>
      <c r="B366" s="238">
        <v>362</v>
      </c>
      <c r="C366" s="241" t="e">
        <f t="shared" ca="1" si="46"/>
        <v>#NUM!</v>
      </c>
      <c r="D366" s="237" t="s">
        <v>4179</v>
      </c>
      <c r="E366" s="239">
        <v>642402188</v>
      </c>
      <c r="F366" s="237">
        <v>1710002115122</v>
      </c>
      <c r="G366" s="246"/>
      <c r="H366" s="241" t="s">
        <v>217</v>
      </c>
      <c r="I366" s="241" t="s">
        <v>217</v>
      </c>
      <c r="J366" s="242">
        <v>45323</v>
      </c>
      <c r="K366" s="241"/>
      <c r="L366" s="241"/>
      <c r="M366" s="241" t="str">
        <f t="shared" ref="M366:M376" si="47">IF(LEFT(E366,2)="99","ORGANIK INKA",IF(LEFT(E366,2)="97","ORGANIK IMSS",IF(LEFT(E366,2)="75","Capeg",IF(LEFT(E366,2)="64","PKWT","Resign"))))</f>
        <v>PKWT</v>
      </c>
      <c r="N366" s="241" t="s">
        <v>187</v>
      </c>
      <c r="O366" s="241"/>
      <c r="P366" s="243">
        <v>45657</v>
      </c>
      <c r="Q366" s="241"/>
      <c r="R366" s="240" t="s">
        <v>139</v>
      </c>
      <c r="S366" s="241" t="s">
        <v>6863</v>
      </c>
      <c r="T366" s="241" t="s">
        <v>296</v>
      </c>
      <c r="U366" s="241" t="s">
        <v>187</v>
      </c>
      <c r="V366" s="241" t="s">
        <v>50</v>
      </c>
      <c r="W366" s="241" t="s">
        <v>50</v>
      </c>
      <c r="X366" s="241" t="s">
        <v>6116</v>
      </c>
      <c r="Y366" s="241" t="s">
        <v>1064</v>
      </c>
      <c r="Z366" s="241"/>
      <c r="AA366" s="241"/>
      <c r="AB366" s="241" t="s">
        <v>133</v>
      </c>
      <c r="AC366" s="241" t="s">
        <v>217</v>
      </c>
      <c r="AD366" s="245">
        <v>35730</v>
      </c>
      <c r="AE366" s="241">
        <f t="shared" ca="1" si="42"/>
        <v>27</v>
      </c>
      <c r="AF366" s="246" t="s">
        <v>4180</v>
      </c>
      <c r="AG366" s="241" t="s">
        <v>4181</v>
      </c>
      <c r="AH366" s="240" t="s">
        <v>4182</v>
      </c>
      <c r="AI366" s="240" t="s">
        <v>4182</v>
      </c>
      <c r="AJ366" s="240"/>
      <c r="AK366" s="328" t="s">
        <v>4183</v>
      </c>
      <c r="AL366" s="246" t="s">
        <v>4184</v>
      </c>
      <c r="AM366" s="246">
        <v>16044462691</v>
      </c>
      <c r="AN366" s="241" t="s">
        <v>4733</v>
      </c>
      <c r="AO366" s="241" t="s">
        <v>4185</v>
      </c>
      <c r="AP366" s="241"/>
      <c r="AQ366" s="241"/>
      <c r="AR366" s="241"/>
      <c r="AS366" s="241"/>
      <c r="AT366" s="241" t="s">
        <v>306</v>
      </c>
      <c r="AU366" s="241" t="s">
        <v>4186</v>
      </c>
      <c r="AV366" s="241" t="s">
        <v>306</v>
      </c>
      <c r="AW366" s="241" t="s">
        <v>306</v>
      </c>
      <c r="AX366" s="241">
        <f t="shared" si="43"/>
        <v>0</v>
      </c>
      <c r="AY366" s="241" t="str">
        <f t="shared" si="44"/>
        <v>K/0</v>
      </c>
      <c r="AZ366" s="241"/>
      <c r="BA366" s="249" t="s">
        <v>4187</v>
      </c>
      <c r="BB366" s="241" t="s">
        <v>161</v>
      </c>
      <c r="BC366" s="241" t="s">
        <v>75</v>
      </c>
      <c r="BD366" s="241" t="s">
        <v>43</v>
      </c>
      <c r="BE366" s="241" t="s">
        <v>77</v>
      </c>
      <c r="BF366" s="241">
        <v>2023</v>
      </c>
      <c r="BG366" s="241" t="s">
        <v>75</v>
      </c>
      <c r="BH366" s="241" t="s">
        <v>43</v>
      </c>
      <c r="BI366" s="241" t="s">
        <v>77</v>
      </c>
      <c r="BJ366" s="241">
        <v>2023</v>
      </c>
      <c r="BK366" s="241"/>
      <c r="BL366" s="241"/>
      <c r="BM366" s="241">
        <v>16</v>
      </c>
      <c r="BN366" s="241">
        <v>34</v>
      </c>
      <c r="BO366" s="241">
        <v>37</v>
      </c>
      <c r="BP366" s="241"/>
      <c r="BQ366" s="241"/>
      <c r="BR366" s="241"/>
      <c r="BS366" s="241"/>
      <c r="BT366" s="241"/>
      <c r="BU366" s="241"/>
      <c r="BV366" s="241"/>
      <c r="BW366" s="241"/>
      <c r="BX366" s="241"/>
      <c r="BY366" s="241"/>
      <c r="BZ366" s="241"/>
      <c r="CA366" s="241"/>
      <c r="CB366" s="241"/>
      <c r="CC366" s="241"/>
      <c r="CD366" s="241"/>
      <c r="CE366" s="241"/>
      <c r="CF366" s="13"/>
      <c r="CG366" s="13"/>
      <c r="CH366" s="13"/>
    </row>
    <row r="367" spans="1:86" ht="11.25" customHeight="1" x14ac:dyDescent="0.2">
      <c r="A367" s="13"/>
      <c r="B367" s="238">
        <v>363</v>
      </c>
      <c r="C367" s="241" t="e">
        <f t="shared" ca="1" si="46"/>
        <v>#NUM!</v>
      </c>
      <c r="D367" s="237" t="s">
        <v>4188</v>
      </c>
      <c r="E367" s="239">
        <v>642402190</v>
      </c>
      <c r="F367" s="237">
        <v>1320028788215</v>
      </c>
      <c r="G367" s="246"/>
      <c r="H367" s="241" t="s">
        <v>20</v>
      </c>
      <c r="I367" s="241" t="s">
        <v>20</v>
      </c>
      <c r="J367" s="242">
        <v>45342</v>
      </c>
      <c r="K367" s="241"/>
      <c r="L367" s="241"/>
      <c r="M367" s="241" t="str">
        <f t="shared" si="47"/>
        <v>PKWT</v>
      </c>
      <c r="N367" s="241" t="s">
        <v>187</v>
      </c>
      <c r="O367" s="241"/>
      <c r="P367" s="243">
        <v>45657</v>
      </c>
      <c r="Q367" s="241"/>
      <c r="R367" s="241" t="s">
        <v>206</v>
      </c>
      <c r="S367" s="241" t="s">
        <v>6863</v>
      </c>
      <c r="T367" s="241" t="s">
        <v>312</v>
      </c>
      <c r="U367" s="241" t="s">
        <v>20</v>
      </c>
      <c r="V367" s="241" t="s">
        <v>204</v>
      </c>
      <c r="W367" s="241" t="s">
        <v>1278</v>
      </c>
      <c r="X367" s="241" t="s">
        <v>122</v>
      </c>
      <c r="Y367" s="241" t="s">
        <v>313</v>
      </c>
      <c r="Z367" s="241"/>
      <c r="AA367" s="241"/>
      <c r="AB367" s="241" t="s">
        <v>314</v>
      </c>
      <c r="AC367" s="241" t="s">
        <v>20</v>
      </c>
      <c r="AD367" s="245">
        <v>37151</v>
      </c>
      <c r="AE367" s="241">
        <f t="shared" ca="1" si="42"/>
        <v>24</v>
      </c>
      <c r="AF367" s="246" t="s">
        <v>4189</v>
      </c>
      <c r="AG367" s="241" t="s">
        <v>4190</v>
      </c>
      <c r="AH367" s="240" t="s">
        <v>4191</v>
      </c>
      <c r="AI367" s="240">
        <v>85162716956</v>
      </c>
      <c r="AJ367" s="240"/>
      <c r="AK367" s="328" t="s">
        <v>4192</v>
      </c>
      <c r="AL367" s="246" t="s">
        <v>4193</v>
      </c>
      <c r="AM367" s="246">
        <v>24036556231</v>
      </c>
      <c r="AN367" s="241" t="s">
        <v>4716</v>
      </c>
      <c r="AO367" s="241"/>
      <c r="AP367" s="241"/>
      <c r="AQ367" s="241"/>
      <c r="AR367" s="241"/>
      <c r="AS367" s="241"/>
      <c r="AT367" s="241" t="s">
        <v>4194</v>
      </c>
      <c r="AU367" s="241" t="s">
        <v>4195</v>
      </c>
      <c r="AV367" s="241" t="s">
        <v>306</v>
      </c>
      <c r="AW367" s="241" t="s">
        <v>306</v>
      </c>
      <c r="AX367" s="241">
        <f t="shared" si="43"/>
        <v>0</v>
      </c>
      <c r="AY367" s="241" t="str">
        <f t="shared" si="44"/>
        <v>TK/0</v>
      </c>
      <c r="AZ367" s="241"/>
      <c r="BA367" s="249"/>
      <c r="BB367" s="241" t="s">
        <v>161</v>
      </c>
      <c r="BC367" s="241" t="s">
        <v>349</v>
      </c>
      <c r="BD367" s="241" t="s">
        <v>4196</v>
      </c>
      <c r="BE367" s="241" t="s">
        <v>6782</v>
      </c>
      <c r="BF367" s="241">
        <v>2019</v>
      </c>
      <c r="BG367" s="241" t="s">
        <v>349</v>
      </c>
      <c r="BH367" s="241" t="s">
        <v>4196</v>
      </c>
      <c r="BI367" s="241" t="s">
        <v>6782</v>
      </c>
      <c r="BJ367" s="241">
        <v>2019</v>
      </c>
      <c r="BK367" s="241"/>
      <c r="BL367" s="241"/>
      <c r="BM367" s="241" t="s">
        <v>351</v>
      </c>
      <c r="BN367" s="241" t="s">
        <v>351</v>
      </c>
      <c r="BO367" s="241">
        <v>41</v>
      </c>
      <c r="BP367" s="241"/>
      <c r="BQ367" s="241"/>
      <c r="BR367" s="241"/>
      <c r="BS367" s="241"/>
      <c r="BT367" s="241"/>
      <c r="BU367" s="241"/>
      <c r="BV367" s="241"/>
      <c r="BW367" s="241"/>
      <c r="BX367" s="241"/>
      <c r="BY367" s="241"/>
      <c r="BZ367" s="241"/>
      <c r="CA367" s="241"/>
      <c r="CB367" s="241"/>
      <c r="CC367" s="241"/>
      <c r="CD367" s="241"/>
      <c r="CE367" s="241"/>
      <c r="CF367" s="13"/>
      <c r="CG367" s="13"/>
      <c r="CH367" s="13"/>
    </row>
    <row r="368" spans="1:86" ht="11.25" customHeight="1" x14ac:dyDescent="0.2">
      <c r="A368" s="13"/>
      <c r="B368" s="238">
        <v>364</v>
      </c>
      <c r="C368" s="241" t="e">
        <f t="shared" ca="1" si="46"/>
        <v>#NUM!</v>
      </c>
      <c r="D368" s="237" t="s">
        <v>4197</v>
      </c>
      <c r="E368" s="239">
        <v>642402191</v>
      </c>
      <c r="F368" s="237">
        <v>1410024689846</v>
      </c>
      <c r="G368" s="246"/>
      <c r="H368" s="241" t="s">
        <v>31</v>
      </c>
      <c r="I368" s="241" t="s">
        <v>1886</v>
      </c>
      <c r="J368" s="242">
        <v>45342</v>
      </c>
      <c r="K368" s="241"/>
      <c r="L368" s="241"/>
      <c r="M368" s="241" t="str">
        <f t="shared" si="47"/>
        <v>PKWT</v>
      </c>
      <c r="N368" s="241" t="s">
        <v>187</v>
      </c>
      <c r="O368" s="241"/>
      <c r="P368" s="243">
        <v>45657</v>
      </c>
      <c r="Q368" s="241"/>
      <c r="R368" s="241" t="s">
        <v>206</v>
      </c>
      <c r="S368" s="241" t="s">
        <v>6863</v>
      </c>
      <c r="T368" s="241" t="s">
        <v>312</v>
      </c>
      <c r="U368" s="241" t="s">
        <v>31</v>
      </c>
      <c r="V368" s="241" t="s">
        <v>204</v>
      </c>
      <c r="W368" s="241" t="s">
        <v>639</v>
      </c>
      <c r="X368" s="241" t="s">
        <v>122</v>
      </c>
      <c r="Y368" s="241" t="s">
        <v>313</v>
      </c>
      <c r="Z368" s="241"/>
      <c r="AA368" s="241"/>
      <c r="AB368" s="241" t="s">
        <v>314</v>
      </c>
      <c r="AC368" s="241" t="s">
        <v>1886</v>
      </c>
      <c r="AD368" s="245">
        <v>35004</v>
      </c>
      <c r="AE368" s="241">
        <f t="shared" ca="1" si="42"/>
        <v>29</v>
      </c>
      <c r="AF368" s="246" t="s">
        <v>4198</v>
      </c>
      <c r="AG368" s="241" t="s">
        <v>4199</v>
      </c>
      <c r="AH368" s="240" t="s">
        <v>4200</v>
      </c>
      <c r="AI368" s="240" t="s">
        <v>4200</v>
      </c>
      <c r="AJ368" s="240"/>
      <c r="AK368" s="328" t="s">
        <v>4201</v>
      </c>
      <c r="AL368" s="246" t="s">
        <v>4202</v>
      </c>
      <c r="AM368" s="246">
        <v>24036556256</v>
      </c>
      <c r="AN368" s="241" t="s">
        <v>4733</v>
      </c>
      <c r="AO368" s="241" t="s">
        <v>4203</v>
      </c>
      <c r="AP368" s="241" t="s">
        <v>4204</v>
      </c>
      <c r="AQ368" s="241"/>
      <c r="AR368" s="241"/>
      <c r="AS368" s="241"/>
      <c r="AT368" s="241" t="s">
        <v>4205</v>
      </c>
      <c r="AU368" s="241" t="s">
        <v>4206</v>
      </c>
      <c r="AV368" s="241" t="s">
        <v>4207</v>
      </c>
      <c r="AW368" s="241" t="s">
        <v>4208</v>
      </c>
      <c r="AX368" s="241">
        <f t="shared" si="43"/>
        <v>1</v>
      </c>
      <c r="AY368" s="241" t="str">
        <f t="shared" si="44"/>
        <v>K/1</v>
      </c>
      <c r="AZ368" s="241"/>
      <c r="BA368" s="249"/>
      <c r="BB368" s="241" t="s">
        <v>161</v>
      </c>
      <c r="BC368" s="241" t="s">
        <v>307</v>
      </c>
      <c r="BD368" s="241" t="s">
        <v>308</v>
      </c>
      <c r="BE368" s="241" t="s">
        <v>6992</v>
      </c>
      <c r="BF368" s="241">
        <v>2015</v>
      </c>
      <c r="BG368" s="241" t="s">
        <v>308</v>
      </c>
      <c r="BH368" s="241" t="s">
        <v>6992</v>
      </c>
      <c r="BI368" s="241">
        <v>2015</v>
      </c>
      <c r="BJ368" s="241">
        <v>2015</v>
      </c>
      <c r="BK368" s="241"/>
      <c r="BL368" s="241"/>
      <c r="BM368" s="241" t="s">
        <v>369</v>
      </c>
      <c r="BN368" s="241" t="s">
        <v>369</v>
      </c>
      <c r="BO368" s="241">
        <v>33</v>
      </c>
      <c r="BP368" s="241"/>
      <c r="BQ368" s="241"/>
      <c r="BR368" s="241"/>
      <c r="BS368" s="241"/>
      <c r="BT368" s="241"/>
      <c r="BU368" s="241"/>
      <c r="BV368" s="241"/>
      <c r="BW368" s="241"/>
      <c r="BX368" s="241"/>
      <c r="BY368" s="241"/>
      <c r="BZ368" s="241"/>
      <c r="CA368" s="241"/>
      <c r="CB368" s="241"/>
      <c r="CC368" s="241"/>
      <c r="CD368" s="241"/>
      <c r="CE368" s="241"/>
      <c r="CF368" s="13"/>
      <c r="CG368" s="13"/>
      <c r="CH368" s="13"/>
    </row>
    <row r="369" spans="1:86" ht="11.25" customHeight="1" x14ac:dyDescent="0.2">
      <c r="A369" s="13"/>
      <c r="B369" s="238">
        <v>365</v>
      </c>
      <c r="C369" s="241" t="e">
        <f t="shared" ca="1" si="46"/>
        <v>#NUM!</v>
      </c>
      <c r="D369" s="237" t="s">
        <v>4209</v>
      </c>
      <c r="E369" s="239">
        <v>642402192</v>
      </c>
      <c r="F369" s="237">
        <v>1420022728306</v>
      </c>
      <c r="G369" s="246"/>
      <c r="H369" s="241" t="s">
        <v>31</v>
      </c>
      <c r="I369" s="241" t="s">
        <v>31</v>
      </c>
      <c r="J369" s="242">
        <v>45342</v>
      </c>
      <c r="K369" s="241"/>
      <c r="L369" s="241"/>
      <c r="M369" s="241" t="str">
        <f t="shared" si="47"/>
        <v>PKWT</v>
      </c>
      <c r="N369" s="241" t="s">
        <v>187</v>
      </c>
      <c r="O369" s="241"/>
      <c r="P369" s="243">
        <v>45657</v>
      </c>
      <c r="Q369" s="241"/>
      <c r="R369" s="241" t="s">
        <v>206</v>
      </c>
      <c r="S369" s="241" t="s">
        <v>6863</v>
      </c>
      <c r="T369" s="241" t="s">
        <v>312</v>
      </c>
      <c r="U369" s="241" t="s">
        <v>31</v>
      </c>
      <c r="V369" s="241" t="s">
        <v>204</v>
      </c>
      <c r="W369" s="241" t="s">
        <v>639</v>
      </c>
      <c r="X369" s="241" t="s">
        <v>122</v>
      </c>
      <c r="Y369" s="241" t="s">
        <v>313</v>
      </c>
      <c r="Z369" s="241"/>
      <c r="AA369" s="241"/>
      <c r="AB369" s="241" t="s">
        <v>314</v>
      </c>
      <c r="AC369" s="241" t="s">
        <v>564</v>
      </c>
      <c r="AD369" s="245">
        <v>36561</v>
      </c>
      <c r="AE369" s="241">
        <f t="shared" ca="1" si="42"/>
        <v>25</v>
      </c>
      <c r="AF369" s="246" t="s">
        <v>4210</v>
      </c>
      <c r="AG369" s="241" t="s">
        <v>4211</v>
      </c>
      <c r="AH369" s="240" t="s">
        <v>4212</v>
      </c>
      <c r="AI369" s="240" t="s">
        <v>4212</v>
      </c>
      <c r="AJ369" s="240"/>
      <c r="AK369" s="328" t="s">
        <v>4213</v>
      </c>
      <c r="AL369" s="246" t="s">
        <v>4214</v>
      </c>
      <c r="AM369" s="246" t="s">
        <v>4215</v>
      </c>
      <c r="AN369" s="241" t="s">
        <v>4733</v>
      </c>
      <c r="AO369" s="241" t="s">
        <v>4216</v>
      </c>
      <c r="AP369" s="241"/>
      <c r="AQ369" s="241"/>
      <c r="AR369" s="241"/>
      <c r="AS369" s="241"/>
      <c r="AT369" s="241" t="s">
        <v>4217</v>
      </c>
      <c r="AU369" s="241" t="s">
        <v>4218</v>
      </c>
      <c r="AV369" s="241" t="s">
        <v>4219</v>
      </c>
      <c r="AW369" s="241" t="s">
        <v>4220</v>
      </c>
      <c r="AX369" s="241">
        <f t="shared" si="43"/>
        <v>0</v>
      </c>
      <c r="AY369" s="241" t="str">
        <f t="shared" si="44"/>
        <v>K/0</v>
      </c>
      <c r="AZ369" s="241"/>
      <c r="BA369" s="249"/>
      <c r="BB369" s="241" t="s">
        <v>161</v>
      </c>
      <c r="BC369" s="241" t="s">
        <v>349</v>
      </c>
      <c r="BD369" s="241" t="s">
        <v>4221</v>
      </c>
      <c r="BE369" s="241" t="s">
        <v>4222</v>
      </c>
      <c r="BF369" s="241">
        <v>2019</v>
      </c>
      <c r="BG369" s="241" t="s">
        <v>349</v>
      </c>
      <c r="BH369" s="241" t="s">
        <v>4221</v>
      </c>
      <c r="BI369" s="241" t="s">
        <v>4222</v>
      </c>
      <c r="BJ369" s="241">
        <v>2019</v>
      </c>
      <c r="BK369" s="241"/>
      <c r="BL369" s="241"/>
      <c r="BM369" s="241" t="s">
        <v>351</v>
      </c>
      <c r="BN369" s="241" t="s">
        <v>351</v>
      </c>
      <c r="BO369" s="241">
        <v>42</v>
      </c>
      <c r="BP369" s="241"/>
      <c r="BQ369" s="241"/>
      <c r="BR369" s="241"/>
      <c r="BS369" s="241"/>
      <c r="BT369" s="241"/>
      <c r="BU369" s="241"/>
      <c r="BV369" s="241"/>
      <c r="BW369" s="241"/>
      <c r="BX369" s="241"/>
      <c r="BY369" s="241"/>
      <c r="BZ369" s="241"/>
      <c r="CA369" s="241"/>
      <c r="CB369" s="241"/>
      <c r="CC369" s="241"/>
      <c r="CD369" s="241"/>
      <c r="CE369" s="241"/>
      <c r="CF369" s="13"/>
      <c r="CG369" s="13"/>
      <c r="CH369" s="13"/>
    </row>
    <row r="370" spans="1:86" ht="11.25" customHeight="1" x14ac:dyDescent="0.2">
      <c r="A370" s="13"/>
      <c r="B370" s="238">
        <v>366</v>
      </c>
      <c r="C370" s="241" t="e">
        <f t="shared" ca="1" si="46"/>
        <v>#NUM!</v>
      </c>
      <c r="D370" s="237" t="s">
        <v>4232</v>
      </c>
      <c r="E370" s="239">
        <v>642403195</v>
      </c>
      <c r="F370" s="237">
        <v>1710000417579</v>
      </c>
      <c r="G370" s="246"/>
      <c r="H370" s="241" t="s">
        <v>217</v>
      </c>
      <c r="I370" s="241" t="s">
        <v>217</v>
      </c>
      <c r="J370" s="242">
        <v>45352</v>
      </c>
      <c r="K370" s="241"/>
      <c r="L370" s="241"/>
      <c r="M370" s="241" t="str">
        <f t="shared" si="47"/>
        <v>PKWT</v>
      </c>
      <c r="N370" s="241" t="s">
        <v>187</v>
      </c>
      <c r="O370" s="241"/>
      <c r="P370" s="243">
        <v>45716</v>
      </c>
      <c r="Q370" s="241"/>
      <c r="R370" s="241" t="s">
        <v>206</v>
      </c>
      <c r="S370" s="241" t="s">
        <v>6863</v>
      </c>
      <c r="T370" s="241" t="s">
        <v>312</v>
      </c>
      <c r="U370" s="241" t="s">
        <v>204</v>
      </c>
      <c r="V370" s="241" t="s">
        <v>832</v>
      </c>
      <c r="W370" s="241" t="s">
        <v>6908</v>
      </c>
      <c r="X370" s="241" t="s">
        <v>18</v>
      </c>
      <c r="Y370" s="241" t="s">
        <v>313</v>
      </c>
      <c r="Z370" s="241"/>
      <c r="AA370" s="241"/>
      <c r="AB370" s="241" t="s">
        <v>314</v>
      </c>
      <c r="AC370" s="241" t="s">
        <v>217</v>
      </c>
      <c r="AD370" s="245">
        <v>31655</v>
      </c>
      <c r="AE370" s="241">
        <f t="shared" ca="1" si="42"/>
        <v>39</v>
      </c>
      <c r="AF370" s="246" t="s">
        <v>4233</v>
      </c>
      <c r="AG370" s="241" t="s">
        <v>4234</v>
      </c>
      <c r="AH370" s="240" t="s">
        <v>4235</v>
      </c>
      <c r="AI370" s="240" t="s">
        <v>4235</v>
      </c>
      <c r="AJ370" s="240"/>
      <c r="AK370" s="241" t="s">
        <v>4236</v>
      </c>
      <c r="AL370" s="280" t="s">
        <v>4237</v>
      </c>
      <c r="AM370" s="280" t="s">
        <v>4238</v>
      </c>
      <c r="AN370" s="241" t="s">
        <v>4733</v>
      </c>
      <c r="AO370" s="241" t="s">
        <v>4239</v>
      </c>
      <c r="AP370" s="241"/>
      <c r="AQ370" s="241"/>
      <c r="AR370" s="241"/>
      <c r="AS370" s="241"/>
      <c r="AT370" s="241" t="s">
        <v>4240</v>
      </c>
      <c r="AU370" s="241" t="s">
        <v>4241</v>
      </c>
      <c r="AV370" s="241" t="s">
        <v>4242</v>
      </c>
      <c r="AW370" s="241" t="s">
        <v>4243</v>
      </c>
      <c r="AX370" s="241">
        <f t="shared" si="43"/>
        <v>0</v>
      </c>
      <c r="AY370" s="241" t="str">
        <f t="shared" si="44"/>
        <v>K/0</v>
      </c>
      <c r="AZ370" s="241"/>
      <c r="BA370" s="249"/>
      <c r="BB370" s="241" t="s">
        <v>161</v>
      </c>
      <c r="BC370" s="241" t="s">
        <v>349</v>
      </c>
      <c r="BD370" s="241" t="s">
        <v>4244</v>
      </c>
      <c r="BE370" s="241" t="s">
        <v>350</v>
      </c>
      <c r="BF370" s="241">
        <v>2005</v>
      </c>
      <c r="BG370" s="241" t="s">
        <v>349</v>
      </c>
      <c r="BH370" s="241" t="s">
        <v>4244</v>
      </c>
      <c r="BI370" s="241" t="s">
        <v>350</v>
      </c>
      <c r="BJ370" s="241">
        <v>2005</v>
      </c>
      <c r="BK370" s="241"/>
      <c r="BL370" s="241"/>
      <c r="BM370" s="241" t="s">
        <v>351</v>
      </c>
      <c r="BN370" s="241" t="s">
        <v>351</v>
      </c>
      <c r="BO370" s="241"/>
      <c r="BP370" s="241"/>
      <c r="BQ370" s="241"/>
      <c r="BR370" s="241"/>
      <c r="BS370" s="241"/>
      <c r="BT370" s="241"/>
      <c r="BU370" s="241"/>
      <c r="BV370" s="241"/>
      <c r="BW370" s="241"/>
      <c r="BX370" s="241"/>
      <c r="BY370" s="241"/>
      <c r="BZ370" s="241"/>
      <c r="CA370" s="241"/>
      <c r="CB370" s="241"/>
      <c r="CC370" s="241"/>
      <c r="CD370" s="241"/>
      <c r="CE370" s="241"/>
      <c r="CF370" s="13"/>
      <c r="CG370" s="13"/>
      <c r="CH370" s="13"/>
    </row>
    <row r="371" spans="1:86" ht="11.25" customHeight="1" x14ac:dyDescent="0.2">
      <c r="A371" s="13"/>
      <c r="B371" s="238">
        <v>367</v>
      </c>
      <c r="C371" s="241" t="e">
        <f t="shared" ca="1" si="46"/>
        <v>#NUM!</v>
      </c>
      <c r="D371" s="237" t="s">
        <v>4245</v>
      </c>
      <c r="E371" s="239">
        <v>642403196</v>
      </c>
      <c r="F371" s="237"/>
      <c r="G371" s="240">
        <v>7269212483</v>
      </c>
      <c r="H371" s="241" t="s">
        <v>217</v>
      </c>
      <c r="I371" s="241" t="s">
        <v>217</v>
      </c>
      <c r="J371" s="242">
        <v>45352</v>
      </c>
      <c r="K371" s="241"/>
      <c r="L371" s="241"/>
      <c r="M371" s="241" t="str">
        <f t="shared" si="47"/>
        <v>PKWT</v>
      </c>
      <c r="N371" s="241" t="s">
        <v>187</v>
      </c>
      <c r="O371" s="241"/>
      <c r="P371" s="243">
        <v>45716</v>
      </c>
      <c r="Q371" s="241"/>
      <c r="R371" s="241" t="s">
        <v>206</v>
      </c>
      <c r="S371" s="241" t="s">
        <v>6863</v>
      </c>
      <c r="T371" s="241" t="s">
        <v>312</v>
      </c>
      <c r="U371" s="241" t="s">
        <v>204</v>
      </c>
      <c r="V371" s="241" t="s">
        <v>832</v>
      </c>
      <c r="W371" s="241" t="s">
        <v>6908</v>
      </c>
      <c r="X371" s="241" t="s">
        <v>18</v>
      </c>
      <c r="Y371" s="241" t="s">
        <v>313</v>
      </c>
      <c r="Z371" s="241"/>
      <c r="AA371" s="241"/>
      <c r="AB371" s="241" t="s">
        <v>314</v>
      </c>
      <c r="AC371" s="241" t="s">
        <v>217</v>
      </c>
      <c r="AD371" s="245">
        <v>30849</v>
      </c>
      <c r="AE371" s="241">
        <f t="shared" ca="1" si="42"/>
        <v>41</v>
      </c>
      <c r="AF371" s="246" t="s">
        <v>4246</v>
      </c>
      <c r="AG371" s="241" t="s">
        <v>4247</v>
      </c>
      <c r="AH371" s="240" t="s">
        <v>4248</v>
      </c>
      <c r="AI371" s="240" t="s">
        <v>4248</v>
      </c>
      <c r="AJ371" s="240"/>
      <c r="AK371" s="241" t="s">
        <v>4249</v>
      </c>
      <c r="AL371" s="246" t="s">
        <v>4250</v>
      </c>
      <c r="AM371" s="246">
        <v>24049876162</v>
      </c>
      <c r="AN371" s="241" t="s">
        <v>4733</v>
      </c>
      <c r="AO371" s="241" t="s">
        <v>4251</v>
      </c>
      <c r="AP371" s="241" t="s">
        <v>4252</v>
      </c>
      <c r="AQ371" s="241"/>
      <c r="AR371" s="241"/>
      <c r="AS371" s="241"/>
      <c r="AT371" s="241" t="s">
        <v>4253</v>
      </c>
      <c r="AU371" s="241" t="s">
        <v>4254</v>
      </c>
      <c r="AV371" s="241" t="s">
        <v>4255</v>
      </c>
      <c r="AW371" s="241" t="s">
        <v>4256</v>
      </c>
      <c r="AX371" s="241">
        <f t="shared" si="43"/>
        <v>1</v>
      </c>
      <c r="AY371" s="241" t="str">
        <f t="shared" si="44"/>
        <v>K/1</v>
      </c>
      <c r="AZ371" s="241"/>
      <c r="BA371" s="249"/>
      <c r="BB371" s="241" t="s">
        <v>161</v>
      </c>
      <c r="BC371" s="241" t="s">
        <v>349</v>
      </c>
      <c r="BD371" s="241" t="s">
        <v>4244</v>
      </c>
      <c r="BE371" s="241" t="s">
        <v>790</v>
      </c>
      <c r="BF371" s="241">
        <v>2003</v>
      </c>
      <c r="BG371" s="241" t="s">
        <v>349</v>
      </c>
      <c r="BH371" s="241" t="s">
        <v>4244</v>
      </c>
      <c r="BI371" s="241" t="s">
        <v>790</v>
      </c>
      <c r="BJ371" s="241">
        <v>2003</v>
      </c>
      <c r="BK371" s="241"/>
      <c r="BL371" s="241"/>
      <c r="BM371" s="241" t="s">
        <v>360</v>
      </c>
      <c r="BN371" s="241" t="s">
        <v>351</v>
      </c>
      <c r="BO371" s="241">
        <v>39</v>
      </c>
      <c r="BP371" s="241"/>
      <c r="BQ371" s="241"/>
      <c r="BR371" s="241"/>
      <c r="BS371" s="241"/>
      <c r="BT371" s="241"/>
      <c r="BU371" s="241"/>
      <c r="BV371" s="241"/>
      <c r="BW371" s="241"/>
      <c r="BX371" s="241"/>
      <c r="BY371" s="241"/>
      <c r="BZ371" s="241"/>
      <c r="CA371" s="241"/>
      <c r="CB371" s="241"/>
      <c r="CC371" s="241"/>
      <c r="CD371" s="241"/>
      <c r="CE371" s="241"/>
      <c r="CF371" s="13"/>
      <c r="CG371" s="13"/>
      <c r="CH371" s="13"/>
    </row>
    <row r="372" spans="1:86" ht="11.25" customHeight="1" x14ac:dyDescent="0.2">
      <c r="A372" s="13"/>
      <c r="B372" s="238">
        <v>368</v>
      </c>
      <c r="C372" s="241" t="s">
        <v>292</v>
      </c>
      <c r="D372" s="237" t="s">
        <v>4257</v>
      </c>
      <c r="E372" s="239">
        <v>999900113</v>
      </c>
      <c r="F372" s="237"/>
      <c r="G372" s="287"/>
      <c r="H372" s="241" t="s">
        <v>204</v>
      </c>
      <c r="I372" s="241" t="s">
        <v>217</v>
      </c>
      <c r="J372" s="262">
        <v>45407</v>
      </c>
      <c r="K372" s="241"/>
      <c r="L372" s="241"/>
      <c r="M372" s="241" t="str">
        <f t="shared" si="47"/>
        <v>ORGANIK INKA</v>
      </c>
      <c r="N372" s="241" t="s">
        <v>204</v>
      </c>
      <c r="O372" s="241" t="s">
        <v>4258</v>
      </c>
      <c r="P372" s="243">
        <v>45407</v>
      </c>
      <c r="Q372" s="241" t="s">
        <v>4259</v>
      </c>
      <c r="R372" s="241" t="s">
        <v>11</v>
      </c>
      <c r="S372" s="241" t="s">
        <v>6859</v>
      </c>
      <c r="T372" s="241" t="s">
        <v>296</v>
      </c>
      <c r="U372" s="241" t="s">
        <v>187</v>
      </c>
      <c r="V372" s="241" t="s">
        <v>313</v>
      </c>
      <c r="W372" s="241" t="s">
        <v>313</v>
      </c>
      <c r="X372" s="241" t="s">
        <v>11</v>
      </c>
      <c r="Y372" s="241" t="s">
        <v>313</v>
      </c>
      <c r="Z372" s="241"/>
      <c r="AA372" s="241"/>
      <c r="AB372" s="241" t="s">
        <v>132</v>
      </c>
      <c r="AC372" s="241" t="s">
        <v>217</v>
      </c>
      <c r="AD372" s="245">
        <v>27892</v>
      </c>
      <c r="AE372" s="241">
        <f t="shared" ca="1" si="42"/>
        <v>49</v>
      </c>
      <c r="AF372" s="246" t="s">
        <v>4260</v>
      </c>
      <c r="AG372" s="241" t="s">
        <v>4261</v>
      </c>
      <c r="AH372" s="240" t="s">
        <v>4262</v>
      </c>
      <c r="AI372" s="246"/>
      <c r="AJ372" s="246"/>
      <c r="AK372" s="241" t="s">
        <v>4263</v>
      </c>
      <c r="AL372" s="240" t="s">
        <v>4264</v>
      </c>
      <c r="AM372" s="240" t="s">
        <v>4265</v>
      </c>
      <c r="AN372" s="241" t="s">
        <v>4733</v>
      </c>
      <c r="AO372" s="241" t="s">
        <v>4266</v>
      </c>
      <c r="AP372" s="241" t="s">
        <v>4267</v>
      </c>
      <c r="AQ372" s="241" t="s">
        <v>4268</v>
      </c>
      <c r="AR372" s="241"/>
      <c r="AS372" s="241"/>
      <c r="AT372" s="241"/>
      <c r="AU372" s="241"/>
      <c r="AV372" s="241"/>
      <c r="AW372" s="241"/>
      <c r="AX372" s="241">
        <f t="shared" si="43"/>
        <v>2</v>
      </c>
      <c r="AY372" s="241" t="str">
        <f t="shared" si="44"/>
        <v>K/2</v>
      </c>
      <c r="AZ372" s="241"/>
      <c r="BA372" s="241" t="s">
        <v>4269</v>
      </c>
      <c r="BB372" s="241" t="s">
        <v>161</v>
      </c>
      <c r="BC372" s="241" t="s">
        <v>75</v>
      </c>
      <c r="BD372" s="241" t="s">
        <v>91</v>
      </c>
      <c r="BE372" s="241" t="s">
        <v>4270</v>
      </c>
      <c r="BF372" s="241"/>
      <c r="BG372" s="241"/>
      <c r="BH372" s="241" t="s">
        <v>91</v>
      </c>
      <c r="BI372" s="241" t="s">
        <v>4270</v>
      </c>
      <c r="BJ372" s="241"/>
      <c r="BK372" s="247"/>
      <c r="BL372" s="290"/>
      <c r="BM372" s="241"/>
      <c r="BN372" s="241"/>
      <c r="BO372" s="241"/>
      <c r="BP372" s="244"/>
      <c r="BQ372" s="244"/>
      <c r="BR372" s="244"/>
      <c r="BS372" s="244"/>
      <c r="BT372" s="241"/>
      <c r="BU372" s="241"/>
      <c r="BV372" s="241"/>
      <c r="BW372" s="241"/>
      <c r="BX372" s="241"/>
      <c r="BY372" s="241"/>
      <c r="BZ372" s="241"/>
      <c r="CA372" s="241"/>
      <c r="CB372" s="241"/>
      <c r="CC372" s="241"/>
      <c r="CD372" s="241"/>
      <c r="CE372" s="244">
        <v>45089</v>
      </c>
      <c r="CF372" s="13"/>
      <c r="CG372" s="13"/>
      <c r="CH372" s="13"/>
    </row>
    <row r="373" spans="1:86" ht="11.25" customHeight="1" x14ac:dyDescent="0.2">
      <c r="A373" s="13"/>
      <c r="B373" s="238">
        <v>369</v>
      </c>
      <c r="C373" s="241" t="s">
        <v>292</v>
      </c>
      <c r="D373" s="237" t="s">
        <v>4271</v>
      </c>
      <c r="E373" s="239">
        <v>999600013</v>
      </c>
      <c r="F373" s="249"/>
      <c r="G373" s="246"/>
      <c r="H373" s="241" t="s">
        <v>204</v>
      </c>
      <c r="I373" s="241" t="s">
        <v>217</v>
      </c>
      <c r="J373" s="262">
        <v>45407</v>
      </c>
      <c r="K373" s="241"/>
      <c r="L373" s="241"/>
      <c r="M373" s="241" t="str">
        <f t="shared" si="47"/>
        <v>ORGANIK INKA</v>
      </c>
      <c r="N373" s="241" t="s">
        <v>204</v>
      </c>
      <c r="O373" s="241" t="s">
        <v>4272</v>
      </c>
      <c r="P373" s="243">
        <v>45407</v>
      </c>
      <c r="Q373" s="241" t="s">
        <v>2686</v>
      </c>
      <c r="R373" s="241" t="s">
        <v>11</v>
      </c>
      <c r="S373" s="241" t="s">
        <v>6859</v>
      </c>
      <c r="T373" s="241" t="s">
        <v>296</v>
      </c>
      <c r="U373" s="241" t="s">
        <v>187</v>
      </c>
      <c r="V373" s="241" t="s">
        <v>1064</v>
      </c>
      <c r="W373" s="241" t="s">
        <v>1064</v>
      </c>
      <c r="X373" s="241" t="s">
        <v>11</v>
      </c>
      <c r="Y373" s="241" t="s">
        <v>1064</v>
      </c>
      <c r="Z373" s="241"/>
      <c r="AA373" s="241"/>
      <c r="AB373" s="241" t="s">
        <v>133</v>
      </c>
      <c r="AC373" s="241" t="s">
        <v>4273</v>
      </c>
      <c r="AD373" s="245">
        <v>26225</v>
      </c>
      <c r="AE373" s="241">
        <f t="shared" ca="1" si="42"/>
        <v>53</v>
      </c>
      <c r="AF373" s="246" t="s">
        <v>4274</v>
      </c>
      <c r="AG373" s="241" t="s">
        <v>4275</v>
      </c>
      <c r="AH373" s="246" t="s">
        <v>4276</v>
      </c>
      <c r="AI373" s="246" t="s">
        <v>4277</v>
      </c>
      <c r="AJ373" s="246"/>
      <c r="AK373" s="241" t="s">
        <v>4278</v>
      </c>
      <c r="AL373" s="246" t="s">
        <v>4279</v>
      </c>
      <c r="AM373" s="246" t="s">
        <v>4280</v>
      </c>
      <c r="AN373" s="241" t="s">
        <v>4733</v>
      </c>
      <c r="AO373" s="241"/>
      <c r="AP373" s="241"/>
      <c r="AQ373" s="241"/>
      <c r="AR373" s="241"/>
      <c r="AS373" s="241"/>
      <c r="AT373" s="241"/>
      <c r="AU373" s="241"/>
      <c r="AV373" s="241"/>
      <c r="AW373" s="241"/>
      <c r="AX373" s="241">
        <f t="shared" si="43"/>
        <v>0</v>
      </c>
      <c r="AY373" s="241" t="str">
        <f t="shared" si="44"/>
        <v>K/0</v>
      </c>
      <c r="AZ373" s="241"/>
      <c r="BA373" s="241"/>
      <c r="BB373" s="241" t="s">
        <v>161</v>
      </c>
      <c r="BC373" s="241" t="s">
        <v>75</v>
      </c>
      <c r="BD373" s="241"/>
      <c r="BE373" s="241" t="s">
        <v>6844</v>
      </c>
      <c r="BF373" s="241"/>
      <c r="BG373" s="241"/>
      <c r="BH373" s="241"/>
      <c r="BI373" s="241"/>
      <c r="BJ373" s="241"/>
      <c r="BK373" s="241"/>
      <c r="BL373" s="241"/>
      <c r="BM373" s="241"/>
      <c r="BN373" s="241"/>
      <c r="BO373" s="241"/>
      <c r="BP373" s="241"/>
      <c r="BQ373" s="241"/>
      <c r="BR373" s="241"/>
      <c r="BS373" s="241"/>
      <c r="BT373" s="241"/>
      <c r="BU373" s="241"/>
      <c r="BV373" s="241"/>
      <c r="BW373" s="241"/>
      <c r="BX373" s="241"/>
      <c r="BY373" s="241"/>
      <c r="BZ373" s="241"/>
      <c r="CA373" s="241"/>
      <c r="CB373" s="241"/>
      <c r="CC373" s="241"/>
      <c r="CD373" s="241"/>
      <c r="CE373" s="241"/>
      <c r="CF373" s="13"/>
      <c r="CG373" s="13"/>
      <c r="CH373" s="13"/>
    </row>
    <row r="374" spans="1:86" ht="11.25" customHeight="1" x14ac:dyDescent="0.2">
      <c r="A374" s="13"/>
      <c r="B374" s="238">
        <v>370</v>
      </c>
      <c r="C374" s="241" t="s">
        <v>292</v>
      </c>
      <c r="D374" s="237" t="s">
        <v>4281</v>
      </c>
      <c r="E374" s="239">
        <v>999800002</v>
      </c>
      <c r="F374" s="237">
        <v>1440004452634</v>
      </c>
      <c r="G374" s="246"/>
      <c r="H374" s="241" t="s">
        <v>204</v>
      </c>
      <c r="I374" s="241" t="s">
        <v>217</v>
      </c>
      <c r="J374" s="262">
        <v>45408</v>
      </c>
      <c r="K374" s="241"/>
      <c r="L374" s="241"/>
      <c r="M374" s="241" t="str">
        <f t="shared" si="47"/>
        <v>ORGANIK INKA</v>
      </c>
      <c r="N374" s="241" t="s">
        <v>204</v>
      </c>
      <c r="O374" s="241" t="s">
        <v>4282</v>
      </c>
      <c r="P374" s="243">
        <v>45408</v>
      </c>
      <c r="Q374" s="241" t="s">
        <v>2686</v>
      </c>
      <c r="R374" s="282" t="s">
        <v>142</v>
      </c>
      <c r="S374" s="241" t="s">
        <v>6860</v>
      </c>
      <c r="T374" s="241" t="s">
        <v>296</v>
      </c>
      <c r="U374" s="241" t="s">
        <v>187</v>
      </c>
      <c r="V374" s="241" t="s">
        <v>1150</v>
      </c>
      <c r="W374" s="241" t="s">
        <v>6903</v>
      </c>
      <c r="X374" s="241" t="s">
        <v>6903</v>
      </c>
      <c r="Y374" s="241" t="s">
        <v>1064</v>
      </c>
      <c r="Z374" s="241"/>
      <c r="AA374" s="241"/>
      <c r="AB374" s="241" t="s">
        <v>314</v>
      </c>
      <c r="AC374" s="241" t="s">
        <v>4283</v>
      </c>
      <c r="AD374" s="245">
        <v>26761</v>
      </c>
      <c r="AE374" s="241">
        <f t="shared" ca="1" si="42"/>
        <v>52</v>
      </c>
      <c r="AF374" s="246" t="s">
        <v>4284</v>
      </c>
      <c r="AG374" s="241" t="s">
        <v>4285</v>
      </c>
      <c r="AH374" s="246" t="s">
        <v>4286</v>
      </c>
      <c r="AI374" s="246"/>
      <c r="AJ374" s="246"/>
      <c r="AK374" s="241" t="s">
        <v>4287</v>
      </c>
      <c r="AL374" s="246" t="s">
        <v>4288</v>
      </c>
      <c r="AM374" s="246" t="s">
        <v>4289</v>
      </c>
      <c r="AN374" s="241" t="s">
        <v>4733</v>
      </c>
      <c r="AO374" s="241" t="s">
        <v>4290</v>
      </c>
      <c r="AP374" s="241" t="s">
        <v>4291</v>
      </c>
      <c r="AQ374" s="241" t="s">
        <v>4292</v>
      </c>
      <c r="AR374" s="241"/>
      <c r="AS374" s="241"/>
      <c r="AT374" s="241"/>
      <c r="AU374" s="241"/>
      <c r="AV374" s="241"/>
      <c r="AW374" s="241"/>
      <c r="AX374" s="241">
        <f t="shared" si="43"/>
        <v>2</v>
      </c>
      <c r="AY374" s="241" t="str">
        <f t="shared" si="44"/>
        <v>K/2</v>
      </c>
      <c r="AZ374" s="241"/>
      <c r="BA374" s="241"/>
      <c r="BB374" s="241" t="s">
        <v>161</v>
      </c>
      <c r="BC374" s="241" t="s">
        <v>75</v>
      </c>
      <c r="BD374" s="241"/>
      <c r="BE374" s="241" t="s">
        <v>6844</v>
      </c>
      <c r="BF374" s="241"/>
      <c r="BG374" s="241"/>
      <c r="BH374" s="241"/>
      <c r="BI374" s="241"/>
      <c r="BJ374" s="241"/>
      <c r="BK374" s="241"/>
      <c r="BL374" s="241"/>
      <c r="BM374" s="241"/>
      <c r="BN374" s="241"/>
      <c r="BO374" s="241"/>
      <c r="BP374" s="241"/>
      <c r="BQ374" s="241"/>
      <c r="BR374" s="241"/>
      <c r="BS374" s="241"/>
      <c r="BT374" s="241"/>
      <c r="BU374" s="241"/>
      <c r="BV374" s="241"/>
      <c r="BW374" s="241"/>
      <c r="BX374" s="241"/>
      <c r="BY374" s="241"/>
      <c r="BZ374" s="241"/>
      <c r="CA374" s="241"/>
      <c r="CB374" s="241"/>
      <c r="CC374" s="241"/>
      <c r="CD374" s="241"/>
      <c r="CE374" s="241"/>
      <c r="CF374" s="13"/>
      <c r="CG374" s="13"/>
      <c r="CH374" s="13"/>
    </row>
    <row r="375" spans="1:86" ht="9.75" customHeight="1" x14ac:dyDescent="0.2">
      <c r="A375" s="13"/>
      <c r="B375" s="238">
        <v>371</v>
      </c>
      <c r="C375" s="241" t="e">
        <f t="shared" ref="C375:C417" ca="1" si="48">DATEDIF($E$3,P375,"D")</f>
        <v>#NUM!</v>
      </c>
      <c r="D375" s="237" t="s">
        <v>4293</v>
      </c>
      <c r="E375" s="239">
        <v>642402194</v>
      </c>
      <c r="F375" s="237"/>
      <c r="G375" s="246"/>
      <c r="H375" s="241" t="s">
        <v>217</v>
      </c>
      <c r="I375" s="241" t="s">
        <v>217</v>
      </c>
      <c r="J375" s="242">
        <v>45413</v>
      </c>
      <c r="K375" s="241"/>
      <c r="L375" s="241"/>
      <c r="M375" s="241" t="str">
        <f t="shared" si="47"/>
        <v>PKWT</v>
      </c>
      <c r="N375" s="241" t="s">
        <v>187</v>
      </c>
      <c r="O375" s="241"/>
      <c r="P375" s="243">
        <v>45658</v>
      </c>
      <c r="Q375" s="241"/>
      <c r="R375" s="294" t="s">
        <v>142</v>
      </c>
      <c r="S375" s="241" t="s">
        <v>6860</v>
      </c>
      <c r="T375" s="241" t="s">
        <v>296</v>
      </c>
      <c r="U375" s="241" t="s">
        <v>187</v>
      </c>
      <c r="V375" s="241" t="s">
        <v>209</v>
      </c>
      <c r="W375" s="241" t="s">
        <v>209</v>
      </c>
      <c r="X375" s="241" t="s">
        <v>209</v>
      </c>
      <c r="Y375" s="241" t="s">
        <v>298</v>
      </c>
      <c r="Z375" s="241"/>
      <c r="AA375" s="241"/>
      <c r="AB375" s="241" t="s">
        <v>314</v>
      </c>
      <c r="AC375" s="241" t="s">
        <v>217</v>
      </c>
      <c r="AD375" s="245">
        <v>24664</v>
      </c>
      <c r="AE375" s="241">
        <f t="shared" ca="1" si="42"/>
        <v>58</v>
      </c>
      <c r="AF375" s="246" t="s">
        <v>4294</v>
      </c>
      <c r="AG375" s="241" t="s">
        <v>4295</v>
      </c>
      <c r="AH375" s="246" t="s">
        <v>4296</v>
      </c>
      <c r="AI375" s="246"/>
      <c r="AJ375" s="246"/>
      <c r="AK375" s="241" t="s">
        <v>4297</v>
      </c>
      <c r="AL375" s="246" t="s">
        <v>4298</v>
      </c>
      <c r="AM375" s="246">
        <v>24049876485</v>
      </c>
      <c r="AN375" s="241" t="s">
        <v>4733</v>
      </c>
      <c r="AO375" s="241"/>
      <c r="AP375" s="241"/>
      <c r="AQ375" s="241"/>
      <c r="AR375" s="241"/>
      <c r="AS375" s="241"/>
      <c r="AT375" s="241" t="s">
        <v>306</v>
      </c>
      <c r="AU375" s="241" t="s">
        <v>306</v>
      </c>
      <c r="AV375" s="241" t="s">
        <v>306</v>
      </c>
      <c r="AW375" s="241" t="s">
        <v>306</v>
      </c>
      <c r="AX375" s="241">
        <f t="shared" si="43"/>
        <v>0</v>
      </c>
      <c r="AY375" s="241" t="str">
        <f t="shared" si="44"/>
        <v>K/0</v>
      </c>
      <c r="AZ375" s="241"/>
      <c r="BA375" s="249"/>
      <c r="BB375" s="241" t="s">
        <v>161</v>
      </c>
      <c r="BC375" s="241" t="s">
        <v>75</v>
      </c>
      <c r="BD375" s="241"/>
      <c r="BE375" s="241" t="s">
        <v>6844</v>
      </c>
      <c r="BF375" s="241"/>
      <c r="BG375" s="241" t="s">
        <v>75</v>
      </c>
      <c r="BH375" s="241"/>
      <c r="BI375" s="241"/>
      <c r="BJ375" s="241"/>
      <c r="BK375" s="241"/>
      <c r="BL375" s="241"/>
      <c r="BM375" s="241"/>
      <c r="BN375" s="241"/>
      <c r="BO375" s="241"/>
      <c r="BP375" s="241"/>
      <c r="BQ375" s="241"/>
      <c r="BR375" s="241"/>
      <c r="BS375" s="241"/>
      <c r="BT375" s="241"/>
      <c r="BU375" s="241"/>
      <c r="BV375" s="241"/>
      <c r="BW375" s="241"/>
      <c r="BX375" s="241"/>
      <c r="BY375" s="241"/>
      <c r="BZ375" s="241"/>
      <c r="CA375" s="241"/>
      <c r="CB375" s="241"/>
      <c r="CC375" s="241"/>
      <c r="CD375" s="241"/>
      <c r="CE375" s="241"/>
      <c r="CF375" s="13"/>
      <c r="CG375" s="13"/>
      <c r="CH375" s="13"/>
    </row>
    <row r="376" spans="1:86" ht="11.25" customHeight="1" x14ac:dyDescent="0.2">
      <c r="A376" s="13"/>
      <c r="B376" s="238">
        <v>372</v>
      </c>
      <c r="C376" s="241" t="e">
        <f t="shared" ca="1" si="48"/>
        <v>#NUM!</v>
      </c>
      <c r="D376" s="237" t="s">
        <v>4299</v>
      </c>
      <c r="E376" s="239">
        <v>642406195</v>
      </c>
      <c r="F376" s="237">
        <v>1220007712865</v>
      </c>
      <c r="G376" s="240">
        <v>7183168015</v>
      </c>
      <c r="H376" s="241" t="s">
        <v>24</v>
      </c>
      <c r="I376" s="241" t="s">
        <v>24</v>
      </c>
      <c r="J376" s="242">
        <v>45444</v>
      </c>
      <c r="K376" s="241"/>
      <c r="L376" s="241"/>
      <c r="M376" s="241" t="str">
        <f t="shared" si="47"/>
        <v>PKWT</v>
      </c>
      <c r="N376" s="241" t="s">
        <v>187</v>
      </c>
      <c r="O376" s="241"/>
      <c r="P376" s="245">
        <v>45657</v>
      </c>
      <c r="Q376" s="244"/>
      <c r="R376" s="241" t="s">
        <v>206</v>
      </c>
      <c r="S376" s="241" t="s">
        <v>6863</v>
      </c>
      <c r="T376" s="241" t="s">
        <v>312</v>
      </c>
      <c r="U376" s="241" t="s">
        <v>24</v>
      </c>
      <c r="V376" s="241" t="s">
        <v>204</v>
      </c>
      <c r="W376" s="241" t="s">
        <v>629</v>
      </c>
      <c r="X376" s="241" t="s">
        <v>121</v>
      </c>
      <c r="Y376" s="241" t="s">
        <v>313</v>
      </c>
      <c r="Z376" s="241" t="s">
        <v>1218</v>
      </c>
      <c r="AA376" s="241"/>
      <c r="AB376" s="241" t="s">
        <v>314</v>
      </c>
      <c r="AC376" s="244" t="s">
        <v>24</v>
      </c>
      <c r="AD376" s="245">
        <v>21655</v>
      </c>
      <c r="AE376" s="241">
        <f t="shared" ca="1" si="42"/>
        <v>66</v>
      </c>
      <c r="AF376" s="246" t="s">
        <v>4300</v>
      </c>
      <c r="AG376" s="241" t="s">
        <v>4301</v>
      </c>
      <c r="AH376" s="240" t="s">
        <v>4302</v>
      </c>
      <c r="AI376" s="246"/>
      <c r="AJ376" s="246"/>
      <c r="AK376" s="241" t="s">
        <v>4303</v>
      </c>
      <c r="AL376" s="240" t="s">
        <v>4304</v>
      </c>
      <c r="AM376" s="240">
        <v>22017333794</v>
      </c>
      <c r="AN376" s="241" t="s">
        <v>4733</v>
      </c>
      <c r="AO376" s="241" t="s">
        <v>4305</v>
      </c>
      <c r="AP376" s="241" t="s">
        <v>4306</v>
      </c>
      <c r="AQ376" s="241"/>
      <c r="AR376" s="241"/>
      <c r="AS376" s="241"/>
      <c r="AT376" s="241"/>
      <c r="AU376" s="241"/>
      <c r="AV376" s="241"/>
      <c r="AW376" s="241"/>
      <c r="AX376" s="241">
        <f t="shared" si="43"/>
        <v>1</v>
      </c>
      <c r="AY376" s="241" t="str">
        <f t="shared" si="44"/>
        <v>K/1</v>
      </c>
      <c r="AZ376" s="241"/>
      <c r="BA376" s="241"/>
      <c r="BB376" s="241" t="s">
        <v>161</v>
      </c>
      <c r="BC376" s="241" t="s">
        <v>307</v>
      </c>
      <c r="BD376" s="241" t="s">
        <v>544</v>
      </c>
      <c r="BE376" s="241" t="s">
        <v>4307</v>
      </c>
      <c r="BF376" s="241">
        <v>1979</v>
      </c>
      <c r="BG376" s="241" t="s">
        <v>307</v>
      </c>
      <c r="BH376" s="241" t="s">
        <v>544</v>
      </c>
      <c r="BI376" s="241" t="s">
        <v>4307</v>
      </c>
      <c r="BJ376" s="241">
        <v>1979</v>
      </c>
      <c r="BK376" s="241"/>
      <c r="BL376" s="241"/>
      <c r="BM376" s="241"/>
      <c r="BN376" s="241"/>
      <c r="BO376" s="241">
        <v>42</v>
      </c>
      <c r="BP376" s="241"/>
      <c r="BQ376" s="241"/>
      <c r="BR376" s="241"/>
      <c r="BS376" s="241"/>
      <c r="BT376" s="291"/>
      <c r="BU376" s="291"/>
      <c r="BV376" s="241"/>
      <c r="BW376" s="241"/>
      <c r="BX376" s="291"/>
      <c r="BY376" s="291"/>
      <c r="BZ376" s="241"/>
      <c r="CA376" s="241"/>
      <c r="CB376" s="244"/>
      <c r="CC376" s="244"/>
      <c r="CD376" s="241"/>
      <c r="CE376" s="244"/>
      <c r="CF376" s="13"/>
      <c r="CG376" s="13"/>
      <c r="CH376" s="13"/>
    </row>
    <row r="377" spans="1:86" ht="11.25" customHeight="1" x14ac:dyDescent="0.2">
      <c r="A377" s="13"/>
      <c r="B377" s="238">
        <v>373</v>
      </c>
      <c r="C377" s="241" t="e">
        <f t="shared" ca="1" si="48"/>
        <v>#NUM!</v>
      </c>
      <c r="D377" s="237" t="s">
        <v>4308</v>
      </c>
      <c r="E377" s="241">
        <v>642408195</v>
      </c>
      <c r="F377" s="237">
        <v>1380010357569</v>
      </c>
      <c r="G377" s="246"/>
      <c r="H377" s="241" t="s">
        <v>217</v>
      </c>
      <c r="I377" s="241" t="s">
        <v>432</v>
      </c>
      <c r="J377" s="242">
        <v>45505</v>
      </c>
      <c r="K377" s="241"/>
      <c r="L377" s="241"/>
      <c r="M377" s="241" t="s">
        <v>14</v>
      </c>
      <c r="N377" s="241" t="s">
        <v>187</v>
      </c>
      <c r="O377" s="241"/>
      <c r="P377" s="243">
        <v>45657</v>
      </c>
      <c r="Q377" s="241"/>
      <c r="R377" s="241" t="s">
        <v>206</v>
      </c>
      <c r="S377" s="241" t="s">
        <v>6863</v>
      </c>
      <c r="T377" s="241" t="s">
        <v>296</v>
      </c>
      <c r="U377" s="241" t="s">
        <v>187</v>
      </c>
      <c r="V377" s="241" t="s">
        <v>54</v>
      </c>
      <c r="W377" s="241" t="s">
        <v>54</v>
      </c>
      <c r="X377" s="241" t="s">
        <v>120</v>
      </c>
      <c r="Y377" s="241" t="s">
        <v>313</v>
      </c>
      <c r="Z377" s="241"/>
      <c r="AA377" s="241"/>
      <c r="AB377" s="241" t="s">
        <v>314</v>
      </c>
      <c r="AC377" s="241" t="s">
        <v>432</v>
      </c>
      <c r="AD377" s="245">
        <v>30531</v>
      </c>
      <c r="AE377" s="241">
        <f t="shared" ca="1" si="42"/>
        <v>42</v>
      </c>
      <c r="AF377" s="246" t="s">
        <v>4309</v>
      </c>
      <c r="AG377" s="241" t="s">
        <v>4310</v>
      </c>
      <c r="AH377" s="246" t="s">
        <v>4311</v>
      </c>
      <c r="AI377" s="246"/>
      <c r="AJ377" s="246"/>
      <c r="AK377" s="250" t="s">
        <v>4312</v>
      </c>
      <c r="AL377" s="246" t="s">
        <v>4313</v>
      </c>
      <c r="AM377" s="246" t="s">
        <v>4314</v>
      </c>
      <c r="AN377" s="241" t="s">
        <v>4733</v>
      </c>
      <c r="AO377" s="241" t="s">
        <v>4315</v>
      </c>
      <c r="AP377" s="241" t="s">
        <v>4316</v>
      </c>
      <c r="AQ377" s="241" t="s">
        <v>4317</v>
      </c>
      <c r="AR377" s="241"/>
      <c r="AS377" s="241"/>
      <c r="AT377" s="241" t="s">
        <v>4318</v>
      </c>
      <c r="AU377" s="241" t="s">
        <v>4319</v>
      </c>
      <c r="AV377" s="241" t="s">
        <v>4320</v>
      </c>
      <c r="AW377" s="241" t="s">
        <v>4321</v>
      </c>
      <c r="AX377" s="241">
        <f t="shared" si="43"/>
        <v>2</v>
      </c>
      <c r="AY377" s="241" t="str">
        <f t="shared" si="44"/>
        <v>K/2</v>
      </c>
      <c r="AZ377" s="241"/>
      <c r="BA377" s="241" t="s">
        <v>4322</v>
      </c>
      <c r="BB377" s="241" t="s">
        <v>161</v>
      </c>
      <c r="BC377" s="241" t="s">
        <v>75</v>
      </c>
      <c r="BD377" s="241" t="s">
        <v>4323</v>
      </c>
      <c r="BE377" s="241" t="s">
        <v>114</v>
      </c>
      <c r="BF377" s="241">
        <v>2009</v>
      </c>
      <c r="BG377" s="241" t="s">
        <v>75</v>
      </c>
      <c r="BH377" s="241" t="s">
        <v>4323</v>
      </c>
      <c r="BI377" s="241" t="s">
        <v>114</v>
      </c>
      <c r="BJ377" s="241">
        <v>2009</v>
      </c>
      <c r="BK377" s="241"/>
      <c r="BL377" s="241"/>
      <c r="BM377" s="241" t="s">
        <v>351</v>
      </c>
      <c r="BN377" s="241" t="s">
        <v>351</v>
      </c>
      <c r="BO377" s="241">
        <v>41</v>
      </c>
      <c r="BP377" s="241"/>
      <c r="BQ377" s="241"/>
      <c r="BR377" s="241"/>
      <c r="BS377" s="241"/>
      <c r="BT377" s="241"/>
      <c r="BU377" s="241"/>
      <c r="BV377" s="241"/>
      <c r="BW377" s="241"/>
      <c r="BX377" s="241"/>
      <c r="BY377" s="241"/>
      <c r="BZ377" s="241"/>
      <c r="CA377" s="241"/>
      <c r="CB377" s="241"/>
      <c r="CC377" s="241"/>
      <c r="CD377" s="241"/>
      <c r="CE377" s="241"/>
      <c r="CF377" s="13"/>
      <c r="CG377" s="13"/>
      <c r="CH377" s="13"/>
    </row>
    <row r="378" spans="1:86" ht="11.25" customHeight="1" x14ac:dyDescent="0.2">
      <c r="A378" s="13"/>
      <c r="B378" s="238">
        <v>374</v>
      </c>
      <c r="C378" s="241" t="e">
        <f t="shared" ca="1" si="48"/>
        <v>#NUM!</v>
      </c>
      <c r="D378" s="237" t="s">
        <v>4324</v>
      </c>
      <c r="E378" s="241">
        <v>642408196</v>
      </c>
      <c r="F378" s="237">
        <v>1430031389495</v>
      </c>
      <c r="G378" s="246"/>
      <c r="H378" s="241" t="s">
        <v>32</v>
      </c>
      <c r="I378" s="241" t="s">
        <v>4325</v>
      </c>
      <c r="J378" s="242">
        <v>45516</v>
      </c>
      <c r="K378" s="241"/>
      <c r="L378" s="241"/>
      <c r="M378" s="241" t="s">
        <v>14</v>
      </c>
      <c r="N378" s="241" t="s">
        <v>187</v>
      </c>
      <c r="O378" s="241"/>
      <c r="P378" s="243">
        <v>45657</v>
      </c>
      <c r="Q378" s="241"/>
      <c r="R378" s="241" t="s">
        <v>206</v>
      </c>
      <c r="S378" s="241" t="s">
        <v>6863</v>
      </c>
      <c r="T378" s="241" t="s">
        <v>312</v>
      </c>
      <c r="U378" s="241" t="s">
        <v>32</v>
      </c>
      <c r="V378" s="241" t="s">
        <v>3833</v>
      </c>
      <c r="W378" s="241" t="s">
        <v>6911</v>
      </c>
      <c r="X378" s="241" t="s">
        <v>18</v>
      </c>
      <c r="Y378" s="241" t="s">
        <v>313</v>
      </c>
      <c r="Z378" s="241"/>
      <c r="AA378" s="241"/>
      <c r="AB378" s="241" t="s">
        <v>314</v>
      </c>
      <c r="AC378" s="241" t="s">
        <v>4326</v>
      </c>
      <c r="AD378" s="245">
        <v>34141</v>
      </c>
      <c r="AE378" s="241">
        <f t="shared" ca="1" si="42"/>
        <v>32</v>
      </c>
      <c r="AF378" s="246" t="s">
        <v>4327</v>
      </c>
      <c r="AG378" s="241" t="s">
        <v>4328</v>
      </c>
      <c r="AH378" s="246" t="s">
        <v>4329</v>
      </c>
      <c r="AI378" s="246"/>
      <c r="AJ378" s="246"/>
      <c r="AK378" s="328" t="s">
        <v>4330</v>
      </c>
      <c r="AL378" s="246" t="s">
        <v>4331</v>
      </c>
      <c r="AM378" s="246" t="s">
        <v>4332</v>
      </c>
      <c r="AN378" s="241" t="s">
        <v>4733</v>
      </c>
      <c r="AO378" s="241" t="s">
        <v>4333</v>
      </c>
      <c r="AP378" s="241" t="s">
        <v>4334</v>
      </c>
      <c r="AQ378" s="241"/>
      <c r="AR378" s="241"/>
      <c r="AS378" s="241"/>
      <c r="AT378" s="241" t="s">
        <v>4335</v>
      </c>
      <c r="AU378" s="241" t="s">
        <v>2293</v>
      </c>
      <c r="AV378" s="241" t="s">
        <v>4336</v>
      </c>
      <c r="AW378" s="241" t="s">
        <v>4337</v>
      </c>
      <c r="AX378" s="241">
        <f t="shared" si="43"/>
        <v>1</v>
      </c>
      <c r="AY378" s="241" t="str">
        <f t="shared" si="44"/>
        <v>K/1</v>
      </c>
      <c r="AZ378" s="241"/>
      <c r="BA378" s="241" t="s">
        <v>4338</v>
      </c>
      <c r="BB378" s="241" t="s">
        <v>161</v>
      </c>
      <c r="BC378" s="241" t="s">
        <v>349</v>
      </c>
      <c r="BD378" s="241" t="s">
        <v>4339</v>
      </c>
      <c r="BE378" s="241" t="s">
        <v>6844</v>
      </c>
      <c r="BF378" s="241">
        <v>2011</v>
      </c>
      <c r="BG378" s="241" t="s">
        <v>349</v>
      </c>
      <c r="BH378" s="241" t="s">
        <v>4339</v>
      </c>
      <c r="BI378" s="241"/>
      <c r="BJ378" s="241">
        <v>2011</v>
      </c>
      <c r="BK378" s="241"/>
      <c r="BL378" s="241"/>
      <c r="BM378" s="241" t="s">
        <v>369</v>
      </c>
      <c r="BN378" s="241" t="s">
        <v>369</v>
      </c>
      <c r="BO378" s="241">
        <v>43</v>
      </c>
      <c r="BP378" s="241"/>
      <c r="BQ378" s="241"/>
      <c r="BR378" s="241"/>
      <c r="BS378" s="241"/>
      <c r="BT378" s="241"/>
      <c r="BU378" s="241"/>
      <c r="BV378" s="241"/>
      <c r="BW378" s="241"/>
      <c r="BX378" s="241"/>
      <c r="BY378" s="241"/>
      <c r="BZ378" s="241"/>
      <c r="CA378" s="241"/>
      <c r="CB378" s="241"/>
      <c r="CC378" s="241"/>
      <c r="CD378" s="241"/>
      <c r="CE378" s="241"/>
      <c r="CF378" s="13"/>
      <c r="CG378" s="13"/>
      <c r="CH378" s="13"/>
    </row>
    <row r="379" spans="1:86" ht="11.25" customHeight="1" x14ac:dyDescent="0.2">
      <c r="A379" s="13"/>
      <c r="B379" s="238">
        <v>375</v>
      </c>
      <c r="C379" s="241" t="e">
        <f t="shared" ca="1" si="48"/>
        <v>#NUM!</v>
      </c>
      <c r="D379" s="237" t="s">
        <v>4340</v>
      </c>
      <c r="E379" s="241">
        <v>642408197</v>
      </c>
      <c r="F379" s="237">
        <v>1430031389859</v>
      </c>
      <c r="G379" s="246"/>
      <c r="H379" s="241" t="s">
        <v>32</v>
      </c>
      <c r="I379" s="241" t="s">
        <v>217</v>
      </c>
      <c r="J379" s="242">
        <v>45516</v>
      </c>
      <c r="K379" s="241"/>
      <c r="L379" s="241"/>
      <c r="M379" s="241" t="s">
        <v>14</v>
      </c>
      <c r="N379" s="241" t="s">
        <v>187</v>
      </c>
      <c r="O379" s="241"/>
      <c r="P379" s="243">
        <v>45657</v>
      </c>
      <c r="Q379" s="241"/>
      <c r="R379" s="241" t="s">
        <v>206</v>
      </c>
      <c r="S379" s="241" t="s">
        <v>6863</v>
      </c>
      <c r="T379" s="241" t="s">
        <v>312</v>
      </c>
      <c r="U379" s="241" t="s">
        <v>32</v>
      </c>
      <c r="V379" s="241" t="s">
        <v>3833</v>
      </c>
      <c r="W379" s="241" t="s">
        <v>6911</v>
      </c>
      <c r="X379" s="241" t="s">
        <v>18</v>
      </c>
      <c r="Y379" s="241" t="s">
        <v>313</v>
      </c>
      <c r="Z379" s="241"/>
      <c r="AA379" s="241"/>
      <c r="AB379" s="241" t="s">
        <v>314</v>
      </c>
      <c r="AC379" s="241" t="s">
        <v>217</v>
      </c>
      <c r="AD379" s="245">
        <v>36878</v>
      </c>
      <c r="AE379" s="241">
        <f t="shared" ca="1" si="42"/>
        <v>24</v>
      </c>
      <c r="AF379" s="246" t="s">
        <v>4341</v>
      </c>
      <c r="AG379" s="241" t="s">
        <v>4342</v>
      </c>
      <c r="AH379" s="246" t="s">
        <v>4343</v>
      </c>
      <c r="AI379" s="246"/>
      <c r="AJ379" s="246"/>
      <c r="AK379" s="241" t="s">
        <v>4344</v>
      </c>
      <c r="AL379" s="246" t="s">
        <v>4345</v>
      </c>
      <c r="AM379" s="246" t="s">
        <v>4346</v>
      </c>
      <c r="AN379" s="241" t="s">
        <v>4716</v>
      </c>
      <c r="AO379" s="241"/>
      <c r="AP379" s="241"/>
      <c r="AQ379" s="241"/>
      <c r="AR379" s="241"/>
      <c r="AS379" s="241"/>
      <c r="AT379" s="241" t="s">
        <v>4347</v>
      </c>
      <c r="AU379" s="241" t="s">
        <v>4348</v>
      </c>
      <c r="AV379" s="241"/>
      <c r="AW379" s="241"/>
      <c r="AX379" s="241">
        <f t="shared" si="43"/>
        <v>0</v>
      </c>
      <c r="AY379" s="241" t="str">
        <f t="shared" si="44"/>
        <v>TK/0</v>
      </c>
      <c r="AZ379" s="241"/>
      <c r="BA379" s="241"/>
      <c r="BB379" s="241" t="s">
        <v>161</v>
      </c>
      <c r="BC379" s="241" t="s">
        <v>349</v>
      </c>
      <c r="BD379" s="241" t="s">
        <v>4349</v>
      </c>
      <c r="BE379" s="241" t="s">
        <v>516</v>
      </c>
      <c r="BF379" s="241">
        <v>2019</v>
      </c>
      <c r="BG379" s="241" t="s">
        <v>349</v>
      </c>
      <c r="BH379" s="241" t="s">
        <v>4349</v>
      </c>
      <c r="BI379" s="241" t="s">
        <v>516</v>
      </c>
      <c r="BJ379" s="241">
        <v>2019</v>
      </c>
      <c r="BK379" s="241"/>
      <c r="BL379" s="241"/>
      <c r="BM379" s="241" t="s">
        <v>339</v>
      </c>
      <c r="BN379" s="241" t="s">
        <v>339</v>
      </c>
      <c r="BO379" s="241">
        <v>43</v>
      </c>
      <c r="BP379" s="241"/>
      <c r="BQ379" s="241"/>
      <c r="BR379" s="241"/>
      <c r="BS379" s="241"/>
      <c r="BT379" s="241"/>
      <c r="BU379" s="241"/>
      <c r="BV379" s="241"/>
      <c r="BW379" s="241"/>
      <c r="BX379" s="241"/>
      <c r="BY379" s="241"/>
      <c r="BZ379" s="241"/>
      <c r="CA379" s="241"/>
      <c r="CB379" s="241"/>
      <c r="CC379" s="241"/>
      <c r="CD379" s="241"/>
      <c r="CE379" s="241"/>
      <c r="CF379" s="13"/>
      <c r="CG379" s="13"/>
      <c r="CH379" s="13"/>
    </row>
    <row r="380" spans="1:86" ht="11.25" customHeight="1" x14ac:dyDescent="0.2">
      <c r="A380" s="13"/>
      <c r="B380" s="238">
        <v>376</v>
      </c>
      <c r="C380" s="241" t="e">
        <f t="shared" ca="1" si="48"/>
        <v>#NUM!</v>
      </c>
      <c r="D380" s="237" t="s">
        <v>4351</v>
      </c>
      <c r="E380" s="241">
        <v>642408199</v>
      </c>
      <c r="F380" s="249">
        <v>1710015935748</v>
      </c>
      <c r="G380" s="246"/>
      <c r="H380" s="241" t="s">
        <v>217</v>
      </c>
      <c r="I380" s="241" t="s">
        <v>217</v>
      </c>
      <c r="J380" s="242">
        <v>45524</v>
      </c>
      <c r="K380" s="241"/>
      <c r="L380" s="241"/>
      <c r="M380" s="241" t="s">
        <v>14</v>
      </c>
      <c r="N380" s="241" t="s">
        <v>187</v>
      </c>
      <c r="O380" s="241"/>
      <c r="P380" s="243">
        <v>45657</v>
      </c>
      <c r="Q380" s="241"/>
      <c r="R380" s="241" t="s">
        <v>206</v>
      </c>
      <c r="S380" s="241" t="s">
        <v>6863</v>
      </c>
      <c r="T380" s="241" t="s">
        <v>312</v>
      </c>
      <c r="U380" s="241" t="s">
        <v>204</v>
      </c>
      <c r="V380" s="241" t="s">
        <v>208</v>
      </c>
      <c r="W380" s="241" t="s">
        <v>6908</v>
      </c>
      <c r="X380" s="241" t="s">
        <v>18</v>
      </c>
      <c r="Y380" s="241" t="s">
        <v>313</v>
      </c>
      <c r="Z380" s="241"/>
      <c r="AA380" s="241"/>
      <c r="AB380" s="241" t="s">
        <v>314</v>
      </c>
      <c r="AC380" s="241" t="s">
        <v>432</v>
      </c>
      <c r="AD380" s="245">
        <v>38871</v>
      </c>
      <c r="AE380" s="241">
        <f t="shared" ca="1" si="42"/>
        <v>19</v>
      </c>
      <c r="AF380" s="246" t="s">
        <v>4352</v>
      </c>
      <c r="AG380" s="241" t="s">
        <v>4353</v>
      </c>
      <c r="AH380" s="246" t="s">
        <v>4354</v>
      </c>
      <c r="AI380" s="246"/>
      <c r="AJ380" s="246"/>
      <c r="AK380" s="241" t="s">
        <v>4355</v>
      </c>
      <c r="AL380" s="246" t="s">
        <v>4356</v>
      </c>
      <c r="AM380" s="246" t="s">
        <v>4357</v>
      </c>
      <c r="AN380" s="241" t="s">
        <v>4716</v>
      </c>
      <c r="AO380" s="241"/>
      <c r="AP380" s="241"/>
      <c r="AQ380" s="241"/>
      <c r="AR380" s="241"/>
      <c r="AS380" s="241"/>
      <c r="AT380" s="241" t="s">
        <v>4358</v>
      </c>
      <c r="AU380" s="241" t="s">
        <v>4359</v>
      </c>
      <c r="AV380" s="241"/>
      <c r="AW380" s="241"/>
      <c r="AX380" s="241">
        <f t="shared" si="43"/>
        <v>0</v>
      </c>
      <c r="AY380" s="241" t="str">
        <f t="shared" si="44"/>
        <v>TK/0</v>
      </c>
      <c r="AZ380" s="241"/>
      <c r="BA380" s="241"/>
      <c r="BB380" s="241" t="s">
        <v>161</v>
      </c>
      <c r="BC380" s="241" t="s">
        <v>349</v>
      </c>
      <c r="BD380" s="241" t="s">
        <v>4360</v>
      </c>
      <c r="BE380" s="241" t="s">
        <v>3877</v>
      </c>
      <c r="BF380" s="241">
        <v>2024</v>
      </c>
      <c r="BG380" s="241" t="s">
        <v>349</v>
      </c>
      <c r="BH380" s="241" t="s">
        <v>4360</v>
      </c>
      <c r="BI380" s="241" t="s">
        <v>3877</v>
      </c>
      <c r="BJ380" s="241">
        <v>2024</v>
      </c>
      <c r="BK380" s="241"/>
      <c r="BL380" s="241"/>
      <c r="BM380" s="241" t="s">
        <v>339</v>
      </c>
      <c r="BN380" s="241" t="s">
        <v>369</v>
      </c>
      <c r="BO380" s="241">
        <v>43</v>
      </c>
      <c r="BP380" s="241"/>
      <c r="BQ380" s="241"/>
      <c r="BR380" s="241"/>
      <c r="BS380" s="241"/>
      <c r="BT380" s="241"/>
      <c r="BU380" s="241"/>
      <c r="BV380" s="241"/>
      <c r="BW380" s="241"/>
      <c r="BX380" s="241"/>
      <c r="BY380" s="241"/>
      <c r="BZ380" s="241"/>
      <c r="CA380" s="241"/>
      <c r="CB380" s="241"/>
      <c r="CC380" s="241"/>
      <c r="CD380" s="241"/>
      <c r="CE380" s="241"/>
      <c r="CF380" s="13"/>
      <c r="CG380" s="13"/>
      <c r="CH380" s="13"/>
    </row>
    <row r="381" spans="1:86" ht="11.25" customHeight="1" x14ac:dyDescent="0.2">
      <c r="A381" s="13"/>
      <c r="B381" s="238">
        <v>377</v>
      </c>
      <c r="C381" s="241" t="e">
        <f t="shared" ca="1" si="48"/>
        <v>#NUM!</v>
      </c>
      <c r="D381" s="237" t="s">
        <v>4361</v>
      </c>
      <c r="E381" s="241">
        <v>642408200</v>
      </c>
      <c r="F381" s="249">
        <v>1710015931739</v>
      </c>
      <c r="G381" s="246"/>
      <c r="H381" s="241" t="s">
        <v>217</v>
      </c>
      <c r="I381" s="241" t="s">
        <v>217</v>
      </c>
      <c r="J381" s="242">
        <v>45524</v>
      </c>
      <c r="K381" s="241"/>
      <c r="L381" s="241"/>
      <c r="M381" s="241" t="s">
        <v>14</v>
      </c>
      <c r="N381" s="241" t="s">
        <v>187</v>
      </c>
      <c r="O381" s="241"/>
      <c r="P381" s="243">
        <v>45657</v>
      </c>
      <c r="Q381" s="241"/>
      <c r="R381" s="241" t="s">
        <v>206</v>
      </c>
      <c r="S381" s="241" t="s">
        <v>6863</v>
      </c>
      <c r="T381" s="241" t="s">
        <v>312</v>
      </c>
      <c r="U381" s="241" t="s">
        <v>204</v>
      </c>
      <c r="V381" s="241" t="s">
        <v>208</v>
      </c>
      <c r="W381" s="241" t="s">
        <v>6908</v>
      </c>
      <c r="X381" s="241" t="s">
        <v>18</v>
      </c>
      <c r="Y381" s="241" t="s">
        <v>313</v>
      </c>
      <c r="Z381" s="241"/>
      <c r="AA381" s="241"/>
      <c r="AB381" s="241" t="s">
        <v>314</v>
      </c>
      <c r="AC381" s="241" t="s">
        <v>217</v>
      </c>
      <c r="AD381" s="245">
        <v>37016</v>
      </c>
      <c r="AE381" s="241">
        <f t="shared" ca="1" si="42"/>
        <v>24</v>
      </c>
      <c r="AF381" s="246" t="s">
        <v>4362</v>
      </c>
      <c r="AG381" s="241" t="s">
        <v>4363</v>
      </c>
      <c r="AH381" s="246" t="s">
        <v>4364</v>
      </c>
      <c r="AI381" s="246"/>
      <c r="AJ381" s="246"/>
      <c r="AK381" s="250" t="s">
        <v>4365</v>
      </c>
      <c r="AL381" s="246" t="s">
        <v>4366</v>
      </c>
      <c r="AM381" s="246" t="s">
        <v>4367</v>
      </c>
      <c r="AN381" s="241" t="s">
        <v>4716</v>
      </c>
      <c r="AO381" s="241"/>
      <c r="AP381" s="241"/>
      <c r="AQ381" s="241"/>
      <c r="AR381" s="241"/>
      <c r="AS381" s="241"/>
      <c r="AT381" s="241" t="s">
        <v>1787</v>
      </c>
      <c r="AU381" s="241" t="s">
        <v>4368</v>
      </c>
      <c r="AV381" s="241"/>
      <c r="AW381" s="241"/>
      <c r="AX381" s="241">
        <f t="shared" si="43"/>
        <v>0</v>
      </c>
      <c r="AY381" s="241" t="str">
        <f t="shared" si="44"/>
        <v>TK/0</v>
      </c>
      <c r="AZ381" s="241"/>
      <c r="BA381" s="241"/>
      <c r="BB381" s="241" t="s">
        <v>161</v>
      </c>
      <c r="BC381" s="241" t="s">
        <v>307</v>
      </c>
      <c r="BD381" s="241" t="s">
        <v>308</v>
      </c>
      <c r="BE381" s="241" t="s">
        <v>6844</v>
      </c>
      <c r="BF381" s="241">
        <v>2021</v>
      </c>
      <c r="BG381" s="241" t="s">
        <v>307</v>
      </c>
      <c r="BH381" s="241" t="s">
        <v>308</v>
      </c>
      <c r="BI381" s="241"/>
      <c r="BJ381" s="241">
        <v>2021</v>
      </c>
      <c r="BK381" s="241"/>
      <c r="BL381" s="241"/>
      <c r="BM381" s="241" t="s">
        <v>351</v>
      </c>
      <c r="BN381" s="241" t="s">
        <v>339</v>
      </c>
      <c r="BO381" s="241">
        <v>41</v>
      </c>
      <c r="BP381" s="241"/>
      <c r="BQ381" s="241"/>
      <c r="BR381" s="241"/>
      <c r="BS381" s="241"/>
      <c r="BT381" s="241"/>
      <c r="BU381" s="241"/>
      <c r="BV381" s="241"/>
      <c r="BW381" s="241"/>
      <c r="BX381" s="241"/>
      <c r="BY381" s="241"/>
      <c r="BZ381" s="241"/>
      <c r="CA381" s="241"/>
      <c r="CB381" s="241"/>
      <c r="CC381" s="241"/>
      <c r="CD381" s="241"/>
      <c r="CE381" s="241"/>
      <c r="CF381" s="13"/>
      <c r="CG381" s="13"/>
      <c r="CH381" s="13"/>
    </row>
    <row r="382" spans="1:86" ht="11.25" customHeight="1" x14ac:dyDescent="0.2">
      <c r="A382" s="13"/>
      <c r="B382" s="238">
        <v>378</v>
      </c>
      <c r="C382" s="241" t="e">
        <f t="shared" ca="1" si="48"/>
        <v>#NUM!</v>
      </c>
      <c r="D382" s="237" t="s">
        <v>4369</v>
      </c>
      <c r="E382" s="241">
        <v>642408201</v>
      </c>
      <c r="F382" s="249">
        <v>1710015931069</v>
      </c>
      <c r="G382" s="246"/>
      <c r="H382" s="241" t="s">
        <v>217</v>
      </c>
      <c r="I382" s="241" t="s">
        <v>217</v>
      </c>
      <c r="J382" s="242">
        <v>45524</v>
      </c>
      <c r="K382" s="241"/>
      <c r="L382" s="241"/>
      <c r="M382" s="241" t="s">
        <v>14</v>
      </c>
      <c r="N382" s="241" t="s">
        <v>187</v>
      </c>
      <c r="O382" s="241"/>
      <c r="P382" s="243">
        <v>45657</v>
      </c>
      <c r="Q382" s="241"/>
      <c r="R382" s="241" t="s">
        <v>206</v>
      </c>
      <c r="S382" s="241" t="s">
        <v>6863</v>
      </c>
      <c r="T382" s="241" t="s">
        <v>312</v>
      </c>
      <c r="U382" s="241" t="s">
        <v>204</v>
      </c>
      <c r="V382" s="241" t="s">
        <v>208</v>
      </c>
      <c r="W382" s="241" t="s">
        <v>6908</v>
      </c>
      <c r="X382" s="241" t="s">
        <v>18</v>
      </c>
      <c r="Y382" s="241" t="s">
        <v>313</v>
      </c>
      <c r="Z382" s="241"/>
      <c r="AA382" s="241"/>
      <c r="AB382" s="241" t="s">
        <v>314</v>
      </c>
      <c r="AC382" s="241" t="s">
        <v>217</v>
      </c>
      <c r="AD382" s="245">
        <v>33590</v>
      </c>
      <c r="AE382" s="241">
        <f t="shared" ca="1" si="42"/>
        <v>33</v>
      </c>
      <c r="AF382" s="246" t="s">
        <v>4370</v>
      </c>
      <c r="AG382" s="241" t="s">
        <v>4371</v>
      </c>
      <c r="AH382" s="246" t="s">
        <v>4372</v>
      </c>
      <c r="AI382" s="246"/>
      <c r="AJ382" s="246"/>
      <c r="AK382" s="241" t="s">
        <v>4373</v>
      </c>
      <c r="AL382" s="246" t="s">
        <v>4374</v>
      </c>
      <c r="AM382" s="246" t="s">
        <v>4375</v>
      </c>
      <c r="AN382" s="241" t="s">
        <v>4716</v>
      </c>
      <c r="AO382" s="241"/>
      <c r="AP382" s="241"/>
      <c r="AQ382" s="241"/>
      <c r="AR382" s="241"/>
      <c r="AS382" s="241"/>
      <c r="AT382" s="241" t="s">
        <v>2612</v>
      </c>
      <c r="AU382" s="241" t="s">
        <v>4376</v>
      </c>
      <c r="AV382" s="241"/>
      <c r="AW382" s="241"/>
      <c r="AX382" s="241">
        <f t="shared" si="43"/>
        <v>0</v>
      </c>
      <c r="AY382" s="241" t="str">
        <f t="shared" si="44"/>
        <v>TK/0</v>
      </c>
      <c r="AZ382" s="241"/>
      <c r="BA382" s="241"/>
      <c r="BB382" s="241" t="s">
        <v>161</v>
      </c>
      <c r="BC382" s="241" t="s">
        <v>349</v>
      </c>
      <c r="BD382" s="241" t="s">
        <v>91</v>
      </c>
      <c r="BE382" s="241" t="s">
        <v>516</v>
      </c>
      <c r="BF382" s="241">
        <v>2010</v>
      </c>
      <c r="BG382" s="241" t="s">
        <v>349</v>
      </c>
      <c r="BH382" s="241" t="s">
        <v>91</v>
      </c>
      <c r="BI382" s="241" t="s">
        <v>516</v>
      </c>
      <c r="BJ382" s="241">
        <v>2010</v>
      </c>
      <c r="BK382" s="241"/>
      <c r="BL382" s="241"/>
      <c r="BM382" s="241" t="s">
        <v>339</v>
      </c>
      <c r="BN382" s="241" t="s">
        <v>339</v>
      </c>
      <c r="BO382" s="241">
        <v>39</v>
      </c>
      <c r="BP382" s="241"/>
      <c r="BQ382" s="241"/>
      <c r="BR382" s="241"/>
      <c r="BS382" s="241"/>
      <c r="BT382" s="241"/>
      <c r="BU382" s="241"/>
      <c r="BV382" s="241"/>
      <c r="BW382" s="241"/>
      <c r="BX382" s="241"/>
      <c r="BY382" s="241"/>
      <c r="BZ382" s="241"/>
      <c r="CA382" s="241"/>
      <c r="CB382" s="241"/>
      <c r="CC382" s="241"/>
      <c r="CD382" s="241"/>
      <c r="CE382" s="241"/>
      <c r="CF382" s="13"/>
      <c r="CG382" s="13"/>
      <c r="CH382" s="13"/>
    </row>
    <row r="383" spans="1:86" ht="11.25" customHeight="1" x14ac:dyDescent="0.2">
      <c r="A383" s="13"/>
      <c r="B383" s="238">
        <v>379</v>
      </c>
      <c r="C383" s="241" t="e">
        <f t="shared" ca="1" si="48"/>
        <v>#NUM!</v>
      </c>
      <c r="D383" s="237" t="s">
        <v>4377</v>
      </c>
      <c r="E383" s="241">
        <v>642408202</v>
      </c>
      <c r="F383" s="249">
        <v>1710007372298</v>
      </c>
      <c r="G383" s="246"/>
      <c r="H383" s="241" t="s">
        <v>217</v>
      </c>
      <c r="I383" s="241" t="s">
        <v>217</v>
      </c>
      <c r="J383" s="242">
        <v>45530</v>
      </c>
      <c r="K383" s="241"/>
      <c r="L383" s="241"/>
      <c r="M383" s="241" t="s">
        <v>14</v>
      </c>
      <c r="N383" s="241" t="s">
        <v>187</v>
      </c>
      <c r="O383" s="241"/>
      <c r="P383" s="243">
        <v>45657</v>
      </c>
      <c r="Q383" s="241"/>
      <c r="R383" s="241" t="s">
        <v>206</v>
      </c>
      <c r="S383" s="241" t="s">
        <v>6863</v>
      </c>
      <c r="T383" s="241" t="s">
        <v>312</v>
      </c>
      <c r="U383" s="241" t="s">
        <v>204</v>
      </c>
      <c r="V383" s="241" t="s">
        <v>6211</v>
      </c>
      <c r="W383" s="241" t="s">
        <v>121</v>
      </c>
      <c r="X383" s="241" t="s">
        <v>121</v>
      </c>
      <c r="Y383" s="241" t="s">
        <v>313</v>
      </c>
      <c r="Z383" s="241"/>
      <c r="AA383" s="241"/>
      <c r="AB383" s="241" t="s">
        <v>314</v>
      </c>
      <c r="AC383" s="241" t="s">
        <v>217</v>
      </c>
      <c r="AD383" s="245">
        <v>34966</v>
      </c>
      <c r="AE383" s="241">
        <f t="shared" ca="1" si="42"/>
        <v>30</v>
      </c>
      <c r="AF383" s="246" t="s">
        <v>4378</v>
      </c>
      <c r="AG383" s="241" t="s">
        <v>4379</v>
      </c>
      <c r="AH383" s="246" t="s">
        <v>4380</v>
      </c>
      <c r="AI383" s="246">
        <v>81259976255</v>
      </c>
      <c r="AJ383" s="246"/>
      <c r="AK383" s="241" t="s">
        <v>4381</v>
      </c>
      <c r="AL383" s="246" t="s">
        <v>4382</v>
      </c>
      <c r="AM383" s="246" t="s">
        <v>4383</v>
      </c>
      <c r="AN383" s="241" t="s">
        <v>4716</v>
      </c>
      <c r="AO383" s="241"/>
      <c r="AP383" s="241"/>
      <c r="AQ383" s="241"/>
      <c r="AR383" s="241"/>
      <c r="AS383" s="241"/>
      <c r="AT383" s="241" t="s">
        <v>4384</v>
      </c>
      <c r="AU383" s="241" t="s">
        <v>4385</v>
      </c>
      <c r="AV383" s="241"/>
      <c r="AW383" s="241"/>
      <c r="AX383" s="241">
        <f t="shared" si="43"/>
        <v>0</v>
      </c>
      <c r="AY383" s="241" t="str">
        <f t="shared" si="44"/>
        <v>TK/0</v>
      </c>
      <c r="AZ383" s="241"/>
      <c r="BA383" s="241"/>
      <c r="BB383" s="241" t="s">
        <v>161</v>
      </c>
      <c r="BC383" s="241" t="s">
        <v>349</v>
      </c>
      <c r="BD383" s="241" t="s">
        <v>4386</v>
      </c>
      <c r="BE383" s="241" t="s">
        <v>516</v>
      </c>
      <c r="BF383" s="250">
        <v>2015</v>
      </c>
      <c r="BG383" s="241" t="s">
        <v>349</v>
      </c>
      <c r="BH383" s="241" t="s">
        <v>4386</v>
      </c>
      <c r="BI383" s="241" t="s">
        <v>516</v>
      </c>
      <c r="BJ383" s="250">
        <v>2015</v>
      </c>
      <c r="BK383" s="241"/>
      <c r="BL383" s="241"/>
      <c r="BM383" s="241" t="s">
        <v>351</v>
      </c>
      <c r="BN383" s="241" t="s">
        <v>351</v>
      </c>
      <c r="BO383" s="241">
        <v>40</v>
      </c>
      <c r="BP383" s="241"/>
      <c r="BQ383" s="241"/>
      <c r="BR383" s="241"/>
      <c r="BS383" s="241"/>
      <c r="BT383" s="241"/>
      <c r="BU383" s="241"/>
      <c r="BV383" s="241"/>
      <c r="BW383" s="241"/>
      <c r="BX383" s="241"/>
      <c r="BY383" s="241"/>
      <c r="BZ383" s="241"/>
      <c r="CA383" s="241"/>
      <c r="CB383" s="241"/>
      <c r="CC383" s="241"/>
      <c r="CD383" s="241"/>
      <c r="CE383" s="241"/>
      <c r="CF383" s="13"/>
      <c r="CG383" s="13"/>
      <c r="CH383" s="13"/>
    </row>
    <row r="384" spans="1:86" ht="11.25" customHeight="1" x14ac:dyDescent="0.2">
      <c r="A384" s="13"/>
      <c r="B384" s="238">
        <v>380</v>
      </c>
      <c r="C384" s="241" t="e">
        <f t="shared" ca="1" si="48"/>
        <v>#NUM!</v>
      </c>
      <c r="D384" s="237" t="s">
        <v>4387</v>
      </c>
      <c r="E384" s="241">
        <v>642408203</v>
      </c>
      <c r="F384" s="249">
        <v>1710016059761</v>
      </c>
      <c r="G384" s="246"/>
      <c r="H384" s="241" t="s">
        <v>217</v>
      </c>
      <c r="I384" s="241" t="s">
        <v>217</v>
      </c>
      <c r="J384" s="242">
        <v>45553</v>
      </c>
      <c r="K384" s="241"/>
      <c r="L384" s="241"/>
      <c r="M384" s="241" t="s">
        <v>14</v>
      </c>
      <c r="N384" s="241" t="s">
        <v>187</v>
      </c>
      <c r="O384" s="241"/>
      <c r="P384" s="243">
        <v>45657</v>
      </c>
      <c r="Q384" s="241"/>
      <c r="R384" s="241" t="s">
        <v>206</v>
      </c>
      <c r="S384" s="241" t="s">
        <v>6863</v>
      </c>
      <c r="T384" s="241" t="s">
        <v>312</v>
      </c>
      <c r="U384" s="241" t="s">
        <v>187</v>
      </c>
      <c r="V384" s="241" t="s">
        <v>73</v>
      </c>
      <c r="W384" s="241" t="s">
        <v>73</v>
      </c>
      <c r="X384" s="241" t="s">
        <v>122</v>
      </c>
      <c r="Y384" s="241" t="s">
        <v>313</v>
      </c>
      <c r="Z384" s="241"/>
      <c r="AA384" s="241"/>
      <c r="AB384" s="241" t="s">
        <v>314</v>
      </c>
      <c r="AC384" s="241" t="s">
        <v>217</v>
      </c>
      <c r="AD384" s="245">
        <v>38519</v>
      </c>
      <c r="AE384" s="241">
        <f t="shared" ca="1" si="42"/>
        <v>20</v>
      </c>
      <c r="AF384" s="246" t="s">
        <v>4388</v>
      </c>
      <c r="AG384" s="241" t="s">
        <v>4389</v>
      </c>
      <c r="AH384" s="246" t="s">
        <v>4390</v>
      </c>
      <c r="AI384" s="246" t="s">
        <v>4390</v>
      </c>
      <c r="AJ384" s="246"/>
      <c r="AK384" s="250" t="s">
        <v>4391</v>
      </c>
      <c r="AL384" s="246" t="s">
        <v>4392</v>
      </c>
      <c r="AM384" s="246" t="s">
        <v>4393</v>
      </c>
      <c r="AN384" s="241" t="s">
        <v>4716</v>
      </c>
      <c r="AO384" s="241"/>
      <c r="AP384" s="241"/>
      <c r="AQ384" s="241"/>
      <c r="AR384" s="241"/>
      <c r="AS384" s="241"/>
      <c r="AT384" s="241" t="s">
        <v>4394</v>
      </c>
      <c r="AU384" s="241" t="s">
        <v>4395</v>
      </c>
      <c r="AV384" s="241"/>
      <c r="AW384" s="241"/>
      <c r="AX384" s="241">
        <f t="shared" si="43"/>
        <v>0</v>
      </c>
      <c r="AY384" s="241" t="str">
        <f t="shared" si="44"/>
        <v>TK/0</v>
      </c>
      <c r="AZ384" s="241"/>
      <c r="BA384" s="241"/>
      <c r="BB384" s="241" t="s">
        <v>161</v>
      </c>
      <c r="BC384" s="241" t="s">
        <v>349</v>
      </c>
      <c r="BD384" s="241" t="s">
        <v>91</v>
      </c>
      <c r="BE384" s="241" t="s">
        <v>516</v>
      </c>
      <c r="BF384" s="241">
        <v>2024</v>
      </c>
      <c r="BG384" s="241" t="s">
        <v>349</v>
      </c>
      <c r="BH384" s="241" t="s">
        <v>91</v>
      </c>
      <c r="BI384" s="241" t="s">
        <v>516</v>
      </c>
      <c r="BJ384" s="241">
        <v>2024</v>
      </c>
      <c r="BK384" s="241"/>
      <c r="BL384" s="241"/>
      <c r="BM384" s="241" t="s">
        <v>351</v>
      </c>
      <c r="BN384" s="241" t="s">
        <v>339</v>
      </c>
      <c r="BO384" s="241">
        <v>41</v>
      </c>
      <c r="BP384" s="241"/>
      <c r="BQ384" s="241"/>
      <c r="BR384" s="241"/>
      <c r="BS384" s="241"/>
      <c r="BT384" s="241"/>
      <c r="BU384" s="241"/>
      <c r="BV384" s="241"/>
      <c r="BW384" s="241"/>
      <c r="BX384" s="241"/>
      <c r="BY384" s="241"/>
      <c r="BZ384" s="241"/>
      <c r="CA384" s="241"/>
      <c r="CB384" s="241"/>
      <c r="CC384" s="241"/>
      <c r="CD384" s="241"/>
      <c r="CE384" s="241"/>
      <c r="CF384" s="13"/>
      <c r="CG384" s="13"/>
      <c r="CH384" s="13"/>
    </row>
    <row r="385" spans="1:86" ht="11.25" customHeight="1" x14ac:dyDescent="0.2">
      <c r="A385" s="13"/>
      <c r="B385" s="238">
        <v>381</v>
      </c>
      <c r="C385" s="241" t="e">
        <f t="shared" ca="1" si="48"/>
        <v>#NUM!</v>
      </c>
      <c r="D385" s="323" t="s">
        <v>309</v>
      </c>
      <c r="E385" s="241">
        <v>642409204</v>
      </c>
      <c r="F385" s="254" t="s">
        <v>310</v>
      </c>
      <c r="G385" s="246"/>
      <c r="H385" s="241" t="s">
        <v>217</v>
      </c>
      <c r="I385" s="241" t="s">
        <v>311</v>
      </c>
      <c r="J385" s="242">
        <v>45567</v>
      </c>
      <c r="K385" s="241"/>
      <c r="L385" s="241"/>
      <c r="M385" s="241" t="s">
        <v>14</v>
      </c>
      <c r="N385" s="241" t="s">
        <v>187</v>
      </c>
      <c r="O385" s="241"/>
      <c r="P385" s="243">
        <v>45657</v>
      </c>
      <c r="Q385" s="241"/>
      <c r="R385" s="241" t="s">
        <v>206</v>
      </c>
      <c r="S385" s="241" t="s">
        <v>6863</v>
      </c>
      <c r="T385" s="241" t="s">
        <v>312</v>
      </c>
      <c r="U385" s="241" t="s">
        <v>204</v>
      </c>
      <c r="V385" s="241" t="s">
        <v>7150</v>
      </c>
      <c r="W385" s="241" t="s">
        <v>121</v>
      </c>
      <c r="X385" s="241" t="s">
        <v>121</v>
      </c>
      <c r="Y385" s="241" t="s">
        <v>313</v>
      </c>
      <c r="Z385" s="241"/>
      <c r="AA385" s="255"/>
      <c r="AB385" s="241" t="s">
        <v>314</v>
      </c>
      <c r="AC385" s="241" t="s">
        <v>315</v>
      </c>
      <c r="AD385" s="270">
        <v>34570</v>
      </c>
      <c r="AE385" s="241">
        <f t="shared" ca="1" si="42"/>
        <v>31</v>
      </c>
      <c r="AF385" s="246" t="s">
        <v>316</v>
      </c>
      <c r="AG385" s="241" t="s">
        <v>317</v>
      </c>
      <c r="AH385" s="246" t="s">
        <v>318</v>
      </c>
      <c r="AI385" s="246" t="s">
        <v>319</v>
      </c>
      <c r="AJ385" s="246" t="s">
        <v>319</v>
      </c>
      <c r="AK385" s="271" t="s">
        <v>320</v>
      </c>
      <c r="AL385" s="272" t="s">
        <v>321</v>
      </c>
      <c r="AM385" s="246" t="s">
        <v>322</v>
      </c>
      <c r="AN385" s="241" t="s">
        <v>4716</v>
      </c>
      <c r="AO385" s="241"/>
      <c r="AP385" s="241"/>
      <c r="AQ385" s="241"/>
      <c r="AR385" s="241"/>
      <c r="AS385" s="241"/>
      <c r="AT385" s="273" t="s">
        <v>323</v>
      </c>
      <c r="AU385" s="273" t="s">
        <v>324</v>
      </c>
      <c r="AV385" s="241"/>
      <c r="AW385" s="241"/>
      <c r="AX385" s="241">
        <f t="shared" si="43"/>
        <v>0</v>
      </c>
      <c r="AY385" s="241" t="str">
        <f t="shared" si="44"/>
        <v>TK/0</v>
      </c>
      <c r="AZ385" s="241"/>
      <c r="BA385" s="241"/>
      <c r="BB385" s="273" t="s">
        <v>161</v>
      </c>
      <c r="BC385" s="273" t="s">
        <v>325</v>
      </c>
      <c r="BD385" s="273" t="s">
        <v>326</v>
      </c>
      <c r="BE385" s="273" t="s">
        <v>327</v>
      </c>
      <c r="BF385" s="275">
        <v>2013</v>
      </c>
      <c r="BG385" s="273" t="s">
        <v>325</v>
      </c>
      <c r="BH385" s="273" t="s">
        <v>326</v>
      </c>
      <c r="BI385" s="273" t="s">
        <v>327</v>
      </c>
      <c r="BJ385" s="275">
        <v>2013</v>
      </c>
      <c r="BK385" s="241"/>
      <c r="BL385" s="241"/>
      <c r="BM385" s="273" t="s">
        <v>328</v>
      </c>
      <c r="BN385" s="273" t="s">
        <v>329</v>
      </c>
      <c r="BO385" s="275">
        <v>42</v>
      </c>
      <c r="BP385" s="241"/>
      <c r="BQ385" s="241"/>
      <c r="BR385" s="241"/>
      <c r="BS385" s="241"/>
      <c r="BT385" s="241"/>
      <c r="BU385" s="241"/>
      <c r="BV385" s="241"/>
      <c r="BW385" s="241"/>
      <c r="BX385" s="241"/>
      <c r="BY385" s="241"/>
      <c r="BZ385" s="241"/>
      <c r="CA385" s="241"/>
      <c r="CB385" s="241"/>
      <c r="CC385" s="241"/>
      <c r="CD385" s="241"/>
      <c r="CE385" s="241"/>
      <c r="CF385" s="13"/>
      <c r="CG385" s="13"/>
      <c r="CH385" s="13"/>
    </row>
    <row r="386" spans="1:86" ht="11.25" customHeight="1" x14ac:dyDescent="0.2">
      <c r="A386" s="13"/>
      <c r="B386" s="238">
        <v>382</v>
      </c>
      <c r="C386" s="241" t="e">
        <f t="shared" ca="1" si="48"/>
        <v>#NUM!</v>
      </c>
      <c r="D386" s="323" t="s">
        <v>4396</v>
      </c>
      <c r="E386" s="241">
        <v>642409205</v>
      </c>
      <c r="F386" s="254" t="s">
        <v>4397</v>
      </c>
      <c r="G386" s="246"/>
      <c r="H386" s="241" t="s">
        <v>217</v>
      </c>
      <c r="I386" s="241" t="s">
        <v>217</v>
      </c>
      <c r="J386" s="242">
        <v>45567</v>
      </c>
      <c r="K386" s="241"/>
      <c r="L386" s="241"/>
      <c r="M386" s="241" t="s">
        <v>14</v>
      </c>
      <c r="N386" s="241" t="s">
        <v>187</v>
      </c>
      <c r="O386" s="241"/>
      <c r="P386" s="243">
        <v>45657</v>
      </c>
      <c r="Q386" s="241"/>
      <c r="R386" s="241" t="s">
        <v>206</v>
      </c>
      <c r="S386" s="241" t="s">
        <v>6863</v>
      </c>
      <c r="T386" s="241" t="s">
        <v>312</v>
      </c>
      <c r="U386" s="241"/>
      <c r="V386" s="321"/>
      <c r="W386" s="321"/>
      <c r="X386" s="321" t="s">
        <v>121</v>
      </c>
      <c r="Y386" s="321" t="s">
        <v>313</v>
      </c>
      <c r="Z386" s="241"/>
      <c r="AA386" s="255"/>
      <c r="AB386" s="241" t="s">
        <v>314</v>
      </c>
      <c r="AC386" s="241" t="s">
        <v>217</v>
      </c>
      <c r="AD386" s="245">
        <v>37252</v>
      </c>
      <c r="AE386" s="241">
        <f t="shared" ca="1" si="42"/>
        <v>23</v>
      </c>
      <c r="AF386" s="246" t="s">
        <v>4398</v>
      </c>
      <c r="AG386" s="241" t="s">
        <v>4399</v>
      </c>
      <c r="AH386" s="246" t="s">
        <v>4400</v>
      </c>
      <c r="AI386" s="246" t="s">
        <v>4401</v>
      </c>
      <c r="AJ386" s="246" t="s">
        <v>4401</v>
      </c>
      <c r="AK386" s="241" t="s">
        <v>4402</v>
      </c>
      <c r="AL386" s="246" t="s">
        <v>4403</v>
      </c>
      <c r="AM386" s="246" t="s">
        <v>4404</v>
      </c>
      <c r="AN386" s="241" t="s">
        <v>4716</v>
      </c>
      <c r="AO386" s="241"/>
      <c r="AP386" s="241"/>
      <c r="AQ386" s="241"/>
      <c r="AR386" s="241"/>
      <c r="AS386" s="241"/>
      <c r="AT386" s="241"/>
      <c r="AU386" s="241" t="s">
        <v>6751</v>
      </c>
      <c r="AV386" s="241"/>
      <c r="AW386" s="241"/>
      <c r="AX386" s="241">
        <f t="shared" si="43"/>
        <v>0</v>
      </c>
      <c r="AY386" s="241" t="str">
        <f t="shared" si="44"/>
        <v>TK/0</v>
      </c>
      <c r="AZ386" s="241"/>
      <c r="BA386" s="241"/>
      <c r="BB386" s="250" t="s">
        <v>161</v>
      </c>
      <c r="BC386" s="250" t="s">
        <v>349</v>
      </c>
      <c r="BD386" s="241" t="s">
        <v>515</v>
      </c>
      <c r="BE386" s="241" t="s">
        <v>4405</v>
      </c>
      <c r="BF386" s="241">
        <v>2019</v>
      </c>
      <c r="BG386" s="250" t="s">
        <v>349</v>
      </c>
      <c r="BH386" s="241" t="s">
        <v>515</v>
      </c>
      <c r="BI386" s="241" t="s">
        <v>4405</v>
      </c>
      <c r="BJ386" s="241">
        <v>2019</v>
      </c>
      <c r="BK386" s="241"/>
      <c r="BL386" s="241"/>
      <c r="BM386" s="241" t="s">
        <v>351</v>
      </c>
      <c r="BN386" s="241" t="s">
        <v>351</v>
      </c>
      <c r="BO386" s="241">
        <v>41</v>
      </c>
      <c r="BP386" s="241"/>
      <c r="BQ386" s="241"/>
      <c r="BR386" s="241"/>
      <c r="BS386" s="241"/>
      <c r="BT386" s="241"/>
      <c r="BU386" s="241"/>
      <c r="BV386" s="241"/>
      <c r="BW386" s="241"/>
      <c r="BX386" s="241"/>
      <c r="BY386" s="241"/>
      <c r="BZ386" s="241"/>
      <c r="CA386" s="241"/>
      <c r="CB386" s="241"/>
      <c r="CC386" s="241"/>
      <c r="CD386" s="241"/>
      <c r="CE386" s="241"/>
      <c r="CF386" s="13"/>
      <c r="CG386" s="13"/>
      <c r="CH386" s="13"/>
    </row>
    <row r="387" spans="1:86" ht="11.25" customHeight="1" x14ac:dyDescent="0.2">
      <c r="A387" s="13"/>
      <c r="B387" s="238">
        <v>383</v>
      </c>
      <c r="C387" s="241" t="e">
        <f t="shared" ca="1" si="48"/>
        <v>#NUM!</v>
      </c>
      <c r="D387" s="323" t="s">
        <v>4406</v>
      </c>
      <c r="E387" s="241">
        <v>642409207</v>
      </c>
      <c r="F387" s="254" t="s">
        <v>4407</v>
      </c>
      <c r="G387" s="246"/>
      <c r="H387" s="241" t="s">
        <v>217</v>
      </c>
      <c r="I387" s="241" t="s">
        <v>217</v>
      </c>
      <c r="J387" s="242">
        <v>45567</v>
      </c>
      <c r="K387" s="241"/>
      <c r="L387" s="241"/>
      <c r="M387" s="241" t="s">
        <v>14</v>
      </c>
      <c r="N387" s="241" t="s">
        <v>187</v>
      </c>
      <c r="O387" s="241"/>
      <c r="P387" s="243">
        <v>45657</v>
      </c>
      <c r="Q387" s="241"/>
      <c r="R387" s="241" t="s">
        <v>206</v>
      </c>
      <c r="S387" s="241" t="s">
        <v>6863</v>
      </c>
      <c r="T387" s="241" t="s">
        <v>312</v>
      </c>
      <c r="U387" s="241" t="s">
        <v>23</v>
      </c>
      <c r="V387" s="241" t="s">
        <v>7135</v>
      </c>
      <c r="W387" s="241" t="s">
        <v>51</v>
      </c>
      <c r="X387" s="241" t="s">
        <v>121</v>
      </c>
      <c r="Y387" s="241" t="s">
        <v>313</v>
      </c>
      <c r="Z387" s="241"/>
      <c r="AA387" s="255"/>
      <c r="AB387" s="241" t="s">
        <v>314</v>
      </c>
      <c r="AC387" s="241" t="s">
        <v>217</v>
      </c>
      <c r="AD387" s="245">
        <v>34912</v>
      </c>
      <c r="AE387" s="241">
        <f t="shared" ca="1" si="42"/>
        <v>30</v>
      </c>
      <c r="AF387" s="246" t="s">
        <v>4408</v>
      </c>
      <c r="AG387" s="241" t="s">
        <v>4409</v>
      </c>
      <c r="AH387" s="246" t="s">
        <v>4410</v>
      </c>
      <c r="AI387" s="246" t="s">
        <v>4411</v>
      </c>
      <c r="AJ387" s="246" t="s">
        <v>4411</v>
      </c>
      <c r="AK387" s="241" t="s">
        <v>4412</v>
      </c>
      <c r="AL387" s="272" t="s">
        <v>4413</v>
      </c>
      <c r="AM387" s="246" t="s">
        <v>4414</v>
      </c>
      <c r="AN387" s="241" t="s">
        <v>4716</v>
      </c>
      <c r="AO387" s="241"/>
      <c r="AP387" s="241"/>
      <c r="AQ387" s="241"/>
      <c r="AR387" s="241"/>
      <c r="AS387" s="241"/>
      <c r="AT387" s="241" t="s">
        <v>4415</v>
      </c>
      <c r="AU387" s="241" t="s">
        <v>4416</v>
      </c>
      <c r="AV387" s="241"/>
      <c r="AW387" s="241"/>
      <c r="AX387" s="241">
        <f t="shared" si="43"/>
        <v>0</v>
      </c>
      <c r="AY387" s="241" t="str">
        <f t="shared" si="44"/>
        <v>TK/0</v>
      </c>
      <c r="AZ387" s="241"/>
      <c r="BA387" s="241"/>
      <c r="BB387" s="250" t="s">
        <v>161</v>
      </c>
      <c r="BC387" s="250" t="s">
        <v>349</v>
      </c>
      <c r="BD387" s="241" t="s">
        <v>91</v>
      </c>
      <c r="BE387" s="241" t="s">
        <v>4417</v>
      </c>
      <c r="BF387" s="241">
        <v>2013</v>
      </c>
      <c r="BG387" s="250" t="s">
        <v>349</v>
      </c>
      <c r="BH387" s="241" t="s">
        <v>91</v>
      </c>
      <c r="BI387" s="241" t="s">
        <v>4417</v>
      </c>
      <c r="BJ387" s="241">
        <v>2013</v>
      </c>
      <c r="BK387" s="241"/>
      <c r="BL387" s="241"/>
      <c r="BM387" s="241" t="s">
        <v>617</v>
      </c>
      <c r="BN387" s="241" t="s">
        <v>4418</v>
      </c>
      <c r="BO387" s="241">
        <v>40</v>
      </c>
      <c r="BP387" s="241"/>
      <c r="BQ387" s="241"/>
      <c r="BR387" s="241"/>
      <c r="BS387" s="241"/>
      <c r="BT387" s="241"/>
      <c r="BU387" s="241"/>
      <c r="BV387" s="241"/>
      <c r="BW387" s="241"/>
      <c r="BX387" s="241"/>
      <c r="BY387" s="241"/>
      <c r="BZ387" s="241"/>
      <c r="CA387" s="241"/>
      <c r="CB387" s="241"/>
      <c r="CC387" s="241"/>
      <c r="CD387" s="241"/>
      <c r="CE387" s="241"/>
      <c r="CF387" s="13"/>
      <c r="CG387" s="13"/>
      <c r="CH387" s="13"/>
    </row>
    <row r="388" spans="1:86" ht="11.25" customHeight="1" x14ac:dyDescent="0.2">
      <c r="A388" s="13"/>
      <c r="B388" s="238">
        <v>384</v>
      </c>
      <c r="C388" s="241" t="e">
        <f t="shared" ca="1" si="48"/>
        <v>#NUM!</v>
      </c>
      <c r="D388" s="323" t="s">
        <v>4419</v>
      </c>
      <c r="E388" s="241">
        <v>642409208</v>
      </c>
      <c r="F388" s="254" t="s">
        <v>4420</v>
      </c>
      <c r="G388" s="246"/>
      <c r="H388" s="241" t="s">
        <v>217</v>
      </c>
      <c r="I388" s="241" t="s">
        <v>311</v>
      </c>
      <c r="J388" s="242">
        <v>45567</v>
      </c>
      <c r="K388" s="241"/>
      <c r="L388" s="241"/>
      <c r="M388" s="241" t="s">
        <v>14</v>
      </c>
      <c r="N388" s="241" t="s">
        <v>187</v>
      </c>
      <c r="O388" s="241"/>
      <c r="P388" s="243">
        <v>45657</v>
      </c>
      <c r="Q388" s="241"/>
      <c r="R388" s="241" t="s">
        <v>206</v>
      </c>
      <c r="S388" s="241" t="s">
        <v>6863</v>
      </c>
      <c r="T388" s="241" t="s">
        <v>312</v>
      </c>
      <c r="U388" s="241" t="s">
        <v>24</v>
      </c>
      <c r="V388" s="241" t="s">
        <v>204</v>
      </c>
      <c r="W388" s="241" t="s">
        <v>6183</v>
      </c>
      <c r="X388" s="241" t="s">
        <v>121</v>
      </c>
      <c r="Y388" s="241" t="s">
        <v>313</v>
      </c>
      <c r="Z388" s="241"/>
      <c r="AA388" s="255"/>
      <c r="AB388" s="241" t="s">
        <v>314</v>
      </c>
      <c r="AC388" s="241" t="s">
        <v>311</v>
      </c>
      <c r="AD388" s="245">
        <v>35988</v>
      </c>
      <c r="AE388" s="241">
        <f t="shared" ca="1" si="42"/>
        <v>27</v>
      </c>
      <c r="AF388" s="246" t="s">
        <v>4421</v>
      </c>
      <c r="AG388" s="241" t="s">
        <v>4422</v>
      </c>
      <c r="AH388" s="246" t="s">
        <v>4423</v>
      </c>
      <c r="AI388" s="246" t="s">
        <v>4424</v>
      </c>
      <c r="AJ388" s="246" t="s">
        <v>4424</v>
      </c>
      <c r="AK388" s="241" t="s">
        <v>4425</v>
      </c>
      <c r="AL388" s="246" t="s">
        <v>4426</v>
      </c>
      <c r="AM388" s="246" t="s">
        <v>4427</v>
      </c>
      <c r="AN388" s="241" t="s">
        <v>4716</v>
      </c>
      <c r="AO388" s="241"/>
      <c r="AP388" s="241"/>
      <c r="AQ388" s="241"/>
      <c r="AR388" s="241"/>
      <c r="AS388" s="241"/>
      <c r="AT388" s="241" t="s">
        <v>6752</v>
      </c>
      <c r="AU388" s="241" t="s">
        <v>899</v>
      </c>
      <c r="AV388" s="241"/>
      <c r="AW388" s="241"/>
      <c r="AX388" s="241">
        <f t="shared" si="43"/>
        <v>0</v>
      </c>
      <c r="AY388" s="241" t="str">
        <f t="shared" si="44"/>
        <v>TK/0</v>
      </c>
      <c r="AZ388" s="241"/>
      <c r="BA388" s="241" t="s">
        <v>4428</v>
      </c>
      <c r="BB388" s="250" t="s">
        <v>161</v>
      </c>
      <c r="BC388" s="250" t="s">
        <v>349</v>
      </c>
      <c r="BD388" s="241" t="s">
        <v>91</v>
      </c>
      <c r="BE388" s="241" t="s">
        <v>1762</v>
      </c>
      <c r="BF388" s="241">
        <v>2016</v>
      </c>
      <c r="BG388" s="250" t="s">
        <v>349</v>
      </c>
      <c r="BH388" s="241" t="s">
        <v>91</v>
      </c>
      <c r="BI388" s="241" t="s">
        <v>1762</v>
      </c>
      <c r="BJ388" s="241">
        <v>2016</v>
      </c>
      <c r="BK388" s="241"/>
      <c r="BL388" s="241"/>
      <c r="BM388" s="241" t="s">
        <v>360</v>
      </c>
      <c r="BN388" s="241" t="s">
        <v>360</v>
      </c>
      <c r="BO388" s="241">
        <v>40</v>
      </c>
      <c r="BP388" s="241"/>
      <c r="BQ388" s="241"/>
      <c r="BR388" s="241"/>
      <c r="BS388" s="241"/>
      <c r="BT388" s="241"/>
      <c r="BU388" s="241"/>
      <c r="BV388" s="241"/>
      <c r="BW388" s="241"/>
      <c r="BX388" s="241"/>
      <c r="BY388" s="241"/>
      <c r="BZ388" s="241"/>
      <c r="CA388" s="241"/>
      <c r="CB388" s="241"/>
      <c r="CC388" s="241"/>
      <c r="CD388" s="241"/>
      <c r="CE388" s="241"/>
      <c r="CF388" s="13"/>
      <c r="CG388" s="13"/>
      <c r="CH388" s="13"/>
    </row>
    <row r="389" spans="1:86" ht="11.25" customHeight="1" x14ac:dyDescent="0.2">
      <c r="A389" s="13"/>
      <c r="B389" s="238">
        <v>385</v>
      </c>
      <c r="C389" s="241" t="e">
        <f t="shared" ca="1" si="48"/>
        <v>#NUM!</v>
      </c>
      <c r="D389" s="323" t="s">
        <v>4429</v>
      </c>
      <c r="E389" s="241">
        <v>642409209</v>
      </c>
      <c r="F389" s="254" t="s">
        <v>4430</v>
      </c>
      <c r="G389" s="246"/>
      <c r="H389" s="241" t="s">
        <v>217</v>
      </c>
      <c r="I389" s="241" t="s">
        <v>1779</v>
      </c>
      <c r="J389" s="242">
        <v>45567</v>
      </c>
      <c r="K389" s="241"/>
      <c r="L389" s="241"/>
      <c r="M389" s="241" t="s">
        <v>14</v>
      </c>
      <c r="N389" s="241" t="s">
        <v>187</v>
      </c>
      <c r="O389" s="241"/>
      <c r="P389" s="243">
        <v>45657</v>
      </c>
      <c r="Q389" s="241"/>
      <c r="R389" s="241" t="s">
        <v>206</v>
      </c>
      <c r="S389" s="241" t="s">
        <v>6863</v>
      </c>
      <c r="T389" s="241" t="s">
        <v>312</v>
      </c>
      <c r="U389" s="241" t="s">
        <v>33</v>
      </c>
      <c r="V389" s="241" t="s">
        <v>204</v>
      </c>
      <c r="W389" s="241" t="s">
        <v>6183</v>
      </c>
      <c r="X389" s="241" t="s">
        <v>121</v>
      </c>
      <c r="Y389" s="241" t="s">
        <v>313</v>
      </c>
      <c r="Z389" s="241"/>
      <c r="AA389" s="255"/>
      <c r="AB389" s="241" t="s">
        <v>314</v>
      </c>
      <c r="AC389" s="241" t="s">
        <v>1511</v>
      </c>
      <c r="AD389" s="245">
        <v>35592</v>
      </c>
      <c r="AE389" s="241">
        <f t="shared" ref="AE389:AE439" ca="1" si="49">DATEDIF(AD389,$E$3,"y")</f>
        <v>28</v>
      </c>
      <c r="AF389" s="246" t="s">
        <v>4431</v>
      </c>
      <c r="AG389" s="241" t="s">
        <v>4432</v>
      </c>
      <c r="AH389" s="246" t="s">
        <v>4433</v>
      </c>
      <c r="AI389" s="246" t="s">
        <v>4434</v>
      </c>
      <c r="AJ389" s="246" t="s">
        <v>4434</v>
      </c>
      <c r="AK389" s="241" t="s">
        <v>4435</v>
      </c>
      <c r="AL389" s="240" t="s">
        <v>4436</v>
      </c>
      <c r="AM389" s="240" t="s">
        <v>4437</v>
      </c>
      <c r="AN389" s="241" t="s">
        <v>4716</v>
      </c>
      <c r="AO389" s="241"/>
      <c r="AP389" s="241"/>
      <c r="AQ389" s="241"/>
      <c r="AR389" s="241"/>
      <c r="AS389" s="241"/>
      <c r="AT389" s="241" t="s">
        <v>4438</v>
      </c>
      <c r="AU389" s="241" t="s">
        <v>4439</v>
      </c>
      <c r="AV389" s="241"/>
      <c r="AW389" s="241"/>
      <c r="AX389" s="241">
        <f t="shared" ref="AX389:AX417" si="50">COUNTA(AP389:AS389)</f>
        <v>0</v>
      </c>
      <c r="AY389" s="241" t="str">
        <f t="shared" ref="AY389:AY417" si="51">IF(AN389="Menikah","K","TK")&amp;"/"&amp;AX389</f>
        <v>TK/0</v>
      </c>
      <c r="AZ389" s="301"/>
      <c r="BA389" s="241"/>
      <c r="BB389" s="250" t="s">
        <v>161</v>
      </c>
      <c r="BC389" s="250" t="s">
        <v>349</v>
      </c>
      <c r="BD389" s="241" t="s">
        <v>4360</v>
      </c>
      <c r="BE389" s="241" t="s">
        <v>1793</v>
      </c>
      <c r="BF389" s="241">
        <v>2016</v>
      </c>
      <c r="BG389" s="250" t="s">
        <v>349</v>
      </c>
      <c r="BH389" s="241" t="s">
        <v>4360</v>
      </c>
      <c r="BI389" s="241" t="s">
        <v>1793</v>
      </c>
      <c r="BJ389" s="241">
        <v>2016</v>
      </c>
      <c r="BK389" s="241"/>
      <c r="BL389" s="241"/>
      <c r="BM389" s="241" t="s">
        <v>351</v>
      </c>
      <c r="BN389" s="241" t="s">
        <v>351</v>
      </c>
      <c r="BO389" s="241">
        <v>40</v>
      </c>
      <c r="BP389" s="241"/>
      <c r="BQ389" s="241"/>
      <c r="BR389" s="241"/>
      <c r="BS389" s="241"/>
      <c r="BT389" s="241"/>
      <c r="BU389" s="241"/>
      <c r="BV389" s="241"/>
      <c r="BW389" s="241"/>
      <c r="BX389" s="241"/>
      <c r="BY389" s="241"/>
      <c r="BZ389" s="241"/>
      <c r="CA389" s="241"/>
      <c r="CB389" s="241"/>
      <c r="CC389" s="241"/>
      <c r="CD389" s="241"/>
      <c r="CE389" s="241"/>
      <c r="CF389" s="13"/>
      <c r="CG389" s="13"/>
      <c r="CH389" s="13"/>
    </row>
    <row r="390" spans="1:86" ht="11.25" customHeight="1" x14ac:dyDescent="0.2">
      <c r="A390" s="13"/>
      <c r="B390" s="238">
        <v>386</v>
      </c>
      <c r="C390" s="241" t="e">
        <f t="shared" ca="1" si="48"/>
        <v>#NUM!</v>
      </c>
      <c r="D390" s="323" t="s">
        <v>4440</v>
      </c>
      <c r="E390" s="241">
        <v>642409211</v>
      </c>
      <c r="F390" s="254" t="s">
        <v>4441</v>
      </c>
      <c r="G390" s="246"/>
      <c r="H390" s="241" t="s">
        <v>217</v>
      </c>
      <c r="I390" s="241" t="s">
        <v>217</v>
      </c>
      <c r="J390" s="242">
        <v>45567</v>
      </c>
      <c r="K390" s="241"/>
      <c r="L390" s="241"/>
      <c r="M390" s="241" t="s">
        <v>14</v>
      </c>
      <c r="N390" s="241" t="s">
        <v>187</v>
      </c>
      <c r="O390" s="241"/>
      <c r="P390" s="243">
        <v>45657</v>
      </c>
      <c r="Q390" s="241"/>
      <c r="R390" s="241" t="s">
        <v>206</v>
      </c>
      <c r="S390" s="241" t="s">
        <v>6863</v>
      </c>
      <c r="T390" s="241" t="s">
        <v>312</v>
      </c>
      <c r="U390" s="241"/>
      <c r="V390" s="321"/>
      <c r="W390" s="321"/>
      <c r="X390" s="321" t="s">
        <v>121</v>
      </c>
      <c r="Y390" s="321" t="s">
        <v>313</v>
      </c>
      <c r="Z390" s="241"/>
      <c r="AA390" s="255"/>
      <c r="AB390" s="241" t="s">
        <v>314</v>
      </c>
      <c r="AC390" s="241" t="s">
        <v>4442</v>
      </c>
      <c r="AD390" s="245">
        <v>33805</v>
      </c>
      <c r="AE390" s="241">
        <f t="shared" ca="1" si="49"/>
        <v>33</v>
      </c>
      <c r="AF390" s="246" t="s">
        <v>4443</v>
      </c>
      <c r="AG390" s="253" t="s">
        <v>4444</v>
      </c>
      <c r="AH390" s="246" t="s">
        <v>4445</v>
      </c>
      <c r="AI390" s="246" t="s">
        <v>4446</v>
      </c>
      <c r="AJ390" s="246" t="s">
        <v>4446</v>
      </c>
      <c r="AK390" s="241" t="s">
        <v>4447</v>
      </c>
      <c r="AL390" s="246" t="s">
        <v>4448</v>
      </c>
      <c r="AM390" s="246" t="s">
        <v>4449</v>
      </c>
      <c r="AN390" s="241" t="s">
        <v>4733</v>
      </c>
      <c r="AO390" s="241" t="s">
        <v>4450</v>
      </c>
      <c r="AP390" s="241" t="s">
        <v>4451</v>
      </c>
      <c r="AQ390" s="241"/>
      <c r="AR390" s="241"/>
      <c r="AS390" s="241"/>
      <c r="AT390" s="241" t="s">
        <v>4452</v>
      </c>
      <c r="AU390" s="241" t="s">
        <v>4453</v>
      </c>
      <c r="AV390" s="241" t="s">
        <v>4454</v>
      </c>
      <c r="AW390" s="241" t="s">
        <v>4455</v>
      </c>
      <c r="AX390" s="241">
        <f t="shared" si="50"/>
        <v>1</v>
      </c>
      <c r="AY390" s="241" t="str">
        <f t="shared" si="51"/>
        <v>K/1</v>
      </c>
      <c r="AZ390" s="239"/>
      <c r="BA390" s="241" t="s">
        <v>4456</v>
      </c>
      <c r="BB390" s="250" t="s">
        <v>161</v>
      </c>
      <c r="BC390" s="250" t="s">
        <v>349</v>
      </c>
      <c r="BD390" s="241" t="s">
        <v>515</v>
      </c>
      <c r="BE390" s="241" t="s">
        <v>350</v>
      </c>
      <c r="BF390" s="241">
        <v>2010</v>
      </c>
      <c r="BG390" s="250" t="s">
        <v>349</v>
      </c>
      <c r="BH390" s="241" t="s">
        <v>515</v>
      </c>
      <c r="BI390" s="241" t="s">
        <v>350</v>
      </c>
      <c r="BJ390" s="241">
        <v>2010</v>
      </c>
      <c r="BK390" s="241"/>
      <c r="BL390" s="241"/>
      <c r="BM390" s="241" t="s">
        <v>617</v>
      </c>
      <c r="BN390" s="241" t="s">
        <v>360</v>
      </c>
      <c r="BO390" s="241">
        <v>41</v>
      </c>
      <c r="BP390" s="241"/>
      <c r="BQ390" s="241"/>
      <c r="BR390" s="241"/>
      <c r="BS390" s="241"/>
      <c r="BT390" s="241"/>
      <c r="BU390" s="241"/>
      <c r="BV390" s="241"/>
      <c r="BW390" s="241"/>
      <c r="BX390" s="241"/>
      <c r="BY390" s="241"/>
      <c r="BZ390" s="241"/>
      <c r="CA390" s="241"/>
      <c r="CB390" s="241"/>
      <c r="CC390" s="241"/>
      <c r="CD390" s="241"/>
      <c r="CE390" s="241"/>
      <c r="CF390" s="13"/>
      <c r="CG390" s="13"/>
      <c r="CH390" s="13"/>
    </row>
    <row r="391" spans="1:86" ht="11.25" customHeight="1" x14ac:dyDescent="0.2">
      <c r="A391" s="13"/>
      <c r="B391" s="238">
        <v>387</v>
      </c>
      <c r="C391" s="241" t="e">
        <f t="shared" ca="1" si="48"/>
        <v>#NUM!</v>
      </c>
      <c r="D391" s="323" t="s">
        <v>4457</v>
      </c>
      <c r="E391" s="241">
        <v>642409210</v>
      </c>
      <c r="F391" s="254" t="s">
        <v>4458</v>
      </c>
      <c r="G391" s="246"/>
      <c r="H391" s="241" t="s">
        <v>217</v>
      </c>
      <c r="I391" s="241" t="s">
        <v>217</v>
      </c>
      <c r="J391" s="242">
        <v>45567</v>
      </c>
      <c r="K391" s="241"/>
      <c r="L391" s="241"/>
      <c r="M391" s="241" t="s">
        <v>14</v>
      </c>
      <c r="N391" s="241" t="s">
        <v>187</v>
      </c>
      <c r="O391" s="241"/>
      <c r="P391" s="243">
        <v>45657</v>
      </c>
      <c r="Q391" s="241"/>
      <c r="R391" s="241" t="s">
        <v>206</v>
      </c>
      <c r="S391" s="241" t="s">
        <v>6863</v>
      </c>
      <c r="T391" s="241" t="s">
        <v>312</v>
      </c>
      <c r="U391" s="241" t="s">
        <v>204</v>
      </c>
      <c r="V391" s="241" t="s">
        <v>7150</v>
      </c>
      <c r="W391" s="241" t="s">
        <v>121</v>
      </c>
      <c r="X391" s="241" t="s">
        <v>121</v>
      </c>
      <c r="Y391" s="241" t="s">
        <v>313</v>
      </c>
      <c r="Z391" s="241"/>
      <c r="AA391" s="255"/>
      <c r="AB391" s="241" t="s">
        <v>314</v>
      </c>
      <c r="AC391" s="241" t="s">
        <v>311</v>
      </c>
      <c r="AD391" s="245">
        <v>35700</v>
      </c>
      <c r="AE391" s="241">
        <f t="shared" ca="1" si="49"/>
        <v>28</v>
      </c>
      <c r="AF391" s="246" t="s">
        <v>4459</v>
      </c>
      <c r="AG391" s="279" t="s">
        <v>4460</v>
      </c>
      <c r="AH391" s="246" t="s">
        <v>4461</v>
      </c>
      <c r="AI391" s="246" t="s">
        <v>4462</v>
      </c>
      <c r="AJ391" s="246" t="s">
        <v>4462</v>
      </c>
      <c r="AK391" s="241" t="s">
        <v>4463</v>
      </c>
      <c r="AL391" s="246" t="s">
        <v>4464</v>
      </c>
      <c r="AM391" s="246" t="s">
        <v>4465</v>
      </c>
      <c r="AN391" s="241" t="s">
        <v>4733</v>
      </c>
      <c r="AO391" s="241" t="s">
        <v>4466</v>
      </c>
      <c r="AP391" s="241" t="s">
        <v>4467</v>
      </c>
      <c r="AQ391" s="241"/>
      <c r="AR391" s="241"/>
      <c r="AS391" s="241"/>
      <c r="AT391" s="241" t="s">
        <v>4468</v>
      </c>
      <c r="AU391" s="241" t="s">
        <v>4469</v>
      </c>
      <c r="AV391" s="241" t="s">
        <v>4470</v>
      </c>
      <c r="AW391" s="241" t="s">
        <v>4471</v>
      </c>
      <c r="AX391" s="241">
        <f t="shared" si="50"/>
        <v>1</v>
      </c>
      <c r="AY391" s="241" t="str">
        <f t="shared" si="51"/>
        <v>K/1</v>
      </c>
      <c r="AZ391" s="239"/>
      <c r="BA391" s="241"/>
      <c r="BB391" s="250" t="s">
        <v>161</v>
      </c>
      <c r="BC391" s="250" t="s">
        <v>349</v>
      </c>
      <c r="BD391" s="241" t="s">
        <v>4386</v>
      </c>
      <c r="BE391" s="241" t="s">
        <v>1292</v>
      </c>
      <c r="BF391" s="241">
        <v>2016</v>
      </c>
      <c r="BG391" s="250" t="s">
        <v>349</v>
      </c>
      <c r="BH391" s="241" t="s">
        <v>4386</v>
      </c>
      <c r="BI391" s="241" t="s">
        <v>1292</v>
      </c>
      <c r="BJ391" s="241">
        <v>2016</v>
      </c>
      <c r="BK391" s="241"/>
      <c r="BL391" s="241"/>
      <c r="BM391" s="241" t="s">
        <v>4472</v>
      </c>
      <c r="BN391" s="241" t="s">
        <v>4473</v>
      </c>
      <c r="BO391" s="241">
        <v>45</v>
      </c>
      <c r="BP391" s="241"/>
      <c r="BQ391" s="241"/>
      <c r="BR391" s="241"/>
      <c r="BS391" s="241"/>
      <c r="BT391" s="241"/>
      <c r="BU391" s="241"/>
      <c r="BV391" s="241"/>
      <c r="BW391" s="241"/>
      <c r="BX391" s="241"/>
      <c r="BY391" s="241"/>
      <c r="BZ391" s="241"/>
      <c r="CA391" s="241"/>
      <c r="CB391" s="241"/>
      <c r="CC391" s="241"/>
      <c r="CD391" s="241"/>
      <c r="CE391" s="241"/>
      <c r="CF391" s="13"/>
      <c r="CG391" s="13"/>
      <c r="CH391" s="13"/>
    </row>
    <row r="392" spans="1:86" ht="11.25" customHeight="1" x14ac:dyDescent="0.2">
      <c r="A392" s="13"/>
      <c r="B392" s="238">
        <v>388</v>
      </c>
      <c r="C392" s="241" t="e">
        <f t="shared" ca="1" si="48"/>
        <v>#NUM!</v>
      </c>
      <c r="D392" s="323" t="s">
        <v>4474</v>
      </c>
      <c r="E392" s="241">
        <v>642409212</v>
      </c>
      <c r="F392" s="254" t="s">
        <v>4475</v>
      </c>
      <c r="G392" s="246"/>
      <c r="H392" s="241" t="s">
        <v>217</v>
      </c>
      <c r="I392" s="241" t="s">
        <v>311</v>
      </c>
      <c r="J392" s="242">
        <v>45567</v>
      </c>
      <c r="K392" s="241"/>
      <c r="L392" s="241"/>
      <c r="M392" s="241" t="s">
        <v>14</v>
      </c>
      <c r="N392" s="241" t="s">
        <v>187</v>
      </c>
      <c r="O392" s="241"/>
      <c r="P392" s="243">
        <v>45657</v>
      </c>
      <c r="Q392" s="241"/>
      <c r="R392" s="241" t="s">
        <v>206</v>
      </c>
      <c r="S392" s="241" t="s">
        <v>6863</v>
      </c>
      <c r="T392" s="241" t="s">
        <v>312</v>
      </c>
      <c r="U392" s="241"/>
      <c r="V392" s="321"/>
      <c r="W392" s="321"/>
      <c r="X392" s="321" t="s">
        <v>121</v>
      </c>
      <c r="Y392" s="321" t="s">
        <v>313</v>
      </c>
      <c r="Z392" s="241"/>
      <c r="AA392" s="255"/>
      <c r="AB392" s="241" t="s">
        <v>314</v>
      </c>
      <c r="AC392" s="241" t="s">
        <v>217</v>
      </c>
      <c r="AD392" s="245">
        <v>32184</v>
      </c>
      <c r="AE392" s="241">
        <f t="shared" ca="1" si="49"/>
        <v>37</v>
      </c>
      <c r="AF392" s="246" t="s">
        <v>4476</v>
      </c>
      <c r="AG392" s="253" t="s">
        <v>4477</v>
      </c>
      <c r="AH392" s="246" t="s">
        <v>4478</v>
      </c>
      <c r="AI392" s="246" t="s">
        <v>4479</v>
      </c>
      <c r="AJ392" s="246" t="s">
        <v>4479</v>
      </c>
      <c r="AK392" s="241" t="s">
        <v>4480</v>
      </c>
      <c r="AL392" s="246" t="s">
        <v>4481</v>
      </c>
      <c r="AM392" s="246" t="s">
        <v>4482</v>
      </c>
      <c r="AN392" s="241" t="s">
        <v>4733</v>
      </c>
      <c r="AO392" s="241" t="s">
        <v>4483</v>
      </c>
      <c r="AP392" s="241"/>
      <c r="AQ392" s="241"/>
      <c r="AR392" s="241"/>
      <c r="AS392" s="241"/>
      <c r="AT392" s="241" t="s">
        <v>4484</v>
      </c>
      <c r="AU392" s="241" t="s">
        <v>4254</v>
      </c>
      <c r="AV392" s="241" t="s">
        <v>4485</v>
      </c>
      <c r="AW392" s="241" t="s">
        <v>4486</v>
      </c>
      <c r="AX392" s="241">
        <f t="shared" si="50"/>
        <v>0</v>
      </c>
      <c r="AY392" s="241" t="str">
        <f t="shared" si="51"/>
        <v>K/0</v>
      </c>
      <c r="AZ392" s="239"/>
      <c r="BA392" s="241" t="s">
        <v>4487</v>
      </c>
      <c r="BB392" s="250" t="s">
        <v>161</v>
      </c>
      <c r="BC392" s="250" t="s">
        <v>349</v>
      </c>
      <c r="BD392" s="241" t="s">
        <v>91</v>
      </c>
      <c r="BE392" s="241" t="s">
        <v>790</v>
      </c>
      <c r="BF392" s="241">
        <v>2006</v>
      </c>
      <c r="BG392" s="250" t="s">
        <v>349</v>
      </c>
      <c r="BH392" s="241" t="s">
        <v>91</v>
      </c>
      <c r="BI392" s="241" t="s">
        <v>790</v>
      </c>
      <c r="BJ392" s="241">
        <v>2006</v>
      </c>
      <c r="BK392" s="241"/>
      <c r="BL392" s="241"/>
      <c r="BM392" s="241" t="s">
        <v>617</v>
      </c>
      <c r="BN392" s="241" t="s">
        <v>351</v>
      </c>
      <c r="BO392" s="241">
        <v>39</v>
      </c>
      <c r="BP392" s="241"/>
      <c r="BQ392" s="241"/>
      <c r="BR392" s="241"/>
      <c r="BS392" s="241"/>
      <c r="BT392" s="241"/>
      <c r="BU392" s="241"/>
      <c r="BV392" s="241"/>
      <c r="BW392" s="241"/>
      <c r="BX392" s="241"/>
      <c r="BY392" s="241"/>
      <c r="BZ392" s="241"/>
      <c r="CA392" s="241"/>
      <c r="CB392" s="241"/>
      <c r="CC392" s="241"/>
      <c r="CD392" s="241"/>
      <c r="CE392" s="241"/>
      <c r="CF392" s="13"/>
      <c r="CG392" s="13"/>
      <c r="CH392" s="13"/>
    </row>
    <row r="393" spans="1:86" ht="11.25" customHeight="1" x14ac:dyDescent="0.2">
      <c r="A393" s="13"/>
      <c r="B393" s="238">
        <v>389</v>
      </c>
      <c r="C393" s="241" t="e">
        <f t="shared" ca="1" si="48"/>
        <v>#NUM!</v>
      </c>
      <c r="D393" s="323" t="s">
        <v>4488</v>
      </c>
      <c r="E393" s="241">
        <v>642409213</v>
      </c>
      <c r="F393" s="254" t="s">
        <v>4489</v>
      </c>
      <c r="G393" s="246"/>
      <c r="H393" s="241" t="s">
        <v>217</v>
      </c>
      <c r="I393" s="241" t="s">
        <v>217</v>
      </c>
      <c r="J393" s="242">
        <v>45567</v>
      </c>
      <c r="K393" s="241"/>
      <c r="L393" s="241"/>
      <c r="M393" s="241" t="s">
        <v>14</v>
      </c>
      <c r="N393" s="241" t="s">
        <v>187</v>
      </c>
      <c r="O393" s="241"/>
      <c r="P393" s="243">
        <v>45657</v>
      </c>
      <c r="Q393" s="241"/>
      <c r="R393" s="241" t="s">
        <v>206</v>
      </c>
      <c r="S393" s="241" t="s">
        <v>6863</v>
      </c>
      <c r="T393" s="241" t="s">
        <v>312</v>
      </c>
      <c r="U393" s="241" t="s">
        <v>24</v>
      </c>
      <c r="V393" s="241" t="s">
        <v>204</v>
      </c>
      <c r="W393" s="241" t="s">
        <v>6183</v>
      </c>
      <c r="X393" s="241" t="s">
        <v>121</v>
      </c>
      <c r="Y393" s="241" t="s">
        <v>313</v>
      </c>
      <c r="Z393" s="241"/>
      <c r="AA393" s="255"/>
      <c r="AB393" s="241" t="s">
        <v>314</v>
      </c>
      <c r="AC393" s="241" t="s">
        <v>217</v>
      </c>
      <c r="AD393" s="245">
        <v>36041</v>
      </c>
      <c r="AE393" s="241">
        <f t="shared" ca="1" si="49"/>
        <v>27</v>
      </c>
      <c r="AF393" s="246" t="s">
        <v>4490</v>
      </c>
      <c r="AG393" s="253" t="s">
        <v>4491</v>
      </c>
      <c r="AH393" s="246" t="s">
        <v>4492</v>
      </c>
      <c r="AI393" s="246" t="s">
        <v>4493</v>
      </c>
      <c r="AJ393" s="246" t="s">
        <v>4493</v>
      </c>
      <c r="AK393" s="241" t="s">
        <v>4494</v>
      </c>
      <c r="AL393" s="280" t="s">
        <v>4495</v>
      </c>
      <c r="AM393" s="280" t="s">
        <v>4496</v>
      </c>
      <c r="AN393" s="241" t="s">
        <v>4733</v>
      </c>
      <c r="AO393" s="241" t="s">
        <v>4497</v>
      </c>
      <c r="AP393" s="241"/>
      <c r="AQ393" s="241"/>
      <c r="AR393" s="241"/>
      <c r="AS393" s="241"/>
      <c r="AT393" s="241" t="s">
        <v>4498</v>
      </c>
      <c r="AU393" s="241" t="s">
        <v>4499</v>
      </c>
      <c r="AV393" s="241" t="s">
        <v>4500</v>
      </c>
      <c r="AW393" s="241" t="s">
        <v>4501</v>
      </c>
      <c r="AX393" s="241">
        <f t="shared" si="50"/>
        <v>0</v>
      </c>
      <c r="AY393" s="241" t="str">
        <f t="shared" si="51"/>
        <v>K/0</v>
      </c>
      <c r="AZ393" s="239"/>
      <c r="BA393" s="241"/>
      <c r="BB393" s="250" t="s">
        <v>161</v>
      </c>
      <c r="BC393" s="250" t="s">
        <v>349</v>
      </c>
      <c r="BD393" s="241" t="s">
        <v>4502</v>
      </c>
      <c r="BE393" s="241" t="s">
        <v>516</v>
      </c>
      <c r="BF393" s="241">
        <v>2017</v>
      </c>
      <c r="BG393" s="250" t="s">
        <v>349</v>
      </c>
      <c r="BH393" s="241" t="s">
        <v>4502</v>
      </c>
      <c r="BI393" s="241" t="s">
        <v>516</v>
      </c>
      <c r="BJ393" s="241">
        <v>2017</v>
      </c>
      <c r="BK393" s="241"/>
      <c r="BL393" s="241"/>
      <c r="BM393" s="241" t="s">
        <v>4472</v>
      </c>
      <c r="BN393" s="241" t="s">
        <v>369</v>
      </c>
      <c r="BO393" s="241">
        <v>43</v>
      </c>
      <c r="BP393" s="241"/>
      <c r="BQ393" s="241"/>
      <c r="BR393" s="241"/>
      <c r="BS393" s="241"/>
      <c r="BT393" s="241"/>
      <c r="BU393" s="241"/>
      <c r="BV393" s="241"/>
      <c r="BW393" s="241"/>
      <c r="BX393" s="241"/>
      <c r="BY393" s="241"/>
      <c r="BZ393" s="241"/>
      <c r="CA393" s="241"/>
      <c r="CB393" s="241"/>
      <c r="CC393" s="241"/>
      <c r="CD393" s="241"/>
      <c r="CE393" s="241"/>
      <c r="CF393" s="13"/>
      <c r="CG393" s="13"/>
      <c r="CH393" s="13"/>
    </row>
    <row r="394" spans="1:86" ht="11.25" customHeight="1" x14ac:dyDescent="0.2">
      <c r="A394" s="13"/>
      <c r="B394" s="238">
        <v>390</v>
      </c>
      <c r="C394" s="241" t="e">
        <f t="shared" ca="1" si="48"/>
        <v>#NUM!</v>
      </c>
      <c r="D394" s="323" t="s">
        <v>4503</v>
      </c>
      <c r="E394" s="241">
        <v>642409214</v>
      </c>
      <c r="F394" s="254" t="s">
        <v>4504</v>
      </c>
      <c r="G394" s="246"/>
      <c r="H394" s="241" t="s">
        <v>217</v>
      </c>
      <c r="I394" s="241" t="s">
        <v>217</v>
      </c>
      <c r="J394" s="242">
        <v>45567</v>
      </c>
      <c r="K394" s="241"/>
      <c r="L394" s="241"/>
      <c r="M394" s="241" t="s">
        <v>14</v>
      </c>
      <c r="N394" s="241" t="s">
        <v>187</v>
      </c>
      <c r="O394" s="241"/>
      <c r="P394" s="243">
        <v>45657</v>
      </c>
      <c r="Q394" s="241"/>
      <c r="R394" s="241" t="s">
        <v>206</v>
      </c>
      <c r="S394" s="241" t="s">
        <v>6863</v>
      </c>
      <c r="T394" s="241" t="s">
        <v>312</v>
      </c>
      <c r="U394" s="257" t="s">
        <v>33</v>
      </c>
      <c r="V394" s="257" t="s">
        <v>7135</v>
      </c>
      <c r="W394" s="257" t="s">
        <v>51</v>
      </c>
      <c r="X394" s="241" t="s">
        <v>121</v>
      </c>
      <c r="Y394" s="241" t="s">
        <v>313</v>
      </c>
      <c r="Z394" s="241"/>
      <c r="AA394" s="255"/>
      <c r="AB394" s="241" t="s">
        <v>314</v>
      </c>
      <c r="AC394" s="241" t="s">
        <v>217</v>
      </c>
      <c r="AD394" s="245">
        <v>38051</v>
      </c>
      <c r="AE394" s="241">
        <f t="shared" ca="1" si="49"/>
        <v>21</v>
      </c>
      <c r="AF394" s="246" t="s">
        <v>4505</v>
      </c>
      <c r="AG394" s="253" t="s">
        <v>4506</v>
      </c>
      <c r="AH394" s="246" t="s">
        <v>4507</v>
      </c>
      <c r="AI394" s="246" t="s">
        <v>4508</v>
      </c>
      <c r="AJ394" s="246" t="s">
        <v>4509</v>
      </c>
      <c r="AK394" s="241" t="s">
        <v>4510</v>
      </c>
      <c r="AL394" s="246" t="s">
        <v>4511</v>
      </c>
      <c r="AM394" s="250">
        <v>24154903520</v>
      </c>
      <c r="AN394" s="241" t="s">
        <v>4716</v>
      </c>
      <c r="AO394" s="241"/>
      <c r="AP394" s="241"/>
      <c r="AQ394" s="241"/>
      <c r="AR394" s="241"/>
      <c r="AS394" s="241"/>
      <c r="AT394" s="241" t="s">
        <v>1140</v>
      </c>
      <c r="AU394" s="241" t="s">
        <v>4512</v>
      </c>
      <c r="AV394" s="241"/>
      <c r="AW394" s="241"/>
      <c r="AX394" s="241">
        <f t="shared" si="50"/>
        <v>0</v>
      </c>
      <c r="AY394" s="241" t="str">
        <f t="shared" si="51"/>
        <v>TK/0</v>
      </c>
      <c r="AZ394" s="239"/>
      <c r="BA394" s="241"/>
      <c r="BB394" s="250" t="s">
        <v>161</v>
      </c>
      <c r="BC394" s="250" t="s">
        <v>349</v>
      </c>
      <c r="BD394" s="241" t="s">
        <v>4513</v>
      </c>
      <c r="BE394" s="241" t="s">
        <v>516</v>
      </c>
      <c r="BF394" s="241">
        <v>2023</v>
      </c>
      <c r="BG394" s="250" t="s">
        <v>349</v>
      </c>
      <c r="BH394" s="241" t="s">
        <v>4513</v>
      </c>
      <c r="BI394" s="241" t="s">
        <v>516</v>
      </c>
      <c r="BJ394" s="241">
        <v>2023</v>
      </c>
      <c r="BK394" s="241"/>
      <c r="BL394" s="241"/>
      <c r="BM394" s="241" t="s">
        <v>4472</v>
      </c>
      <c r="BN394" s="241" t="s">
        <v>369</v>
      </c>
      <c r="BO394" s="241">
        <v>43</v>
      </c>
      <c r="BP394" s="241"/>
      <c r="BQ394" s="241"/>
      <c r="BR394" s="241"/>
      <c r="BS394" s="241"/>
      <c r="BT394" s="241"/>
      <c r="BU394" s="241"/>
      <c r="BV394" s="241"/>
      <c r="BW394" s="241"/>
      <c r="BX394" s="241"/>
      <c r="BY394" s="241"/>
      <c r="BZ394" s="241"/>
      <c r="CA394" s="241"/>
      <c r="CB394" s="241"/>
      <c r="CC394" s="241"/>
      <c r="CD394" s="241"/>
      <c r="CE394" s="241"/>
      <c r="CF394" s="13"/>
      <c r="CG394" s="13"/>
      <c r="CH394" s="13"/>
    </row>
    <row r="395" spans="1:86" ht="11.25" customHeight="1" x14ac:dyDescent="0.2">
      <c r="A395" s="13"/>
      <c r="B395" s="238">
        <v>391</v>
      </c>
      <c r="C395" s="241" t="e">
        <f t="shared" ca="1" si="48"/>
        <v>#NUM!</v>
      </c>
      <c r="D395" s="323" t="s">
        <v>4514</v>
      </c>
      <c r="E395" s="241">
        <v>642409215</v>
      </c>
      <c r="F395" s="254" t="s">
        <v>4515</v>
      </c>
      <c r="G395" s="246"/>
      <c r="H395" s="241" t="s">
        <v>217</v>
      </c>
      <c r="I395" s="241" t="s">
        <v>217</v>
      </c>
      <c r="J395" s="242">
        <v>45567</v>
      </c>
      <c r="K395" s="241"/>
      <c r="L395" s="241"/>
      <c r="M395" s="241" t="s">
        <v>14</v>
      </c>
      <c r="N395" s="241" t="s">
        <v>187</v>
      </c>
      <c r="O395" s="241"/>
      <c r="P395" s="243">
        <v>45657</v>
      </c>
      <c r="Q395" s="241"/>
      <c r="R395" s="241" t="s">
        <v>206</v>
      </c>
      <c r="S395" s="241" t="s">
        <v>6863</v>
      </c>
      <c r="T395" s="241" t="s">
        <v>312</v>
      </c>
      <c r="U395" s="241"/>
      <c r="V395" s="321"/>
      <c r="W395" s="321"/>
      <c r="X395" s="321" t="s">
        <v>121</v>
      </c>
      <c r="Y395" s="321" t="s">
        <v>313</v>
      </c>
      <c r="Z395" s="241"/>
      <c r="AA395" s="255"/>
      <c r="AB395" s="241" t="s">
        <v>314</v>
      </c>
      <c r="AC395" s="241" t="s">
        <v>217</v>
      </c>
      <c r="AD395" s="245">
        <v>35517</v>
      </c>
      <c r="AE395" s="241">
        <f t="shared" ca="1" si="49"/>
        <v>28</v>
      </c>
      <c r="AF395" s="246" t="s">
        <v>4516</v>
      </c>
      <c r="AG395" s="253" t="s">
        <v>4517</v>
      </c>
      <c r="AH395" s="246" t="s">
        <v>4518</v>
      </c>
      <c r="AI395" s="246" t="s">
        <v>4519</v>
      </c>
      <c r="AJ395" s="246" t="s">
        <v>4520</v>
      </c>
      <c r="AK395" s="241" t="s">
        <v>4521</v>
      </c>
      <c r="AL395" s="246" t="s">
        <v>6842</v>
      </c>
      <c r="AM395" s="246" t="s">
        <v>4522</v>
      </c>
      <c r="AN395" s="241" t="s">
        <v>4716</v>
      </c>
      <c r="AO395" s="241"/>
      <c r="AP395" s="241"/>
      <c r="AQ395" s="241"/>
      <c r="AR395" s="241"/>
      <c r="AS395" s="241"/>
      <c r="AT395" s="241" t="s">
        <v>4523</v>
      </c>
      <c r="AU395" s="241" t="s">
        <v>4524</v>
      </c>
      <c r="AV395" s="241"/>
      <c r="AW395" s="241"/>
      <c r="AX395" s="241">
        <f t="shared" si="50"/>
        <v>0</v>
      </c>
      <c r="AY395" s="241" t="str">
        <f t="shared" si="51"/>
        <v>TK/0</v>
      </c>
      <c r="AZ395" s="239"/>
      <c r="BA395" s="241"/>
      <c r="BB395" s="250" t="s">
        <v>338</v>
      </c>
      <c r="BC395" s="250" t="s">
        <v>349</v>
      </c>
      <c r="BD395" s="241" t="s">
        <v>527</v>
      </c>
      <c r="BE395" s="241" t="s">
        <v>516</v>
      </c>
      <c r="BF395" s="241">
        <v>2010</v>
      </c>
      <c r="BG395" s="250" t="s">
        <v>349</v>
      </c>
      <c r="BH395" s="241" t="s">
        <v>527</v>
      </c>
      <c r="BI395" s="241" t="s">
        <v>516</v>
      </c>
      <c r="BJ395" s="241">
        <v>2010</v>
      </c>
      <c r="BK395" s="241"/>
      <c r="BL395" s="241"/>
      <c r="BM395" s="241" t="s">
        <v>4472</v>
      </c>
      <c r="BN395" s="241" t="s">
        <v>4525</v>
      </c>
      <c r="BO395" s="241">
        <v>41</v>
      </c>
      <c r="BP395" s="241"/>
      <c r="BQ395" s="241"/>
      <c r="BR395" s="241"/>
      <c r="BS395" s="241"/>
      <c r="BT395" s="241"/>
      <c r="BU395" s="241"/>
      <c r="BV395" s="241"/>
      <c r="BW395" s="241"/>
      <c r="BX395" s="241"/>
      <c r="BY395" s="241"/>
      <c r="BZ395" s="241"/>
      <c r="CA395" s="241"/>
      <c r="CB395" s="241"/>
      <c r="CC395" s="241"/>
      <c r="CD395" s="241"/>
      <c r="CE395" s="241"/>
      <c r="CF395" s="13"/>
      <c r="CG395" s="13"/>
      <c r="CH395" s="13"/>
    </row>
    <row r="396" spans="1:86" ht="11.25" customHeight="1" x14ac:dyDescent="0.2">
      <c r="A396" s="13"/>
      <c r="B396" s="238">
        <v>392</v>
      </c>
      <c r="C396" s="241" t="e">
        <f t="shared" ca="1" si="48"/>
        <v>#NUM!</v>
      </c>
      <c r="D396" s="323" t="s">
        <v>4526</v>
      </c>
      <c r="E396" s="241">
        <v>642409216</v>
      </c>
      <c r="F396" s="254" t="s">
        <v>4527</v>
      </c>
      <c r="G396" s="246"/>
      <c r="H396" s="241" t="s">
        <v>217</v>
      </c>
      <c r="I396" s="241" t="s">
        <v>217</v>
      </c>
      <c r="J396" s="242">
        <v>45567</v>
      </c>
      <c r="K396" s="241"/>
      <c r="L396" s="241"/>
      <c r="M396" s="241" t="s">
        <v>14</v>
      </c>
      <c r="N396" s="241" t="s">
        <v>187</v>
      </c>
      <c r="O396" s="241"/>
      <c r="P396" s="243">
        <v>45657</v>
      </c>
      <c r="Q396" s="241"/>
      <c r="R396" s="241" t="s">
        <v>206</v>
      </c>
      <c r="S396" s="241" t="s">
        <v>6863</v>
      </c>
      <c r="T396" s="241" t="s">
        <v>312</v>
      </c>
      <c r="U396" s="241" t="s">
        <v>27</v>
      </c>
      <c r="V396" s="241" t="s">
        <v>204</v>
      </c>
      <c r="W396" s="241" t="s">
        <v>6183</v>
      </c>
      <c r="X396" s="241" t="s">
        <v>121</v>
      </c>
      <c r="Y396" s="241" t="s">
        <v>313</v>
      </c>
      <c r="Z396" s="241"/>
      <c r="AA396" s="246"/>
      <c r="AB396" s="241" t="s">
        <v>314</v>
      </c>
      <c r="AC396" s="241" t="s">
        <v>217</v>
      </c>
      <c r="AD396" s="245">
        <v>31722</v>
      </c>
      <c r="AE396" s="241">
        <f t="shared" ca="1" si="49"/>
        <v>38</v>
      </c>
      <c r="AF396" s="246" t="s">
        <v>4528</v>
      </c>
      <c r="AG396" s="253" t="s">
        <v>4529</v>
      </c>
      <c r="AH396" s="246" t="s">
        <v>4530</v>
      </c>
      <c r="AI396" s="246" t="s">
        <v>4531</v>
      </c>
      <c r="AJ396" s="246" t="s">
        <v>4532</v>
      </c>
      <c r="AK396" s="241" t="s">
        <v>4533</v>
      </c>
      <c r="AL396" s="240" t="s">
        <v>4534</v>
      </c>
      <c r="AM396" s="240" t="s">
        <v>4535</v>
      </c>
      <c r="AN396" s="241" t="s">
        <v>4733</v>
      </c>
      <c r="AO396" s="241" t="s">
        <v>4536</v>
      </c>
      <c r="AP396" s="241" t="s">
        <v>4537</v>
      </c>
      <c r="AQ396" s="241" t="s">
        <v>4538</v>
      </c>
      <c r="AR396" s="241"/>
      <c r="AS396" s="241"/>
      <c r="AT396" s="241" t="s">
        <v>4539</v>
      </c>
      <c r="AU396" s="241" t="s">
        <v>4540</v>
      </c>
      <c r="AV396" s="241" t="s">
        <v>4541</v>
      </c>
      <c r="AW396" s="241" t="s">
        <v>4542</v>
      </c>
      <c r="AX396" s="241">
        <f t="shared" si="50"/>
        <v>2</v>
      </c>
      <c r="AY396" s="241" t="str">
        <f t="shared" si="51"/>
        <v>K/2</v>
      </c>
      <c r="AZ396" s="239"/>
      <c r="BA396" s="241"/>
      <c r="BB396" s="250" t="s">
        <v>161</v>
      </c>
      <c r="BC396" s="250" t="s">
        <v>349</v>
      </c>
      <c r="BD396" s="241" t="s">
        <v>515</v>
      </c>
      <c r="BE396" s="241" t="s">
        <v>976</v>
      </c>
      <c r="BF396" s="241">
        <v>2005</v>
      </c>
      <c r="BG396" s="250" t="s">
        <v>349</v>
      </c>
      <c r="BH396" s="241" t="s">
        <v>515</v>
      </c>
      <c r="BI396" s="241" t="s">
        <v>976</v>
      </c>
      <c r="BJ396" s="241">
        <v>2005</v>
      </c>
      <c r="BK396" s="241"/>
      <c r="BL396" s="241"/>
      <c r="BM396" s="241" t="s">
        <v>4472</v>
      </c>
      <c r="BN396" s="241" t="s">
        <v>369</v>
      </c>
      <c r="BO396" s="241">
        <v>43</v>
      </c>
      <c r="BP396" s="241"/>
      <c r="BQ396" s="241"/>
      <c r="BR396" s="241"/>
      <c r="BS396" s="241"/>
      <c r="BT396" s="241"/>
      <c r="BU396" s="241"/>
      <c r="BV396" s="241"/>
      <c r="BW396" s="241"/>
      <c r="BX396" s="241"/>
      <c r="BY396" s="241"/>
      <c r="BZ396" s="241"/>
      <c r="CA396" s="241"/>
      <c r="CB396" s="241"/>
      <c r="CC396" s="241"/>
      <c r="CD396" s="241"/>
      <c r="CE396" s="241"/>
      <c r="CF396" s="13"/>
      <c r="CG396" s="13"/>
      <c r="CH396" s="13"/>
    </row>
    <row r="397" spans="1:86" ht="11.25" customHeight="1" x14ac:dyDescent="0.2">
      <c r="A397" s="13"/>
      <c r="B397" s="238">
        <v>393</v>
      </c>
      <c r="C397" s="241" t="e">
        <f t="shared" ca="1" si="48"/>
        <v>#NUM!</v>
      </c>
      <c r="D397" s="323" t="s">
        <v>4543</v>
      </c>
      <c r="E397" s="241">
        <v>642409217</v>
      </c>
      <c r="F397" s="254" t="s">
        <v>4544</v>
      </c>
      <c r="G397" s="246"/>
      <c r="H397" s="241" t="s">
        <v>217</v>
      </c>
      <c r="I397" s="241" t="s">
        <v>311</v>
      </c>
      <c r="J397" s="242">
        <v>45567</v>
      </c>
      <c r="K397" s="241"/>
      <c r="L397" s="241"/>
      <c r="M397" s="241" t="s">
        <v>14</v>
      </c>
      <c r="N397" s="241" t="s">
        <v>187</v>
      </c>
      <c r="O397" s="241"/>
      <c r="P397" s="243">
        <v>45657</v>
      </c>
      <c r="Q397" s="241"/>
      <c r="R397" s="241" t="s">
        <v>206</v>
      </c>
      <c r="S397" s="241" t="s">
        <v>6863</v>
      </c>
      <c r="T397" s="241" t="s">
        <v>312</v>
      </c>
      <c r="U397" s="241"/>
      <c r="V397" s="321"/>
      <c r="W397" s="321"/>
      <c r="X397" s="321" t="s">
        <v>121</v>
      </c>
      <c r="Y397" s="321" t="s">
        <v>313</v>
      </c>
      <c r="Z397" s="241"/>
      <c r="AA397" s="255"/>
      <c r="AB397" s="241" t="s">
        <v>314</v>
      </c>
      <c r="AC397" s="241" t="s">
        <v>311</v>
      </c>
      <c r="AD397" s="245">
        <v>34550</v>
      </c>
      <c r="AE397" s="241">
        <f t="shared" ca="1" si="49"/>
        <v>31</v>
      </c>
      <c r="AF397" s="246" t="s">
        <v>4545</v>
      </c>
      <c r="AG397" s="253" t="s">
        <v>4546</v>
      </c>
      <c r="AH397" s="246" t="s">
        <v>4547</v>
      </c>
      <c r="AI397" s="246" t="s">
        <v>4548</v>
      </c>
      <c r="AJ397" s="246" t="s">
        <v>4548</v>
      </c>
      <c r="AK397" s="241" t="s">
        <v>4549</v>
      </c>
      <c r="AL397" s="246" t="s">
        <v>4550</v>
      </c>
      <c r="AM397" s="246" t="s">
        <v>4551</v>
      </c>
      <c r="AN397" s="241" t="s">
        <v>4733</v>
      </c>
      <c r="AO397" s="241" t="s">
        <v>4552</v>
      </c>
      <c r="AP397" s="241"/>
      <c r="AQ397" s="241"/>
      <c r="AR397" s="241"/>
      <c r="AS397" s="241"/>
      <c r="AT397" s="241" t="s">
        <v>4498</v>
      </c>
      <c r="AU397" s="241" t="s">
        <v>4553</v>
      </c>
      <c r="AV397" s="241" t="s">
        <v>4554</v>
      </c>
      <c r="AW397" s="241" t="s">
        <v>4555</v>
      </c>
      <c r="AX397" s="241">
        <f t="shared" si="50"/>
        <v>0</v>
      </c>
      <c r="AY397" s="241" t="str">
        <f t="shared" si="51"/>
        <v>K/0</v>
      </c>
      <c r="AZ397" s="239"/>
      <c r="BA397" s="241"/>
      <c r="BB397" s="250" t="s">
        <v>161</v>
      </c>
      <c r="BC397" s="274" t="s">
        <v>349</v>
      </c>
      <c r="BD397" s="241" t="s">
        <v>91</v>
      </c>
      <c r="BE397" s="241" t="s">
        <v>3877</v>
      </c>
      <c r="BF397" s="241">
        <v>2013</v>
      </c>
      <c r="BG397" s="250" t="s">
        <v>349</v>
      </c>
      <c r="BH397" s="241" t="s">
        <v>91</v>
      </c>
      <c r="BI397" s="241" t="s">
        <v>3877</v>
      </c>
      <c r="BJ397" s="241">
        <v>2013</v>
      </c>
      <c r="BK397" s="241"/>
      <c r="BL397" s="241"/>
      <c r="BM397" s="241" t="s">
        <v>351</v>
      </c>
      <c r="BN397" s="241" t="s">
        <v>351</v>
      </c>
      <c r="BO397" s="241">
        <v>42</v>
      </c>
      <c r="BP397" s="241"/>
      <c r="BQ397" s="241"/>
      <c r="BR397" s="241"/>
      <c r="BS397" s="241"/>
      <c r="BT397" s="241"/>
      <c r="BU397" s="241"/>
      <c r="BV397" s="241"/>
      <c r="BW397" s="241"/>
      <c r="BX397" s="241"/>
      <c r="BY397" s="241"/>
      <c r="BZ397" s="241"/>
      <c r="CA397" s="241"/>
      <c r="CB397" s="241"/>
      <c r="CC397" s="241"/>
      <c r="CD397" s="241"/>
      <c r="CE397" s="241"/>
      <c r="CF397" s="13"/>
      <c r="CG397" s="13"/>
      <c r="CH397" s="13"/>
    </row>
    <row r="398" spans="1:86" ht="11.25" customHeight="1" x14ac:dyDescent="0.2">
      <c r="A398" s="13"/>
      <c r="B398" s="238">
        <v>394</v>
      </c>
      <c r="C398" s="241" t="e">
        <f t="shared" ca="1" si="48"/>
        <v>#NUM!</v>
      </c>
      <c r="D398" s="323" t="s">
        <v>4556</v>
      </c>
      <c r="E398" s="241">
        <v>642409218</v>
      </c>
      <c r="F398" s="254" t="s">
        <v>4557</v>
      </c>
      <c r="G398" s="246"/>
      <c r="H398" s="241" t="s">
        <v>217</v>
      </c>
      <c r="I398" s="241" t="s">
        <v>217</v>
      </c>
      <c r="J398" s="242">
        <v>45567</v>
      </c>
      <c r="K398" s="241"/>
      <c r="L398" s="241"/>
      <c r="M398" s="241" t="s">
        <v>14</v>
      </c>
      <c r="N398" s="241" t="s">
        <v>187</v>
      </c>
      <c r="O398" s="241"/>
      <c r="P398" s="243">
        <v>45657</v>
      </c>
      <c r="Q398" s="241"/>
      <c r="R398" s="241" t="s">
        <v>206</v>
      </c>
      <c r="S398" s="241" t="s">
        <v>6863</v>
      </c>
      <c r="T398" s="241" t="s">
        <v>312</v>
      </c>
      <c r="U398" s="241" t="s">
        <v>31</v>
      </c>
      <c r="V398" s="241" t="s">
        <v>204</v>
      </c>
      <c r="W398" s="241" t="s">
        <v>6183</v>
      </c>
      <c r="X398" s="241" t="s">
        <v>121</v>
      </c>
      <c r="Y398" s="241" t="s">
        <v>313</v>
      </c>
      <c r="Z398" s="241"/>
      <c r="AA398" s="255"/>
      <c r="AB398" s="241" t="s">
        <v>314</v>
      </c>
      <c r="AC398" s="241" t="s">
        <v>217</v>
      </c>
      <c r="AD398" s="245">
        <v>33245</v>
      </c>
      <c r="AE398" s="241">
        <f t="shared" ca="1" si="49"/>
        <v>34</v>
      </c>
      <c r="AF398" s="246" t="s">
        <v>4558</v>
      </c>
      <c r="AG398" s="253" t="s">
        <v>4559</v>
      </c>
      <c r="AH398" s="246" t="s">
        <v>4560</v>
      </c>
      <c r="AI398" s="246" t="s">
        <v>4561</v>
      </c>
      <c r="AJ398" s="246" t="s">
        <v>4561</v>
      </c>
      <c r="AK398" s="241" t="s">
        <v>4562</v>
      </c>
      <c r="AL398" s="246" t="s">
        <v>4563</v>
      </c>
      <c r="AM398" s="246" t="s">
        <v>4564</v>
      </c>
      <c r="AN398" s="241" t="s">
        <v>4716</v>
      </c>
      <c r="AO398" s="241"/>
      <c r="AP398" s="241"/>
      <c r="AQ398" s="241"/>
      <c r="AR398" s="241"/>
      <c r="AS398" s="241"/>
      <c r="AT398" s="241" t="s">
        <v>6753</v>
      </c>
      <c r="AU398" s="241" t="s">
        <v>1444</v>
      </c>
      <c r="AV398" s="241"/>
      <c r="AW398" s="241"/>
      <c r="AX398" s="241">
        <f t="shared" si="50"/>
        <v>0</v>
      </c>
      <c r="AY398" s="241" t="str">
        <f t="shared" si="51"/>
        <v>TK/0</v>
      </c>
      <c r="AZ398" s="241"/>
      <c r="BA398" s="241"/>
      <c r="BB398" s="250" t="s">
        <v>359</v>
      </c>
      <c r="BC398" s="250" t="s">
        <v>475</v>
      </c>
      <c r="BD398" s="241" t="s">
        <v>91</v>
      </c>
      <c r="BE398" s="241" t="s">
        <v>4565</v>
      </c>
      <c r="BF398" s="241">
        <v>2011</v>
      </c>
      <c r="BG398" s="250" t="s">
        <v>475</v>
      </c>
      <c r="BH398" s="241" t="s">
        <v>91</v>
      </c>
      <c r="BI398" s="241" t="s">
        <v>4565</v>
      </c>
      <c r="BJ398" s="241">
        <v>2011</v>
      </c>
      <c r="BK398" s="241"/>
      <c r="BL398" s="241"/>
      <c r="BM398" s="241" t="s">
        <v>351</v>
      </c>
      <c r="BN398" s="241" t="s">
        <v>351</v>
      </c>
      <c r="BO398" s="241">
        <v>40</v>
      </c>
      <c r="BP398" s="241"/>
      <c r="BQ398" s="241"/>
      <c r="BR398" s="241"/>
      <c r="BS398" s="241"/>
      <c r="BT398" s="241"/>
      <c r="BU398" s="241"/>
      <c r="BV398" s="241"/>
      <c r="BW398" s="241"/>
      <c r="BX398" s="241"/>
      <c r="BY398" s="241"/>
      <c r="BZ398" s="241"/>
      <c r="CA398" s="241"/>
      <c r="CB398" s="241"/>
      <c r="CC398" s="241"/>
      <c r="CD398" s="241"/>
      <c r="CE398" s="241"/>
      <c r="CF398" s="13"/>
      <c r="CG398" s="13"/>
      <c r="CH398" s="13"/>
    </row>
    <row r="399" spans="1:86" ht="10.199999999999999" x14ac:dyDescent="0.2">
      <c r="A399" s="13"/>
      <c r="B399" s="238">
        <v>395</v>
      </c>
      <c r="C399" s="241" t="e">
        <f t="shared" ca="1" si="48"/>
        <v>#NUM!</v>
      </c>
      <c r="D399" s="323" t="s">
        <v>4566</v>
      </c>
      <c r="E399" s="241">
        <v>642409220</v>
      </c>
      <c r="F399" s="254" t="s">
        <v>4567</v>
      </c>
      <c r="G399" s="246"/>
      <c r="H399" s="241" t="s">
        <v>217</v>
      </c>
      <c r="I399" s="241" t="s">
        <v>311</v>
      </c>
      <c r="J399" s="242">
        <v>45567</v>
      </c>
      <c r="K399" s="241"/>
      <c r="L399" s="241"/>
      <c r="M399" s="241" t="s">
        <v>14</v>
      </c>
      <c r="N399" s="241" t="s">
        <v>187</v>
      </c>
      <c r="O399" s="241"/>
      <c r="P399" s="243">
        <v>45657</v>
      </c>
      <c r="Q399" s="241"/>
      <c r="R399" s="241" t="s">
        <v>206</v>
      </c>
      <c r="S399" s="241" t="s">
        <v>6863</v>
      </c>
      <c r="T399" s="241" t="s">
        <v>312</v>
      </c>
      <c r="U399" s="241" t="s">
        <v>25</v>
      </c>
      <c r="V399" s="241" t="s">
        <v>443</v>
      </c>
      <c r="W399" s="241" t="s">
        <v>748</v>
      </c>
      <c r="X399" s="241" t="s">
        <v>121</v>
      </c>
      <c r="Y399" s="241" t="s">
        <v>313</v>
      </c>
      <c r="Z399" s="241"/>
      <c r="AA399" s="255"/>
      <c r="AB399" s="241" t="s">
        <v>314</v>
      </c>
      <c r="AC399" s="241" t="s">
        <v>311</v>
      </c>
      <c r="AD399" s="245">
        <v>36229</v>
      </c>
      <c r="AE399" s="241">
        <f t="shared" ca="1" si="49"/>
        <v>26</v>
      </c>
      <c r="AF399" s="246" t="s">
        <v>4568</v>
      </c>
      <c r="AG399" s="241" t="s">
        <v>4569</v>
      </c>
      <c r="AH399" s="246" t="s">
        <v>4570</v>
      </c>
      <c r="AI399" s="246" t="s">
        <v>4571</v>
      </c>
      <c r="AJ399" s="246" t="s">
        <v>4571</v>
      </c>
      <c r="AK399" s="241" t="s">
        <v>4572</v>
      </c>
      <c r="AL399" s="246" t="s">
        <v>4573</v>
      </c>
      <c r="AM399" s="246" t="s">
        <v>4574</v>
      </c>
      <c r="AN399" s="241" t="s">
        <v>4733</v>
      </c>
      <c r="AO399" s="241" t="s">
        <v>4575</v>
      </c>
      <c r="AP399" s="241" t="s">
        <v>4576</v>
      </c>
      <c r="AQ399" s="241"/>
      <c r="AR399" s="241"/>
      <c r="AS399" s="241"/>
      <c r="AT399" s="241" t="s">
        <v>4577</v>
      </c>
      <c r="AU399" s="241" t="s">
        <v>4578</v>
      </c>
      <c r="AV399" s="241" t="s">
        <v>4579</v>
      </c>
      <c r="AW399" s="241" t="s">
        <v>4580</v>
      </c>
      <c r="AX399" s="241">
        <f t="shared" si="50"/>
        <v>1</v>
      </c>
      <c r="AY399" s="241" t="str">
        <f t="shared" si="51"/>
        <v>K/1</v>
      </c>
      <c r="AZ399" s="241"/>
      <c r="BA399" s="241" t="s">
        <v>4581</v>
      </c>
      <c r="BB399" s="250" t="s">
        <v>359</v>
      </c>
      <c r="BC399" s="250" t="s">
        <v>349</v>
      </c>
      <c r="BD399" s="241" t="s">
        <v>4582</v>
      </c>
      <c r="BE399" s="241" t="s">
        <v>327</v>
      </c>
      <c r="BF399" s="241">
        <v>2017</v>
      </c>
      <c r="BG399" s="250" t="s">
        <v>349</v>
      </c>
      <c r="BH399" s="241" t="s">
        <v>4582</v>
      </c>
      <c r="BI399" s="241" t="s">
        <v>327</v>
      </c>
      <c r="BJ399" s="241">
        <v>2017</v>
      </c>
      <c r="BK399" s="241"/>
      <c r="BL399" s="241"/>
      <c r="BM399" s="241" t="s">
        <v>4583</v>
      </c>
      <c r="BN399" s="241">
        <v>37</v>
      </c>
      <c r="BO399" s="241">
        <v>42</v>
      </c>
      <c r="BP399" s="241"/>
      <c r="BQ399" s="241"/>
      <c r="BR399" s="241"/>
      <c r="BS399" s="241"/>
      <c r="BT399" s="241"/>
      <c r="BU399" s="241"/>
      <c r="BV399" s="241"/>
      <c r="BW399" s="241"/>
      <c r="BX399" s="241"/>
      <c r="BY399" s="241"/>
      <c r="BZ399" s="241"/>
      <c r="CA399" s="241"/>
      <c r="CB399" s="241"/>
      <c r="CC399" s="241"/>
      <c r="CD399" s="241"/>
      <c r="CE399" s="241"/>
      <c r="CF399" s="13"/>
      <c r="CG399" s="13"/>
      <c r="CH399" s="13"/>
    </row>
    <row r="400" spans="1:86" ht="11.25" customHeight="1" x14ac:dyDescent="0.2">
      <c r="A400" s="13"/>
      <c r="B400" s="238">
        <v>396</v>
      </c>
      <c r="C400" s="241" t="e">
        <f t="shared" ca="1" si="48"/>
        <v>#NUM!</v>
      </c>
      <c r="D400" s="323" t="s">
        <v>4584</v>
      </c>
      <c r="E400" s="241">
        <v>642409221</v>
      </c>
      <c r="F400" s="254" t="s">
        <v>4585</v>
      </c>
      <c r="G400" s="246"/>
      <c r="H400" s="241" t="s">
        <v>217</v>
      </c>
      <c r="I400" s="241" t="s">
        <v>217</v>
      </c>
      <c r="J400" s="242">
        <v>45567</v>
      </c>
      <c r="K400" s="241"/>
      <c r="L400" s="241"/>
      <c r="M400" s="241" t="s">
        <v>14</v>
      </c>
      <c r="N400" s="241" t="s">
        <v>187</v>
      </c>
      <c r="O400" s="241"/>
      <c r="P400" s="243">
        <v>45657</v>
      </c>
      <c r="Q400" s="241"/>
      <c r="R400" s="241" t="s">
        <v>206</v>
      </c>
      <c r="S400" s="241" t="s">
        <v>6863</v>
      </c>
      <c r="T400" s="241" t="s">
        <v>312</v>
      </c>
      <c r="U400" s="241" t="s">
        <v>25</v>
      </c>
      <c r="V400" s="241" t="s">
        <v>7147</v>
      </c>
      <c r="W400" s="241" t="s">
        <v>748</v>
      </c>
      <c r="X400" s="241" t="s">
        <v>121</v>
      </c>
      <c r="Y400" s="241" t="s">
        <v>313</v>
      </c>
      <c r="Z400" s="241"/>
      <c r="AA400" s="255"/>
      <c r="AB400" s="241" t="s">
        <v>314</v>
      </c>
      <c r="AC400" s="241" t="s">
        <v>217</v>
      </c>
      <c r="AD400" s="245">
        <v>35990</v>
      </c>
      <c r="AE400" s="241">
        <f t="shared" ca="1" si="49"/>
        <v>27</v>
      </c>
      <c r="AF400" s="246" t="s">
        <v>4586</v>
      </c>
      <c r="AG400" s="241" t="s">
        <v>4587</v>
      </c>
      <c r="AH400" s="246" t="s">
        <v>4588</v>
      </c>
      <c r="AI400" s="246" t="s">
        <v>4589</v>
      </c>
      <c r="AJ400" s="246" t="s">
        <v>4589</v>
      </c>
      <c r="AK400" s="241" t="s">
        <v>4590</v>
      </c>
      <c r="AL400" s="246" t="s">
        <v>4591</v>
      </c>
      <c r="AM400" s="246" t="s">
        <v>4592</v>
      </c>
      <c r="AN400" s="241" t="s">
        <v>4733</v>
      </c>
      <c r="AO400" s="241" t="s">
        <v>4593</v>
      </c>
      <c r="AP400" s="241"/>
      <c r="AQ400" s="241"/>
      <c r="AR400" s="241"/>
      <c r="AS400" s="241"/>
      <c r="AT400" s="241" t="s">
        <v>4594</v>
      </c>
      <c r="AU400" s="241" t="s">
        <v>4595</v>
      </c>
      <c r="AV400" s="241" t="s">
        <v>4596</v>
      </c>
      <c r="AW400" s="241" t="s">
        <v>3321</v>
      </c>
      <c r="AX400" s="241">
        <f t="shared" si="50"/>
        <v>0</v>
      </c>
      <c r="AY400" s="241" t="str">
        <f t="shared" si="51"/>
        <v>K/0</v>
      </c>
      <c r="AZ400" s="241"/>
      <c r="BA400" s="241"/>
      <c r="BB400" s="250" t="s">
        <v>161</v>
      </c>
      <c r="BC400" s="250" t="s">
        <v>349</v>
      </c>
      <c r="BD400" s="241" t="s">
        <v>91</v>
      </c>
      <c r="BE400" s="241" t="s">
        <v>775</v>
      </c>
      <c r="BF400" s="241">
        <v>2016</v>
      </c>
      <c r="BG400" s="250" t="s">
        <v>349</v>
      </c>
      <c r="BH400" s="241" t="s">
        <v>91</v>
      </c>
      <c r="BI400" s="241" t="s">
        <v>775</v>
      </c>
      <c r="BJ400" s="241">
        <v>2016</v>
      </c>
      <c r="BK400" s="241"/>
      <c r="BL400" s="241"/>
      <c r="BM400" s="241" t="s">
        <v>351</v>
      </c>
      <c r="BN400" s="241" t="s">
        <v>4597</v>
      </c>
      <c r="BO400" s="241">
        <v>43</v>
      </c>
      <c r="BP400" s="241"/>
      <c r="BQ400" s="241"/>
      <c r="BR400" s="241"/>
      <c r="BS400" s="241"/>
      <c r="BT400" s="241"/>
      <c r="BU400" s="241"/>
      <c r="BV400" s="241"/>
      <c r="BW400" s="241"/>
      <c r="BX400" s="241"/>
      <c r="BY400" s="241"/>
      <c r="BZ400" s="241"/>
      <c r="CA400" s="241"/>
      <c r="CB400" s="241"/>
      <c r="CC400" s="241"/>
      <c r="CD400" s="241"/>
      <c r="CE400" s="241"/>
      <c r="CF400" s="13"/>
      <c r="CG400" s="13"/>
      <c r="CH400" s="13"/>
    </row>
    <row r="401" spans="1:86" ht="10.199999999999999" x14ac:dyDescent="0.2">
      <c r="A401" s="13"/>
      <c r="B401" s="238">
        <v>397</v>
      </c>
      <c r="C401" s="241" t="e">
        <f t="shared" ca="1" si="48"/>
        <v>#NUM!</v>
      </c>
      <c r="D401" s="323" t="s">
        <v>4598</v>
      </c>
      <c r="E401" s="241">
        <v>642409222</v>
      </c>
      <c r="F401" s="254" t="s">
        <v>4599</v>
      </c>
      <c r="G401" s="246"/>
      <c r="H401" s="241" t="s">
        <v>217</v>
      </c>
      <c r="I401" s="241" t="s">
        <v>217</v>
      </c>
      <c r="J401" s="242">
        <v>45567</v>
      </c>
      <c r="K401" s="241"/>
      <c r="L401" s="241"/>
      <c r="M401" s="241" t="s">
        <v>14</v>
      </c>
      <c r="N401" s="241" t="s">
        <v>187</v>
      </c>
      <c r="O401" s="241"/>
      <c r="P401" s="243">
        <v>45657</v>
      </c>
      <c r="Q401" s="241"/>
      <c r="R401" s="241" t="s">
        <v>206</v>
      </c>
      <c r="S401" s="241" t="s">
        <v>6863</v>
      </c>
      <c r="T401" s="241" t="s">
        <v>312</v>
      </c>
      <c r="U401" s="257" t="s">
        <v>33</v>
      </c>
      <c r="V401" s="257" t="s">
        <v>7135</v>
      </c>
      <c r="W401" s="257" t="s">
        <v>51</v>
      </c>
      <c r="X401" s="241" t="s">
        <v>121</v>
      </c>
      <c r="Y401" s="241" t="s">
        <v>313</v>
      </c>
      <c r="Z401" s="241"/>
      <c r="AA401" s="255"/>
      <c r="AB401" s="241" t="s">
        <v>314</v>
      </c>
      <c r="AC401" s="241" t="s">
        <v>217</v>
      </c>
      <c r="AD401" s="245">
        <v>32398</v>
      </c>
      <c r="AE401" s="241">
        <f t="shared" ca="1" si="49"/>
        <v>37</v>
      </c>
      <c r="AF401" s="246" t="s">
        <v>4600</v>
      </c>
      <c r="AG401" s="241" t="s">
        <v>4601</v>
      </c>
      <c r="AH401" s="246" t="s">
        <v>4602</v>
      </c>
      <c r="AI401" s="246" t="s">
        <v>4603</v>
      </c>
      <c r="AJ401" s="246" t="s">
        <v>4603</v>
      </c>
      <c r="AK401" s="241" t="s">
        <v>4604</v>
      </c>
      <c r="AL401" s="246" t="s">
        <v>4605</v>
      </c>
      <c r="AM401" s="246" t="s">
        <v>4606</v>
      </c>
      <c r="AN401" s="241" t="s">
        <v>4733</v>
      </c>
      <c r="AO401" s="241" t="s">
        <v>4607</v>
      </c>
      <c r="AP401" s="241"/>
      <c r="AQ401" s="241"/>
      <c r="AR401" s="241"/>
      <c r="AS401" s="241"/>
      <c r="AT401" s="241" t="s">
        <v>4608</v>
      </c>
      <c r="AU401" s="241" t="s">
        <v>4609</v>
      </c>
      <c r="AV401" s="241"/>
      <c r="AW401" s="241"/>
      <c r="AX401" s="241">
        <f t="shared" si="50"/>
        <v>0</v>
      </c>
      <c r="AY401" s="241" t="str">
        <f t="shared" si="51"/>
        <v>K/0</v>
      </c>
      <c r="AZ401" s="241"/>
      <c r="BA401" s="241"/>
      <c r="BB401" s="250" t="s">
        <v>161</v>
      </c>
      <c r="BC401" s="250" t="s">
        <v>349</v>
      </c>
      <c r="BD401" s="241" t="s">
        <v>91</v>
      </c>
      <c r="BE401" s="241" t="s">
        <v>350</v>
      </c>
      <c r="BF401" s="241">
        <v>2006</v>
      </c>
      <c r="BG401" s="250" t="s">
        <v>349</v>
      </c>
      <c r="BH401" s="241" t="s">
        <v>91</v>
      </c>
      <c r="BI401" s="241" t="s">
        <v>350</v>
      </c>
      <c r="BJ401" s="241">
        <v>2006</v>
      </c>
      <c r="BK401" s="241"/>
      <c r="BL401" s="241"/>
      <c r="BM401" s="241" t="s">
        <v>4610</v>
      </c>
      <c r="BN401" s="241" t="s">
        <v>4611</v>
      </c>
      <c r="BO401" s="241">
        <v>44</v>
      </c>
      <c r="BP401" s="241"/>
      <c r="BQ401" s="241"/>
      <c r="BR401" s="241"/>
      <c r="BS401" s="241"/>
      <c r="BT401" s="241"/>
      <c r="BU401" s="241"/>
      <c r="BV401" s="241"/>
      <c r="BW401" s="241"/>
      <c r="BX401" s="241"/>
      <c r="BY401" s="241"/>
      <c r="BZ401" s="241"/>
      <c r="CA401" s="241"/>
      <c r="CB401" s="241"/>
      <c r="CC401" s="241"/>
      <c r="CD401" s="241"/>
      <c r="CE401" s="241"/>
      <c r="CF401" s="13"/>
      <c r="CG401" s="13"/>
      <c r="CH401" s="13"/>
    </row>
    <row r="402" spans="1:86" ht="11.25" customHeight="1" x14ac:dyDescent="0.2">
      <c r="A402" s="13"/>
      <c r="B402" s="238">
        <v>398</v>
      </c>
      <c r="C402" s="241" t="e">
        <f t="shared" ca="1" si="48"/>
        <v>#NUM!</v>
      </c>
      <c r="D402" s="323" t="s">
        <v>4612</v>
      </c>
      <c r="E402" s="241">
        <v>642409223</v>
      </c>
      <c r="F402" s="254" t="s">
        <v>4613</v>
      </c>
      <c r="G402" s="246"/>
      <c r="H402" s="241" t="s">
        <v>217</v>
      </c>
      <c r="I402" s="241" t="s">
        <v>217</v>
      </c>
      <c r="J402" s="242">
        <v>45581</v>
      </c>
      <c r="K402" s="241"/>
      <c r="L402" s="241"/>
      <c r="M402" s="241" t="s">
        <v>14</v>
      </c>
      <c r="N402" s="241" t="s">
        <v>187</v>
      </c>
      <c r="O402" s="241"/>
      <c r="P402" s="243">
        <v>45657</v>
      </c>
      <c r="Q402" s="241"/>
      <c r="R402" s="241" t="s">
        <v>206</v>
      </c>
      <c r="S402" s="241" t="s">
        <v>6863</v>
      </c>
      <c r="T402" s="241" t="s">
        <v>312</v>
      </c>
      <c r="U402" s="241" t="s">
        <v>31</v>
      </c>
      <c r="V402" s="241" t="s">
        <v>204</v>
      </c>
      <c r="W402" s="241" t="s">
        <v>639</v>
      </c>
      <c r="X402" s="241" t="s">
        <v>122</v>
      </c>
      <c r="Y402" s="241" t="s">
        <v>313</v>
      </c>
      <c r="Z402" s="241"/>
      <c r="AA402" s="255"/>
      <c r="AB402" s="241" t="s">
        <v>132</v>
      </c>
      <c r="AC402" s="241" t="s">
        <v>217</v>
      </c>
      <c r="AD402" s="245">
        <v>38470</v>
      </c>
      <c r="AE402" s="241">
        <f t="shared" ca="1" si="49"/>
        <v>20</v>
      </c>
      <c r="AF402" s="246" t="s">
        <v>4614</v>
      </c>
      <c r="AG402" s="241" t="s">
        <v>4615</v>
      </c>
      <c r="AH402" s="246" t="s">
        <v>4616</v>
      </c>
      <c r="AI402" s="246" t="s">
        <v>4617</v>
      </c>
      <c r="AJ402" s="246" t="s">
        <v>4617</v>
      </c>
      <c r="AK402" s="241" t="s">
        <v>4618</v>
      </c>
      <c r="AL402" s="246" t="s">
        <v>4619</v>
      </c>
      <c r="AM402" s="246" t="s">
        <v>4620</v>
      </c>
      <c r="AN402" s="241" t="s">
        <v>4716</v>
      </c>
      <c r="AO402" s="241"/>
      <c r="AP402" s="241"/>
      <c r="AQ402" s="241"/>
      <c r="AR402" s="241"/>
      <c r="AS402" s="241"/>
      <c r="AT402" s="241" t="s">
        <v>1616</v>
      </c>
      <c r="AU402" s="241" t="s">
        <v>6754</v>
      </c>
      <c r="AV402" s="241"/>
      <c r="AW402" s="241"/>
      <c r="AX402" s="241">
        <f t="shared" si="50"/>
        <v>0</v>
      </c>
      <c r="AY402" s="241" t="str">
        <f t="shared" si="51"/>
        <v>TK/0</v>
      </c>
      <c r="AZ402" s="241"/>
      <c r="BA402" s="241"/>
      <c r="BB402" s="241" t="s">
        <v>161</v>
      </c>
      <c r="BC402" s="326" t="s">
        <v>349</v>
      </c>
      <c r="BD402" s="256" t="s">
        <v>4360</v>
      </c>
      <c r="BE402" s="241" t="s">
        <v>350</v>
      </c>
      <c r="BF402" s="241">
        <v>2023</v>
      </c>
      <c r="BG402" s="241" t="s">
        <v>349</v>
      </c>
      <c r="BH402" s="241" t="s">
        <v>4360</v>
      </c>
      <c r="BI402" s="241" t="s">
        <v>350</v>
      </c>
      <c r="BJ402" s="241">
        <v>2023</v>
      </c>
      <c r="BK402" s="241"/>
      <c r="BL402" s="241"/>
      <c r="BM402" s="241" t="s">
        <v>351</v>
      </c>
      <c r="BN402" s="241" t="s">
        <v>351</v>
      </c>
      <c r="BO402" s="241">
        <v>40</v>
      </c>
      <c r="BP402" s="241"/>
      <c r="BQ402" s="241"/>
      <c r="BR402" s="241"/>
      <c r="BS402" s="241"/>
      <c r="BT402" s="241"/>
      <c r="BU402" s="241"/>
      <c r="BV402" s="241"/>
      <c r="BW402" s="241"/>
      <c r="BX402" s="241"/>
      <c r="BY402" s="241"/>
      <c r="BZ402" s="241"/>
      <c r="CA402" s="241"/>
      <c r="CB402" s="241"/>
      <c r="CC402" s="241"/>
      <c r="CD402" s="241"/>
      <c r="CE402" s="241"/>
      <c r="CF402" s="13"/>
      <c r="CG402" s="13"/>
      <c r="CH402" s="13"/>
    </row>
    <row r="403" spans="1:86" ht="11.25" customHeight="1" x14ac:dyDescent="0.2">
      <c r="A403" s="13"/>
      <c r="B403" s="238">
        <v>399</v>
      </c>
      <c r="C403" s="241" t="e">
        <f t="shared" ca="1" si="48"/>
        <v>#NUM!</v>
      </c>
      <c r="D403" s="237" t="s">
        <v>4621</v>
      </c>
      <c r="E403" s="241">
        <v>642409224</v>
      </c>
      <c r="F403" s="246" t="s">
        <v>4622</v>
      </c>
      <c r="G403" s="246"/>
      <c r="H403" s="241" t="s">
        <v>217</v>
      </c>
      <c r="I403" s="241" t="s">
        <v>217</v>
      </c>
      <c r="J403" s="242">
        <v>45598</v>
      </c>
      <c r="K403" s="241"/>
      <c r="L403" s="241"/>
      <c r="M403" s="241" t="s">
        <v>14</v>
      </c>
      <c r="N403" s="241" t="s">
        <v>187</v>
      </c>
      <c r="O403" s="241"/>
      <c r="P403" s="245">
        <v>45657</v>
      </c>
      <c r="Q403" s="241"/>
      <c r="R403" s="241" t="s">
        <v>206</v>
      </c>
      <c r="S403" s="241" t="s">
        <v>6863</v>
      </c>
      <c r="T403" s="241" t="s">
        <v>312</v>
      </c>
      <c r="U403" s="257" t="s">
        <v>33</v>
      </c>
      <c r="V403" s="257" t="s">
        <v>7135</v>
      </c>
      <c r="W403" s="257" t="s">
        <v>51</v>
      </c>
      <c r="X403" s="241" t="s">
        <v>121</v>
      </c>
      <c r="Y403" s="241" t="s">
        <v>313</v>
      </c>
      <c r="Z403" s="241"/>
      <c r="AA403" s="245"/>
      <c r="AB403" s="241" t="s">
        <v>132</v>
      </c>
      <c r="AC403" s="241" t="s">
        <v>372</v>
      </c>
      <c r="AD403" s="245">
        <v>36293</v>
      </c>
      <c r="AE403" s="241">
        <f t="shared" ca="1" si="49"/>
        <v>26</v>
      </c>
      <c r="AF403" s="246" t="s">
        <v>4623</v>
      </c>
      <c r="AG403" s="241" t="s">
        <v>4624</v>
      </c>
      <c r="AH403" s="246" t="s">
        <v>4625</v>
      </c>
      <c r="AI403" s="246">
        <v>83851380855</v>
      </c>
      <c r="AJ403" s="246">
        <v>83851380855</v>
      </c>
      <c r="AK403" s="241" t="s">
        <v>4626</v>
      </c>
      <c r="AL403" s="246" t="s">
        <v>4627</v>
      </c>
      <c r="AM403" s="114" t="s">
        <v>6739</v>
      </c>
      <c r="AN403" s="241" t="s">
        <v>4716</v>
      </c>
      <c r="AO403" s="241"/>
      <c r="AP403" s="241"/>
      <c r="AQ403" s="241"/>
      <c r="AR403" s="241"/>
      <c r="AS403" s="241"/>
      <c r="AT403" s="241" t="s">
        <v>6755</v>
      </c>
      <c r="AU403" s="241" t="s">
        <v>6756</v>
      </c>
      <c r="AV403" s="241"/>
      <c r="AW403" s="241"/>
      <c r="AX403" s="241">
        <f t="shared" si="50"/>
        <v>0</v>
      </c>
      <c r="AY403" s="241" t="str">
        <f t="shared" si="51"/>
        <v>TK/0</v>
      </c>
      <c r="AZ403" s="241"/>
      <c r="BA403" s="241"/>
      <c r="BB403" s="241" t="s">
        <v>161</v>
      </c>
      <c r="BC403" s="332" t="s">
        <v>156</v>
      </c>
      <c r="BD403" s="300" t="s">
        <v>4628</v>
      </c>
      <c r="BE403" s="241" t="s">
        <v>368</v>
      </c>
      <c r="BF403" s="241">
        <v>2022</v>
      </c>
      <c r="BG403" s="241" t="s">
        <v>156</v>
      </c>
      <c r="BH403" s="241" t="s">
        <v>4628</v>
      </c>
      <c r="BI403" s="241" t="s">
        <v>368</v>
      </c>
      <c r="BJ403" s="241">
        <v>2022</v>
      </c>
      <c r="BK403" s="241"/>
      <c r="BL403" s="241"/>
      <c r="BM403" s="241" t="s">
        <v>351</v>
      </c>
      <c r="BN403" s="241" t="s">
        <v>351</v>
      </c>
      <c r="BO403" s="241">
        <v>42</v>
      </c>
      <c r="BP403" s="241"/>
      <c r="BQ403" s="241"/>
      <c r="BR403" s="241"/>
      <c r="BS403" s="241"/>
      <c r="BT403" s="241"/>
      <c r="BU403" s="241"/>
      <c r="BV403" s="241"/>
      <c r="BW403" s="241"/>
      <c r="BX403" s="241"/>
      <c r="BY403" s="241"/>
      <c r="BZ403" s="241"/>
      <c r="CA403" s="241"/>
      <c r="CB403" s="241"/>
      <c r="CC403" s="241"/>
      <c r="CD403" s="241"/>
      <c r="CE403" s="241"/>
      <c r="CF403" s="13"/>
      <c r="CG403" s="13"/>
      <c r="CH403" s="13"/>
    </row>
    <row r="404" spans="1:86" ht="11.25" customHeight="1" x14ac:dyDescent="0.2">
      <c r="A404" s="13"/>
      <c r="B404" s="238">
        <v>400</v>
      </c>
      <c r="C404" s="241" t="e">
        <f t="shared" ca="1" si="48"/>
        <v>#NUM!</v>
      </c>
      <c r="D404" s="237" t="s">
        <v>4629</v>
      </c>
      <c r="E404" s="241">
        <v>642409225</v>
      </c>
      <c r="F404" s="246" t="s">
        <v>4630</v>
      </c>
      <c r="G404" s="246"/>
      <c r="H404" s="241" t="s">
        <v>217</v>
      </c>
      <c r="I404" s="241" t="s">
        <v>217</v>
      </c>
      <c r="J404" s="242">
        <v>45598</v>
      </c>
      <c r="K404" s="241"/>
      <c r="L404" s="241"/>
      <c r="M404" s="241" t="s">
        <v>14</v>
      </c>
      <c r="N404" s="241" t="s">
        <v>187</v>
      </c>
      <c r="O404" s="241"/>
      <c r="P404" s="245">
        <v>45657</v>
      </c>
      <c r="Q404" s="241"/>
      <c r="R404" s="241" t="s">
        <v>206</v>
      </c>
      <c r="S404" s="241" t="s">
        <v>6863</v>
      </c>
      <c r="T404" s="241" t="s">
        <v>312</v>
      </c>
      <c r="U404" s="257" t="s">
        <v>33</v>
      </c>
      <c r="V404" s="257" t="s">
        <v>7135</v>
      </c>
      <c r="W404" s="257" t="s">
        <v>51</v>
      </c>
      <c r="X404" s="241" t="s">
        <v>121</v>
      </c>
      <c r="Y404" s="241" t="s">
        <v>313</v>
      </c>
      <c r="Z404" s="241"/>
      <c r="AA404" s="245"/>
      <c r="AB404" s="241" t="s">
        <v>132</v>
      </c>
      <c r="AC404" s="241" t="s">
        <v>217</v>
      </c>
      <c r="AD404" s="245">
        <v>37105</v>
      </c>
      <c r="AE404" s="241">
        <f t="shared" ca="1" si="49"/>
        <v>24</v>
      </c>
      <c r="AF404" s="246" t="s">
        <v>4631</v>
      </c>
      <c r="AG404" s="241" t="s">
        <v>4632</v>
      </c>
      <c r="AH404" s="246" t="s">
        <v>4633</v>
      </c>
      <c r="AI404" s="246" t="s">
        <v>4633</v>
      </c>
      <c r="AJ404" s="246" t="s">
        <v>4633</v>
      </c>
      <c r="AK404" s="241" t="s">
        <v>4634</v>
      </c>
      <c r="AL404" s="246" t="s">
        <v>4635</v>
      </c>
      <c r="AM404" s="246" t="s">
        <v>6738</v>
      </c>
      <c r="AN404" s="246" t="s">
        <v>4716</v>
      </c>
      <c r="AO404" s="246"/>
      <c r="AP404" s="241"/>
      <c r="AQ404" s="241"/>
      <c r="AR404" s="241"/>
      <c r="AS404" s="241"/>
      <c r="AT404" s="241" t="s">
        <v>6757</v>
      </c>
      <c r="AU404" s="241" t="s">
        <v>6758</v>
      </c>
      <c r="AV404" s="241"/>
      <c r="AW404" s="241"/>
      <c r="AX404" s="241">
        <f t="shared" si="50"/>
        <v>0</v>
      </c>
      <c r="AY404" s="241" t="str">
        <f t="shared" si="51"/>
        <v>TK/0</v>
      </c>
      <c r="AZ404" s="241"/>
      <c r="BA404" s="241" t="s">
        <v>337</v>
      </c>
      <c r="BB404" s="241" t="s">
        <v>359</v>
      </c>
      <c r="BC404" s="326" t="s">
        <v>156</v>
      </c>
      <c r="BD404" s="256" t="s">
        <v>4628</v>
      </c>
      <c r="BE404" s="241" t="s">
        <v>72</v>
      </c>
      <c r="BF404" s="241">
        <v>2024</v>
      </c>
      <c r="BG404" s="241" t="s">
        <v>156</v>
      </c>
      <c r="BH404" s="241" t="s">
        <v>4628</v>
      </c>
      <c r="BI404" s="241" t="s">
        <v>72</v>
      </c>
      <c r="BJ404" s="241">
        <v>2024</v>
      </c>
      <c r="BK404" s="241"/>
      <c r="BL404" s="241"/>
      <c r="BM404" s="241" t="s">
        <v>351</v>
      </c>
      <c r="BN404" s="241" t="s">
        <v>351</v>
      </c>
      <c r="BO404" s="241">
        <v>42</v>
      </c>
      <c r="BP404" s="241"/>
      <c r="BQ404" s="241"/>
      <c r="BR404" s="241"/>
      <c r="BS404" s="241"/>
      <c r="BT404" s="241"/>
      <c r="BU404" s="241"/>
      <c r="BV404" s="241"/>
      <c r="BW404" s="241"/>
      <c r="BX404" s="241"/>
      <c r="BY404" s="241"/>
      <c r="BZ404" s="241"/>
      <c r="CA404" s="241"/>
      <c r="CB404" s="241"/>
      <c r="CC404" s="241"/>
      <c r="CD404" s="241"/>
      <c r="CE404" s="241"/>
      <c r="CF404" s="13"/>
      <c r="CG404" s="13"/>
      <c r="CH404" s="13"/>
    </row>
    <row r="405" spans="1:86" ht="11.25" customHeight="1" x14ac:dyDescent="0.2">
      <c r="A405" s="13"/>
      <c r="B405" s="238">
        <v>401</v>
      </c>
      <c r="C405" s="241" t="e">
        <f t="shared" ca="1" si="48"/>
        <v>#NUM!</v>
      </c>
      <c r="D405" s="249" t="s">
        <v>4636</v>
      </c>
      <c r="E405" s="241">
        <v>642409226</v>
      </c>
      <c r="F405" s="246" t="s">
        <v>4637</v>
      </c>
      <c r="G405" s="246"/>
      <c r="H405" s="241" t="s">
        <v>217</v>
      </c>
      <c r="I405" s="241" t="s">
        <v>311</v>
      </c>
      <c r="J405" s="242">
        <v>45598</v>
      </c>
      <c r="K405" s="241"/>
      <c r="L405" s="241"/>
      <c r="M405" s="241" t="s">
        <v>14</v>
      </c>
      <c r="N405" s="241" t="s">
        <v>187</v>
      </c>
      <c r="O405" s="241"/>
      <c r="P405" s="245">
        <v>45657</v>
      </c>
      <c r="Q405" s="241"/>
      <c r="R405" s="241" t="s">
        <v>206</v>
      </c>
      <c r="S405" s="241" t="s">
        <v>6863</v>
      </c>
      <c r="T405" s="241" t="s">
        <v>312</v>
      </c>
      <c r="U405" s="257" t="s">
        <v>33</v>
      </c>
      <c r="V405" s="257" t="s">
        <v>7135</v>
      </c>
      <c r="W405" s="257" t="s">
        <v>51</v>
      </c>
      <c r="X405" s="241" t="s">
        <v>121</v>
      </c>
      <c r="Y405" s="241" t="s">
        <v>313</v>
      </c>
      <c r="Z405" s="241"/>
      <c r="AA405" s="245"/>
      <c r="AB405" s="241" t="s">
        <v>132</v>
      </c>
      <c r="AC405" s="241" t="s">
        <v>311</v>
      </c>
      <c r="AD405" s="245">
        <v>37685</v>
      </c>
      <c r="AE405" s="241">
        <f t="shared" ca="1" si="49"/>
        <v>22</v>
      </c>
      <c r="AF405" s="246" t="s">
        <v>4638</v>
      </c>
      <c r="AG405" s="241" t="s">
        <v>4639</v>
      </c>
      <c r="AH405" s="246" t="s">
        <v>4640</v>
      </c>
      <c r="AI405" s="246" t="s">
        <v>4640</v>
      </c>
      <c r="AJ405" s="246" t="s">
        <v>4640</v>
      </c>
      <c r="AK405" s="241" t="s">
        <v>4641</v>
      </c>
      <c r="AL405" s="246" t="s">
        <v>4642</v>
      </c>
      <c r="AM405" s="246" t="s">
        <v>6737</v>
      </c>
      <c r="AN405" s="246" t="s">
        <v>4716</v>
      </c>
      <c r="AO405" s="246"/>
      <c r="AP405" s="241"/>
      <c r="AQ405" s="241"/>
      <c r="AR405" s="241"/>
      <c r="AS405" s="241"/>
      <c r="AT405" s="241" t="s">
        <v>4643</v>
      </c>
      <c r="AU405" s="241" t="s">
        <v>4644</v>
      </c>
      <c r="AV405" s="241"/>
      <c r="AW405" s="241"/>
      <c r="AX405" s="241">
        <f t="shared" si="50"/>
        <v>0</v>
      </c>
      <c r="AY405" s="241" t="str">
        <f t="shared" si="51"/>
        <v>TK/0</v>
      </c>
      <c r="AZ405" s="241"/>
      <c r="BA405" s="241"/>
      <c r="BB405" s="241" t="s">
        <v>161</v>
      </c>
      <c r="BC405" s="332" t="s">
        <v>349</v>
      </c>
      <c r="BD405" s="300" t="s">
        <v>515</v>
      </c>
      <c r="BE405" s="241" t="s">
        <v>775</v>
      </c>
      <c r="BF405" s="241">
        <v>2021</v>
      </c>
      <c r="BG405" s="241" t="s">
        <v>349</v>
      </c>
      <c r="BH405" s="241" t="s">
        <v>515</v>
      </c>
      <c r="BI405" s="241" t="s">
        <v>775</v>
      </c>
      <c r="BJ405" s="241">
        <v>2021</v>
      </c>
      <c r="BK405" s="241"/>
      <c r="BL405" s="241"/>
      <c r="BM405" s="241" t="s">
        <v>339</v>
      </c>
      <c r="BN405" s="241" t="s">
        <v>339</v>
      </c>
      <c r="BO405" s="241">
        <v>43</v>
      </c>
      <c r="BP405" s="241"/>
      <c r="BQ405" s="241"/>
      <c r="BR405" s="241"/>
      <c r="BS405" s="241"/>
      <c r="BT405" s="241"/>
      <c r="BU405" s="241"/>
      <c r="BV405" s="241"/>
      <c r="BW405" s="241"/>
      <c r="BX405" s="241"/>
      <c r="BY405" s="241"/>
      <c r="BZ405" s="241"/>
      <c r="CA405" s="241"/>
      <c r="CB405" s="241"/>
      <c r="CC405" s="241"/>
      <c r="CD405" s="241"/>
      <c r="CE405" s="241"/>
      <c r="CF405" s="13"/>
      <c r="CG405" s="13"/>
      <c r="CH405" s="13"/>
    </row>
    <row r="406" spans="1:86" ht="11.25" customHeight="1" x14ac:dyDescent="0.2">
      <c r="A406" s="13"/>
      <c r="B406" s="238">
        <v>402</v>
      </c>
      <c r="C406" s="241" t="e">
        <f t="shared" ca="1" si="48"/>
        <v>#NUM!</v>
      </c>
      <c r="D406" s="249" t="s">
        <v>4645</v>
      </c>
      <c r="E406" s="241">
        <v>642409227</v>
      </c>
      <c r="F406" s="246" t="s">
        <v>4646</v>
      </c>
      <c r="G406" s="246"/>
      <c r="H406" s="241" t="s">
        <v>217</v>
      </c>
      <c r="I406" s="241" t="s">
        <v>695</v>
      </c>
      <c r="J406" s="242">
        <v>45598</v>
      </c>
      <c r="K406" s="241"/>
      <c r="L406" s="241"/>
      <c r="M406" s="241" t="s">
        <v>14</v>
      </c>
      <c r="N406" s="241" t="s">
        <v>187</v>
      </c>
      <c r="O406" s="241"/>
      <c r="P406" s="245">
        <v>45657</v>
      </c>
      <c r="Q406" s="241"/>
      <c r="R406" s="241" t="s">
        <v>206</v>
      </c>
      <c r="S406" s="241" t="s">
        <v>6863</v>
      </c>
      <c r="T406" s="241" t="s">
        <v>312</v>
      </c>
      <c r="U406" s="257" t="s">
        <v>33</v>
      </c>
      <c r="V406" s="257" t="s">
        <v>7135</v>
      </c>
      <c r="W406" s="257" t="s">
        <v>51</v>
      </c>
      <c r="X406" s="241" t="s">
        <v>121</v>
      </c>
      <c r="Y406" s="241" t="s">
        <v>313</v>
      </c>
      <c r="Z406" s="241"/>
      <c r="AA406" s="245"/>
      <c r="AB406" s="241" t="s">
        <v>132</v>
      </c>
      <c r="AC406" s="241" t="s">
        <v>695</v>
      </c>
      <c r="AD406" s="245">
        <v>37070</v>
      </c>
      <c r="AE406" s="241">
        <f t="shared" ca="1" si="49"/>
        <v>24</v>
      </c>
      <c r="AF406" s="246" t="s">
        <v>4647</v>
      </c>
      <c r="AG406" s="241" t="s">
        <v>4648</v>
      </c>
      <c r="AH406" s="246" t="s">
        <v>4649</v>
      </c>
      <c r="AI406" s="246" t="s">
        <v>4649</v>
      </c>
      <c r="AJ406" s="246" t="s">
        <v>4649</v>
      </c>
      <c r="AK406" s="241" t="s">
        <v>4650</v>
      </c>
      <c r="AL406" s="246" t="s">
        <v>4651</v>
      </c>
      <c r="AM406" s="246" t="s">
        <v>6736</v>
      </c>
      <c r="AN406" s="241" t="s">
        <v>4716</v>
      </c>
      <c r="AO406" s="241"/>
      <c r="AP406" s="241"/>
      <c r="AQ406" s="241"/>
      <c r="AR406" s="241"/>
      <c r="AS406" s="241"/>
      <c r="AT406" s="241" t="s">
        <v>6759</v>
      </c>
      <c r="AU406" s="241" t="s">
        <v>6760</v>
      </c>
      <c r="AV406" s="241"/>
      <c r="AW406" s="241"/>
      <c r="AX406" s="241">
        <f t="shared" si="50"/>
        <v>0</v>
      </c>
      <c r="AY406" s="241" t="str">
        <f t="shared" si="51"/>
        <v>TK/0</v>
      </c>
      <c r="AZ406" s="241"/>
      <c r="BA406" s="241"/>
      <c r="BB406" s="241" t="s">
        <v>161</v>
      </c>
      <c r="BC406" s="326" t="s">
        <v>4652</v>
      </c>
      <c r="BD406" s="256" t="s">
        <v>3884</v>
      </c>
      <c r="BE406" s="241" t="s">
        <v>72</v>
      </c>
      <c r="BF406" s="241">
        <v>2024</v>
      </c>
      <c r="BG406" s="241" t="s">
        <v>4652</v>
      </c>
      <c r="BH406" s="241" t="s">
        <v>3884</v>
      </c>
      <c r="BI406" s="241" t="s">
        <v>72</v>
      </c>
      <c r="BJ406" s="241">
        <v>2024</v>
      </c>
      <c r="BK406" s="241"/>
      <c r="BL406" s="241"/>
      <c r="BM406" s="241" t="s">
        <v>369</v>
      </c>
      <c r="BN406" s="241" t="s">
        <v>369</v>
      </c>
      <c r="BO406" s="241">
        <v>42</v>
      </c>
      <c r="BP406" s="241"/>
      <c r="BQ406" s="241"/>
      <c r="BR406" s="241"/>
      <c r="BS406" s="241"/>
      <c r="BT406" s="241"/>
      <c r="BU406" s="241"/>
      <c r="BV406" s="241"/>
      <c r="BW406" s="241"/>
      <c r="BX406" s="241"/>
      <c r="BY406" s="241"/>
      <c r="BZ406" s="241"/>
      <c r="CA406" s="241"/>
      <c r="CB406" s="241"/>
      <c r="CC406" s="241"/>
      <c r="CD406" s="241"/>
      <c r="CE406" s="241"/>
      <c r="CF406" s="13"/>
      <c r="CG406" s="13"/>
      <c r="CH406" s="13"/>
    </row>
    <row r="407" spans="1:86" ht="11.25" customHeight="1" x14ac:dyDescent="0.2">
      <c r="A407" s="13"/>
      <c r="B407" s="238">
        <v>403</v>
      </c>
      <c r="C407" s="241" t="e">
        <f t="shared" ca="1" si="48"/>
        <v>#NUM!</v>
      </c>
      <c r="D407" s="249" t="s">
        <v>4653</v>
      </c>
      <c r="E407" s="241">
        <v>642409228</v>
      </c>
      <c r="F407" s="246" t="s">
        <v>4654</v>
      </c>
      <c r="G407" s="246"/>
      <c r="H407" s="241" t="s">
        <v>217</v>
      </c>
      <c r="I407" s="241" t="s">
        <v>2492</v>
      </c>
      <c r="J407" s="242">
        <v>45598</v>
      </c>
      <c r="K407" s="241"/>
      <c r="L407" s="241"/>
      <c r="M407" s="241" t="s">
        <v>14</v>
      </c>
      <c r="N407" s="241" t="s">
        <v>187</v>
      </c>
      <c r="O407" s="241"/>
      <c r="P407" s="245">
        <v>45657</v>
      </c>
      <c r="Q407" s="241"/>
      <c r="R407" s="241" t="s">
        <v>206</v>
      </c>
      <c r="S407" s="241" t="s">
        <v>6863</v>
      </c>
      <c r="T407" s="241" t="s">
        <v>312</v>
      </c>
      <c r="U407" s="257" t="s">
        <v>33</v>
      </c>
      <c r="V407" s="257" t="s">
        <v>7135</v>
      </c>
      <c r="W407" s="257" t="s">
        <v>51</v>
      </c>
      <c r="X407" s="241" t="s">
        <v>121</v>
      </c>
      <c r="Y407" s="241" t="s">
        <v>313</v>
      </c>
      <c r="Z407" s="241"/>
      <c r="AA407" s="245"/>
      <c r="AB407" s="241" t="s">
        <v>132</v>
      </c>
      <c r="AC407" s="241" t="s">
        <v>2492</v>
      </c>
      <c r="AD407" s="245">
        <v>37291</v>
      </c>
      <c r="AE407" s="241">
        <f t="shared" ca="1" si="49"/>
        <v>23</v>
      </c>
      <c r="AF407" s="246" t="s">
        <v>4655</v>
      </c>
      <c r="AG407" s="241" t="s">
        <v>4656</v>
      </c>
      <c r="AH407" s="246" t="s">
        <v>4657</v>
      </c>
      <c r="AI407" s="246" t="s">
        <v>4658</v>
      </c>
      <c r="AJ407" s="246" t="s">
        <v>4658</v>
      </c>
      <c r="AK407" s="241" t="s">
        <v>4659</v>
      </c>
      <c r="AL407" s="246" t="s">
        <v>4660</v>
      </c>
      <c r="AM407" s="246" t="s">
        <v>6735</v>
      </c>
      <c r="AN407" s="241" t="s">
        <v>4716</v>
      </c>
      <c r="AO407" s="241"/>
      <c r="AP407" s="241"/>
      <c r="AQ407" s="241"/>
      <c r="AR407" s="241"/>
      <c r="AS407" s="241"/>
      <c r="AT407" s="241" t="s">
        <v>4661</v>
      </c>
      <c r="AU407" s="241" t="s">
        <v>4662</v>
      </c>
      <c r="AV407" s="241"/>
      <c r="AW407" s="241"/>
      <c r="AX407" s="241">
        <f t="shared" si="50"/>
        <v>0</v>
      </c>
      <c r="AY407" s="241" t="str">
        <f t="shared" si="51"/>
        <v>TK/0</v>
      </c>
      <c r="AZ407" s="241"/>
      <c r="BA407" s="241"/>
      <c r="BB407" s="241" t="s">
        <v>161</v>
      </c>
      <c r="BC407" s="332" t="s">
        <v>70</v>
      </c>
      <c r="BD407" s="256" t="s">
        <v>99</v>
      </c>
      <c r="BE407" s="241" t="s">
        <v>100</v>
      </c>
      <c r="BF407" s="241">
        <v>2024</v>
      </c>
      <c r="BG407" s="241" t="s">
        <v>70</v>
      </c>
      <c r="BH407" s="256" t="s">
        <v>99</v>
      </c>
      <c r="BI407" s="241" t="s">
        <v>100</v>
      </c>
      <c r="BJ407" s="241">
        <v>2024</v>
      </c>
      <c r="BK407" s="241"/>
      <c r="BL407" s="241"/>
      <c r="BM407" s="241" t="s">
        <v>351</v>
      </c>
      <c r="BN407" s="241" t="s">
        <v>351</v>
      </c>
      <c r="BO407" s="241">
        <v>45</v>
      </c>
      <c r="BP407" s="241"/>
      <c r="BQ407" s="241"/>
      <c r="BR407" s="241"/>
      <c r="BS407" s="241"/>
      <c r="BT407" s="241"/>
      <c r="BU407" s="241"/>
      <c r="BV407" s="241"/>
      <c r="BW407" s="241"/>
      <c r="BX407" s="241"/>
      <c r="BY407" s="241"/>
      <c r="BZ407" s="241"/>
      <c r="CA407" s="241"/>
      <c r="CB407" s="241"/>
      <c r="CC407" s="241"/>
      <c r="CD407" s="241"/>
      <c r="CE407" s="241"/>
      <c r="CF407" s="13"/>
      <c r="CG407" s="13"/>
      <c r="CH407" s="13"/>
    </row>
    <row r="408" spans="1:86" ht="11.25" customHeight="1" x14ac:dyDescent="0.2">
      <c r="A408" s="13"/>
      <c r="B408" s="238">
        <v>404</v>
      </c>
      <c r="C408" s="241" t="e">
        <f t="shared" ca="1" si="48"/>
        <v>#NUM!</v>
      </c>
      <c r="D408" s="323" t="s">
        <v>4663</v>
      </c>
      <c r="E408" s="241">
        <v>642409229</v>
      </c>
      <c r="F408" s="246" t="s">
        <v>4664</v>
      </c>
      <c r="G408" s="246"/>
      <c r="H408" s="241" t="s">
        <v>217</v>
      </c>
      <c r="I408" s="241" t="s">
        <v>217</v>
      </c>
      <c r="J408" s="242">
        <v>45598</v>
      </c>
      <c r="K408" s="241"/>
      <c r="L408" s="241"/>
      <c r="M408" s="241" t="s">
        <v>14</v>
      </c>
      <c r="N408" s="241" t="s">
        <v>187</v>
      </c>
      <c r="O408" s="241"/>
      <c r="P408" s="245">
        <v>45657</v>
      </c>
      <c r="Q408" s="241"/>
      <c r="R408" s="241" t="s">
        <v>206</v>
      </c>
      <c r="S408" s="241" t="s">
        <v>6863</v>
      </c>
      <c r="T408" s="241" t="s">
        <v>312</v>
      </c>
      <c r="U408" s="241" t="s">
        <v>187</v>
      </c>
      <c r="V408" s="241" t="s">
        <v>1115</v>
      </c>
      <c r="W408" s="241" t="s">
        <v>119</v>
      </c>
      <c r="X408" s="241" t="s">
        <v>120</v>
      </c>
      <c r="Y408" s="241" t="s">
        <v>313</v>
      </c>
      <c r="Z408" s="241"/>
      <c r="AA408" s="255"/>
      <c r="AB408" s="241" t="s">
        <v>132</v>
      </c>
      <c r="AC408" s="241" t="s">
        <v>217</v>
      </c>
      <c r="AD408" s="245">
        <v>37267</v>
      </c>
      <c r="AE408" s="241">
        <f t="shared" ca="1" si="49"/>
        <v>23</v>
      </c>
      <c r="AF408" s="246" t="s">
        <v>4665</v>
      </c>
      <c r="AG408" s="241" t="s">
        <v>4666</v>
      </c>
      <c r="AH408" s="246" t="s">
        <v>4667</v>
      </c>
      <c r="AI408" s="246" t="s">
        <v>4667</v>
      </c>
      <c r="AJ408" s="246" t="s">
        <v>4667</v>
      </c>
      <c r="AK408" s="241" t="s">
        <v>4668</v>
      </c>
      <c r="AL408" s="246" t="s">
        <v>4669</v>
      </c>
      <c r="AM408" s="246" t="s">
        <v>6734</v>
      </c>
      <c r="AN408" s="241" t="s">
        <v>4716</v>
      </c>
      <c r="AO408" s="241"/>
      <c r="AP408" s="241"/>
      <c r="AQ408" s="241"/>
      <c r="AR408" s="241"/>
      <c r="AS408" s="241"/>
      <c r="AT408" s="241" t="s">
        <v>6761</v>
      </c>
      <c r="AU408" s="241" t="s">
        <v>6762</v>
      </c>
      <c r="AV408" s="241"/>
      <c r="AW408" s="241"/>
      <c r="AX408" s="241">
        <f t="shared" si="50"/>
        <v>0</v>
      </c>
      <c r="AY408" s="241" t="str">
        <f t="shared" si="51"/>
        <v>TK/0</v>
      </c>
      <c r="AZ408" s="241"/>
      <c r="BA408" s="241"/>
      <c r="BB408" s="241" t="s">
        <v>161</v>
      </c>
      <c r="BC408" s="326" t="s">
        <v>156</v>
      </c>
      <c r="BD408" s="256" t="s">
        <v>3884</v>
      </c>
      <c r="BE408" s="241" t="s">
        <v>72</v>
      </c>
      <c r="BF408" s="241">
        <v>2024</v>
      </c>
      <c r="BG408" s="241" t="s">
        <v>156</v>
      </c>
      <c r="BH408" s="256" t="s">
        <v>3884</v>
      </c>
      <c r="BI408" s="241" t="s">
        <v>72</v>
      </c>
      <c r="BJ408" s="241">
        <v>2024</v>
      </c>
      <c r="BK408" s="241"/>
      <c r="BL408" s="241"/>
      <c r="BM408" s="241" t="s">
        <v>369</v>
      </c>
      <c r="BN408" s="241" t="s">
        <v>1699</v>
      </c>
      <c r="BO408" s="241">
        <v>45</v>
      </c>
      <c r="BP408" s="241"/>
      <c r="BQ408" s="241"/>
      <c r="BR408" s="241"/>
      <c r="BS408" s="241"/>
      <c r="BT408" s="241"/>
      <c r="BU408" s="241"/>
      <c r="BV408" s="241"/>
      <c r="BW408" s="241"/>
      <c r="BX408" s="241"/>
      <c r="BY408" s="241"/>
      <c r="BZ408" s="241"/>
      <c r="CA408" s="241"/>
      <c r="CB408" s="241"/>
      <c r="CC408" s="241"/>
      <c r="CD408" s="241"/>
      <c r="CE408" s="241"/>
      <c r="CF408" s="13"/>
      <c r="CG408" s="13"/>
      <c r="CH408" s="13"/>
    </row>
    <row r="409" spans="1:86" ht="11.25" customHeight="1" x14ac:dyDescent="0.2">
      <c r="A409" s="13"/>
      <c r="B409" s="238">
        <v>405</v>
      </c>
      <c r="C409" s="241" t="e">
        <f t="shared" ca="1" si="48"/>
        <v>#NUM!</v>
      </c>
      <c r="D409" s="323" t="s">
        <v>4670</v>
      </c>
      <c r="E409" s="241">
        <v>642409230</v>
      </c>
      <c r="F409" s="246" t="s">
        <v>4671</v>
      </c>
      <c r="G409" s="246"/>
      <c r="H409" s="241" t="s">
        <v>217</v>
      </c>
      <c r="I409" s="241" t="s">
        <v>311</v>
      </c>
      <c r="J409" s="242">
        <v>45598</v>
      </c>
      <c r="K409" s="241"/>
      <c r="L409" s="241"/>
      <c r="M409" s="241" t="s">
        <v>14</v>
      </c>
      <c r="N409" s="241" t="s">
        <v>187</v>
      </c>
      <c r="O409" s="241"/>
      <c r="P409" s="245">
        <v>45657</v>
      </c>
      <c r="Q409" s="241"/>
      <c r="R409" s="241" t="s">
        <v>206</v>
      </c>
      <c r="S409" s="241" t="s">
        <v>6863</v>
      </c>
      <c r="T409" s="241" t="s">
        <v>312</v>
      </c>
      <c r="U409" s="257" t="s">
        <v>33</v>
      </c>
      <c r="V409" s="257" t="s">
        <v>7135</v>
      </c>
      <c r="W409" s="257" t="s">
        <v>51</v>
      </c>
      <c r="X409" s="241" t="s">
        <v>121</v>
      </c>
      <c r="Y409" s="241" t="s">
        <v>313</v>
      </c>
      <c r="Z409" s="241"/>
      <c r="AA409" s="255"/>
      <c r="AB409" s="241" t="s">
        <v>132</v>
      </c>
      <c r="AC409" s="241" t="s">
        <v>311</v>
      </c>
      <c r="AD409" s="245">
        <v>36632</v>
      </c>
      <c r="AE409" s="241">
        <f t="shared" ca="1" si="49"/>
        <v>25</v>
      </c>
      <c r="AF409" s="246" t="s">
        <v>4672</v>
      </c>
      <c r="AG409" s="241" t="s">
        <v>4673</v>
      </c>
      <c r="AH409" s="246" t="s">
        <v>4674</v>
      </c>
      <c r="AI409" s="246" t="s">
        <v>4674</v>
      </c>
      <c r="AJ409" s="246" t="s">
        <v>4674</v>
      </c>
      <c r="AK409" s="241" t="s">
        <v>4675</v>
      </c>
      <c r="AL409" s="246" t="s">
        <v>4676</v>
      </c>
      <c r="AM409" s="246" t="s">
        <v>6733</v>
      </c>
      <c r="AN409" s="241" t="s">
        <v>4716</v>
      </c>
      <c r="AO409" s="241"/>
      <c r="AP409" s="241"/>
      <c r="AQ409" s="241"/>
      <c r="AR409" s="241"/>
      <c r="AS409" s="241"/>
      <c r="AT409" s="241" t="s">
        <v>4677</v>
      </c>
      <c r="AU409" s="241" t="s">
        <v>3214</v>
      </c>
      <c r="AV409" s="241"/>
      <c r="AW409" s="241"/>
      <c r="AX409" s="241">
        <f t="shared" si="50"/>
        <v>0</v>
      </c>
      <c r="AY409" s="241" t="str">
        <f t="shared" si="51"/>
        <v>TK/0</v>
      </c>
      <c r="AZ409" s="241"/>
      <c r="BA409" s="241"/>
      <c r="BB409" s="241" t="s">
        <v>161</v>
      </c>
      <c r="BC409" s="332" t="s">
        <v>156</v>
      </c>
      <c r="BD409" s="300" t="s">
        <v>3884</v>
      </c>
      <c r="BE409" s="241" t="s">
        <v>72</v>
      </c>
      <c r="BF409" s="241">
        <v>2022</v>
      </c>
      <c r="BG409" s="241" t="s">
        <v>156</v>
      </c>
      <c r="BH409" s="241" t="s">
        <v>3884</v>
      </c>
      <c r="BI409" s="241" t="s">
        <v>72</v>
      </c>
      <c r="BJ409" s="241">
        <v>2022</v>
      </c>
      <c r="BK409" s="241"/>
      <c r="BL409" s="241"/>
      <c r="BM409" s="241" t="s">
        <v>360</v>
      </c>
      <c r="BN409" s="241" t="s">
        <v>360</v>
      </c>
      <c r="BO409" s="241">
        <v>39</v>
      </c>
      <c r="BP409" s="241"/>
      <c r="BQ409" s="241"/>
      <c r="BR409" s="241"/>
      <c r="BS409" s="241"/>
      <c r="BT409" s="241"/>
      <c r="BU409" s="241"/>
      <c r="BV409" s="241"/>
      <c r="BW409" s="241"/>
      <c r="BX409" s="241"/>
      <c r="BY409" s="241"/>
      <c r="BZ409" s="241"/>
      <c r="CA409" s="241"/>
      <c r="CB409" s="241"/>
      <c r="CC409" s="241"/>
      <c r="CD409" s="241"/>
      <c r="CE409" s="241"/>
      <c r="CF409" s="13"/>
      <c r="CG409" s="13"/>
      <c r="CH409" s="13"/>
    </row>
    <row r="410" spans="1:86" ht="11.25" customHeight="1" x14ac:dyDescent="0.2">
      <c r="A410" s="13"/>
      <c r="B410" s="238">
        <v>406</v>
      </c>
      <c r="C410" s="241" t="e">
        <f t="shared" ca="1" si="48"/>
        <v>#NUM!</v>
      </c>
      <c r="D410" s="249" t="s">
        <v>330</v>
      </c>
      <c r="E410" s="241">
        <v>642409231</v>
      </c>
      <c r="F410" s="246" t="s">
        <v>331</v>
      </c>
      <c r="G410" s="246"/>
      <c r="H410" s="241" t="s">
        <v>217</v>
      </c>
      <c r="I410" s="241" t="s">
        <v>217</v>
      </c>
      <c r="J410" s="242">
        <v>45598</v>
      </c>
      <c r="K410" s="241"/>
      <c r="L410" s="241"/>
      <c r="M410" s="241" t="s">
        <v>14</v>
      </c>
      <c r="N410" s="241" t="s">
        <v>187</v>
      </c>
      <c r="O410" s="241"/>
      <c r="P410" s="245">
        <v>45657</v>
      </c>
      <c r="Q410" s="241"/>
      <c r="R410" s="241" t="s">
        <v>206</v>
      </c>
      <c r="S410" s="241" t="s">
        <v>6863</v>
      </c>
      <c r="T410" s="241" t="s">
        <v>312</v>
      </c>
      <c r="U410" s="257" t="s">
        <v>33</v>
      </c>
      <c r="V410" s="257" t="s">
        <v>7135</v>
      </c>
      <c r="W410" s="257" t="s">
        <v>51</v>
      </c>
      <c r="X410" s="241" t="s">
        <v>121</v>
      </c>
      <c r="Y410" s="241" t="s">
        <v>313</v>
      </c>
      <c r="Z410" s="241"/>
      <c r="AA410" s="255"/>
      <c r="AB410" s="241" t="s">
        <v>132</v>
      </c>
      <c r="AC410" s="241" t="s">
        <v>217</v>
      </c>
      <c r="AD410" s="245">
        <v>36998</v>
      </c>
      <c r="AE410" s="241">
        <f t="shared" ca="1" si="49"/>
        <v>24</v>
      </c>
      <c r="AF410" s="246" t="s">
        <v>332</v>
      </c>
      <c r="AG410" s="241" t="s">
        <v>333</v>
      </c>
      <c r="AH410" s="246" t="s">
        <v>334</v>
      </c>
      <c r="AI410" s="246" t="s">
        <v>334</v>
      </c>
      <c r="AJ410" s="246" t="s">
        <v>334</v>
      </c>
      <c r="AK410" s="241" t="s">
        <v>335</v>
      </c>
      <c r="AL410" s="246" t="s">
        <v>336</v>
      </c>
      <c r="AM410" s="246" t="s">
        <v>6732</v>
      </c>
      <c r="AN410" s="241" t="s">
        <v>4716</v>
      </c>
      <c r="AO410" s="241"/>
      <c r="AP410" s="241"/>
      <c r="AQ410" s="241"/>
      <c r="AR410" s="241"/>
      <c r="AS410" s="241"/>
      <c r="AT410" s="241" t="s">
        <v>6763</v>
      </c>
      <c r="AU410" s="241" t="s">
        <v>6764</v>
      </c>
      <c r="AV410" s="241"/>
      <c r="AW410" s="241"/>
      <c r="AX410" s="241">
        <f t="shared" si="50"/>
        <v>0</v>
      </c>
      <c r="AY410" s="241" t="str">
        <f t="shared" si="51"/>
        <v>TK/0</v>
      </c>
      <c r="AZ410" s="241"/>
      <c r="BA410" s="241" t="s">
        <v>337</v>
      </c>
      <c r="BB410" s="241" t="s">
        <v>338</v>
      </c>
      <c r="BC410" s="326" t="s">
        <v>75</v>
      </c>
      <c r="BD410" s="256" t="s">
        <v>91</v>
      </c>
      <c r="BE410" s="241" t="s">
        <v>4064</v>
      </c>
      <c r="BF410" s="241">
        <v>2024</v>
      </c>
      <c r="BG410" s="241" t="s">
        <v>75</v>
      </c>
      <c r="BH410" s="241" t="s">
        <v>91</v>
      </c>
      <c r="BI410" s="241" t="s">
        <v>4064</v>
      </c>
      <c r="BJ410" s="241">
        <v>2024</v>
      </c>
      <c r="BK410" s="241"/>
      <c r="BL410" s="241"/>
      <c r="BM410" s="241" t="s">
        <v>339</v>
      </c>
      <c r="BN410" s="241" t="s">
        <v>339</v>
      </c>
      <c r="BO410" s="241">
        <v>43</v>
      </c>
      <c r="BP410" s="241"/>
      <c r="BQ410" s="241"/>
      <c r="BR410" s="241"/>
      <c r="BS410" s="241"/>
      <c r="BT410" s="241"/>
      <c r="BU410" s="241"/>
      <c r="BV410" s="241"/>
      <c r="BW410" s="241"/>
      <c r="BX410" s="241"/>
      <c r="BY410" s="241"/>
      <c r="BZ410" s="241"/>
      <c r="CA410" s="241"/>
      <c r="CB410" s="241"/>
      <c r="CC410" s="241"/>
      <c r="CD410" s="241"/>
      <c r="CE410" s="241"/>
      <c r="CF410" s="13"/>
      <c r="CG410" s="13"/>
      <c r="CH410" s="13"/>
    </row>
    <row r="411" spans="1:86" ht="11.25" customHeight="1" x14ac:dyDescent="0.2">
      <c r="A411" s="13"/>
      <c r="B411" s="238">
        <v>407</v>
      </c>
      <c r="C411" s="241" t="e">
        <f t="shared" ca="1" si="48"/>
        <v>#NUM!</v>
      </c>
      <c r="D411" s="249" t="s">
        <v>4678</v>
      </c>
      <c r="E411" s="241">
        <v>642409232</v>
      </c>
      <c r="F411" s="246" t="s">
        <v>4679</v>
      </c>
      <c r="G411" s="246"/>
      <c r="H411" s="241" t="s">
        <v>217</v>
      </c>
      <c r="I411" s="241" t="s">
        <v>1533</v>
      </c>
      <c r="J411" s="242">
        <v>45598</v>
      </c>
      <c r="K411" s="241"/>
      <c r="L411" s="241"/>
      <c r="M411" s="241" t="s">
        <v>14</v>
      </c>
      <c r="N411" s="241" t="s">
        <v>187</v>
      </c>
      <c r="O411" s="241"/>
      <c r="P411" s="245">
        <v>45657</v>
      </c>
      <c r="Q411" s="241"/>
      <c r="R411" s="241" t="s">
        <v>206</v>
      </c>
      <c r="S411" s="241" t="s">
        <v>6863</v>
      </c>
      <c r="T411" s="241" t="s">
        <v>312</v>
      </c>
      <c r="U411" s="257" t="s">
        <v>33</v>
      </c>
      <c r="V411" s="257" t="s">
        <v>7135</v>
      </c>
      <c r="W411" s="257" t="s">
        <v>51</v>
      </c>
      <c r="X411" s="241" t="s">
        <v>121</v>
      </c>
      <c r="Y411" s="241" t="s">
        <v>313</v>
      </c>
      <c r="Z411" s="241"/>
      <c r="AA411" s="255"/>
      <c r="AB411" s="241" t="s">
        <v>132</v>
      </c>
      <c r="AC411" s="241" t="s">
        <v>4680</v>
      </c>
      <c r="AD411" s="245">
        <v>37167</v>
      </c>
      <c r="AE411" s="241">
        <f t="shared" ca="1" si="49"/>
        <v>23</v>
      </c>
      <c r="AF411" s="246" t="s">
        <v>4681</v>
      </c>
      <c r="AG411" s="241" t="s">
        <v>4682</v>
      </c>
      <c r="AH411" s="246" t="s">
        <v>4683</v>
      </c>
      <c r="AI411" s="246" t="s">
        <v>4683</v>
      </c>
      <c r="AJ411" s="246" t="s">
        <v>4683</v>
      </c>
      <c r="AK411" s="241" t="s">
        <v>4684</v>
      </c>
      <c r="AL411" s="246" t="s">
        <v>4685</v>
      </c>
      <c r="AM411" s="246" t="s">
        <v>6731</v>
      </c>
      <c r="AN411" s="241" t="s">
        <v>4716</v>
      </c>
      <c r="AO411" s="241"/>
      <c r="AP411" s="241"/>
      <c r="AQ411" s="241"/>
      <c r="AR411" s="241"/>
      <c r="AS411" s="241"/>
      <c r="AT411" s="241" t="s">
        <v>6765</v>
      </c>
      <c r="AU411" s="241" t="s">
        <v>6766</v>
      </c>
      <c r="AV411" s="241"/>
      <c r="AW411" s="241"/>
      <c r="AX411" s="241">
        <f t="shared" si="50"/>
        <v>0</v>
      </c>
      <c r="AY411" s="241" t="str">
        <f t="shared" si="51"/>
        <v>TK/0</v>
      </c>
      <c r="AZ411" s="241"/>
      <c r="BA411" s="241" t="s">
        <v>4686</v>
      </c>
      <c r="BB411" s="241" t="s">
        <v>161</v>
      </c>
      <c r="BC411" s="332" t="s">
        <v>70</v>
      </c>
      <c r="BD411" s="300" t="s">
        <v>4687</v>
      </c>
      <c r="BE411" s="241" t="s">
        <v>100</v>
      </c>
      <c r="BF411" s="241">
        <v>2024</v>
      </c>
      <c r="BG411" s="241" t="s">
        <v>70</v>
      </c>
      <c r="BH411" s="241" t="s">
        <v>4687</v>
      </c>
      <c r="BI411" s="241" t="s">
        <v>100</v>
      </c>
      <c r="BJ411" s="241">
        <v>2024</v>
      </c>
      <c r="BK411" s="241"/>
      <c r="BL411" s="241"/>
      <c r="BM411" s="241" t="s">
        <v>351</v>
      </c>
      <c r="BN411" s="241" t="s">
        <v>351</v>
      </c>
      <c r="BO411" s="241">
        <v>41</v>
      </c>
      <c r="BP411" s="241"/>
      <c r="BQ411" s="241"/>
      <c r="BR411" s="241"/>
      <c r="BS411" s="241"/>
      <c r="BT411" s="241"/>
      <c r="BU411" s="241"/>
      <c r="BV411" s="241"/>
      <c r="BW411" s="241"/>
      <c r="BX411" s="241"/>
      <c r="BY411" s="241"/>
      <c r="BZ411" s="241"/>
      <c r="CA411" s="241"/>
      <c r="CB411" s="241"/>
      <c r="CC411" s="241"/>
      <c r="CD411" s="241"/>
      <c r="CE411" s="241"/>
      <c r="CF411" s="13"/>
      <c r="CG411" s="13"/>
      <c r="CH411" s="13"/>
    </row>
    <row r="412" spans="1:86" ht="11.25" customHeight="1" x14ac:dyDescent="0.2">
      <c r="A412" s="13"/>
      <c r="B412" s="238">
        <v>408</v>
      </c>
      <c r="C412" s="241" t="e">
        <f t="shared" ca="1" si="48"/>
        <v>#NUM!</v>
      </c>
      <c r="D412" s="323" t="s">
        <v>340</v>
      </c>
      <c r="E412" s="241">
        <v>642409233</v>
      </c>
      <c r="F412" s="246" t="s">
        <v>341</v>
      </c>
      <c r="G412" s="246"/>
      <c r="H412" s="241" t="s">
        <v>217</v>
      </c>
      <c r="I412" s="241" t="s">
        <v>217</v>
      </c>
      <c r="J412" s="242">
        <v>45598</v>
      </c>
      <c r="K412" s="241"/>
      <c r="L412" s="241"/>
      <c r="M412" s="241" t="s">
        <v>14</v>
      </c>
      <c r="N412" s="241" t="s">
        <v>187</v>
      </c>
      <c r="O412" s="241"/>
      <c r="P412" s="245">
        <v>45657</v>
      </c>
      <c r="Q412" s="241"/>
      <c r="R412" s="241" t="s">
        <v>206</v>
      </c>
      <c r="S412" s="241" t="s">
        <v>6863</v>
      </c>
      <c r="T412" s="241" t="s">
        <v>312</v>
      </c>
      <c r="U412" s="257" t="s">
        <v>33</v>
      </c>
      <c r="V412" s="257" t="s">
        <v>7135</v>
      </c>
      <c r="W412" s="257" t="s">
        <v>51</v>
      </c>
      <c r="X412" s="241" t="s">
        <v>121</v>
      </c>
      <c r="Y412" s="241" t="s">
        <v>313</v>
      </c>
      <c r="Z412" s="241"/>
      <c r="AA412" s="255"/>
      <c r="AB412" s="241" t="s">
        <v>132</v>
      </c>
      <c r="AC412" s="241" t="s">
        <v>342</v>
      </c>
      <c r="AD412" s="245">
        <v>36051</v>
      </c>
      <c r="AE412" s="241">
        <f t="shared" ca="1" si="49"/>
        <v>27</v>
      </c>
      <c r="AF412" s="246" t="s">
        <v>343</v>
      </c>
      <c r="AG412" s="241" t="s">
        <v>344</v>
      </c>
      <c r="AH412" s="246" t="s">
        <v>345</v>
      </c>
      <c r="AI412" s="246" t="s">
        <v>346</v>
      </c>
      <c r="AJ412" s="246" t="s">
        <v>346</v>
      </c>
      <c r="AK412" s="241" t="s">
        <v>347</v>
      </c>
      <c r="AL412" s="246" t="s">
        <v>348</v>
      </c>
      <c r="AM412" s="246" t="s">
        <v>6730</v>
      </c>
      <c r="AN412" s="241" t="s">
        <v>4716</v>
      </c>
      <c r="AO412" s="241"/>
      <c r="AP412" s="241"/>
      <c r="AQ412" s="241"/>
      <c r="AR412" s="241"/>
      <c r="AS412" s="241"/>
      <c r="AT412" s="241"/>
      <c r="AU412" s="241" t="s">
        <v>6767</v>
      </c>
      <c r="AV412" s="241"/>
      <c r="AW412" s="241"/>
      <c r="AX412" s="241">
        <f t="shared" si="50"/>
        <v>0</v>
      </c>
      <c r="AY412" s="241" t="str">
        <f t="shared" si="51"/>
        <v>TK/0</v>
      </c>
      <c r="AZ412" s="241"/>
      <c r="BA412" s="241"/>
      <c r="BB412" s="241" t="s">
        <v>161</v>
      </c>
      <c r="BC412" s="332" t="s">
        <v>349</v>
      </c>
      <c r="BD412" s="300" t="s">
        <v>4010</v>
      </c>
      <c r="BE412" s="241" t="s">
        <v>350</v>
      </c>
      <c r="BF412" s="241">
        <v>2016</v>
      </c>
      <c r="BG412" s="241" t="s">
        <v>349</v>
      </c>
      <c r="BH412" s="241" t="s">
        <v>4010</v>
      </c>
      <c r="BI412" s="241" t="s">
        <v>350</v>
      </c>
      <c r="BJ412" s="241">
        <v>2016</v>
      </c>
      <c r="BK412" s="241"/>
      <c r="BL412" s="241"/>
      <c r="BM412" s="241" t="s">
        <v>351</v>
      </c>
      <c r="BN412" s="241" t="s">
        <v>351</v>
      </c>
      <c r="BO412" s="241">
        <v>41</v>
      </c>
      <c r="BP412" s="241"/>
      <c r="BQ412" s="241"/>
      <c r="BR412" s="241"/>
      <c r="BS412" s="241"/>
      <c r="BT412" s="241"/>
      <c r="BU412" s="241"/>
      <c r="BV412" s="241"/>
      <c r="BW412" s="241"/>
      <c r="BX412" s="241"/>
      <c r="BY412" s="241"/>
      <c r="BZ412" s="241"/>
      <c r="CA412" s="241"/>
      <c r="CB412" s="241"/>
      <c r="CC412" s="241"/>
      <c r="CD412" s="241"/>
      <c r="CE412" s="241"/>
      <c r="CF412" s="13"/>
      <c r="CG412" s="13"/>
      <c r="CH412" s="13"/>
    </row>
    <row r="413" spans="1:86" ht="11.25" customHeight="1" x14ac:dyDescent="0.2">
      <c r="A413" s="13"/>
      <c r="B413" s="238">
        <v>409</v>
      </c>
      <c r="C413" s="241" t="e">
        <f t="shared" ca="1" si="48"/>
        <v>#NUM!</v>
      </c>
      <c r="D413" s="249" t="s">
        <v>352</v>
      </c>
      <c r="E413" s="241">
        <v>642409234</v>
      </c>
      <c r="F413" s="246" t="s">
        <v>353</v>
      </c>
      <c r="G413" s="246"/>
      <c r="H413" s="241" t="s">
        <v>217</v>
      </c>
      <c r="I413" s="241" t="s">
        <v>217</v>
      </c>
      <c r="J413" s="242">
        <v>45598</v>
      </c>
      <c r="K413" s="241"/>
      <c r="L413" s="241"/>
      <c r="M413" s="241" t="s">
        <v>14</v>
      </c>
      <c r="N413" s="241" t="s">
        <v>187</v>
      </c>
      <c r="O413" s="241"/>
      <c r="P413" s="245">
        <v>45657</v>
      </c>
      <c r="Q413" s="241"/>
      <c r="R413" s="241" t="s">
        <v>206</v>
      </c>
      <c r="S413" s="241" t="s">
        <v>6863</v>
      </c>
      <c r="T413" s="241" t="s">
        <v>312</v>
      </c>
      <c r="U413" s="241" t="s">
        <v>187</v>
      </c>
      <c r="V413" s="241" t="s">
        <v>54</v>
      </c>
      <c r="W413" s="241" t="s">
        <v>54</v>
      </c>
      <c r="X413" s="241" t="s">
        <v>120</v>
      </c>
      <c r="Y413" s="241" t="s">
        <v>313</v>
      </c>
      <c r="Z413" s="241"/>
      <c r="AA413" s="255"/>
      <c r="AB413" s="241" t="s">
        <v>133</v>
      </c>
      <c r="AC413" s="241" t="s">
        <v>217</v>
      </c>
      <c r="AD413" s="245">
        <v>37116</v>
      </c>
      <c r="AE413" s="241">
        <f t="shared" ca="1" si="49"/>
        <v>24</v>
      </c>
      <c r="AF413" s="246" t="s">
        <v>354</v>
      </c>
      <c r="AG413" s="241" t="s">
        <v>355</v>
      </c>
      <c r="AH413" s="246" t="s">
        <v>356</v>
      </c>
      <c r="AI413" s="246" t="s">
        <v>356</v>
      </c>
      <c r="AJ413" s="246" t="s">
        <v>356</v>
      </c>
      <c r="AK413" s="241" t="s">
        <v>357</v>
      </c>
      <c r="AL413" s="246" t="s">
        <v>358</v>
      </c>
      <c r="AM413" s="246" t="s">
        <v>6729</v>
      </c>
      <c r="AN413" s="241" t="s">
        <v>4716</v>
      </c>
      <c r="AO413" s="241"/>
      <c r="AP413" s="241"/>
      <c r="AQ413" s="241"/>
      <c r="AR413" s="241"/>
      <c r="AS413" s="241"/>
      <c r="AT413" s="241" t="s">
        <v>6768</v>
      </c>
      <c r="AU413" s="241" t="s">
        <v>6769</v>
      </c>
      <c r="AV413" s="241"/>
      <c r="AW413" s="241"/>
      <c r="AX413" s="241">
        <f t="shared" si="50"/>
        <v>0</v>
      </c>
      <c r="AY413" s="241" t="str">
        <f t="shared" si="51"/>
        <v>TK/0</v>
      </c>
      <c r="AZ413" s="241"/>
      <c r="BA413" s="241"/>
      <c r="BB413" s="241" t="s">
        <v>359</v>
      </c>
      <c r="BC413" s="297" t="s">
        <v>156</v>
      </c>
      <c r="BD413" s="300" t="s">
        <v>3884</v>
      </c>
      <c r="BE413" s="241" t="s">
        <v>72</v>
      </c>
      <c r="BF413" s="241">
        <v>2023</v>
      </c>
      <c r="BG413" s="241" t="s">
        <v>156</v>
      </c>
      <c r="BH413" s="241" t="s">
        <v>3884</v>
      </c>
      <c r="BI413" s="241" t="s">
        <v>72</v>
      </c>
      <c r="BJ413" s="241">
        <v>2023</v>
      </c>
      <c r="BK413" s="241"/>
      <c r="BL413" s="241"/>
      <c r="BM413" s="241" t="s">
        <v>360</v>
      </c>
      <c r="BN413" s="241" t="s">
        <v>351</v>
      </c>
      <c r="BO413" s="241">
        <v>39</v>
      </c>
      <c r="BP413" s="241"/>
      <c r="BQ413" s="241"/>
      <c r="BR413" s="241"/>
      <c r="BS413" s="241"/>
      <c r="BT413" s="241"/>
      <c r="BU413" s="241"/>
      <c r="BV413" s="241"/>
      <c r="BW413" s="241"/>
      <c r="BX413" s="241"/>
      <c r="BY413" s="241"/>
      <c r="BZ413" s="241"/>
      <c r="CA413" s="241"/>
      <c r="CB413" s="241"/>
      <c r="CC413" s="241"/>
      <c r="CD413" s="241"/>
      <c r="CE413" s="241"/>
      <c r="CF413" s="13"/>
      <c r="CG413" s="13"/>
      <c r="CH413" s="13"/>
    </row>
    <row r="414" spans="1:86" ht="11.25" customHeight="1" x14ac:dyDescent="0.2">
      <c r="A414" s="13"/>
      <c r="B414" s="238">
        <v>410</v>
      </c>
      <c r="C414" s="241" t="e">
        <f t="shared" ca="1" si="48"/>
        <v>#NUM!</v>
      </c>
      <c r="D414" s="249" t="s">
        <v>4688</v>
      </c>
      <c r="E414" s="241">
        <v>642409235</v>
      </c>
      <c r="F414" s="246" t="s">
        <v>4689</v>
      </c>
      <c r="G414" s="246"/>
      <c r="H414" s="241" t="s">
        <v>217</v>
      </c>
      <c r="I414" s="241" t="s">
        <v>32</v>
      </c>
      <c r="J414" s="242">
        <v>45598</v>
      </c>
      <c r="K414" s="241"/>
      <c r="L414" s="241"/>
      <c r="M414" s="241" t="s">
        <v>14</v>
      </c>
      <c r="N414" s="241" t="s">
        <v>187</v>
      </c>
      <c r="O414" s="241"/>
      <c r="P414" s="245">
        <v>45657</v>
      </c>
      <c r="Q414" s="241"/>
      <c r="R414" s="241" t="s">
        <v>206</v>
      </c>
      <c r="S414" s="241" t="s">
        <v>6863</v>
      </c>
      <c r="T414" s="241" t="s">
        <v>312</v>
      </c>
      <c r="U414" s="241" t="s">
        <v>33</v>
      </c>
      <c r="V414" s="241" t="s">
        <v>7135</v>
      </c>
      <c r="W414" s="241" t="s">
        <v>51</v>
      </c>
      <c r="X414" s="241" t="s">
        <v>121</v>
      </c>
      <c r="Y414" s="241" t="s">
        <v>313</v>
      </c>
      <c r="Z414" s="241"/>
      <c r="AA414" s="245"/>
      <c r="AB414" s="241" t="s">
        <v>132</v>
      </c>
      <c r="AC414" s="241" t="s">
        <v>32</v>
      </c>
      <c r="AD414" s="245">
        <v>37315</v>
      </c>
      <c r="AE414" s="241">
        <f t="shared" ca="1" si="49"/>
        <v>23</v>
      </c>
      <c r="AF414" s="246" t="s">
        <v>4690</v>
      </c>
      <c r="AG414" s="241" t="s">
        <v>4691</v>
      </c>
      <c r="AH414" s="246" t="s">
        <v>4692</v>
      </c>
      <c r="AI414" s="246" t="s">
        <v>4693</v>
      </c>
      <c r="AJ414" s="246" t="s">
        <v>4693</v>
      </c>
      <c r="AK414" s="241" t="s">
        <v>4694</v>
      </c>
      <c r="AL414" s="246" t="s">
        <v>4695</v>
      </c>
      <c r="AM414" s="246" t="s">
        <v>6728</v>
      </c>
      <c r="AN414" s="241" t="s">
        <v>4716</v>
      </c>
      <c r="AO414" s="241"/>
      <c r="AP414" s="241"/>
      <c r="AQ414" s="241"/>
      <c r="AR414" s="241"/>
      <c r="AS414" s="241"/>
      <c r="AT414" s="241" t="s">
        <v>4696</v>
      </c>
      <c r="AU414" s="241" t="s">
        <v>1840</v>
      </c>
      <c r="AV414" s="241"/>
      <c r="AW414" s="241"/>
      <c r="AX414" s="241">
        <f t="shared" si="50"/>
        <v>0</v>
      </c>
      <c r="AY414" s="241" t="str">
        <f t="shared" si="51"/>
        <v>TK/0</v>
      </c>
      <c r="AZ414" s="241"/>
      <c r="BA414" s="241"/>
      <c r="BB414" s="241" t="s">
        <v>161</v>
      </c>
      <c r="BC414" s="297" t="s">
        <v>70</v>
      </c>
      <c r="BD414" s="300" t="s">
        <v>99</v>
      </c>
      <c r="BE414" s="241" t="s">
        <v>100</v>
      </c>
      <c r="BF414" s="241">
        <v>2024</v>
      </c>
      <c r="BG414" s="241" t="s">
        <v>70</v>
      </c>
      <c r="BH414" s="241" t="s">
        <v>99</v>
      </c>
      <c r="BI414" s="241" t="s">
        <v>100</v>
      </c>
      <c r="BJ414" s="241">
        <v>2024</v>
      </c>
      <c r="BK414" s="241"/>
      <c r="BL414" s="241"/>
      <c r="BM414" s="241" t="s">
        <v>360</v>
      </c>
      <c r="BN414" s="241" t="s">
        <v>360</v>
      </c>
      <c r="BO414" s="241">
        <v>41</v>
      </c>
      <c r="BP414" s="241"/>
      <c r="BQ414" s="241"/>
      <c r="BR414" s="241"/>
      <c r="BS414" s="241"/>
      <c r="BT414" s="241"/>
      <c r="BU414" s="241"/>
      <c r="BV414" s="241"/>
      <c r="BW414" s="241"/>
      <c r="BX414" s="241"/>
      <c r="BY414" s="241"/>
      <c r="BZ414" s="241"/>
      <c r="CA414" s="241"/>
      <c r="CB414" s="241"/>
      <c r="CC414" s="241"/>
      <c r="CD414" s="241"/>
      <c r="CE414" s="241"/>
      <c r="CF414" s="13"/>
      <c r="CG414" s="13"/>
      <c r="CH414" s="13"/>
    </row>
    <row r="415" spans="1:86" ht="11.25" customHeight="1" x14ac:dyDescent="0.2">
      <c r="A415" s="13"/>
      <c r="B415" s="238">
        <v>411</v>
      </c>
      <c r="C415" s="241" t="e">
        <f t="shared" ca="1" si="48"/>
        <v>#NUM!</v>
      </c>
      <c r="D415" s="249" t="s">
        <v>361</v>
      </c>
      <c r="E415" s="241">
        <v>642409236</v>
      </c>
      <c r="F415" s="246" t="s">
        <v>362</v>
      </c>
      <c r="G415" s="246"/>
      <c r="H415" s="241" t="s">
        <v>217</v>
      </c>
      <c r="I415" s="241" t="s">
        <v>217</v>
      </c>
      <c r="J415" s="242">
        <v>45598</v>
      </c>
      <c r="K415" s="241"/>
      <c r="L415" s="241"/>
      <c r="M415" s="241" t="s">
        <v>14</v>
      </c>
      <c r="N415" s="241" t="s">
        <v>187</v>
      </c>
      <c r="O415" s="241"/>
      <c r="P415" s="245">
        <v>45657</v>
      </c>
      <c r="Q415" s="241"/>
      <c r="R415" s="241" t="s">
        <v>206</v>
      </c>
      <c r="S415" s="241" t="s">
        <v>6863</v>
      </c>
      <c r="T415" s="241" t="s">
        <v>312</v>
      </c>
      <c r="U415" s="257" t="s">
        <v>33</v>
      </c>
      <c r="V415" s="257" t="s">
        <v>7135</v>
      </c>
      <c r="W415" s="257" t="s">
        <v>51</v>
      </c>
      <c r="X415" s="241" t="s">
        <v>121</v>
      </c>
      <c r="Y415" s="241" t="s">
        <v>313</v>
      </c>
      <c r="Z415" s="241"/>
      <c r="AA415" s="245"/>
      <c r="AB415" s="241" t="s">
        <v>132</v>
      </c>
      <c r="AC415" s="241" t="s">
        <v>217</v>
      </c>
      <c r="AD415" s="245">
        <v>37374</v>
      </c>
      <c r="AE415" s="241">
        <f t="shared" ca="1" si="49"/>
        <v>23</v>
      </c>
      <c r="AF415" s="246" t="s">
        <v>363</v>
      </c>
      <c r="AG415" s="241" t="s">
        <v>364</v>
      </c>
      <c r="AH415" s="246" t="s">
        <v>365</v>
      </c>
      <c r="AI415" s="246" t="s">
        <v>365</v>
      </c>
      <c r="AJ415" s="246" t="s">
        <v>365</v>
      </c>
      <c r="AK415" s="241" t="s">
        <v>366</v>
      </c>
      <c r="AL415" s="246" t="s">
        <v>367</v>
      </c>
      <c r="AM415" s="246" t="s">
        <v>6727</v>
      </c>
      <c r="AN415" s="241" t="s">
        <v>4716</v>
      </c>
      <c r="AO415" s="241"/>
      <c r="AP415" s="241"/>
      <c r="AQ415" s="241"/>
      <c r="AR415" s="241"/>
      <c r="AS415" s="241"/>
      <c r="AT415" s="241" t="s">
        <v>6770</v>
      </c>
      <c r="AU415" s="241" t="s">
        <v>6771</v>
      </c>
      <c r="AV415" s="241"/>
      <c r="AW415" s="241"/>
      <c r="AX415" s="241">
        <f t="shared" si="50"/>
        <v>0</v>
      </c>
      <c r="AY415" s="241" t="str">
        <f t="shared" si="51"/>
        <v>TK/0</v>
      </c>
      <c r="AZ415" s="241"/>
      <c r="BA415" s="241"/>
      <c r="BB415" s="241" t="s">
        <v>161</v>
      </c>
      <c r="BC415" s="297" t="s">
        <v>156</v>
      </c>
      <c r="BD415" s="300" t="s">
        <v>3884</v>
      </c>
      <c r="BE415" s="241" t="s">
        <v>368</v>
      </c>
      <c r="BF415" s="241">
        <v>2024</v>
      </c>
      <c r="BG415" s="241" t="s">
        <v>156</v>
      </c>
      <c r="BH415" s="241" t="s">
        <v>3884</v>
      </c>
      <c r="BI415" s="241" t="s">
        <v>368</v>
      </c>
      <c r="BJ415" s="241">
        <v>2024</v>
      </c>
      <c r="BK415" s="241"/>
      <c r="BL415" s="241"/>
      <c r="BM415" s="241" t="s">
        <v>339</v>
      </c>
      <c r="BN415" s="241" t="s">
        <v>369</v>
      </c>
      <c r="BO415" s="241">
        <v>44</v>
      </c>
      <c r="BP415" s="241"/>
      <c r="BQ415" s="241"/>
      <c r="BR415" s="241"/>
      <c r="BS415" s="241"/>
      <c r="BT415" s="241"/>
      <c r="BU415" s="241"/>
      <c r="BV415" s="241"/>
      <c r="BW415" s="241"/>
      <c r="BX415" s="241"/>
      <c r="BY415" s="241"/>
      <c r="BZ415" s="241"/>
      <c r="CA415" s="241"/>
      <c r="CB415" s="241"/>
      <c r="CC415" s="241"/>
      <c r="CD415" s="241"/>
      <c r="CE415" s="241"/>
      <c r="CF415" s="13"/>
      <c r="CG415" s="13"/>
      <c r="CH415" s="119"/>
    </row>
    <row r="416" spans="1:86" ht="11.25" customHeight="1" x14ac:dyDescent="0.2">
      <c r="A416" s="13"/>
      <c r="B416" s="238">
        <v>412</v>
      </c>
      <c r="C416" s="241" t="e">
        <f t="shared" ca="1" si="48"/>
        <v>#NUM!</v>
      </c>
      <c r="D416" s="327" t="s">
        <v>370</v>
      </c>
      <c r="E416" s="257">
        <v>642409238</v>
      </c>
      <c r="F416" s="258" t="s">
        <v>371</v>
      </c>
      <c r="G416" s="258"/>
      <c r="H416" s="257" t="s">
        <v>217</v>
      </c>
      <c r="I416" s="257" t="s">
        <v>217</v>
      </c>
      <c r="J416" s="242">
        <v>45598</v>
      </c>
      <c r="K416" s="241"/>
      <c r="L416" s="241"/>
      <c r="M416" s="257" t="s">
        <v>14</v>
      </c>
      <c r="N416" s="257" t="s">
        <v>187</v>
      </c>
      <c r="O416" s="257"/>
      <c r="P416" s="259">
        <v>45657</v>
      </c>
      <c r="Q416" s="257"/>
      <c r="R416" s="241" t="s">
        <v>206</v>
      </c>
      <c r="S416" s="241" t="s">
        <v>6863</v>
      </c>
      <c r="T416" s="257" t="s">
        <v>312</v>
      </c>
      <c r="U416" s="257" t="s">
        <v>33</v>
      </c>
      <c r="V416" s="257" t="s">
        <v>7135</v>
      </c>
      <c r="W416" s="257" t="s">
        <v>51</v>
      </c>
      <c r="X416" s="257" t="s">
        <v>121</v>
      </c>
      <c r="Y416" s="257" t="s">
        <v>313</v>
      </c>
      <c r="Z416" s="257"/>
      <c r="AA416" s="259"/>
      <c r="AB416" s="257" t="s">
        <v>132</v>
      </c>
      <c r="AC416" s="257" t="s">
        <v>372</v>
      </c>
      <c r="AD416" s="259">
        <v>36264</v>
      </c>
      <c r="AE416" s="257">
        <f t="shared" ca="1" si="49"/>
        <v>26</v>
      </c>
      <c r="AF416" s="258" t="s">
        <v>373</v>
      </c>
      <c r="AG416" s="257" t="s">
        <v>374</v>
      </c>
      <c r="AH416" s="258" t="s">
        <v>375</v>
      </c>
      <c r="AI416" s="258" t="s">
        <v>376</v>
      </c>
      <c r="AJ416" s="258" t="s">
        <v>337</v>
      </c>
      <c r="AK416" s="257" t="s">
        <v>377</v>
      </c>
      <c r="AL416" s="258" t="s">
        <v>378</v>
      </c>
      <c r="AM416" s="258" t="s">
        <v>6726</v>
      </c>
      <c r="AN416" s="257" t="s">
        <v>4733</v>
      </c>
      <c r="AO416" s="257" t="s">
        <v>6772</v>
      </c>
      <c r="AP416" s="257" t="s">
        <v>6773</v>
      </c>
      <c r="AQ416" s="257"/>
      <c r="AR416" s="257"/>
      <c r="AS416" s="257"/>
      <c r="AT416" s="257" t="s">
        <v>6774</v>
      </c>
      <c r="AU416" s="257" t="s">
        <v>6775</v>
      </c>
      <c r="AV416" s="257" t="s">
        <v>6776</v>
      </c>
      <c r="AW416" s="257" t="s">
        <v>6777</v>
      </c>
      <c r="AX416" s="257">
        <f t="shared" si="50"/>
        <v>1</v>
      </c>
      <c r="AY416" s="257" t="str">
        <f t="shared" si="51"/>
        <v>K/1</v>
      </c>
      <c r="AZ416" s="257"/>
      <c r="BA416" s="257"/>
      <c r="BB416" s="257" t="s">
        <v>161</v>
      </c>
      <c r="BC416" s="333" t="s">
        <v>70</v>
      </c>
      <c r="BD416" s="260" t="s">
        <v>3527</v>
      </c>
      <c r="BE416" s="241" t="s">
        <v>100</v>
      </c>
      <c r="BF416" s="257">
        <v>2020</v>
      </c>
      <c r="BG416" s="257" t="s">
        <v>70</v>
      </c>
      <c r="BH416" s="257" t="s">
        <v>3527</v>
      </c>
      <c r="BI416" s="257" t="s">
        <v>379</v>
      </c>
      <c r="BJ416" s="257">
        <v>2020</v>
      </c>
      <c r="BK416" s="257"/>
      <c r="BL416" s="257"/>
      <c r="BM416" s="257" t="s">
        <v>351</v>
      </c>
      <c r="BN416" s="257" t="s">
        <v>351</v>
      </c>
      <c r="BO416" s="257">
        <v>42</v>
      </c>
      <c r="BP416" s="257"/>
      <c r="BQ416" s="257"/>
      <c r="BR416" s="257"/>
      <c r="BS416" s="257"/>
      <c r="BT416" s="257"/>
      <c r="BU416" s="257"/>
      <c r="BV416" s="257"/>
      <c r="BW416" s="257"/>
      <c r="BX416" s="257"/>
      <c r="BY416" s="257"/>
      <c r="BZ416" s="257"/>
      <c r="CA416" s="257"/>
      <c r="CB416" s="257"/>
      <c r="CC416" s="257"/>
      <c r="CD416" s="257"/>
      <c r="CE416" s="257"/>
      <c r="CF416" s="13"/>
      <c r="CG416" s="13"/>
      <c r="CH416" s="13"/>
    </row>
    <row r="417" spans="1:87" ht="11.25" customHeight="1" x14ac:dyDescent="0.2">
      <c r="A417" s="13"/>
      <c r="B417" s="238">
        <v>413</v>
      </c>
      <c r="C417" s="241">
        <f t="shared" ca="1" si="48"/>
        <v>62</v>
      </c>
      <c r="D417" s="323" t="s">
        <v>6740</v>
      </c>
      <c r="E417" s="241">
        <v>642412239</v>
      </c>
      <c r="F417" s="241"/>
      <c r="G417" s="249"/>
      <c r="H417" s="246" t="s">
        <v>217</v>
      </c>
      <c r="I417" s="241" t="s">
        <v>217</v>
      </c>
      <c r="J417" s="242">
        <v>45628</v>
      </c>
      <c r="K417" s="241"/>
      <c r="L417" s="241"/>
      <c r="M417" s="241" t="s">
        <v>14</v>
      </c>
      <c r="N417" s="241" t="s">
        <v>187</v>
      </c>
      <c r="O417" s="241"/>
      <c r="P417" s="245">
        <v>45992</v>
      </c>
      <c r="Q417" s="241"/>
      <c r="R417" s="241" t="s">
        <v>206</v>
      </c>
      <c r="S417" s="241" t="s">
        <v>6863</v>
      </c>
      <c r="T417" s="241" t="s">
        <v>296</v>
      </c>
      <c r="U417" s="241" t="s">
        <v>187</v>
      </c>
      <c r="V417" s="241" t="s">
        <v>6909</v>
      </c>
      <c r="W417" s="241" t="s">
        <v>6909</v>
      </c>
      <c r="X417" s="241" t="s">
        <v>59</v>
      </c>
      <c r="Y417" s="241" t="s">
        <v>298</v>
      </c>
      <c r="Z417" s="241"/>
      <c r="AA417" s="241"/>
      <c r="AB417" s="241" t="s">
        <v>133</v>
      </c>
      <c r="AC417" s="241" t="s">
        <v>311</v>
      </c>
      <c r="AD417" s="245">
        <v>31160</v>
      </c>
      <c r="AE417" s="241">
        <f t="shared" ca="1" si="49"/>
        <v>40</v>
      </c>
      <c r="AF417" s="246" t="s">
        <v>6741</v>
      </c>
      <c r="AG417" s="246" t="s">
        <v>6742</v>
      </c>
      <c r="AH417" s="246" t="s">
        <v>6743</v>
      </c>
      <c r="AI417" s="254"/>
      <c r="AJ417" s="254" t="s">
        <v>6743</v>
      </c>
      <c r="AK417" s="295" t="s">
        <v>6744</v>
      </c>
      <c r="AL417" s="246" t="s">
        <v>6747</v>
      </c>
      <c r="AM417" s="246" t="s">
        <v>6748</v>
      </c>
      <c r="AN417" s="246" t="s">
        <v>6821</v>
      </c>
      <c r="AO417" s="241"/>
      <c r="AP417" s="241"/>
      <c r="AQ417" s="241"/>
      <c r="AR417" s="241"/>
      <c r="AS417" s="241"/>
      <c r="AT417" s="241"/>
      <c r="AU417" s="241"/>
      <c r="AV417" s="241"/>
      <c r="AW417" s="241"/>
      <c r="AX417" s="241">
        <f t="shared" si="50"/>
        <v>0</v>
      </c>
      <c r="AY417" s="241" t="str">
        <f t="shared" si="51"/>
        <v>TK/0</v>
      </c>
      <c r="AZ417" s="241"/>
      <c r="BA417" s="241"/>
      <c r="BB417" s="241" t="s">
        <v>161</v>
      </c>
      <c r="BC417" s="298" t="s">
        <v>75</v>
      </c>
      <c r="BD417" s="300" t="s">
        <v>6745</v>
      </c>
      <c r="BE417" s="241" t="s">
        <v>6746</v>
      </c>
      <c r="BF417" s="241">
        <v>2010</v>
      </c>
      <c r="BG417" s="241" t="s">
        <v>75</v>
      </c>
      <c r="BH417" s="241" t="s">
        <v>6745</v>
      </c>
      <c r="BI417" s="241" t="s">
        <v>6746</v>
      </c>
      <c r="BJ417" s="241">
        <v>2010</v>
      </c>
      <c r="BK417" s="241"/>
      <c r="BL417" s="241"/>
      <c r="BM417" s="241"/>
      <c r="BN417" s="241"/>
      <c r="BO417" s="241"/>
      <c r="BP417" s="241"/>
      <c r="BQ417" s="241"/>
      <c r="BR417" s="241"/>
      <c r="BS417" s="241"/>
      <c r="BT417" s="241"/>
      <c r="BU417" s="241"/>
      <c r="BV417" s="241"/>
      <c r="BW417" s="241"/>
      <c r="BX417" s="241"/>
      <c r="BY417" s="241"/>
      <c r="BZ417" s="241"/>
      <c r="CA417" s="241"/>
      <c r="CB417" s="241"/>
      <c r="CC417" s="241"/>
      <c r="CD417" s="241"/>
      <c r="CE417" s="241"/>
      <c r="CF417" s="13"/>
      <c r="CG417" s="13"/>
      <c r="CH417" s="13"/>
    </row>
    <row r="418" spans="1:87" ht="11.25" customHeight="1" x14ac:dyDescent="0.2">
      <c r="A418" s="13"/>
      <c r="B418" s="238">
        <v>414</v>
      </c>
      <c r="C418" s="241" t="e">
        <f ca="1">DATEDIF($E$3,logut!O559,"D")</f>
        <v>#NUM!</v>
      </c>
      <c r="D418" s="237" t="s">
        <v>6849</v>
      </c>
      <c r="E418" s="241">
        <v>642501001</v>
      </c>
      <c r="F418" s="237"/>
      <c r="G418" s="246"/>
      <c r="H418" s="246" t="s">
        <v>24</v>
      </c>
      <c r="I418" s="241" t="s">
        <v>24</v>
      </c>
      <c r="J418" s="242">
        <v>45659</v>
      </c>
      <c r="K418" s="241"/>
      <c r="L418" s="241"/>
      <c r="M418" s="241" t="s">
        <v>14</v>
      </c>
      <c r="N418" s="241" t="s">
        <v>187</v>
      </c>
      <c r="O418" s="241"/>
      <c r="P418" s="243">
        <v>46022</v>
      </c>
      <c r="Q418" s="241"/>
      <c r="R418" s="241" t="s">
        <v>206</v>
      </c>
      <c r="S418" s="241" t="s">
        <v>6863</v>
      </c>
      <c r="T418" s="241" t="s">
        <v>312</v>
      </c>
      <c r="U418" s="241" t="s">
        <v>24</v>
      </c>
      <c r="V418" s="241" t="s">
        <v>204</v>
      </c>
      <c r="W418" s="241" t="s">
        <v>706</v>
      </c>
      <c r="X418" s="241" t="s">
        <v>121</v>
      </c>
      <c r="Y418" s="241" t="s">
        <v>313</v>
      </c>
      <c r="Z418" s="241"/>
      <c r="AA418" s="241"/>
      <c r="AB418" s="241" t="s">
        <v>314</v>
      </c>
      <c r="AC418" s="241" t="s">
        <v>4442</v>
      </c>
      <c r="AD418" s="245">
        <v>39102</v>
      </c>
      <c r="AE418" s="241">
        <f t="shared" ca="1" si="49"/>
        <v>18</v>
      </c>
      <c r="AF418" s="246" t="s">
        <v>6890</v>
      </c>
      <c r="AG418" s="246" t="s">
        <v>6891</v>
      </c>
      <c r="AH418" s="246" t="s">
        <v>6892</v>
      </c>
      <c r="AI418" s="246"/>
      <c r="AJ418" s="246"/>
      <c r="AK418" s="246" t="s">
        <v>6893</v>
      </c>
      <c r="AL418" s="246"/>
      <c r="AM418" s="246"/>
      <c r="AN418" s="241" t="s">
        <v>4716</v>
      </c>
      <c r="AO418" s="241"/>
      <c r="AP418" s="241"/>
      <c r="AQ418" s="241"/>
      <c r="AR418" s="241"/>
      <c r="AS418" s="241"/>
      <c r="AT418" s="241"/>
      <c r="AU418" s="241"/>
      <c r="AV418" s="241"/>
      <c r="AW418" s="241"/>
      <c r="AX418" s="241">
        <f>COUNTA(logut!AL559:AO559)</f>
        <v>0</v>
      </c>
      <c r="AY418" s="241" t="str">
        <f>IF(logut!AJ559="Menikah","K","TK")&amp;"/"&amp;logut!AT559</f>
        <v>TK/</v>
      </c>
      <c r="AZ418" s="241"/>
      <c r="BA418" s="241"/>
      <c r="BB418" s="241" t="s">
        <v>162</v>
      </c>
      <c r="BC418" s="298" t="s">
        <v>307</v>
      </c>
      <c r="BD418" s="300" t="s">
        <v>308</v>
      </c>
      <c r="BE418" s="300" t="s">
        <v>6894</v>
      </c>
      <c r="BF418" s="241">
        <v>2024</v>
      </c>
      <c r="BG418" s="298" t="s">
        <v>307</v>
      </c>
      <c r="BH418" s="300" t="s">
        <v>308</v>
      </c>
      <c r="BI418" s="300" t="s">
        <v>6894</v>
      </c>
      <c r="BJ418" s="241">
        <v>2024</v>
      </c>
      <c r="BK418" s="241"/>
      <c r="BL418" s="241"/>
      <c r="BM418" s="241"/>
      <c r="BN418" s="241"/>
      <c r="BO418" s="241"/>
      <c r="BP418" s="241"/>
      <c r="BQ418" s="241"/>
      <c r="BR418" s="241"/>
      <c r="BS418" s="241"/>
      <c r="BT418" s="241"/>
      <c r="BU418" s="241"/>
      <c r="BV418" s="241"/>
      <c r="BW418" s="241"/>
      <c r="BX418" s="241"/>
      <c r="BY418" s="241"/>
      <c r="BZ418" s="241"/>
      <c r="CA418" s="241"/>
      <c r="CB418" s="241"/>
      <c r="CC418" s="241"/>
      <c r="CD418" s="241"/>
      <c r="CE418" s="241"/>
      <c r="CF418" s="13"/>
      <c r="CG418" s="13"/>
      <c r="CH418" s="13"/>
      <c r="CI418" s="13"/>
    </row>
    <row r="419" spans="1:87" ht="11.25" customHeight="1" x14ac:dyDescent="0.2">
      <c r="A419" s="13"/>
      <c r="B419" s="238">
        <v>415</v>
      </c>
      <c r="C419" s="241" t="e">
        <f ca="1">DATEDIF($E$3,logut!O560,"D")</f>
        <v>#NUM!</v>
      </c>
      <c r="D419" s="237" t="s">
        <v>6850</v>
      </c>
      <c r="E419" s="241">
        <v>642501002</v>
      </c>
      <c r="F419" s="237"/>
      <c r="G419" s="246"/>
      <c r="H419" s="246" t="s">
        <v>24</v>
      </c>
      <c r="I419" s="241" t="s">
        <v>24</v>
      </c>
      <c r="J419" s="242">
        <v>45659</v>
      </c>
      <c r="K419" s="241"/>
      <c r="L419" s="241"/>
      <c r="M419" s="241" t="s">
        <v>14</v>
      </c>
      <c r="N419" s="241" t="s">
        <v>187</v>
      </c>
      <c r="O419" s="241"/>
      <c r="P419" s="243">
        <v>46022</v>
      </c>
      <c r="Q419" s="241"/>
      <c r="R419" s="241" t="s">
        <v>206</v>
      </c>
      <c r="S419" s="241" t="s">
        <v>6863</v>
      </c>
      <c r="T419" s="241" t="s">
        <v>312</v>
      </c>
      <c r="U419" s="241" t="s">
        <v>24</v>
      </c>
      <c r="V419" s="241" t="s">
        <v>204</v>
      </c>
      <c r="W419" s="241" t="s">
        <v>706</v>
      </c>
      <c r="X419" s="241" t="s">
        <v>121</v>
      </c>
      <c r="Y419" s="241" t="s">
        <v>313</v>
      </c>
      <c r="Z419" s="241"/>
      <c r="AA419" s="241"/>
      <c r="AB419" s="241" t="s">
        <v>314</v>
      </c>
      <c r="AC419" s="241" t="s">
        <v>2492</v>
      </c>
      <c r="AD419" s="245">
        <v>36870</v>
      </c>
      <c r="AE419" s="241">
        <f t="shared" ca="1" si="49"/>
        <v>24</v>
      </c>
      <c r="AF419" s="246" t="s">
        <v>6882</v>
      </c>
      <c r="AG419" s="246" t="s">
        <v>6883</v>
      </c>
      <c r="AH419" s="246" t="s">
        <v>6881</v>
      </c>
      <c r="AI419" s="246"/>
      <c r="AJ419" s="246"/>
      <c r="AK419" s="246"/>
      <c r="AL419" s="246"/>
      <c r="AM419" s="246"/>
      <c r="AN419" s="241" t="s">
        <v>4716</v>
      </c>
      <c r="AO419" s="241"/>
      <c r="AP419" s="241"/>
      <c r="AQ419" s="241"/>
      <c r="AR419" s="241"/>
      <c r="AS419" s="241"/>
      <c r="AT419" s="241"/>
      <c r="AU419" s="241"/>
      <c r="AV419" s="241"/>
      <c r="AW419" s="241"/>
      <c r="AX419" s="241">
        <f>COUNTA(logut!AL560:AO560)</f>
        <v>0</v>
      </c>
      <c r="AY419" s="241" t="str">
        <f>IF(logut!AJ560="Menikah","K","TK")&amp;"/"&amp;logut!AT560</f>
        <v>TK/</v>
      </c>
      <c r="AZ419" s="241"/>
      <c r="BA419" s="241"/>
      <c r="BB419" s="241" t="s">
        <v>161</v>
      </c>
      <c r="BC419" s="298" t="s">
        <v>349</v>
      </c>
      <c r="BD419" s="300" t="s">
        <v>515</v>
      </c>
      <c r="BE419" s="241" t="s">
        <v>6884</v>
      </c>
      <c r="BF419" s="241">
        <v>2019</v>
      </c>
      <c r="BG419" s="298" t="s">
        <v>349</v>
      </c>
      <c r="BH419" s="300" t="s">
        <v>515</v>
      </c>
      <c r="BI419" s="241" t="s">
        <v>6884</v>
      </c>
      <c r="BJ419" s="241">
        <v>2019</v>
      </c>
      <c r="BK419" s="241"/>
      <c r="BL419" s="241"/>
      <c r="BM419" s="241"/>
      <c r="BN419" s="241"/>
      <c r="BO419" s="241"/>
      <c r="BP419" s="241"/>
      <c r="BQ419" s="241"/>
      <c r="BR419" s="241"/>
      <c r="BS419" s="241"/>
      <c r="BT419" s="241"/>
      <c r="BU419" s="241"/>
      <c r="BV419" s="241"/>
      <c r="BW419" s="241"/>
      <c r="BX419" s="241"/>
      <c r="BY419" s="241"/>
      <c r="BZ419" s="241"/>
      <c r="CA419" s="241"/>
      <c r="CB419" s="241"/>
      <c r="CC419" s="241"/>
      <c r="CD419" s="241"/>
      <c r="CE419" s="241"/>
      <c r="CF419" s="13"/>
      <c r="CG419" s="13"/>
      <c r="CH419" s="13"/>
      <c r="CI419" s="13"/>
    </row>
    <row r="420" spans="1:87" ht="11.25" customHeight="1" x14ac:dyDescent="0.2">
      <c r="A420" s="13"/>
      <c r="B420" s="238">
        <v>416</v>
      </c>
      <c r="C420" s="241" t="e">
        <f ca="1">DATEDIF($E$3,logut!O561,"D")</f>
        <v>#NUM!</v>
      </c>
      <c r="D420" s="237" t="s">
        <v>6851</v>
      </c>
      <c r="E420" s="241">
        <v>642501003</v>
      </c>
      <c r="F420" s="237"/>
      <c r="G420" s="246"/>
      <c r="H420" s="246" t="s">
        <v>25</v>
      </c>
      <c r="I420" s="241" t="s">
        <v>25</v>
      </c>
      <c r="J420" s="242">
        <v>45659</v>
      </c>
      <c r="K420" s="241"/>
      <c r="L420" s="241"/>
      <c r="M420" s="241" t="s">
        <v>14</v>
      </c>
      <c r="N420" s="241" t="s">
        <v>187</v>
      </c>
      <c r="O420" s="241"/>
      <c r="P420" s="243">
        <v>46022</v>
      </c>
      <c r="Q420" s="241"/>
      <c r="R420" s="241" t="s">
        <v>206</v>
      </c>
      <c r="S420" s="241" t="s">
        <v>6863</v>
      </c>
      <c r="T420" s="241" t="s">
        <v>312</v>
      </c>
      <c r="U420" s="241" t="s">
        <v>25</v>
      </c>
      <c r="V420" s="241" t="s">
        <v>443</v>
      </c>
      <c r="W420" s="241" t="s">
        <v>748</v>
      </c>
      <c r="X420" s="241" t="s">
        <v>121</v>
      </c>
      <c r="Y420" s="241" t="s">
        <v>313</v>
      </c>
      <c r="Z420" s="241"/>
      <c r="AA420" s="241"/>
      <c r="AB420" s="241" t="s">
        <v>314</v>
      </c>
      <c r="AC420" s="241" t="s">
        <v>6885</v>
      </c>
      <c r="AD420" s="245">
        <v>36188</v>
      </c>
      <c r="AE420" s="241">
        <f t="shared" ca="1" si="49"/>
        <v>26</v>
      </c>
      <c r="AF420" s="246" t="s">
        <v>6888</v>
      </c>
      <c r="AG420" s="246" t="s">
        <v>6889</v>
      </c>
      <c r="AH420" s="246" t="s">
        <v>6886</v>
      </c>
      <c r="AI420" s="246"/>
      <c r="AJ420" s="246"/>
      <c r="AK420" s="246" t="s">
        <v>6887</v>
      </c>
      <c r="AL420" s="246"/>
      <c r="AM420" s="246"/>
      <c r="AN420" s="241" t="s">
        <v>4716</v>
      </c>
      <c r="AO420" s="241"/>
      <c r="AP420" s="241"/>
      <c r="AQ420" s="241"/>
      <c r="AR420" s="241"/>
      <c r="AS420" s="241"/>
      <c r="AT420" s="241"/>
      <c r="AU420" s="241"/>
      <c r="AV420" s="241"/>
      <c r="AW420" s="241"/>
      <c r="AX420" s="241">
        <f>COUNTA(logut!AL561:AO561)</f>
        <v>0</v>
      </c>
      <c r="AY420" s="241" t="str">
        <f>IF(logut!AJ561="Menikah","K","TK")&amp;"/"&amp;logut!AT561</f>
        <v>TK/</v>
      </c>
      <c r="AZ420" s="241"/>
      <c r="BA420" s="241"/>
      <c r="BB420" s="241" t="s">
        <v>161</v>
      </c>
      <c r="BC420" s="298" t="s">
        <v>75</v>
      </c>
      <c r="BD420" s="300" t="s">
        <v>43</v>
      </c>
      <c r="BE420" s="241" t="s">
        <v>1994</v>
      </c>
      <c r="BF420" s="241">
        <v>2023</v>
      </c>
      <c r="BG420" s="298" t="s">
        <v>75</v>
      </c>
      <c r="BH420" s="300" t="s">
        <v>43</v>
      </c>
      <c r="BI420" s="241" t="s">
        <v>1994</v>
      </c>
      <c r="BJ420" s="241">
        <v>2023</v>
      </c>
      <c r="BK420" s="241"/>
      <c r="BL420" s="241"/>
      <c r="BM420" s="241"/>
      <c r="BN420" s="241"/>
      <c r="BO420" s="241"/>
      <c r="BP420" s="241"/>
      <c r="BQ420" s="241"/>
      <c r="BR420" s="241"/>
      <c r="BS420" s="241"/>
      <c r="BT420" s="241"/>
      <c r="BU420" s="241"/>
      <c r="BV420" s="241"/>
      <c r="BW420" s="241"/>
      <c r="BX420" s="241"/>
      <c r="BY420" s="241"/>
      <c r="BZ420" s="241"/>
      <c r="CA420" s="241"/>
      <c r="CB420" s="241"/>
      <c r="CC420" s="241"/>
      <c r="CD420" s="241"/>
      <c r="CE420" s="241"/>
      <c r="CF420" s="13"/>
      <c r="CG420" s="13"/>
      <c r="CH420" s="13"/>
      <c r="CI420" s="13"/>
    </row>
    <row r="421" spans="1:87" ht="11.25" customHeight="1" x14ac:dyDescent="0.2">
      <c r="A421" s="13"/>
      <c r="B421" s="238">
        <v>417</v>
      </c>
      <c r="C421" s="241" t="e">
        <f ca="1">DATEDIF($E$3,logut!O562,"D")</f>
        <v>#NUM!</v>
      </c>
      <c r="D421" s="237" t="s">
        <v>6852</v>
      </c>
      <c r="E421" s="241">
        <v>642501004</v>
      </c>
      <c r="F421" s="237"/>
      <c r="G421" s="246"/>
      <c r="H421" s="246" t="s">
        <v>24</v>
      </c>
      <c r="I421" s="241" t="s">
        <v>24</v>
      </c>
      <c r="J421" s="242">
        <v>45659</v>
      </c>
      <c r="K421" s="241"/>
      <c r="L421" s="241"/>
      <c r="M421" s="241" t="s">
        <v>14</v>
      </c>
      <c r="N421" s="241" t="s">
        <v>187</v>
      </c>
      <c r="O421" s="241"/>
      <c r="P421" s="243">
        <v>46022</v>
      </c>
      <c r="Q421" s="241"/>
      <c r="R421" s="241" t="s">
        <v>206</v>
      </c>
      <c r="S421" s="241" t="s">
        <v>6863</v>
      </c>
      <c r="T421" s="241" t="s">
        <v>312</v>
      </c>
      <c r="U421" s="241" t="s">
        <v>24</v>
      </c>
      <c r="V421" s="241" t="s">
        <v>204</v>
      </c>
      <c r="W421" s="241" t="s">
        <v>706</v>
      </c>
      <c r="X421" s="241" t="s">
        <v>121</v>
      </c>
      <c r="Y421" s="241" t="s">
        <v>313</v>
      </c>
      <c r="Z421" s="241"/>
      <c r="AA421" s="241"/>
      <c r="AB421" s="241" t="s">
        <v>314</v>
      </c>
      <c r="AC421" s="241" t="s">
        <v>1571</v>
      </c>
      <c r="AD421" s="245">
        <v>35951</v>
      </c>
      <c r="AE421" s="241">
        <f t="shared" ca="1" si="49"/>
        <v>27</v>
      </c>
      <c r="AF421" s="246" t="s">
        <v>6874</v>
      </c>
      <c r="AG421" s="246" t="s">
        <v>6875</v>
      </c>
      <c r="AH421" s="246" t="s">
        <v>6876</v>
      </c>
      <c r="AI421" s="246"/>
      <c r="AJ421" s="246"/>
      <c r="AK421" s="246" t="s">
        <v>6877</v>
      </c>
      <c r="AL421" s="246"/>
      <c r="AM421" s="246"/>
      <c r="AN421" s="241" t="s">
        <v>4716</v>
      </c>
      <c r="AO421" s="241"/>
      <c r="AP421" s="241"/>
      <c r="AQ421" s="241"/>
      <c r="AR421" s="241"/>
      <c r="AS421" s="241"/>
      <c r="AT421" s="241" t="s">
        <v>6878</v>
      </c>
      <c r="AU421" s="241" t="s">
        <v>6879</v>
      </c>
      <c r="AV421" s="241"/>
      <c r="AW421" s="241"/>
      <c r="AX421" s="241">
        <f>COUNTA(logut!AL562:AO562)</f>
        <v>0</v>
      </c>
      <c r="AY421" s="241" t="str">
        <f>IF(logut!AJ562="Menikah","K","TK")&amp;"/"&amp;logut!AT562</f>
        <v>TK/</v>
      </c>
      <c r="AZ421" s="241"/>
      <c r="BA421" s="241"/>
      <c r="BB421" s="241" t="s">
        <v>161</v>
      </c>
      <c r="BC421" s="298" t="s">
        <v>349</v>
      </c>
      <c r="BD421" s="300" t="s">
        <v>91</v>
      </c>
      <c r="BE421" s="241" t="s">
        <v>6880</v>
      </c>
      <c r="BF421" s="241">
        <v>2017</v>
      </c>
      <c r="BG421" s="241" t="s">
        <v>349</v>
      </c>
      <c r="BH421" s="300" t="s">
        <v>91</v>
      </c>
      <c r="BI421" s="241" t="s">
        <v>6880</v>
      </c>
      <c r="BJ421" s="241">
        <v>2017</v>
      </c>
      <c r="BK421" s="241"/>
      <c r="BL421" s="241"/>
      <c r="BM421" s="241"/>
      <c r="BN421" s="241"/>
      <c r="BO421" s="241"/>
      <c r="BP421" s="241"/>
      <c r="BQ421" s="241"/>
      <c r="BR421" s="241"/>
      <c r="BS421" s="241"/>
      <c r="BT421" s="241"/>
      <c r="BU421" s="241"/>
      <c r="BV421" s="241"/>
      <c r="BW421" s="241"/>
      <c r="BX421" s="241"/>
      <c r="BY421" s="241"/>
      <c r="BZ421" s="241"/>
      <c r="CA421" s="241"/>
      <c r="CB421" s="241"/>
      <c r="CC421" s="241"/>
      <c r="CD421" s="241"/>
      <c r="CE421" s="241"/>
      <c r="CF421" s="13"/>
      <c r="CG421" s="13"/>
      <c r="CH421" s="13"/>
      <c r="CI421" s="13"/>
    </row>
    <row r="422" spans="1:87" ht="11.25" customHeight="1" x14ac:dyDescent="0.2">
      <c r="A422" s="13"/>
      <c r="B422" s="238">
        <v>418</v>
      </c>
      <c r="C422" s="286" t="s">
        <v>292</v>
      </c>
      <c r="D422" s="237" t="s">
        <v>6895</v>
      </c>
      <c r="E422" s="239">
        <v>991100061</v>
      </c>
      <c r="F422" s="237"/>
      <c r="G422" s="246"/>
      <c r="H422" s="246" t="s">
        <v>204</v>
      </c>
      <c r="I422" s="241" t="s">
        <v>217</v>
      </c>
      <c r="J422" s="242">
        <v>45674</v>
      </c>
      <c r="K422" s="241"/>
      <c r="L422" s="241"/>
      <c r="M422" s="241" t="s">
        <v>6857</v>
      </c>
      <c r="N422" s="241" t="s">
        <v>204</v>
      </c>
      <c r="O422" s="241"/>
      <c r="P422" s="243"/>
      <c r="Q422" s="241" t="s">
        <v>6897</v>
      </c>
      <c r="R422" s="284" t="s">
        <v>137</v>
      </c>
      <c r="S422" s="251" t="s">
        <v>6862</v>
      </c>
      <c r="T422" s="241" t="s">
        <v>296</v>
      </c>
      <c r="U422" s="241" t="s">
        <v>187</v>
      </c>
      <c r="V422" s="241" t="s">
        <v>119</v>
      </c>
      <c r="W422" s="241" t="s">
        <v>120</v>
      </c>
      <c r="X422" s="241" t="s">
        <v>120</v>
      </c>
      <c r="Y422" s="241" t="s">
        <v>313</v>
      </c>
      <c r="Z422" s="241"/>
      <c r="AA422" s="241"/>
      <c r="AB422" s="241" t="s">
        <v>314</v>
      </c>
      <c r="AC422" s="303" t="s">
        <v>441</v>
      </c>
      <c r="AD422" s="245">
        <v>30055</v>
      </c>
      <c r="AE422" s="241">
        <f t="shared" ca="1" si="49"/>
        <v>43</v>
      </c>
      <c r="AF422" s="246" t="s">
        <v>6921</v>
      </c>
      <c r="AG422" s="246" t="s">
        <v>6898</v>
      </c>
      <c r="AH422" s="246"/>
      <c r="AI422" s="246"/>
      <c r="AJ422" s="246"/>
      <c r="AK422" s="330" t="s">
        <v>6920</v>
      </c>
      <c r="AL422" s="246" t="s">
        <v>6917</v>
      </c>
      <c r="AM422" s="246" t="s">
        <v>6916</v>
      </c>
      <c r="AN422" s="257" t="s">
        <v>4733</v>
      </c>
      <c r="AO422" s="241"/>
      <c r="AP422" s="241"/>
      <c r="AQ422" s="241"/>
      <c r="AR422" s="241"/>
      <c r="AS422" s="241"/>
      <c r="AT422" s="241"/>
      <c r="AU422" s="241"/>
      <c r="AV422" s="241"/>
      <c r="AW422" s="241"/>
      <c r="AX422" s="241">
        <f>COUNTA(logut!AL563:AO563)</f>
        <v>0</v>
      </c>
      <c r="AY422" s="241" t="str">
        <f>IF(logut!AJ563="Menikah","K","TK")&amp;"/"&amp;logut!AT563</f>
        <v>TK/</v>
      </c>
      <c r="AZ422" s="241"/>
      <c r="BA422" s="241"/>
      <c r="BB422" s="241" t="s">
        <v>161</v>
      </c>
      <c r="BC422" s="298" t="s">
        <v>75</v>
      </c>
      <c r="BD422" s="300" t="s">
        <v>91</v>
      </c>
      <c r="BE422" s="300" t="s">
        <v>1902</v>
      </c>
      <c r="BF422" s="241"/>
      <c r="BG422" s="298" t="s">
        <v>75</v>
      </c>
      <c r="BH422" s="300" t="s">
        <v>91</v>
      </c>
      <c r="BI422" s="300" t="s">
        <v>1902</v>
      </c>
      <c r="BJ422" s="241"/>
      <c r="BK422" s="241"/>
      <c r="BL422" s="241"/>
      <c r="BM422" s="241"/>
      <c r="BN422" s="241"/>
      <c r="BO422" s="241"/>
      <c r="BP422" s="241"/>
      <c r="BQ422" s="241"/>
      <c r="BR422" s="241"/>
      <c r="BS422" s="241"/>
      <c r="BT422" s="241"/>
      <c r="BU422" s="241"/>
      <c r="BV422" s="241"/>
      <c r="BW422" s="241"/>
      <c r="BX422" s="241"/>
      <c r="BY422" s="241"/>
      <c r="BZ422" s="241"/>
      <c r="CA422" s="241"/>
      <c r="CB422" s="241"/>
      <c r="CC422" s="241"/>
      <c r="CD422" s="241"/>
      <c r="CE422" s="241"/>
      <c r="CF422" s="13"/>
      <c r="CG422" s="13"/>
      <c r="CH422" s="13"/>
      <c r="CI422" s="13"/>
    </row>
    <row r="423" spans="1:87" ht="11.25" customHeight="1" x14ac:dyDescent="0.2">
      <c r="A423" s="13"/>
      <c r="B423" s="238">
        <v>419</v>
      </c>
      <c r="C423" s="286" t="s">
        <v>292</v>
      </c>
      <c r="D423" s="237" t="s">
        <v>6896</v>
      </c>
      <c r="E423" s="239">
        <v>999900117</v>
      </c>
      <c r="F423" s="237"/>
      <c r="G423" s="246"/>
      <c r="H423" s="246" t="s">
        <v>204</v>
      </c>
      <c r="I423" s="241" t="s">
        <v>217</v>
      </c>
      <c r="J423" s="242">
        <v>45674</v>
      </c>
      <c r="K423" s="241"/>
      <c r="L423" s="241"/>
      <c r="M423" s="241" t="s">
        <v>6857</v>
      </c>
      <c r="N423" s="241" t="s">
        <v>204</v>
      </c>
      <c r="O423" s="241"/>
      <c r="P423" s="243"/>
      <c r="Q423" s="241" t="s">
        <v>295</v>
      </c>
      <c r="R423" s="284" t="s">
        <v>137</v>
      </c>
      <c r="S423" s="251" t="s">
        <v>6862</v>
      </c>
      <c r="T423" s="241" t="s">
        <v>296</v>
      </c>
      <c r="U423" s="241" t="s">
        <v>187</v>
      </c>
      <c r="V423" s="241" t="s">
        <v>1074</v>
      </c>
      <c r="W423" s="241" t="s">
        <v>1074</v>
      </c>
      <c r="X423" s="241" t="s">
        <v>6903</v>
      </c>
      <c r="Y423" s="241" t="s">
        <v>1064</v>
      </c>
      <c r="Z423" s="241"/>
      <c r="AA423" s="241"/>
      <c r="AB423" s="241" t="s">
        <v>314</v>
      </c>
      <c r="AC423" s="303" t="s">
        <v>20</v>
      </c>
      <c r="AD423" s="245">
        <v>27192</v>
      </c>
      <c r="AE423" s="241">
        <f t="shared" ca="1" si="49"/>
        <v>51</v>
      </c>
      <c r="AF423" s="246" t="s">
        <v>6922</v>
      </c>
      <c r="AG423" s="246" t="s">
        <v>6899</v>
      </c>
      <c r="AH423" s="246"/>
      <c r="AI423" s="246"/>
      <c r="AJ423" s="246"/>
      <c r="AK423" s="330" t="s">
        <v>6919</v>
      </c>
      <c r="AL423" s="246" t="s">
        <v>6918</v>
      </c>
      <c r="AM423" s="246" t="s">
        <v>6915</v>
      </c>
      <c r="AN423" s="257" t="s">
        <v>4733</v>
      </c>
      <c r="AO423" s="241"/>
      <c r="AP423" s="241"/>
      <c r="AQ423" s="241"/>
      <c r="AR423" s="241"/>
      <c r="AS423" s="241"/>
      <c r="AT423" s="241"/>
      <c r="AU423" s="241"/>
      <c r="AV423" s="241"/>
      <c r="AW423" s="241"/>
      <c r="AX423" s="241">
        <f>COUNTA(logut!AL564:AO564)</f>
        <v>0</v>
      </c>
      <c r="AY423" s="241" t="str">
        <f>IF(logut!AJ564="Menikah","K","TK")&amp;"/"&amp;logut!AT564</f>
        <v>TK/</v>
      </c>
      <c r="AZ423" s="241"/>
      <c r="BA423" s="241"/>
      <c r="BB423" s="241" t="s">
        <v>161</v>
      </c>
      <c r="BC423" s="298" t="s">
        <v>75</v>
      </c>
      <c r="BD423" s="300" t="s">
        <v>87</v>
      </c>
      <c r="BE423" s="241" t="s">
        <v>4270</v>
      </c>
      <c r="BF423" s="241"/>
      <c r="BG423" s="241" t="s">
        <v>75</v>
      </c>
      <c r="BH423" s="300" t="s">
        <v>87</v>
      </c>
      <c r="BI423" s="241" t="s">
        <v>4270</v>
      </c>
      <c r="BJ423" s="241"/>
      <c r="BK423" s="241"/>
      <c r="BL423" s="241"/>
      <c r="BM423" s="241"/>
      <c r="BN423" s="241"/>
      <c r="BO423" s="241"/>
      <c r="BP423" s="241"/>
      <c r="BQ423" s="241"/>
      <c r="BR423" s="241"/>
      <c r="BS423" s="241"/>
      <c r="BT423" s="241"/>
      <c r="BU423" s="241"/>
      <c r="BV423" s="241"/>
      <c r="BW423" s="241"/>
      <c r="BX423" s="241"/>
      <c r="BY423" s="241"/>
      <c r="BZ423" s="241"/>
      <c r="CA423" s="241"/>
      <c r="CB423" s="241"/>
      <c r="CC423" s="241"/>
      <c r="CD423" s="241"/>
      <c r="CE423" s="241"/>
      <c r="CF423" s="13"/>
      <c r="CG423" s="13"/>
      <c r="CH423" s="13"/>
      <c r="CI423" s="13"/>
    </row>
    <row r="424" spans="1:87" ht="11.25" customHeight="1" x14ac:dyDescent="0.2">
      <c r="A424" s="13"/>
      <c r="B424" s="238">
        <v>420</v>
      </c>
      <c r="C424" s="241" t="e">
        <f ca="1">DATEDIF($E$3,logut!O560,"D")</f>
        <v>#NUM!</v>
      </c>
      <c r="D424" s="237" t="s">
        <v>7000</v>
      </c>
      <c r="E424" s="241">
        <v>642502005</v>
      </c>
      <c r="F424" s="237">
        <v>1710016878376</v>
      </c>
      <c r="G424" s="246"/>
      <c r="H424" s="241" t="s">
        <v>32</v>
      </c>
      <c r="I424" s="241" t="s">
        <v>32</v>
      </c>
      <c r="J424" s="242">
        <v>45698</v>
      </c>
      <c r="K424" s="241"/>
      <c r="L424" s="241"/>
      <c r="M424" s="241" t="s">
        <v>14</v>
      </c>
      <c r="N424" s="241" t="s">
        <v>187</v>
      </c>
      <c r="O424" s="241"/>
      <c r="P424" s="243">
        <v>46022</v>
      </c>
      <c r="Q424" s="241"/>
      <c r="R424" s="241" t="s">
        <v>206</v>
      </c>
      <c r="S424" s="241" t="s">
        <v>6863</v>
      </c>
      <c r="T424" s="241" t="s">
        <v>312</v>
      </c>
      <c r="U424" s="241" t="s">
        <v>32</v>
      </c>
      <c r="V424" s="241" t="s">
        <v>3833</v>
      </c>
      <c r="W424" s="241" t="s">
        <v>6911</v>
      </c>
      <c r="X424" s="241" t="s">
        <v>18</v>
      </c>
      <c r="Y424" s="241" t="s">
        <v>313</v>
      </c>
      <c r="Z424" s="241"/>
      <c r="AA424" s="241"/>
      <c r="AB424" s="241" t="s">
        <v>314</v>
      </c>
      <c r="AC424" s="303" t="s">
        <v>32</v>
      </c>
      <c r="AD424" s="329">
        <v>38950</v>
      </c>
      <c r="AE424" s="241">
        <f t="shared" ca="1" si="49"/>
        <v>19</v>
      </c>
      <c r="AF424" s="246" t="s">
        <v>7016</v>
      </c>
      <c r="AG424" s="246" t="s">
        <v>7017</v>
      </c>
      <c r="AH424" s="246" t="s">
        <v>7018</v>
      </c>
      <c r="AI424" s="246" t="s">
        <v>7018</v>
      </c>
      <c r="AJ424" s="299" t="s">
        <v>7019</v>
      </c>
      <c r="AK424" s="241" t="s">
        <v>7020</v>
      </c>
      <c r="AL424" s="331" t="s">
        <v>7127</v>
      </c>
      <c r="AM424" s="246"/>
      <c r="AN424" s="241" t="s">
        <v>4716</v>
      </c>
      <c r="AO424" s="241"/>
      <c r="AP424" s="241"/>
      <c r="AQ424" s="241"/>
      <c r="AR424" s="241"/>
      <c r="AS424" s="241"/>
      <c r="AT424" s="241" t="s">
        <v>7021</v>
      </c>
      <c r="AU424" s="241" t="s">
        <v>7022</v>
      </c>
      <c r="AV424" s="241"/>
      <c r="AW424" s="241"/>
      <c r="AX424" s="241">
        <f>COUNTA(logut!AL560:AO560)</f>
        <v>0</v>
      </c>
      <c r="AY424" s="241" t="str">
        <f>IF(logut!AJ560="Menikah","K","TK")&amp;"/"&amp;logut!AT560</f>
        <v>TK/</v>
      </c>
      <c r="AZ424" s="241"/>
      <c r="BA424" s="241"/>
      <c r="BB424" s="241" t="s">
        <v>161</v>
      </c>
      <c r="BC424" s="298" t="s">
        <v>349</v>
      </c>
      <c r="BD424" s="300" t="s">
        <v>7066</v>
      </c>
      <c r="BE424" s="241" t="s">
        <v>7071</v>
      </c>
      <c r="BF424" s="241">
        <v>2024</v>
      </c>
      <c r="BG424" s="241" t="s">
        <v>349</v>
      </c>
      <c r="BH424" s="300" t="s">
        <v>91</v>
      </c>
      <c r="BI424" s="241" t="s">
        <v>7071</v>
      </c>
      <c r="BJ424" s="241"/>
      <c r="BK424" s="241"/>
      <c r="BL424" s="241"/>
      <c r="BM424" s="301" t="s">
        <v>360</v>
      </c>
      <c r="BN424" s="301" t="s">
        <v>360</v>
      </c>
      <c r="BO424" s="241">
        <v>41</v>
      </c>
      <c r="BP424" s="241"/>
      <c r="BQ424" s="241"/>
      <c r="BR424" s="241"/>
      <c r="BS424" s="241"/>
      <c r="BT424" s="241"/>
      <c r="BU424" s="241"/>
      <c r="BV424" s="241"/>
      <c r="BW424" s="241"/>
      <c r="BX424" s="241"/>
      <c r="BY424" s="241"/>
      <c r="BZ424" s="241"/>
      <c r="CA424" s="241"/>
      <c r="CB424" s="241"/>
      <c r="CC424" s="241"/>
      <c r="CD424" s="241"/>
      <c r="CE424" s="241"/>
      <c r="CF424" s="13"/>
      <c r="CG424" s="13"/>
      <c r="CH424" s="13"/>
      <c r="CI424" s="13"/>
    </row>
    <row r="425" spans="1:87" ht="11.25" customHeight="1" x14ac:dyDescent="0.2">
      <c r="A425" s="13"/>
      <c r="B425" s="238">
        <v>421</v>
      </c>
      <c r="C425" s="241" t="e">
        <f ca="1">DATEDIF($E$3,logut!O561,"D")</f>
        <v>#NUM!</v>
      </c>
      <c r="D425" s="237" t="s">
        <v>7001</v>
      </c>
      <c r="E425" s="241">
        <v>642502006</v>
      </c>
      <c r="F425" s="237">
        <v>1710016878434</v>
      </c>
      <c r="G425" s="246"/>
      <c r="H425" s="241" t="s">
        <v>32</v>
      </c>
      <c r="I425" s="241" t="s">
        <v>32</v>
      </c>
      <c r="J425" s="242">
        <v>45698</v>
      </c>
      <c r="K425" s="241"/>
      <c r="L425" s="241"/>
      <c r="M425" s="241" t="s">
        <v>14</v>
      </c>
      <c r="N425" s="241" t="s">
        <v>187</v>
      </c>
      <c r="O425" s="241"/>
      <c r="P425" s="243">
        <v>46022</v>
      </c>
      <c r="Q425" s="241"/>
      <c r="R425" s="241" t="s">
        <v>206</v>
      </c>
      <c r="S425" s="241" t="s">
        <v>6863</v>
      </c>
      <c r="T425" s="241" t="s">
        <v>312</v>
      </c>
      <c r="U425" s="241" t="s">
        <v>32</v>
      </c>
      <c r="V425" s="241" t="s">
        <v>3833</v>
      </c>
      <c r="W425" s="241" t="s">
        <v>6911</v>
      </c>
      <c r="X425" s="241" t="s">
        <v>18</v>
      </c>
      <c r="Y425" s="241" t="s">
        <v>313</v>
      </c>
      <c r="Z425" s="241"/>
      <c r="AA425" s="241"/>
      <c r="AB425" s="241" t="s">
        <v>314</v>
      </c>
      <c r="AC425" s="303" t="s">
        <v>32</v>
      </c>
      <c r="AD425" s="245">
        <v>37845</v>
      </c>
      <c r="AE425" s="241">
        <f t="shared" ca="1" si="49"/>
        <v>22</v>
      </c>
      <c r="AF425" s="246" t="s">
        <v>7024</v>
      </c>
      <c r="AG425" s="246" t="s">
        <v>7036</v>
      </c>
      <c r="AH425" s="246"/>
      <c r="AI425" s="246" t="s">
        <v>7043</v>
      </c>
      <c r="AJ425" s="299" t="s">
        <v>7044</v>
      </c>
      <c r="AK425" s="241" t="s">
        <v>7045</v>
      </c>
      <c r="AL425" s="246" t="s">
        <v>7128</v>
      </c>
      <c r="AM425" s="246"/>
      <c r="AN425" s="241" t="s">
        <v>4716</v>
      </c>
      <c r="AO425" s="241"/>
      <c r="AP425" s="241"/>
      <c r="AQ425" s="241"/>
      <c r="AR425" s="241"/>
      <c r="AS425" s="241"/>
      <c r="AT425" s="241" t="s">
        <v>7052</v>
      </c>
      <c r="AU425" s="241" t="s">
        <v>7059</v>
      </c>
      <c r="AV425" s="241"/>
      <c r="AW425" s="241"/>
      <c r="AX425" s="241">
        <f>COUNTA(logut!AL561:AO561)</f>
        <v>0</v>
      </c>
      <c r="AY425" s="241" t="str">
        <f>IF(logut!AJ561="Menikah","K","TK")&amp;"/"&amp;logut!AT561</f>
        <v>TK/</v>
      </c>
      <c r="AZ425" s="241"/>
      <c r="BA425" s="241"/>
      <c r="BB425" s="241" t="s">
        <v>161</v>
      </c>
      <c r="BC425" s="298" t="s">
        <v>349</v>
      </c>
      <c r="BD425" s="300" t="s">
        <v>7067</v>
      </c>
      <c r="BE425" s="241" t="s">
        <v>7071</v>
      </c>
      <c r="BF425" s="241">
        <v>2022</v>
      </c>
      <c r="BG425" s="241" t="s">
        <v>349</v>
      </c>
      <c r="BH425" s="300" t="s">
        <v>7073</v>
      </c>
      <c r="BI425" s="241" t="s">
        <v>7071</v>
      </c>
      <c r="BJ425" s="241"/>
      <c r="BK425" s="241"/>
      <c r="BL425" s="241"/>
      <c r="BM425" s="301" t="s">
        <v>351</v>
      </c>
      <c r="BN425" s="301" t="s">
        <v>351</v>
      </c>
      <c r="BO425" s="241">
        <v>41</v>
      </c>
      <c r="BP425" s="241"/>
      <c r="BQ425" s="241"/>
      <c r="BR425" s="241"/>
      <c r="BS425" s="241"/>
      <c r="BT425" s="241"/>
      <c r="BU425" s="241"/>
      <c r="BV425" s="241"/>
      <c r="BW425" s="241"/>
      <c r="BX425" s="241"/>
      <c r="BY425" s="241"/>
      <c r="BZ425" s="241"/>
      <c r="CA425" s="241"/>
      <c r="CB425" s="241"/>
      <c r="CC425" s="241"/>
      <c r="CD425" s="241"/>
      <c r="CE425" s="241"/>
      <c r="CF425" s="13"/>
      <c r="CG425" s="13"/>
      <c r="CH425" s="13"/>
      <c r="CI425" s="13"/>
    </row>
    <row r="426" spans="1:87" ht="11.25" customHeight="1" x14ac:dyDescent="0.2">
      <c r="A426" s="13"/>
      <c r="B426" s="238">
        <v>422</v>
      </c>
      <c r="C426" s="241" t="e">
        <f ca="1">DATEDIF($E$3,logut!O562,"D")</f>
        <v>#NUM!</v>
      </c>
      <c r="D426" s="237" t="s">
        <v>7002</v>
      </c>
      <c r="E426" s="241">
        <v>642502007</v>
      </c>
      <c r="F426" s="237">
        <v>1710016878319</v>
      </c>
      <c r="G426" s="246"/>
      <c r="H426" s="241" t="s">
        <v>32</v>
      </c>
      <c r="I426" s="241" t="s">
        <v>32</v>
      </c>
      <c r="J426" s="242">
        <v>45698</v>
      </c>
      <c r="K426" s="241"/>
      <c r="L426" s="241"/>
      <c r="M426" s="241" t="s">
        <v>14</v>
      </c>
      <c r="N426" s="241" t="s">
        <v>187</v>
      </c>
      <c r="O426" s="241"/>
      <c r="P426" s="243">
        <v>46022</v>
      </c>
      <c r="Q426" s="241"/>
      <c r="R426" s="241" t="s">
        <v>206</v>
      </c>
      <c r="S426" s="241" t="s">
        <v>6863</v>
      </c>
      <c r="T426" s="241" t="s">
        <v>312</v>
      </c>
      <c r="U426" s="241" t="s">
        <v>32</v>
      </c>
      <c r="V426" s="241" t="s">
        <v>3833</v>
      </c>
      <c r="W426" s="241" t="s">
        <v>6911</v>
      </c>
      <c r="X426" s="241" t="s">
        <v>18</v>
      </c>
      <c r="Y426" s="241" t="s">
        <v>313</v>
      </c>
      <c r="Z426" s="241"/>
      <c r="AA426" s="241"/>
      <c r="AB426" s="241" t="s">
        <v>314</v>
      </c>
      <c r="AC426" s="303" t="s">
        <v>32</v>
      </c>
      <c r="AD426" s="245">
        <v>38749</v>
      </c>
      <c r="AE426" s="241">
        <f t="shared" ca="1" si="49"/>
        <v>19</v>
      </c>
      <c r="AF426" s="246" t="s">
        <v>7027</v>
      </c>
      <c r="AG426" s="246" t="s">
        <v>7030</v>
      </c>
      <c r="AH426" s="246" t="s">
        <v>7037</v>
      </c>
      <c r="AI426" s="246" t="s">
        <v>7037</v>
      </c>
      <c r="AJ426" s="299" t="s">
        <v>7037</v>
      </c>
      <c r="AK426" s="241" t="s">
        <v>7046</v>
      </c>
      <c r="AL426" s="331" t="s">
        <v>7126</v>
      </c>
      <c r="AM426" s="246"/>
      <c r="AN426" s="241" t="s">
        <v>4716</v>
      </c>
      <c r="AO426" s="241"/>
      <c r="AP426" s="241"/>
      <c r="AQ426" s="241"/>
      <c r="AR426" s="241"/>
      <c r="AS426" s="241"/>
      <c r="AT426" s="241" t="s">
        <v>7053</v>
      </c>
      <c r="AU426" s="241" t="s">
        <v>7060</v>
      </c>
      <c r="AV426" s="241"/>
      <c r="AW426" s="241"/>
      <c r="AX426" s="241">
        <f>COUNTA(logut!AL562:AO562)</f>
        <v>0</v>
      </c>
      <c r="AY426" s="241" t="str">
        <f>IF(logut!AJ562="Menikah","K","TK")&amp;"/"&amp;logut!AT562</f>
        <v>TK/</v>
      </c>
      <c r="AZ426" s="241"/>
      <c r="BA426" s="241"/>
      <c r="BB426" s="241" t="s">
        <v>161</v>
      </c>
      <c r="BC426" s="298" t="s">
        <v>349</v>
      </c>
      <c r="BD426" s="300" t="s">
        <v>7068</v>
      </c>
      <c r="BE426" s="241" t="s">
        <v>7071</v>
      </c>
      <c r="BF426" s="241">
        <v>2024</v>
      </c>
      <c r="BG426" s="241" t="s">
        <v>349</v>
      </c>
      <c r="BH426" s="300" t="s">
        <v>7074</v>
      </c>
      <c r="BI426" s="241" t="s">
        <v>7071</v>
      </c>
      <c r="BJ426" s="241"/>
      <c r="BK426" s="241"/>
      <c r="BL426" s="241"/>
      <c r="BM426" s="301" t="s">
        <v>351</v>
      </c>
      <c r="BN426" s="301" t="s">
        <v>351</v>
      </c>
      <c r="BO426" s="241">
        <v>43</v>
      </c>
      <c r="BP426" s="241"/>
      <c r="BQ426" s="241"/>
      <c r="BR426" s="241"/>
      <c r="BS426" s="241"/>
      <c r="BT426" s="241"/>
      <c r="BU426" s="241"/>
      <c r="BV426" s="241"/>
      <c r="BW426" s="241"/>
      <c r="BX426" s="241"/>
      <c r="BY426" s="241"/>
      <c r="BZ426" s="241"/>
      <c r="CA426" s="241"/>
      <c r="CB426" s="241"/>
      <c r="CC426" s="241"/>
      <c r="CD426" s="241"/>
      <c r="CE426" s="241"/>
      <c r="CF426" s="13"/>
      <c r="CG426" s="13"/>
      <c r="CH426" s="13"/>
      <c r="CI426" s="13"/>
    </row>
    <row r="427" spans="1:87" ht="11.25" customHeight="1" x14ac:dyDescent="0.2">
      <c r="A427" s="13"/>
      <c r="B427" s="238">
        <v>423</v>
      </c>
      <c r="C427" s="241" t="e">
        <f ca="1">DATEDIF($E$3,logut!O563,"D")</f>
        <v>#NUM!</v>
      </c>
      <c r="D427" s="237" t="s">
        <v>7003</v>
      </c>
      <c r="E427" s="241">
        <v>642502008</v>
      </c>
      <c r="F427" s="237">
        <v>1710016878293</v>
      </c>
      <c r="G427" s="246"/>
      <c r="H427" s="241" t="s">
        <v>32</v>
      </c>
      <c r="I427" s="241" t="s">
        <v>32</v>
      </c>
      <c r="J427" s="242">
        <v>45698</v>
      </c>
      <c r="K427" s="241"/>
      <c r="L427" s="241"/>
      <c r="M427" s="241" t="s">
        <v>14</v>
      </c>
      <c r="N427" s="241" t="s">
        <v>187</v>
      </c>
      <c r="O427" s="241"/>
      <c r="P427" s="243">
        <v>46022</v>
      </c>
      <c r="Q427" s="241"/>
      <c r="R427" s="241" t="s">
        <v>206</v>
      </c>
      <c r="S427" s="241" t="s">
        <v>6863</v>
      </c>
      <c r="T427" s="241" t="s">
        <v>312</v>
      </c>
      <c r="U427" s="241" t="s">
        <v>32</v>
      </c>
      <c r="V427" s="241" t="s">
        <v>3833</v>
      </c>
      <c r="W427" s="241" t="s">
        <v>6911</v>
      </c>
      <c r="X427" s="241" t="s">
        <v>18</v>
      </c>
      <c r="Y427" s="241" t="s">
        <v>313</v>
      </c>
      <c r="Z427" s="241"/>
      <c r="AA427" s="241"/>
      <c r="AB427" s="241" t="s">
        <v>314</v>
      </c>
      <c r="AC427" s="303" t="s">
        <v>32</v>
      </c>
      <c r="AD427" s="245">
        <v>38545</v>
      </c>
      <c r="AE427" s="241">
        <f t="shared" ca="1" si="49"/>
        <v>20</v>
      </c>
      <c r="AF427" s="246" t="s">
        <v>7025</v>
      </c>
      <c r="AG427" s="246" t="s">
        <v>7031</v>
      </c>
      <c r="AH427" s="246" t="s">
        <v>7038</v>
      </c>
      <c r="AI427" s="246" t="s">
        <v>7038</v>
      </c>
      <c r="AJ427" s="299" t="s">
        <v>7038</v>
      </c>
      <c r="AK427" s="241" t="s">
        <v>7047</v>
      </c>
      <c r="AL427" s="246" t="s">
        <v>7129</v>
      </c>
      <c r="AM427" s="246"/>
      <c r="AN427" s="241" t="s">
        <v>4716</v>
      </c>
      <c r="AO427" s="241"/>
      <c r="AP427" s="241"/>
      <c r="AQ427" s="241"/>
      <c r="AR427" s="241"/>
      <c r="AS427" s="241"/>
      <c r="AT427" s="241" t="s">
        <v>7054</v>
      </c>
      <c r="AU427" s="241" t="s">
        <v>7061</v>
      </c>
      <c r="AV427" s="241"/>
      <c r="AW427" s="241"/>
      <c r="AX427" s="241">
        <f>COUNTA(logut!AL563:AO563)</f>
        <v>0</v>
      </c>
      <c r="AY427" s="241" t="str">
        <f>IF(logut!AJ563="Menikah","K","TK")&amp;"/"&amp;logut!AT563</f>
        <v>TK/</v>
      </c>
      <c r="AZ427" s="241"/>
      <c r="BA427" s="241"/>
      <c r="BB427" s="241" t="s">
        <v>161</v>
      </c>
      <c r="BC427" s="298" t="s">
        <v>349</v>
      </c>
      <c r="BD427" s="300" t="s">
        <v>7069</v>
      </c>
      <c r="BE427" s="241" t="s">
        <v>7071</v>
      </c>
      <c r="BF427" s="241">
        <v>2024</v>
      </c>
      <c r="BG427" s="241" t="s">
        <v>349</v>
      </c>
      <c r="BH427" s="300" t="s">
        <v>7074</v>
      </c>
      <c r="BI427" s="241" t="s">
        <v>7071</v>
      </c>
      <c r="BJ427" s="241"/>
      <c r="BK427" s="241"/>
      <c r="BL427" s="241"/>
      <c r="BM427" s="301" t="s">
        <v>360</v>
      </c>
      <c r="BN427" s="301" t="s">
        <v>360</v>
      </c>
      <c r="BO427" s="241">
        <v>39</v>
      </c>
      <c r="BP427" s="241"/>
      <c r="BQ427" s="241"/>
      <c r="BR427" s="241"/>
      <c r="BS427" s="241"/>
      <c r="BT427" s="241"/>
      <c r="BU427" s="241"/>
      <c r="BV427" s="241"/>
      <c r="BW427" s="241"/>
      <c r="BX427" s="241"/>
      <c r="BY427" s="241"/>
      <c r="BZ427" s="241"/>
      <c r="CA427" s="241"/>
      <c r="CB427" s="241"/>
      <c r="CC427" s="241"/>
      <c r="CD427" s="241"/>
      <c r="CE427" s="241"/>
      <c r="CF427" s="13"/>
      <c r="CG427" s="13"/>
      <c r="CH427" s="13"/>
      <c r="CI427" s="13"/>
    </row>
    <row r="428" spans="1:87" ht="11.25" customHeight="1" x14ac:dyDescent="0.2">
      <c r="A428" s="13"/>
      <c r="B428" s="238">
        <v>424</v>
      </c>
      <c r="C428" s="241" t="e">
        <f ca="1">DATEDIF($E$3,logut!O564,"D")</f>
        <v>#NUM!</v>
      </c>
      <c r="D428" s="237" t="s">
        <v>7007</v>
      </c>
      <c r="E428" s="241">
        <v>642502009</v>
      </c>
      <c r="F428" s="237"/>
      <c r="G428" s="246"/>
      <c r="H428" s="241" t="s">
        <v>32</v>
      </c>
      <c r="I428" s="241" t="s">
        <v>32</v>
      </c>
      <c r="J428" s="242">
        <v>45698</v>
      </c>
      <c r="K428" s="241"/>
      <c r="L428" s="241"/>
      <c r="M428" s="241" t="s">
        <v>14</v>
      </c>
      <c r="N428" s="241" t="s">
        <v>187</v>
      </c>
      <c r="O428" s="241"/>
      <c r="P428" s="243">
        <v>46022</v>
      </c>
      <c r="Q428" s="241"/>
      <c r="R428" s="241" t="s">
        <v>206</v>
      </c>
      <c r="S428" s="241" t="s">
        <v>6863</v>
      </c>
      <c r="T428" s="241" t="s">
        <v>312</v>
      </c>
      <c r="U428" s="241" t="s">
        <v>32</v>
      </c>
      <c r="V428" s="241" t="s">
        <v>3833</v>
      </c>
      <c r="W428" s="241" t="s">
        <v>6911</v>
      </c>
      <c r="X428" s="241" t="s">
        <v>18</v>
      </c>
      <c r="Y428" s="241" t="s">
        <v>313</v>
      </c>
      <c r="Z428" s="241"/>
      <c r="AA428" s="241"/>
      <c r="AB428" s="241" t="s">
        <v>314</v>
      </c>
      <c r="AC428" s="303" t="s">
        <v>32</v>
      </c>
      <c r="AD428" s="245">
        <v>38566</v>
      </c>
      <c r="AE428" s="241">
        <f t="shared" ca="1" si="49"/>
        <v>20</v>
      </c>
      <c r="AF428" s="246" t="s">
        <v>7026</v>
      </c>
      <c r="AG428" s="246" t="s">
        <v>7032</v>
      </c>
      <c r="AH428" s="246" t="s">
        <v>7039</v>
      </c>
      <c r="AI428" s="246" t="s">
        <v>7039</v>
      </c>
      <c r="AJ428" s="299" t="s">
        <v>7039</v>
      </c>
      <c r="AK428" s="241" t="s">
        <v>7048</v>
      </c>
      <c r="AL428" s="246"/>
      <c r="AM428" s="246"/>
      <c r="AN428" s="241" t="s">
        <v>4716</v>
      </c>
      <c r="AO428" s="241"/>
      <c r="AP428" s="241"/>
      <c r="AQ428" s="241"/>
      <c r="AR428" s="241"/>
      <c r="AS428" s="241"/>
      <c r="AT428" s="241" t="s">
        <v>7055</v>
      </c>
      <c r="AU428" s="241" t="s">
        <v>7062</v>
      </c>
      <c r="AV428" s="241"/>
      <c r="AW428" s="241"/>
      <c r="AX428" s="241">
        <f>COUNTA(logut!AL564:AO564)</f>
        <v>0</v>
      </c>
      <c r="AY428" s="241" t="str">
        <f>IF(logut!AJ564="Menikah","K","TK")&amp;"/"&amp;logut!AT564</f>
        <v>TK/</v>
      </c>
      <c r="AZ428" s="241"/>
      <c r="BA428" s="241"/>
      <c r="BB428" s="241" t="s">
        <v>161</v>
      </c>
      <c r="BC428" s="298" t="s">
        <v>349</v>
      </c>
      <c r="BD428" s="300" t="s">
        <v>7070</v>
      </c>
      <c r="BE428" s="241" t="s">
        <v>7071</v>
      </c>
      <c r="BF428" s="241">
        <v>2024</v>
      </c>
      <c r="BG428" s="241" t="s">
        <v>349</v>
      </c>
      <c r="BH428" s="300" t="s">
        <v>7072</v>
      </c>
      <c r="BI428" s="241" t="s">
        <v>7071</v>
      </c>
      <c r="BJ428" s="241"/>
      <c r="BK428" s="241"/>
      <c r="BL428" s="241"/>
      <c r="BM428" s="301" t="s">
        <v>351</v>
      </c>
      <c r="BN428" s="301" t="s">
        <v>351</v>
      </c>
      <c r="BO428" s="241">
        <v>41</v>
      </c>
      <c r="BP428" s="241"/>
      <c r="BQ428" s="241"/>
      <c r="BR428" s="241"/>
      <c r="BS428" s="241"/>
      <c r="BT428" s="241"/>
      <c r="BU428" s="241"/>
      <c r="BV428" s="241"/>
      <c r="BW428" s="241"/>
      <c r="BX428" s="241"/>
      <c r="BY428" s="241"/>
      <c r="BZ428" s="241"/>
      <c r="CA428" s="241"/>
      <c r="CB428" s="241"/>
      <c r="CC428" s="241"/>
      <c r="CD428" s="241"/>
      <c r="CE428" s="241"/>
      <c r="CF428" s="13"/>
      <c r="CG428" s="13"/>
      <c r="CH428" s="13"/>
      <c r="CI428" s="13"/>
    </row>
    <row r="429" spans="1:87" ht="11.25" customHeight="1" x14ac:dyDescent="0.2">
      <c r="A429" s="13"/>
      <c r="B429" s="238">
        <v>425</v>
      </c>
      <c r="C429" s="241" t="e">
        <f ca="1">DATEDIF($E$3,logut!O565,"D")</f>
        <v>#NUM!</v>
      </c>
      <c r="D429" s="237" t="s">
        <v>7004</v>
      </c>
      <c r="E429" s="241">
        <v>642502010</v>
      </c>
      <c r="F429" s="237"/>
      <c r="G429" s="246"/>
      <c r="H429" s="241" t="s">
        <v>32</v>
      </c>
      <c r="I429" s="241" t="s">
        <v>32</v>
      </c>
      <c r="J429" s="242">
        <v>45698</v>
      </c>
      <c r="K429" s="241"/>
      <c r="L429" s="241"/>
      <c r="M429" s="241" t="s">
        <v>14</v>
      </c>
      <c r="N429" s="241" t="s">
        <v>187</v>
      </c>
      <c r="O429" s="241"/>
      <c r="P429" s="243">
        <v>46022</v>
      </c>
      <c r="Q429" s="241"/>
      <c r="R429" s="241" t="s">
        <v>206</v>
      </c>
      <c r="S429" s="241" t="s">
        <v>6863</v>
      </c>
      <c r="T429" s="241" t="s">
        <v>312</v>
      </c>
      <c r="U429" s="241" t="s">
        <v>32</v>
      </c>
      <c r="V429" s="241" t="s">
        <v>3833</v>
      </c>
      <c r="W429" s="241" t="s">
        <v>6911</v>
      </c>
      <c r="X429" s="241" t="s">
        <v>18</v>
      </c>
      <c r="Y429" s="241" t="s">
        <v>313</v>
      </c>
      <c r="Z429" s="241"/>
      <c r="AA429" s="241"/>
      <c r="AB429" s="241" t="s">
        <v>314</v>
      </c>
      <c r="AC429" s="303" t="s">
        <v>32</v>
      </c>
      <c r="AD429" s="245">
        <v>36939</v>
      </c>
      <c r="AE429" s="241">
        <f t="shared" ca="1" si="49"/>
        <v>24</v>
      </c>
      <c r="AF429" s="246" t="s">
        <v>7023</v>
      </c>
      <c r="AG429" s="246" t="s">
        <v>7033</v>
      </c>
      <c r="AH429" s="246" t="s">
        <v>7040</v>
      </c>
      <c r="AI429" s="246" t="s">
        <v>7040</v>
      </c>
      <c r="AJ429" s="299" t="s">
        <v>7040</v>
      </c>
      <c r="AK429" s="241" t="s">
        <v>7049</v>
      </c>
      <c r="AL429" s="246"/>
      <c r="AM429" s="246"/>
      <c r="AN429" s="241" t="s">
        <v>4716</v>
      </c>
      <c r="AO429" s="241"/>
      <c r="AP429" s="241"/>
      <c r="AQ429" s="241"/>
      <c r="AR429" s="241"/>
      <c r="AS429" s="241"/>
      <c r="AT429" s="241" t="s">
        <v>7057</v>
      </c>
      <c r="AU429" s="241" t="s">
        <v>7064</v>
      </c>
      <c r="AV429" s="241"/>
      <c r="AW429" s="241"/>
      <c r="AX429" s="241">
        <f>COUNTA(logut!AL565:AO565)</f>
        <v>0</v>
      </c>
      <c r="AY429" s="241" t="str">
        <f>IF(logut!AJ565="Menikah","K","TK")&amp;"/"&amp;logut!AT565</f>
        <v>TK/</v>
      </c>
      <c r="AZ429" s="241"/>
      <c r="BA429" s="241"/>
      <c r="BB429" s="241" t="s">
        <v>161</v>
      </c>
      <c r="BC429" s="298" t="s">
        <v>349</v>
      </c>
      <c r="BD429" s="300" t="s">
        <v>4360</v>
      </c>
      <c r="BE429" s="241" t="s">
        <v>7071</v>
      </c>
      <c r="BF429" s="241">
        <v>2020</v>
      </c>
      <c r="BG429" s="241" t="s">
        <v>349</v>
      </c>
      <c r="BH429" s="300" t="s">
        <v>4360</v>
      </c>
      <c r="BI429" s="241" t="s">
        <v>7071</v>
      </c>
      <c r="BJ429" s="241"/>
      <c r="BK429" s="241"/>
      <c r="BL429" s="241"/>
      <c r="BM429" s="301" t="s">
        <v>339</v>
      </c>
      <c r="BN429" s="301" t="s">
        <v>351</v>
      </c>
      <c r="BO429" s="241">
        <v>42</v>
      </c>
      <c r="BP429" s="241"/>
      <c r="BQ429" s="241"/>
      <c r="BR429" s="241"/>
      <c r="BS429" s="241"/>
      <c r="BT429" s="241"/>
      <c r="BU429" s="241"/>
      <c r="BV429" s="241"/>
      <c r="BW429" s="241"/>
      <c r="BX429" s="241"/>
      <c r="BY429" s="241"/>
      <c r="BZ429" s="241"/>
      <c r="CA429" s="241"/>
      <c r="CB429" s="241"/>
      <c r="CC429" s="241"/>
      <c r="CD429" s="241"/>
      <c r="CE429" s="241"/>
      <c r="CF429" s="13"/>
      <c r="CG429" s="13"/>
      <c r="CH429" s="13"/>
      <c r="CI429" s="13"/>
    </row>
    <row r="430" spans="1:87" ht="11.25" customHeight="1" x14ac:dyDescent="0.2">
      <c r="A430" s="13"/>
      <c r="B430" s="238">
        <v>426</v>
      </c>
      <c r="C430" s="241" t="e">
        <f ca="1">DATEDIF($E$3,logut!O566,"D")</f>
        <v>#NUM!</v>
      </c>
      <c r="D430" s="237" t="s">
        <v>7005</v>
      </c>
      <c r="E430" s="241">
        <v>642502011</v>
      </c>
      <c r="F430" s="237"/>
      <c r="G430" s="246"/>
      <c r="H430" s="241" t="s">
        <v>32</v>
      </c>
      <c r="I430" s="241" t="s">
        <v>32</v>
      </c>
      <c r="J430" s="242">
        <v>45698</v>
      </c>
      <c r="K430" s="241"/>
      <c r="L430" s="241"/>
      <c r="M430" s="241" t="s">
        <v>14</v>
      </c>
      <c r="N430" s="241" t="s">
        <v>187</v>
      </c>
      <c r="O430" s="241"/>
      <c r="P430" s="243">
        <v>46022</v>
      </c>
      <c r="Q430" s="241"/>
      <c r="R430" s="241" t="s">
        <v>206</v>
      </c>
      <c r="S430" s="241" t="s">
        <v>6863</v>
      </c>
      <c r="T430" s="241" t="s">
        <v>312</v>
      </c>
      <c r="U430" s="241" t="s">
        <v>32</v>
      </c>
      <c r="V430" s="241" t="s">
        <v>3833</v>
      </c>
      <c r="W430" s="241" t="s">
        <v>6911</v>
      </c>
      <c r="X430" s="241" t="s">
        <v>18</v>
      </c>
      <c r="Y430" s="241" t="s">
        <v>313</v>
      </c>
      <c r="Z430" s="241"/>
      <c r="AA430" s="241"/>
      <c r="AB430" s="241" t="s">
        <v>314</v>
      </c>
      <c r="AC430" s="303" t="s">
        <v>3892</v>
      </c>
      <c r="AD430" s="245">
        <v>38615</v>
      </c>
      <c r="AE430" s="241">
        <f t="shared" ca="1" si="49"/>
        <v>20</v>
      </c>
      <c r="AF430" s="246" t="s">
        <v>7028</v>
      </c>
      <c r="AG430" s="246" t="s">
        <v>7034</v>
      </c>
      <c r="AH430" s="246" t="s">
        <v>7041</v>
      </c>
      <c r="AI430" s="246" t="s">
        <v>7041</v>
      </c>
      <c r="AJ430" s="299" t="s">
        <v>337</v>
      </c>
      <c r="AK430" s="241" t="s">
        <v>7050</v>
      </c>
      <c r="AL430" s="246"/>
      <c r="AM430" s="246"/>
      <c r="AN430" s="241" t="s">
        <v>4716</v>
      </c>
      <c r="AO430" s="241"/>
      <c r="AP430" s="241"/>
      <c r="AQ430" s="241"/>
      <c r="AR430" s="241"/>
      <c r="AS430" s="241"/>
      <c r="AT430" s="241" t="s">
        <v>7056</v>
      </c>
      <c r="AU430" s="241" t="s">
        <v>7063</v>
      </c>
      <c r="AV430" s="241"/>
      <c r="AW430" s="241"/>
      <c r="AX430" s="241">
        <f>COUNTA(logut!AL566:AO566)</f>
        <v>0</v>
      </c>
      <c r="AY430" s="241" t="str">
        <f>IF(logut!AJ566="Menikah","K","TK")&amp;"/"&amp;logut!AT566</f>
        <v>TK/</v>
      </c>
      <c r="AZ430" s="241"/>
      <c r="BA430" s="241"/>
      <c r="BB430" s="241" t="s">
        <v>161</v>
      </c>
      <c r="BC430" s="298" t="s">
        <v>349</v>
      </c>
      <c r="BD430" s="300" t="s">
        <v>91</v>
      </c>
      <c r="BE430" s="241" t="s">
        <v>7071</v>
      </c>
      <c r="BF430" s="241">
        <v>2024</v>
      </c>
      <c r="BG430" s="241" t="s">
        <v>349</v>
      </c>
      <c r="BH430" s="300" t="s">
        <v>91</v>
      </c>
      <c r="BI430" s="241" t="s">
        <v>7071</v>
      </c>
      <c r="BJ430" s="241"/>
      <c r="BK430" s="241"/>
      <c r="BL430" s="241"/>
      <c r="BM430" s="301" t="s">
        <v>339</v>
      </c>
      <c r="BN430" s="301" t="s">
        <v>339</v>
      </c>
      <c r="BO430" s="241">
        <v>42</v>
      </c>
      <c r="BP430" s="241"/>
      <c r="BQ430" s="241"/>
      <c r="BR430" s="241"/>
      <c r="BS430" s="241"/>
      <c r="BT430" s="241"/>
      <c r="BU430" s="241"/>
      <c r="BV430" s="241"/>
      <c r="BW430" s="241"/>
      <c r="BX430" s="241"/>
      <c r="BY430" s="241"/>
      <c r="BZ430" s="241"/>
      <c r="CA430" s="241"/>
      <c r="CB430" s="241"/>
      <c r="CC430" s="241"/>
      <c r="CD430" s="241"/>
      <c r="CE430" s="241"/>
      <c r="CF430" s="13"/>
      <c r="CG430" s="13"/>
      <c r="CH430" s="13"/>
      <c r="CI430" s="13"/>
    </row>
    <row r="431" spans="1:87" ht="11.25" customHeight="1" x14ac:dyDescent="0.2">
      <c r="A431" s="13"/>
      <c r="B431" s="238">
        <v>427</v>
      </c>
      <c r="C431" s="241" t="e">
        <f ca="1">DATEDIF($E$3,logut!O567,"D")</f>
        <v>#NUM!</v>
      </c>
      <c r="D431" s="237" t="s">
        <v>7006</v>
      </c>
      <c r="E431" s="241">
        <v>642502012</v>
      </c>
      <c r="F431" s="237"/>
      <c r="G431" s="246"/>
      <c r="H431" s="241" t="s">
        <v>32</v>
      </c>
      <c r="I431" s="241" t="s">
        <v>32</v>
      </c>
      <c r="J431" s="242">
        <v>45698</v>
      </c>
      <c r="K431" s="241"/>
      <c r="L431" s="241"/>
      <c r="M431" s="241" t="s">
        <v>14</v>
      </c>
      <c r="N431" s="241" t="s">
        <v>187</v>
      </c>
      <c r="O431" s="241"/>
      <c r="P431" s="243">
        <v>46022</v>
      </c>
      <c r="Q431" s="241"/>
      <c r="R431" s="241" t="s">
        <v>206</v>
      </c>
      <c r="S431" s="241" t="s">
        <v>6863</v>
      </c>
      <c r="T431" s="241" t="s">
        <v>312</v>
      </c>
      <c r="U431" s="241" t="s">
        <v>32</v>
      </c>
      <c r="V431" s="241" t="s">
        <v>3833</v>
      </c>
      <c r="W431" s="241" t="s">
        <v>6911</v>
      </c>
      <c r="X431" s="241" t="s">
        <v>18</v>
      </c>
      <c r="Y431" s="241" t="s">
        <v>313</v>
      </c>
      <c r="Z431" s="241"/>
      <c r="AA431" s="241"/>
      <c r="AB431" s="241" t="s">
        <v>314</v>
      </c>
      <c r="AC431" s="303" t="s">
        <v>32</v>
      </c>
      <c r="AD431" s="245">
        <v>38714</v>
      </c>
      <c r="AE431" s="241">
        <f t="shared" ca="1" si="49"/>
        <v>19</v>
      </c>
      <c r="AF431" s="246" t="s">
        <v>7029</v>
      </c>
      <c r="AG431" s="246" t="s">
        <v>7035</v>
      </c>
      <c r="AH431" s="246" t="s">
        <v>7042</v>
      </c>
      <c r="AI431" s="246" t="s">
        <v>7042</v>
      </c>
      <c r="AJ431" s="299" t="s">
        <v>337</v>
      </c>
      <c r="AK431" s="241" t="s">
        <v>7051</v>
      </c>
      <c r="AL431" s="246"/>
      <c r="AM431" s="246"/>
      <c r="AN431" s="241" t="s">
        <v>4716</v>
      </c>
      <c r="AO431" s="241"/>
      <c r="AP431" s="241"/>
      <c r="AQ431" s="241"/>
      <c r="AR431" s="241"/>
      <c r="AS431" s="241"/>
      <c r="AT431" s="241" t="s">
        <v>7058</v>
      </c>
      <c r="AU431" s="241" t="s">
        <v>7065</v>
      </c>
      <c r="AV431" s="241"/>
      <c r="AW431" s="241"/>
      <c r="AX431" s="241">
        <f>COUNTA(logut!AL567:AO567)</f>
        <v>0</v>
      </c>
      <c r="AY431" s="241" t="str">
        <f>IF(logut!AJ567="Menikah","K","TK")&amp;"/"&amp;logut!AT567</f>
        <v>TK/</v>
      </c>
      <c r="AZ431" s="241"/>
      <c r="BA431" s="241"/>
      <c r="BB431" s="241" t="s">
        <v>161</v>
      </c>
      <c r="BC431" s="298" t="s">
        <v>349</v>
      </c>
      <c r="BD431" s="300" t="s">
        <v>5026</v>
      </c>
      <c r="BE431" s="241" t="s">
        <v>7071</v>
      </c>
      <c r="BF431" s="241">
        <v>2024</v>
      </c>
      <c r="BG431" s="241" t="s">
        <v>349</v>
      </c>
      <c r="BH431" s="300" t="s">
        <v>5026</v>
      </c>
      <c r="BI431" s="241" t="s">
        <v>7071</v>
      </c>
      <c r="BJ431" s="241"/>
      <c r="BK431" s="241"/>
      <c r="BL431" s="241"/>
      <c r="BM431" s="301" t="s">
        <v>339</v>
      </c>
      <c r="BN431" s="301" t="s">
        <v>339</v>
      </c>
      <c r="BO431" s="241">
        <v>43</v>
      </c>
      <c r="BP431" s="241"/>
      <c r="BQ431" s="241"/>
      <c r="BR431" s="241"/>
      <c r="BS431" s="241"/>
      <c r="BT431" s="241"/>
      <c r="BU431" s="241"/>
      <c r="BV431" s="241"/>
      <c r="BW431" s="241"/>
      <c r="BX431" s="241"/>
      <c r="BY431" s="241"/>
      <c r="BZ431" s="241"/>
      <c r="CA431" s="241"/>
      <c r="CB431" s="241"/>
      <c r="CC431" s="241"/>
      <c r="CD431" s="241"/>
      <c r="CE431" s="241"/>
      <c r="CF431" s="13"/>
      <c r="CG431" s="13"/>
      <c r="CH431" s="13"/>
      <c r="CI431" s="13"/>
    </row>
    <row r="432" spans="1:87" ht="11.25" customHeight="1" x14ac:dyDescent="0.2">
      <c r="A432" s="13"/>
      <c r="B432" s="238">
        <v>428</v>
      </c>
      <c r="C432" s="241" t="e">
        <f ca="1">DATEDIF($E$3,logut!O568,"D")</f>
        <v>#NUM!</v>
      </c>
      <c r="D432" s="237" t="s">
        <v>7008</v>
      </c>
      <c r="E432" s="241">
        <v>642502013</v>
      </c>
      <c r="F432" s="237"/>
      <c r="G432" s="246"/>
      <c r="H432" s="246" t="s">
        <v>217</v>
      </c>
      <c r="I432" s="241" t="s">
        <v>217</v>
      </c>
      <c r="J432" s="242">
        <v>45700</v>
      </c>
      <c r="K432" s="241"/>
      <c r="L432" s="241"/>
      <c r="M432" s="241" t="s">
        <v>14</v>
      </c>
      <c r="N432" s="241" t="s">
        <v>187</v>
      </c>
      <c r="O432" s="241"/>
      <c r="P432" s="243"/>
      <c r="Q432" s="241"/>
      <c r="R432" s="241" t="s">
        <v>206</v>
      </c>
      <c r="S432" s="241" t="s">
        <v>6863</v>
      </c>
      <c r="T432" s="241" t="s">
        <v>296</v>
      </c>
      <c r="U432" s="241" t="s">
        <v>217</v>
      </c>
      <c r="V432" s="241" t="s">
        <v>2827</v>
      </c>
      <c r="W432" s="241" t="s">
        <v>119</v>
      </c>
      <c r="X432" s="241" t="s">
        <v>120</v>
      </c>
      <c r="Y432" s="241" t="s">
        <v>313</v>
      </c>
      <c r="Z432" s="241"/>
      <c r="AA432" s="241"/>
      <c r="AB432" s="241" t="s">
        <v>133</v>
      </c>
      <c r="AC432" s="303" t="s">
        <v>7076</v>
      </c>
      <c r="AD432" s="245">
        <v>37597</v>
      </c>
      <c r="AE432" s="241">
        <f t="shared" ca="1" si="49"/>
        <v>22</v>
      </c>
      <c r="AF432" s="246" t="s">
        <v>7079</v>
      </c>
      <c r="AG432" s="246" t="s">
        <v>7090</v>
      </c>
      <c r="AH432" s="246" t="s">
        <v>7094</v>
      </c>
      <c r="AI432" s="246" t="s">
        <v>7094</v>
      </c>
      <c r="AJ432" s="299" t="s">
        <v>7094</v>
      </c>
      <c r="AK432" s="241" t="s">
        <v>7102</v>
      </c>
      <c r="AL432" s="246"/>
      <c r="AM432" s="246"/>
      <c r="AN432" s="241" t="s">
        <v>4716</v>
      </c>
      <c r="AO432" s="241"/>
      <c r="AP432" s="241"/>
      <c r="AQ432" s="241"/>
      <c r="AR432" s="241"/>
      <c r="AS432" s="241"/>
      <c r="AT432" s="241" t="s">
        <v>7110</v>
      </c>
      <c r="AU432" s="241" t="s">
        <v>7118</v>
      </c>
      <c r="AV432" s="241"/>
      <c r="AW432" s="241"/>
      <c r="AX432" s="241">
        <f>COUNTA(logut!AL568:AO568)</f>
        <v>0</v>
      </c>
      <c r="AY432" s="241" t="str">
        <f>IF(logut!AJ568="Menikah","K","TK")&amp;"/"&amp;logut!AT568</f>
        <v>TK/</v>
      </c>
      <c r="AZ432" s="241"/>
      <c r="BA432" s="241"/>
      <c r="BB432" s="241" t="s">
        <v>161</v>
      </c>
      <c r="BC432" s="298" t="s">
        <v>70</v>
      </c>
      <c r="BD432" s="300" t="s">
        <v>2834</v>
      </c>
      <c r="BE432" s="241" t="s">
        <v>72</v>
      </c>
      <c r="BF432" s="241">
        <v>2024</v>
      </c>
      <c r="BG432" s="298" t="s">
        <v>70</v>
      </c>
      <c r="BH432" s="241" t="s">
        <v>2834</v>
      </c>
      <c r="BI432" s="241" t="s">
        <v>72</v>
      </c>
      <c r="BJ432" s="241"/>
      <c r="BK432" s="241"/>
      <c r="BL432" s="241"/>
      <c r="BM432" s="302" t="s">
        <v>360</v>
      </c>
      <c r="BN432" s="302" t="s">
        <v>360</v>
      </c>
      <c r="BO432" s="241">
        <v>38</v>
      </c>
      <c r="BP432" s="241"/>
      <c r="BQ432" s="241"/>
      <c r="BR432" s="241"/>
      <c r="BS432" s="241"/>
      <c r="BT432" s="241"/>
      <c r="BU432" s="241"/>
      <c r="BV432" s="241"/>
      <c r="BW432" s="241"/>
      <c r="BX432" s="241"/>
      <c r="BY432" s="241"/>
      <c r="BZ432" s="241"/>
      <c r="CA432" s="241"/>
      <c r="CB432" s="241"/>
      <c r="CC432" s="241"/>
      <c r="CD432" s="241"/>
      <c r="CE432" s="241"/>
      <c r="CF432" s="13"/>
      <c r="CG432" s="13"/>
      <c r="CH432" s="13"/>
      <c r="CI432" s="13"/>
    </row>
    <row r="433" spans="1:87" ht="11.25" customHeight="1" x14ac:dyDescent="0.2">
      <c r="A433" s="13"/>
      <c r="B433" s="238">
        <v>429</v>
      </c>
      <c r="C433" s="241" t="e">
        <f ca="1">DATEDIF($E$3,logut!O569,"D")</f>
        <v>#NUM!</v>
      </c>
      <c r="D433" s="237" t="s">
        <v>7009</v>
      </c>
      <c r="E433" s="241">
        <v>642502014</v>
      </c>
      <c r="F433" s="237"/>
      <c r="G433" s="246"/>
      <c r="H433" s="246" t="s">
        <v>217</v>
      </c>
      <c r="I433" s="241" t="s">
        <v>1087</v>
      </c>
      <c r="J433" s="242">
        <v>45700</v>
      </c>
      <c r="K433" s="241"/>
      <c r="L433" s="241"/>
      <c r="M433" s="241" t="s">
        <v>14</v>
      </c>
      <c r="N433" s="241" t="s">
        <v>187</v>
      </c>
      <c r="O433" s="241"/>
      <c r="P433" s="243"/>
      <c r="Q433" s="241"/>
      <c r="R433" s="241" t="s">
        <v>206</v>
      </c>
      <c r="S433" s="241" t="s">
        <v>6863</v>
      </c>
      <c r="T433" s="241" t="s">
        <v>296</v>
      </c>
      <c r="U433" s="241" t="s">
        <v>217</v>
      </c>
      <c r="V433" s="241" t="s">
        <v>6996</v>
      </c>
      <c r="W433" s="241" t="s">
        <v>6996</v>
      </c>
      <c r="X433" s="241" t="s">
        <v>59</v>
      </c>
      <c r="Y433" s="241" t="s">
        <v>298</v>
      </c>
      <c r="Z433" s="241"/>
      <c r="AA433" s="241"/>
      <c r="AB433" s="241" t="s">
        <v>133</v>
      </c>
      <c r="AC433" s="303" t="s">
        <v>7077</v>
      </c>
      <c r="AD433" s="245">
        <v>37571</v>
      </c>
      <c r="AE433" s="241">
        <f t="shared" ca="1" si="49"/>
        <v>22</v>
      </c>
      <c r="AF433" s="246" t="s">
        <v>7080</v>
      </c>
      <c r="AG433" s="246" t="s">
        <v>7089</v>
      </c>
      <c r="AH433" s="246" t="s">
        <v>7095</v>
      </c>
      <c r="AI433" s="246" t="s">
        <v>7095</v>
      </c>
      <c r="AJ433" s="299" t="s">
        <v>7095</v>
      </c>
      <c r="AK433" s="241" t="s">
        <v>7103</v>
      </c>
      <c r="AL433" s="246"/>
      <c r="AM433" s="246"/>
      <c r="AN433" s="241" t="s">
        <v>4716</v>
      </c>
      <c r="AO433" s="241"/>
      <c r="AP433" s="241"/>
      <c r="AQ433" s="241"/>
      <c r="AR433" s="241"/>
      <c r="AS433" s="241"/>
      <c r="AT433" s="241" t="s">
        <v>7111</v>
      </c>
      <c r="AU433" s="241" t="s">
        <v>7119</v>
      </c>
      <c r="AV433" s="241"/>
      <c r="AW433" s="241"/>
      <c r="AX433" s="241">
        <f>COUNTA(logut!AL569:AO569)</f>
        <v>0</v>
      </c>
      <c r="AY433" s="241" t="str">
        <f>IF(logut!AJ569="Menikah","K","TK")&amp;"/"&amp;logut!AT569</f>
        <v>TK/</v>
      </c>
      <c r="AZ433" s="241"/>
      <c r="BA433" s="241"/>
      <c r="BB433" s="241" t="s">
        <v>161</v>
      </c>
      <c r="BC433" s="298" t="s">
        <v>70</v>
      </c>
      <c r="BD433" s="300" t="s">
        <v>3475</v>
      </c>
      <c r="BE433" s="241" t="s">
        <v>100</v>
      </c>
      <c r="BF433" s="241">
        <v>2024</v>
      </c>
      <c r="BG433" s="298" t="s">
        <v>70</v>
      </c>
      <c r="BH433" s="241" t="s">
        <v>3475</v>
      </c>
      <c r="BI433" s="241" t="s">
        <v>100</v>
      </c>
      <c r="BJ433" s="241"/>
      <c r="BK433" s="241"/>
      <c r="BL433" s="241"/>
      <c r="BM433" s="302" t="s">
        <v>360</v>
      </c>
      <c r="BN433" s="302" t="s">
        <v>360</v>
      </c>
      <c r="BO433" s="241">
        <v>38</v>
      </c>
      <c r="BP433" s="241"/>
      <c r="BQ433" s="241"/>
      <c r="BR433" s="241"/>
      <c r="BS433" s="241"/>
      <c r="BT433" s="241"/>
      <c r="BU433" s="241"/>
      <c r="BV433" s="241"/>
      <c r="BW433" s="241"/>
      <c r="BX433" s="241"/>
      <c r="BY433" s="241"/>
      <c r="BZ433" s="241"/>
      <c r="CA433" s="241"/>
      <c r="CB433" s="241"/>
      <c r="CC433" s="241"/>
      <c r="CD433" s="241"/>
      <c r="CE433" s="241"/>
      <c r="CF433" s="13"/>
      <c r="CG433" s="13"/>
      <c r="CH433" s="13"/>
      <c r="CI433" s="13"/>
    </row>
    <row r="434" spans="1:87" ht="11.25" customHeight="1" x14ac:dyDescent="0.2">
      <c r="A434" s="13"/>
      <c r="B434" s="238">
        <v>430</v>
      </c>
      <c r="C434" s="241" t="e">
        <f ca="1">DATEDIF($E$3,logut!O570,"D")</f>
        <v>#NUM!</v>
      </c>
      <c r="D434" s="237" t="s">
        <v>7010</v>
      </c>
      <c r="E434" s="241">
        <v>642502015</v>
      </c>
      <c r="F434" s="237"/>
      <c r="G434" s="246"/>
      <c r="H434" s="246" t="s">
        <v>217</v>
      </c>
      <c r="I434" s="241" t="s">
        <v>602</v>
      </c>
      <c r="J434" s="242">
        <v>45700</v>
      </c>
      <c r="K434" s="241"/>
      <c r="L434" s="241"/>
      <c r="M434" s="241" t="s">
        <v>14</v>
      </c>
      <c r="N434" s="241" t="s">
        <v>187</v>
      </c>
      <c r="O434" s="241"/>
      <c r="P434" s="243"/>
      <c r="Q434" s="241"/>
      <c r="R434" s="241" t="s">
        <v>206</v>
      </c>
      <c r="S434" s="241" t="s">
        <v>6863</v>
      </c>
      <c r="T434" s="241" t="s">
        <v>296</v>
      </c>
      <c r="U434" s="241" t="s">
        <v>187</v>
      </c>
      <c r="V434" s="241" t="s">
        <v>65</v>
      </c>
      <c r="W434" s="241" t="s">
        <v>65</v>
      </c>
      <c r="X434" s="241" t="s">
        <v>121</v>
      </c>
      <c r="Y434" s="241" t="s">
        <v>313</v>
      </c>
      <c r="Z434" s="241"/>
      <c r="AA434" s="241"/>
      <c r="AB434" s="241" t="s">
        <v>133</v>
      </c>
      <c r="AC434" s="303" t="s">
        <v>1915</v>
      </c>
      <c r="AD434" s="245">
        <v>36981</v>
      </c>
      <c r="AE434" s="241">
        <f t="shared" ca="1" si="49"/>
        <v>24</v>
      </c>
      <c r="AF434" s="246" t="s">
        <v>7081</v>
      </c>
      <c r="AG434" s="246" t="s">
        <v>7091</v>
      </c>
      <c r="AH434" s="246" t="s">
        <v>7096</v>
      </c>
      <c r="AI434" s="246" t="s">
        <v>7096</v>
      </c>
      <c r="AJ434" s="299" t="s">
        <v>7096</v>
      </c>
      <c r="AK434" s="241" t="s">
        <v>7104</v>
      </c>
      <c r="AL434" s="246"/>
      <c r="AM434" s="246"/>
      <c r="AN434" s="241" t="s">
        <v>4716</v>
      </c>
      <c r="AO434" s="241"/>
      <c r="AP434" s="241"/>
      <c r="AQ434" s="241"/>
      <c r="AR434" s="241"/>
      <c r="AS434" s="241"/>
      <c r="AT434" s="241" t="s">
        <v>7116</v>
      </c>
      <c r="AU434" s="241" t="s">
        <v>7117</v>
      </c>
      <c r="AV434" s="241"/>
      <c r="AW434" s="241"/>
      <c r="AX434" s="241">
        <f>COUNTA(logut!AL570:AO570)</f>
        <v>0</v>
      </c>
      <c r="AY434" s="241" t="str">
        <f>IF(logut!AJ570="Menikah","K","TK")&amp;"/"&amp;logut!AT570</f>
        <v>TK/</v>
      </c>
      <c r="AZ434" s="241"/>
      <c r="BA434" s="241"/>
      <c r="BB434" s="241" t="s">
        <v>161</v>
      </c>
      <c r="BC434" s="298" t="s">
        <v>70</v>
      </c>
      <c r="BD434" s="300" t="s">
        <v>99</v>
      </c>
      <c r="BE434" s="241" t="s">
        <v>100</v>
      </c>
      <c r="BF434" s="241">
        <v>2024</v>
      </c>
      <c r="BG434" s="298" t="s">
        <v>70</v>
      </c>
      <c r="BH434" s="241" t="s">
        <v>99</v>
      </c>
      <c r="BI434" s="241" t="s">
        <v>100</v>
      </c>
      <c r="BJ434" s="241"/>
      <c r="BK434" s="241"/>
      <c r="BL434" s="241"/>
      <c r="BM434" s="302" t="s">
        <v>360</v>
      </c>
      <c r="BN434" s="302" t="s">
        <v>360</v>
      </c>
      <c r="BO434" s="241">
        <v>39</v>
      </c>
      <c r="BP434" s="241"/>
      <c r="BQ434" s="241"/>
      <c r="BR434" s="241"/>
      <c r="BS434" s="241"/>
      <c r="BT434" s="241"/>
      <c r="BU434" s="241"/>
      <c r="BV434" s="241"/>
      <c r="BW434" s="241"/>
      <c r="BX434" s="241"/>
      <c r="BY434" s="241"/>
      <c r="BZ434" s="241"/>
      <c r="CA434" s="241"/>
      <c r="CB434" s="241"/>
      <c r="CC434" s="241"/>
      <c r="CD434" s="241"/>
      <c r="CE434" s="241"/>
      <c r="CF434" s="13"/>
      <c r="CG434" s="13"/>
      <c r="CH434" s="13"/>
      <c r="CI434" s="13"/>
    </row>
    <row r="435" spans="1:87" ht="11.25" customHeight="1" x14ac:dyDescent="0.2">
      <c r="A435" s="13"/>
      <c r="B435" s="238">
        <v>431</v>
      </c>
      <c r="C435" s="241" t="e">
        <f ca="1">DATEDIF($E$3,logut!O571,"D")</f>
        <v>#NUM!</v>
      </c>
      <c r="D435" s="237" t="s">
        <v>7011</v>
      </c>
      <c r="E435" s="241">
        <v>642502016</v>
      </c>
      <c r="F435" s="237"/>
      <c r="G435" s="246"/>
      <c r="H435" s="246" t="s">
        <v>217</v>
      </c>
      <c r="I435" s="241" t="s">
        <v>217</v>
      </c>
      <c r="J435" s="242">
        <v>45700</v>
      </c>
      <c r="K435" s="241"/>
      <c r="L435" s="241"/>
      <c r="M435" s="241" t="s">
        <v>14</v>
      </c>
      <c r="N435" s="241" t="s">
        <v>187</v>
      </c>
      <c r="O435" s="241"/>
      <c r="P435" s="243"/>
      <c r="Q435" s="241"/>
      <c r="R435" s="241" t="s">
        <v>206</v>
      </c>
      <c r="S435" s="241" t="s">
        <v>6863</v>
      </c>
      <c r="T435" s="241" t="s">
        <v>296</v>
      </c>
      <c r="U435" s="241" t="s">
        <v>217</v>
      </c>
      <c r="V435" s="241" t="s">
        <v>7141</v>
      </c>
      <c r="W435" s="241" t="s">
        <v>1150</v>
      </c>
      <c r="X435" s="241" t="s">
        <v>6903</v>
      </c>
      <c r="Y435" s="241" t="s">
        <v>1064</v>
      </c>
      <c r="Z435" s="241"/>
      <c r="AA435" s="241"/>
      <c r="AB435" s="241" t="s">
        <v>133</v>
      </c>
      <c r="AC435" s="303" t="s">
        <v>217</v>
      </c>
      <c r="AD435" s="245">
        <v>37770</v>
      </c>
      <c r="AE435" s="241">
        <f t="shared" ca="1" si="49"/>
        <v>22</v>
      </c>
      <c r="AF435" s="246" t="s">
        <v>7082</v>
      </c>
      <c r="AG435" s="246" t="s">
        <v>7075</v>
      </c>
      <c r="AH435" s="246" t="s">
        <v>7097</v>
      </c>
      <c r="AI435" s="246" t="s">
        <v>7097</v>
      </c>
      <c r="AJ435" s="299" t="s">
        <v>7097</v>
      </c>
      <c r="AK435" s="241" t="s">
        <v>7105</v>
      </c>
      <c r="AL435" s="246"/>
      <c r="AM435" s="246"/>
      <c r="AN435" s="241" t="s">
        <v>4716</v>
      </c>
      <c r="AO435" s="241"/>
      <c r="AP435" s="241"/>
      <c r="AQ435" s="241"/>
      <c r="AR435" s="241"/>
      <c r="AS435" s="241"/>
      <c r="AT435" s="241" t="s">
        <v>7120</v>
      </c>
      <c r="AU435" s="241" t="s">
        <v>7115</v>
      </c>
      <c r="AV435" s="241"/>
      <c r="AW435" s="241"/>
      <c r="AX435" s="241">
        <f>COUNTA(logut!AL571:AO571)</f>
        <v>0</v>
      </c>
      <c r="AY435" s="241" t="str">
        <f>IF(logut!AJ571="Menikah","K","TK")&amp;"/"&amp;logut!AT571</f>
        <v>TK/</v>
      </c>
      <c r="AZ435" s="241"/>
      <c r="BA435" s="241"/>
      <c r="BB435" s="241" t="s">
        <v>161</v>
      </c>
      <c r="BC435" s="298" t="s">
        <v>70</v>
      </c>
      <c r="BD435" s="300" t="s">
        <v>96</v>
      </c>
      <c r="BE435" s="241" t="s">
        <v>72</v>
      </c>
      <c r="BF435" s="241">
        <v>2024</v>
      </c>
      <c r="BG435" s="298" t="s">
        <v>70</v>
      </c>
      <c r="BH435" s="241" t="s">
        <v>96</v>
      </c>
      <c r="BI435" s="241" t="s">
        <v>72</v>
      </c>
      <c r="BJ435" s="241"/>
      <c r="BK435" s="241"/>
      <c r="BL435" s="241"/>
      <c r="BM435" s="302" t="s">
        <v>360</v>
      </c>
      <c r="BN435" s="302" t="s">
        <v>360</v>
      </c>
      <c r="BO435" s="241">
        <v>38</v>
      </c>
      <c r="BP435" s="241"/>
      <c r="BQ435" s="241"/>
      <c r="BR435" s="241"/>
      <c r="BS435" s="241"/>
      <c r="BT435" s="241"/>
      <c r="BU435" s="241"/>
      <c r="BV435" s="241"/>
      <c r="BW435" s="241"/>
      <c r="BX435" s="241"/>
      <c r="BY435" s="241"/>
      <c r="BZ435" s="241"/>
      <c r="CA435" s="241"/>
      <c r="CB435" s="241"/>
      <c r="CC435" s="241"/>
      <c r="CD435" s="241"/>
      <c r="CE435" s="241"/>
      <c r="CF435" s="13"/>
      <c r="CG435" s="13"/>
      <c r="CH435" s="13"/>
      <c r="CI435" s="13"/>
    </row>
    <row r="436" spans="1:87" ht="11.25" customHeight="1" x14ac:dyDescent="0.2">
      <c r="A436" s="13"/>
      <c r="B436" s="238">
        <v>432</v>
      </c>
      <c r="C436" s="241" t="e">
        <f ca="1">DATEDIF($E$3,logut!O572,"D")</f>
        <v>#NUM!</v>
      </c>
      <c r="D436" s="237" t="s">
        <v>7012</v>
      </c>
      <c r="E436" s="241">
        <v>642502017</v>
      </c>
      <c r="F436" s="237"/>
      <c r="G436" s="246"/>
      <c r="H436" s="246" t="s">
        <v>217</v>
      </c>
      <c r="I436" s="241" t="s">
        <v>217</v>
      </c>
      <c r="J436" s="242">
        <v>45700</v>
      </c>
      <c r="K436" s="241"/>
      <c r="L436" s="241"/>
      <c r="M436" s="241" t="s">
        <v>14</v>
      </c>
      <c r="N436" s="241" t="s">
        <v>187</v>
      </c>
      <c r="O436" s="241"/>
      <c r="P436" s="243"/>
      <c r="Q436" s="241"/>
      <c r="R436" s="241" t="s">
        <v>206</v>
      </c>
      <c r="S436" s="241" t="s">
        <v>6863</v>
      </c>
      <c r="T436" s="241" t="s">
        <v>296</v>
      </c>
      <c r="U436" s="241" t="s">
        <v>217</v>
      </c>
      <c r="V436" s="241" t="s">
        <v>2827</v>
      </c>
      <c r="W436" s="241" t="s">
        <v>119</v>
      </c>
      <c r="X436" s="241" t="s">
        <v>120</v>
      </c>
      <c r="Y436" s="241" t="s">
        <v>298</v>
      </c>
      <c r="Z436" s="241"/>
      <c r="AA436" s="241"/>
      <c r="AB436" s="241" t="s">
        <v>133</v>
      </c>
      <c r="AC436" s="303" t="s">
        <v>217</v>
      </c>
      <c r="AD436" s="245">
        <v>37166</v>
      </c>
      <c r="AE436" s="241">
        <f t="shared" ca="1" si="49"/>
        <v>23</v>
      </c>
      <c r="AF436" s="246" t="s">
        <v>7083</v>
      </c>
      <c r="AG436" s="246" t="s">
        <v>7087</v>
      </c>
      <c r="AH436" s="246" t="s">
        <v>7098</v>
      </c>
      <c r="AI436" s="246" t="s">
        <v>7098</v>
      </c>
      <c r="AJ436" s="299" t="s">
        <v>7098</v>
      </c>
      <c r="AK436" s="241" t="s">
        <v>7106</v>
      </c>
      <c r="AL436" s="246"/>
      <c r="AM436" s="246"/>
      <c r="AN436" s="241" t="s">
        <v>4716</v>
      </c>
      <c r="AO436" s="241"/>
      <c r="AP436" s="241"/>
      <c r="AQ436" s="241"/>
      <c r="AR436" s="241"/>
      <c r="AS436" s="241"/>
      <c r="AT436" s="241" t="s">
        <v>7112</v>
      </c>
      <c r="AU436" s="241" t="s">
        <v>7121</v>
      </c>
      <c r="AV436" s="241"/>
      <c r="AW436" s="241"/>
      <c r="AX436" s="241">
        <f>COUNTA(logut!AL572:AO572)</f>
        <v>0</v>
      </c>
      <c r="AY436" s="241" t="str">
        <f>IF(logut!AJ572="Menikah","K","TK")&amp;"/"&amp;logut!AT572</f>
        <v>TK/</v>
      </c>
      <c r="AZ436" s="241"/>
      <c r="BA436" s="241"/>
      <c r="BB436" s="241" t="s">
        <v>161</v>
      </c>
      <c r="BC436" s="298" t="s">
        <v>70</v>
      </c>
      <c r="BD436" s="300" t="s">
        <v>2834</v>
      </c>
      <c r="BE436" s="241" t="s">
        <v>72</v>
      </c>
      <c r="BF436" s="241">
        <v>2024</v>
      </c>
      <c r="BG436" s="298" t="s">
        <v>70</v>
      </c>
      <c r="BH436" s="241" t="s">
        <v>2834</v>
      </c>
      <c r="BI436" s="241" t="s">
        <v>72</v>
      </c>
      <c r="BJ436" s="241"/>
      <c r="BK436" s="241"/>
      <c r="BL436" s="241"/>
      <c r="BM436" s="302" t="s">
        <v>360</v>
      </c>
      <c r="BN436" s="302" t="s">
        <v>360</v>
      </c>
      <c r="BO436" s="241">
        <v>38</v>
      </c>
      <c r="BP436" s="241"/>
      <c r="BQ436" s="241"/>
      <c r="BR436" s="241"/>
      <c r="BS436" s="241"/>
      <c r="BT436" s="241"/>
      <c r="BU436" s="241"/>
      <c r="BV436" s="241"/>
      <c r="BW436" s="241"/>
      <c r="BX436" s="241"/>
      <c r="BY436" s="241"/>
      <c r="BZ436" s="241"/>
      <c r="CA436" s="241"/>
      <c r="CB436" s="241"/>
      <c r="CC436" s="241"/>
      <c r="CD436" s="241"/>
      <c r="CE436" s="241"/>
      <c r="CF436" s="13"/>
      <c r="CG436" s="13"/>
      <c r="CH436" s="13"/>
      <c r="CI436" s="13"/>
    </row>
    <row r="437" spans="1:87" ht="11.25" customHeight="1" x14ac:dyDescent="0.2">
      <c r="A437" s="13"/>
      <c r="B437" s="238">
        <v>433</v>
      </c>
      <c r="C437" s="241" t="e">
        <f ca="1">DATEDIF($E$3,logut!O573,"D")</f>
        <v>#NUM!</v>
      </c>
      <c r="D437" s="237" t="s">
        <v>7013</v>
      </c>
      <c r="E437" s="241">
        <v>642502018</v>
      </c>
      <c r="F437" s="237"/>
      <c r="G437" s="246"/>
      <c r="H437" s="246" t="s">
        <v>217</v>
      </c>
      <c r="I437" s="241" t="s">
        <v>217</v>
      </c>
      <c r="J437" s="242">
        <v>45700</v>
      </c>
      <c r="K437" s="241"/>
      <c r="L437" s="241"/>
      <c r="M437" s="241" t="s">
        <v>14</v>
      </c>
      <c r="N437" s="241" t="s">
        <v>187</v>
      </c>
      <c r="O437" s="241"/>
      <c r="P437" s="243"/>
      <c r="Q437" s="241"/>
      <c r="R437" s="241" t="s">
        <v>206</v>
      </c>
      <c r="S437" s="241" t="s">
        <v>6863</v>
      </c>
      <c r="T437" s="241" t="s">
        <v>296</v>
      </c>
      <c r="U437" s="241" t="s">
        <v>217</v>
      </c>
      <c r="V437" s="241" t="s">
        <v>1074</v>
      </c>
      <c r="W437" s="241" t="s">
        <v>1074</v>
      </c>
      <c r="X437" s="241" t="s">
        <v>6903</v>
      </c>
      <c r="Y437" s="241" t="s">
        <v>1064</v>
      </c>
      <c r="Z437" s="241"/>
      <c r="AA437" s="241"/>
      <c r="AB437" s="241" t="s">
        <v>314</v>
      </c>
      <c r="AC437" s="303" t="s">
        <v>217</v>
      </c>
      <c r="AD437" s="245">
        <v>36504</v>
      </c>
      <c r="AE437" s="241">
        <f t="shared" ca="1" si="49"/>
        <v>25</v>
      </c>
      <c r="AF437" s="246" t="s">
        <v>7084</v>
      </c>
      <c r="AG437" s="246" t="s">
        <v>7092</v>
      </c>
      <c r="AH437" s="246" t="s">
        <v>7099</v>
      </c>
      <c r="AI437" s="246" t="s">
        <v>7099</v>
      </c>
      <c r="AJ437" s="299" t="s">
        <v>7099</v>
      </c>
      <c r="AK437" s="241" t="s">
        <v>7107</v>
      </c>
      <c r="AL437" s="246"/>
      <c r="AM437" s="241">
        <v>20068428992</v>
      </c>
      <c r="AN437" s="241" t="s">
        <v>4716</v>
      </c>
      <c r="AO437" s="241"/>
      <c r="AP437" s="241"/>
      <c r="AQ437" s="241"/>
      <c r="AR437" s="241"/>
      <c r="AS437" s="241"/>
      <c r="AT437" s="241" t="s">
        <v>7113</v>
      </c>
      <c r="AU437" s="241" t="s">
        <v>7122</v>
      </c>
      <c r="AV437" s="241"/>
      <c r="AW437" s="241"/>
      <c r="AX437" s="241">
        <f>COUNTA(logut!AL573:AO573)</f>
        <v>0</v>
      </c>
      <c r="AY437" s="241" t="str">
        <f>IF(logut!AJ573="Menikah","K","TK")&amp;"/"&amp;logut!AT573</f>
        <v>TK/</v>
      </c>
      <c r="AZ437" s="241"/>
      <c r="BA437" s="241"/>
      <c r="BB437" s="241" t="s">
        <v>161</v>
      </c>
      <c r="BC437" s="298" t="s">
        <v>75</v>
      </c>
      <c r="BD437" s="300" t="s">
        <v>83</v>
      </c>
      <c r="BE437" s="241" t="s">
        <v>77</v>
      </c>
      <c r="BF437" s="241">
        <v>2023</v>
      </c>
      <c r="BG437" s="298" t="s">
        <v>75</v>
      </c>
      <c r="BH437" s="241" t="s">
        <v>83</v>
      </c>
      <c r="BI437" s="241" t="s">
        <v>77</v>
      </c>
      <c r="BJ437" s="241"/>
      <c r="BK437" s="241"/>
      <c r="BL437" s="241"/>
      <c r="BM437" s="302" t="s">
        <v>351</v>
      </c>
      <c r="BN437" s="302" t="s">
        <v>351</v>
      </c>
      <c r="BO437" s="241">
        <v>42</v>
      </c>
      <c r="BP437" s="241"/>
      <c r="BQ437" s="241"/>
      <c r="BR437" s="241"/>
      <c r="BS437" s="241"/>
      <c r="BT437" s="241"/>
      <c r="BU437" s="241"/>
      <c r="BV437" s="241"/>
      <c r="BW437" s="241"/>
      <c r="BX437" s="241"/>
      <c r="BY437" s="241"/>
      <c r="BZ437" s="241"/>
      <c r="CA437" s="241"/>
      <c r="CB437" s="241"/>
      <c r="CC437" s="241"/>
      <c r="CD437" s="241"/>
      <c r="CE437" s="241"/>
      <c r="CF437" s="13"/>
      <c r="CG437" s="13"/>
      <c r="CH437" s="13"/>
      <c r="CI437" s="13"/>
    </row>
    <row r="438" spans="1:87" ht="11.25" customHeight="1" x14ac:dyDescent="0.2">
      <c r="A438" s="13"/>
      <c r="B438" s="238">
        <v>434</v>
      </c>
      <c r="C438" s="241" t="e">
        <f ca="1">DATEDIF($E$3,logut!O574,"D")</f>
        <v>#NUM!</v>
      </c>
      <c r="D438" s="237" t="s">
        <v>7014</v>
      </c>
      <c r="E438" s="241">
        <v>642502019</v>
      </c>
      <c r="F438" s="237"/>
      <c r="G438" s="246"/>
      <c r="H438" s="246" t="s">
        <v>217</v>
      </c>
      <c r="I438" s="241" t="s">
        <v>217</v>
      </c>
      <c r="J438" s="242">
        <v>45700</v>
      </c>
      <c r="K438" s="241"/>
      <c r="L438" s="241"/>
      <c r="M438" s="241" t="s">
        <v>14</v>
      </c>
      <c r="N438" s="241" t="s">
        <v>187</v>
      </c>
      <c r="O438" s="241"/>
      <c r="P438" s="243"/>
      <c r="Q438" s="241"/>
      <c r="R438" s="241" t="s">
        <v>206</v>
      </c>
      <c r="S438" s="241" t="s">
        <v>6863</v>
      </c>
      <c r="T438" s="241" t="s">
        <v>296</v>
      </c>
      <c r="U438" s="241" t="s">
        <v>217</v>
      </c>
      <c r="V438" s="241" t="s">
        <v>3811</v>
      </c>
      <c r="W438" s="241" t="s">
        <v>3811</v>
      </c>
      <c r="X438" s="241" t="s">
        <v>6903</v>
      </c>
      <c r="Y438" s="241" t="s">
        <v>1064</v>
      </c>
      <c r="Z438" s="241"/>
      <c r="AA438" s="241"/>
      <c r="AB438" s="241" t="s">
        <v>133</v>
      </c>
      <c r="AC438" s="303" t="s">
        <v>217</v>
      </c>
      <c r="AD438" s="245">
        <v>35804</v>
      </c>
      <c r="AE438" s="241">
        <f t="shared" ca="1" si="49"/>
        <v>27</v>
      </c>
      <c r="AF438" s="246" t="s">
        <v>7085</v>
      </c>
      <c r="AG438" s="246" t="s">
        <v>7093</v>
      </c>
      <c r="AH438" s="246" t="s">
        <v>7100</v>
      </c>
      <c r="AI438" s="246" t="s">
        <v>7100</v>
      </c>
      <c r="AJ438" s="299" t="s">
        <v>7100</v>
      </c>
      <c r="AK438" s="241" t="s">
        <v>7108</v>
      </c>
      <c r="AL438" s="246"/>
      <c r="AM438" s="246"/>
      <c r="AN438" s="241" t="s">
        <v>4716</v>
      </c>
      <c r="AO438" s="241"/>
      <c r="AP438" s="241"/>
      <c r="AQ438" s="241"/>
      <c r="AR438" s="241"/>
      <c r="AS438" s="241"/>
      <c r="AT438" s="241" t="s">
        <v>3390</v>
      </c>
      <c r="AU438" s="241" t="s">
        <v>7123</v>
      </c>
      <c r="AV438" s="241"/>
      <c r="AW438" s="241"/>
      <c r="AX438" s="241">
        <f>COUNTA(logut!AL574:AO574)</f>
        <v>0</v>
      </c>
      <c r="AY438" s="241" t="str">
        <f>IF(logut!AJ574="Menikah","K","TK")&amp;"/"&amp;logut!AT574</f>
        <v>TK/</v>
      </c>
      <c r="AZ438" s="241"/>
      <c r="BA438" s="241"/>
      <c r="BB438" s="241" t="s">
        <v>161</v>
      </c>
      <c r="BC438" s="298" t="s">
        <v>75</v>
      </c>
      <c r="BD438" s="300" t="s">
        <v>83</v>
      </c>
      <c r="BE438" s="241" t="s">
        <v>7125</v>
      </c>
      <c r="BF438" s="241">
        <v>2020</v>
      </c>
      <c r="BG438" s="298" t="s">
        <v>75</v>
      </c>
      <c r="BH438" s="241" t="s">
        <v>83</v>
      </c>
      <c r="BI438" s="241" t="s">
        <v>7125</v>
      </c>
      <c r="BJ438" s="241"/>
      <c r="BK438" s="241"/>
      <c r="BL438" s="241"/>
      <c r="BM438" s="302" t="s">
        <v>360</v>
      </c>
      <c r="BN438" s="302" t="s">
        <v>360</v>
      </c>
      <c r="BO438" s="241">
        <v>37</v>
      </c>
      <c r="BP438" s="241"/>
      <c r="BQ438" s="241"/>
      <c r="BR438" s="241"/>
      <c r="BS438" s="241"/>
      <c r="BT438" s="241"/>
      <c r="BU438" s="241"/>
      <c r="BV438" s="241"/>
      <c r="BW438" s="241"/>
      <c r="BX438" s="241"/>
      <c r="BY438" s="241"/>
      <c r="BZ438" s="241"/>
      <c r="CA438" s="241"/>
      <c r="CB438" s="241"/>
      <c r="CC438" s="241"/>
      <c r="CD438" s="241"/>
      <c r="CE438" s="241"/>
      <c r="CF438" s="13"/>
      <c r="CG438" s="13"/>
      <c r="CH438" s="13"/>
      <c r="CI438" s="13"/>
    </row>
    <row r="439" spans="1:87" ht="11.25" customHeight="1" x14ac:dyDescent="0.2">
      <c r="A439" s="13"/>
      <c r="B439" s="238">
        <v>435</v>
      </c>
      <c r="C439" s="241" t="e">
        <f ca="1">DATEDIF($E$3,logut!O575,"D")</f>
        <v>#NUM!</v>
      </c>
      <c r="D439" s="237" t="s">
        <v>7015</v>
      </c>
      <c r="E439" s="241">
        <v>642502020</v>
      </c>
      <c r="F439" s="237"/>
      <c r="G439" s="246"/>
      <c r="H439" s="246" t="s">
        <v>217</v>
      </c>
      <c r="I439" s="241" t="s">
        <v>33</v>
      </c>
      <c r="J439" s="242">
        <v>45700</v>
      </c>
      <c r="K439" s="241"/>
      <c r="L439" s="241"/>
      <c r="M439" s="241" t="s">
        <v>14</v>
      </c>
      <c r="N439" s="241" t="s">
        <v>187</v>
      </c>
      <c r="O439" s="241"/>
      <c r="P439" s="243"/>
      <c r="Q439" s="241"/>
      <c r="R439" s="241" t="s">
        <v>206</v>
      </c>
      <c r="S439" s="241" t="s">
        <v>6863</v>
      </c>
      <c r="T439" s="241" t="s">
        <v>296</v>
      </c>
      <c r="U439" s="241" t="s">
        <v>217</v>
      </c>
      <c r="V439" s="241" t="s">
        <v>3757</v>
      </c>
      <c r="W439" s="241" t="s">
        <v>107</v>
      </c>
      <c r="X439" s="241" t="s">
        <v>107</v>
      </c>
      <c r="Y439" s="241" t="s">
        <v>298</v>
      </c>
      <c r="Z439" s="241"/>
      <c r="AA439" s="241"/>
      <c r="AB439" s="241" t="s">
        <v>133</v>
      </c>
      <c r="AC439" s="303" t="s">
        <v>7078</v>
      </c>
      <c r="AD439" s="245">
        <v>36493</v>
      </c>
      <c r="AE439" s="241">
        <f t="shared" ca="1" si="49"/>
        <v>25</v>
      </c>
      <c r="AF439" s="246" t="s">
        <v>7086</v>
      </c>
      <c r="AG439" s="246" t="s">
        <v>7088</v>
      </c>
      <c r="AH439" s="246" t="s">
        <v>7101</v>
      </c>
      <c r="AI439" s="246" t="s">
        <v>7101</v>
      </c>
      <c r="AJ439" s="299" t="s">
        <v>7101</v>
      </c>
      <c r="AK439" s="241" t="s">
        <v>7109</v>
      </c>
      <c r="AL439" s="246"/>
      <c r="AM439" s="246"/>
      <c r="AN439" s="241" t="s">
        <v>4716</v>
      </c>
      <c r="AO439" s="241"/>
      <c r="AP439" s="241"/>
      <c r="AQ439" s="241"/>
      <c r="AR439" s="241"/>
      <c r="AS439" s="241"/>
      <c r="AT439" s="241" t="s">
        <v>7114</v>
      </c>
      <c r="AU439" s="241" t="s">
        <v>7124</v>
      </c>
      <c r="AV439" s="241"/>
      <c r="AW439" s="241"/>
      <c r="AX439" s="241">
        <f>COUNTA(logut!AL575:AO575)</f>
        <v>0</v>
      </c>
      <c r="AY439" s="241" t="str">
        <f>IF(logut!AJ575="Menikah","K","TK")&amp;"/"&amp;logut!AT575</f>
        <v>TK/</v>
      </c>
      <c r="AZ439" s="241"/>
      <c r="BA439" s="241"/>
      <c r="BB439" s="241" t="s">
        <v>162</v>
      </c>
      <c r="BC439" s="298" t="s">
        <v>75</v>
      </c>
      <c r="BD439" s="300" t="s">
        <v>80</v>
      </c>
      <c r="BE439" s="241" t="s">
        <v>84</v>
      </c>
      <c r="BF439" s="241">
        <v>2023</v>
      </c>
      <c r="BG439" s="298" t="s">
        <v>75</v>
      </c>
      <c r="BH439" s="241" t="s">
        <v>80</v>
      </c>
      <c r="BI439" s="241" t="s">
        <v>84</v>
      </c>
      <c r="BJ439" s="241"/>
      <c r="BK439" s="241"/>
      <c r="BL439" s="241"/>
      <c r="BM439" s="302" t="s">
        <v>360</v>
      </c>
      <c r="BN439" s="302" t="s">
        <v>360</v>
      </c>
      <c r="BO439" s="241">
        <v>37</v>
      </c>
      <c r="BP439" s="241"/>
      <c r="BQ439" s="241"/>
      <c r="BR439" s="241"/>
      <c r="BS439" s="241"/>
      <c r="BT439" s="241"/>
      <c r="BU439" s="241"/>
      <c r="BV439" s="241"/>
      <c r="BW439" s="241"/>
      <c r="BX439" s="241"/>
      <c r="BY439" s="241"/>
      <c r="BZ439" s="241"/>
      <c r="CA439" s="241"/>
      <c r="CB439" s="241"/>
      <c r="CC439" s="241"/>
      <c r="CD439" s="241"/>
      <c r="CE439" s="241"/>
      <c r="CF439" s="13"/>
      <c r="CG439" s="13"/>
      <c r="CH439" s="13"/>
      <c r="CI439" s="13"/>
    </row>
    <row r="440" spans="1:87" ht="11.25" customHeight="1" x14ac:dyDescent="0.2">
      <c r="A440" s="13"/>
      <c r="B440" s="13"/>
      <c r="C440" s="13"/>
      <c r="D440" s="112"/>
      <c r="E440" s="115"/>
      <c r="F440" s="13"/>
      <c r="G440" s="112"/>
      <c r="H440" s="114"/>
      <c r="I440" s="13"/>
      <c r="J440" s="13"/>
      <c r="K440" s="118"/>
      <c r="L440" s="13"/>
      <c r="M440" s="13"/>
      <c r="N440" s="13"/>
      <c r="O440" s="13"/>
      <c r="P440" s="121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14"/>
      <c r="AG440" s="114"/>
      <c r="AH440" s="114"/>
      <c r="AI440" s="114"/>
      <c r="AJ440" s="114"/>
      <c r="AK440" s="114"/>
      <c r="AL440" s="114"/>
      <c r="AM440" s="114"/>
      <c r="AN440" s="114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</row>
    <row r="441" spans="1:87" ht="11.25" customHeight="1" x14ac:dyDescent="0.2">
      <c r="A441" s="13"/>
      <c r="B441" s="13"/>
      <c r="C441" s="13"/>
      <c r="D441" s="112"/>
      <c r="E441" s="115"/>
      <c r="F441" s="13"/>
      <c r="G441" s="112"/>
      <c r="H441" s="114"/>
      <c r="I441" s="13"/>
      <c r="J441" s="13"/>
      <c r="K441" s="118"/>
      <c r="L441" s="13"/>
      <c r="M441" s="13"/>
      <c r="N441" s="13"/>
      <c r="O441" s="13"/>
      <c r="P441" s="121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14"/>
      <c r="AG441" s="114"/>
      <c r="AH441" s="114"/>
      <c r="AI441" s="114"/>
      <c r="AJ441" s="114"/>
      <c r="AK441" s="114"/>
      <c r="AL441" s="114"/>
      <c r="AM441" s="114"/>
      <c r="AN441" s="114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</row>
    <row r="442" spans="1:87" ht="11.25" customHeight="1" x14ac:dyDescent="0.2">
      <c r="A442" s="13"/>
      <c r="B442" s="13"/>
      <c r="C442" s="13"/>
      <c r="D442" s="112"/>
      <c r="E442" s="115"/>
      <c r="F442" s="13"/>
      <c r="G442" s="112"/>
      <c r="H442" s="114"/>
      <c r="I442" s="13"/>
      <c r="J442" s="13"/>
      <c r="K442" s="118"/>
      <c r="L442" s="13"/>
      <c r="M442" s="13"/>
      <c r="N442" s="13"/>
      <c r="O442" s="13"/>
      <c r="P442" s="121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14"/>
      <c r="AG442" s="114"/>
      <c r="AH442" s="114"/>
      <c r="AI442" s="114"/>
      <c r="AJ442" s="114"/>
      <c r="AK442" s="114"/>
      <c r="AL442" s="114"/>
      <c r="AM442" s="114"/>
      <c r="AN442" s="114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</row>
    <row r="443" spans="1:87" ht="11.25" customHeight="1" x14ac:dyDescent="0.2">
      <c r="A443" s="13"/>
      <c r="B443" s="13"/>
      <c r="C443" s="13"/>
      <c r="D443" s="112"/>
      <c r="E443" s="115"/>
      <c r="F443" s="13"/>
      <c r="G443" s="112"/>
      <c r="H443" s="114"/>
      <c r="I443" s="13"/>
      <c r="J443" s="13"/>
      <c r="K443" s="118"/>
      <c r="L443" s="13"/>
      <c r="M443" s="13"/>
      <c r="N443" s="13"/>
      <c r="O443" s="13"/>
      <c r="P443" s="121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14"/>
      <c r="AG443" s="114"/>
      <c r="AH443" s="114"/>
      <c r="AI443" s="114"/>
      <c r="AJ443" s="114"/>
      <c r="AK443" s="114"/>
      <c r="AL443" s="114"/>
      <c r="AM443" s="114"/>
      <c r="AN443" s="114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</row>
    <row r="444" spans="1:87" ht="11.25" customHeight="1" x14ac:dyDescent="0.2">
      <c r="A444" s="13"/>
      <c r="B444" s="13"/>
      <c r="C444" s="13"/>
      <c r="D444" s="112"/>
      <c r="E444" s="115"/>
      <c r="F444" s="13"/>
      <c r="G444" s="112"/>
      <c r="H444" s="114"/>
      <c r="I444" s="13"/>
      <c r="J444" s="13"/>
      <c r="K444" s="118"/>
      <c r="L444" s="13"/>
      <c r="M444" s="13"/>
      <c r="N444" s="13"/>
      <c r="O444" s="13"/>
      <c r="P444" s="121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14"/>
      <c r="AG444" s="114"/>
      <c r="AH444" s="114"/>
      <c r="AI444" s="114"/>
      <c r="AJ444" s="114"/>
      <c r="AK444" s="114"/>
      <c r="AL444" s="114"/>
      <c r="AM444" s="114"/>
      <c r="AN444" s="114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</row>
    <row r="445" spans="1:87" ht="11.25" customHeight="1" x14ac:dyDescent="0.2">
      <c r="A445" s="13"/>
      <c r="B445" s="13"/>
      <c r="C445" s="13"/>
      <c r="D445" s="112"/>
      <c r="E445" s="115"/>
      <c r="F445" s="13"/>
      <c r="G445" s="112"/>
      <c r="H445" s="114"/>
      <c r="I445" s="13"/>
      <c r="J445" s="13"/>
      <c r="K445" s="118"/>
      <c r="L445" s="13"/>
      <c r="M445" s="13"/>
      <c r="N445" s="13"/>
      <c r="O445" s="13"/>
      <c r="P445" s="121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14"/>
      <c r="AG445" s="114"/>
      <c r="AH445" s="114"/>
      <c r="AI445" s="114"/>
      <c r="AJ445" s="114"/>
      <c r="AK445" s="114"/>
      <c r="AL445" s="114"/>
      <c r="AM445" s="114"/>
      <c r="AN445" s="114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</row>
    <row r="446" spans="1:87" ht="11.25" customHeight="1" x14ac:dyDescent="0.2">
      <c r="A446" s="13"/>
      <c r="B446" s="13"/>
      <c r="C446" s="13"/>
      <c r="D446" s="112"/>
      <c r="E446" s="115"/>
      <c r="F446" s="13"/>
      <c r="G446" s="112"/>
      <c r="H446" s="114"/>
      <c r="I446" s="13"/>
      <c r="J446" s="13"/>
      <c r="K446" s="118"/>
      <c r="L446" s="13"/>
      <c r="M446" s="13"/>
      <c r="N446" s="13"/>
      <c r="O446" s="13"/>
      <c r="P446" s="121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14"/>
      <c r="AG446" s="114"/>
      <c r="AH446" s="114"/>
      <c r="AI446" s="114"/>
      <c r="AJ446" s="114"/>
      <c r="AK446" s="114"/>
      <c r="AL446" s="114"/>
      <c r="AM446" s="114"/>
      <c r="AN446" s="114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</row>
    <row r="447" spans="1:87" ht="11.25" customHeight="1" x14ac:dyDescent="0.2">
      <c r="A447" s="13"/>
      <c r="B447" s="13"/>
      <c r="C447" s="13"/>
      <c r="D447" s="112"/>
      <c r="E447" s="115"/>
      <c r="F447" s="13"/>
      <c r="G447" s="112"/>
      <c r="H447" s="114"/>
      <c r="I447" s="13"/>
      <c r="J447" s="13"/>
      <c r="K447" s="118"/>
      <c r="L447" s="13"/>
      <c r="M447" s="13"/>
      <c r="N447" s="13"/>
      <c r="O447" s="13"/>
      <c r="P447" s="121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14"/>
      <c r="AG447" s="114"/>
      <c r="AH447" s="114"/>
      <c r="AI447" s="114"/>
      <c r="AJ447" s="114"/>
      <c r="AK447" s="114"/>
      <c r="AL447" s="114"/>
      <c r="AM447" s="114"/>
      <c r="AN447" s="114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</row>
    <row r="448" spans="1:87" ht="11.25" customHeight="1" x14ac:dyDescent="0.2">
      <c r="A448" s="13"/>
      <c r="B448" s="13"/>
      <c r="C448" s="13"/>
      <c r="D448" s="112"/>
      <c r="E448" s="115"/>
      <c r="F448" s="13"/>
      <c r="G448" s="112"/>
      <c r="H448" s="114"/>
      <c r="I448" s="13"/>
      <c r="J448" s="13"/>
      <c r="K448" s="118"/>
      <c r="L448" s="13"/>
      <c r="M448" s="13"/>
      <c r="N448" s="13"/>
      <c r="O448" s="13"/>
      <c r="P448" s="121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14"/>
      <c r="AG448" s="114"/>
      <c r="AH448" s="114"/>
      <c r="AI448" s="114"/>
      <c r="AJ448" s="114"/>
      <c r="AK448" s="114"/>
      <c r="AL448" s="114"/>
      <c r="AM448" s="114"/>
      <c r="AN448" s="114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</row>
    <row r="449" spans="1:87" ht="11.25" customHeight="1" x14ac:dyDescent="0.2">
      <c r="A449" s="13"/>
      <c r="B449" s="13"/>
      <c r="C449" s="13"/>
      <c r="D449" s="112"/>
      <c r="E449" s="115"/>
      <c r="F449" s="13"/>
      <c r="G449" s="112"/>
      <c r="H449" s="114"/>
      <c r="I449" s="13"/>
      <c r="J449" s="13"/>
      <c r="K449" s="118"/>
      <c r="L449" s="13"/>
      <c r="M449" s="13"/>
      <c r="N449" s="13"/>
      <c r="O449" s="13"/>
      <c r="P449" s="121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</row>
    <row r="450" spans="1:87" ht="11.25" customHeight="1" x14ac:dyDescent="0.2">
      <c r="A450" s="13"/>
      <c r="B450" s="13"/>
      <c r="C450" s="13"/>
      <c r="D450" s="112"/>
      <c r="E450" s="115"/>
      <c r="F450" s="13"/>
      <c r="G450" s="112"/>
      <c r="H450" s="114"/>
      <c r="I450" s="13"/>
      <c r="J450" s="13"/>
      <c r="K450" s="118"/>
      <c r="L450" s="13"/>
      <c r="M450" s="13"/>
      <c r="N450" s="13"/>
      <c r="O450" s="13"/>
      <c r="P450" s="121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14"/>
      <c r="AG450" s="114"/>
      <c r="AH450" s="114"/>
      <c r="AI450" s="114"/>
      <c r="AJ450" s="114"/>
      <c r="AK450" s="114"/>
      <c r="AL450" s="114"/>
      <c r="AM450" s="114"/>
      <c r="AN450" s="114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</row>
    <row r="451" spans="1:87" ht="11.25" customHeight="1" x14ac:dyDescent="0.2">
      <c r="A451" s="13"/>
      <c r="B451" s="13"/>
      <c r="C451" s="13"/>
      <c r="D451" s="112"/>
      <c r="E451" s="115"/>
      <c r="F451" s="13"/>
      <c r="G451" s="112"/>
      <c r="H451" s="114"/>
      <c r="I451" s="13"/>
      <c r="J451" s="13"/>
      <c r="K451" s="118"/>
      <c r="L451" s="13"/>
      <c r="M451" s="13"/>
      <c r="N451" s="13"/>
      <c r="O451" s="13"/>
      <c r="P451" s="121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14"/>
      <c r="AG451" s="114"/>
      <c r="AH451" s="114"/>
      <c r="AI451" s="114"/>
      <c r="AJ451" s="114"/>
      <c r="AK451" s="114"/>
      <c r="AL451" s="114"/>
      <c r="AM451" s="114"/>
      <c r="AN451" s="114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</row>
    <row r="452" spans="1:87" ht="11.25" customHeight="1" x14ac:dyDescent="0.2">
      <c r="A452" s="13"/>
      <c r="B452" s="13"/>
      <c r="C452" s="13"/>
      <c r="D452" s="112"/>
      <c r="E452" s="115"/>
      <c r="F452" s="13"/>
      <c r="G452" s="112"/>
      <c r="H452" s="114"/>
      <c r="I452" s="13"/>
      <c r="J452" s="13"/>
      <c r="K452" s="118"/>
      <c r="L452" s="13"/>
      <c r="M452" s="13"/>
      <c r="N452" s="13"/>
      <c r="O452" s="13"/>
      <c r="P452" s="121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14"/>
      <c r="AG452" s="114"/>
      <c r="AH452" s="114"/>
      <c r="AI452" s="114"/>
      <c r="AJ452" s="114"/>
      <c r="AK452" s="114"/>
      <c r="AL452" s="114"/>
      <c r="AM452" s="114"/>
      <c r="AN452" s="114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</row>
    <row r="453" spans="1:87" ht="11.25" customHeight="1" x14ac:dyDescent="0.2">
      <c r="A453" s="13"/>
      <c r="B453" s="13"/>
      <c r="C453" s="13"/>
      <c r="D453" s="112"/>
      <c r="E453" s="115"/>
      <c r="F453" s="13"/>
      <c r="G453" s="112"/>
      <c r="H453" s="114"/>
      <c r="I453" s="13"/>
      <c r="J453" s="13"/>
      <c r="K453" s="118"/>
      <c r="L453" s="13"/>
      <c r="M453" s="13"/>
      <c r="N453" s="13"/>
      <c r="O453" s="13"/>
      <c r="P453" s="121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14"/>
      <c r="AG453" s="114"/>
      <c r="AH453" s="114"/>
      <c r="AI453" s="114"/>
      <c r="AJ453" s="114"/>
      <c r="AK453" s="114"/>
      <c r="AL453" s="114"/>
      <c r="AM453" s="114"/>
      <c r="AN453" s="114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</row>
    <row r="454" spans="1:87" ht="11.25" customHeight="1" x14ac:dyDescent="0.2">
      <c r="A454" s="13"/>
      <c r="B454" s="13"/>
      <c r="C454" s="13"/>
      <c r="D454" s="112"/>
      <c r="E454" s="115"/>
      <c r="F454" s="13"/>
      <c r="G454" s="112"/>
      <c r="H454" s="114"/>
      <c r="I454" s="13"/>
      <c r="J454" s="13"/>
      <c r="K454" s="118"/>
      <c r="L454" s="13"/>
      <c r="M454" s="13"/>
      <c r="N454" s="13"/>
      <c r="O454" s="13"/>
      <c r="P454" s="121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14"/>
      <c r="AG454" s="114"/>
      <c r="AH454" s="114"/>
      <c r="AI454" s="114"/>
      <c r="AJ454" s="114"/>
      <c r="AK454" s="114"/>
      <c r="AL454" s="114"/>
      <c r="AM454" s="114"/>
      <c r="AN454" s="114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</row>
    <row r="455" spans="1:87" ht="11.25" customHeight="1" x14ac:dyDescent="0.2">
      <c r="A455" s="13"/>
      <c r="B455" s="13"/>
      <c r="C455" s="13"/>
      <c r="D455" s="112"/>
      <c r="E455" s="115"/>
      <c r="F455" s="13"/>
      <c r="G455" s="112"/>
      <c r="H455" s="114"/>
      <c r="I455" s="13"/>
      <c r="J455" s="13"/>
      <c r="K455" s="118"/>
      <c r="L455" s="13"/>
      <c r="M455" s="13"/>
      <c r="N455" s="13"/>
      <c r="O455" s="13"/>
      <c r="P455" s="121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14"/>
      <c r="AG455" s="114"/>
      <c r="AH455" s="114"/>
      <c r="AI455" s="114"/>
      <c r="AJ455" s="114"/>
      <c r="AK455" s="114"/>
      <c r="AL455" s="114"/>
      <c r="AM455" s="114"/>
      <c r="AN455" s="114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</row>
    <row r="456" spans="1:87" ht="11.25" customHeight="1" x14ac:dyDescent="0.2">
      <c r="A456" s="13"/>
      <c r="B456" s="13"/>
      <c r="C456" s="13"/>
      <c r="D456" s="112"/>
      <c r="E456" s="115"/>
      <c r="F456" s="13"/>
      <c r="G456" s="112"/>
      <c r="H456" s="114"/>
      <c r="I456" s="13"/>
      <c r="J456" s="13"/>
      <c r="K456" s="118"/>
      <c r="L456" s="13"/>
      <c r="M456" s="13"/>
      <c r="N456" s="13"/>
      <c r="O456" s="13"/>
      <c r="P456" s="121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14"/>
      <c r="AG456" s="114"/>
      <c r="AH456" s="114"/>
      <c r="AI456" s="114"/>
      <c r="AJ456" s="114"/>
      <c r="AK456" s="114"/>
      <c r="AL456" s="114"/>
      <c r="AM456" s="114"/>
      <c r="AN456" s="114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</row>
    <row r="457" spans="1:87" ht="11.25" customHeight="1" x14ac:dyDescent="0.2">
      <c r="A457" s="13"/>
      <c r="B457" s="13"/>
      <c r="C457" s="13"/>
      <c r="D457" s="112"/>
      <c r="E457" s="115"/>
      <c r="F457" s="13"/>
      <c r="G457" s="112"/>
      <c r="H457" s="114"/>
      <c r="I457" s="13"/>
      <c r="J457" s="13"/>
      <c r="K457" s="118"/>
      <c r="L457" s="13"/>
      <c r="M457" s="13"/>
      <c r="N457" s="13"/>
      <c r="O457" s="13"/>
      <c r="P457" s="121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14"/>
      <c r="AG457" s="114"/>
      <c r="AH457" s="114"/>
      <c r="AI457" s="114"/>
      <c r="AJ457" s="114"/>
      <c r="AK457" s="114"/>
      <c r="AL457" s="114"/>
      <c r="AM457" s="114"/>
      <c r="AN457" s="114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</row>
    <row r="458" spans="1:87" ht="11.25" customHeight="1" x14ac:dyDescent="0.2">
      <c r="A458" s="13"/>
      <c r="B458" s="13"/>
      <c r="C458" s="13"/>
      <c r="D458" s="112"/>
      <c r="E458" s="115"/>
      <c r="F458" s="13"/>
      <c r="G458" s="112"/>
      <c r="H458" s="114"/>
      <c r="I458" s="13"/>
      <c r="J458" s="13"/>
      <c r="K458" s="118"/>
      <c r="L458" s="13"/>
      <c r="M458" s="13"/>
      <c r="N458" s="13"/>
      <c r="O458" s="13"/>
      <c r="P458" s="121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14"/>
      <c r="AG458" s="114"/>
      <c r="AH458" s="114"/>
      <c r="AI458" s="114"/>
      <c r="AJ458" s="114"/>
      <c r="AK458" s="114"/>
      <c r="AL458" s="114"/>
      <c r="AM458" s="114"/>
      <c r="AN458" s="114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</row>
    <row r="459" spans="1:87" ht="11.25" customHeight="1" x14ac:dyDescent="0.2">
      <c r="A459" s="13"/>
      <c r="B459" s="13"/>
      <c r="C459" s="13"/>
      <c r="D459" s="112"/>
      <c r="E459" s="115"/>
      <c r="F459" s="13"/>
      <c r="G459" s="112"/>
      <c r="H459" s="114"/>
      <c r="I459" s="13"/>
      <c r="J459" s="13"/>
      <c r="K459" s="118"/>
      <c r="L459" s="13"/>
      <c r="M459" s="13"/>
      <c r="N459" s="13"/>
      <c r="O459" s="13"/>
      <c r="P459" s="121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14"/>
      <c r="AG459" s="114"/>
      <c r="AH459" s="114"/>
      <c r="AI459" s="114"/>
      <c r="AJ459" s="114"/>
      <c r="AK459" s="114"/>
      <c r="AL459" s="114"/>
      <c r="AM459" s="114"/>
      <c r="AN459" s="114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</row>
    <row r="460" spans="1:87" ht="11.25" customHeight="1" x14ac:dyDescent="0.2">
      <c r="A460" s="13"/>
      <c r="B460" s="13"/>
      <c r="C460" s="13"/>
      <c r="D460" s="112"/>
      <c r="E460" s="115"/>
      <c r="F460" s="13"/>
      <c r="G460" s="112"/>
      <c r="H460" s="114"/>
      <c r="I460" s="13"/>
      <c r="J460" s="13"/>
      <c r="K460" s="118"/>
      <c r="L460" s="13"/>
      <c r="M460" s="13"/>
      <c r="N460" s="13"/>
      <c r="O460" s="13"/>
      <c r="P460" s="121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14"/>
      <c r="AG460" s="114"/>
      <c r="AH460" s="114"/>
      <c r="AI460" s="114"/>
      <c r="AJ460" s="114"/>
      <c r="AK460" s="114"/>
      <c r="AL460" s="114"/>
      <c r="AM460" s="114"/>
      <c r="AN460" s="114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</row>
    <row r="461" spans="1:87" ht="11.25" customHeight="1" x14ac:dyDescent="0.2">
      <c r="A461" s="13"/>
      <c r="B461" s="13"/>
      <c r="C461" s="13"/>
      <c r="D461" s="112"/>
      <c r="E461" s="115"/>
      <c r="F461" s="13"/>
      <c r="G461" s="112"/>
      <c r="H461" s="114"/>
      <c r="I461" s="13"/>
      <c r="J461" s="13"/>
      <c r="K461" s="118"/>
      <c r="L461" s="13"/>
      <c r="M461" s="13"/>
      <c r="N461" s="13"/>
      <c r="O461" s="13"/>
      <c r="P461" s="121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14"/>
      <c r="AG461" s="114"/>
      <c r="AH461" s="114"/>
      <c r="AI461" s="114"/>
      <c r="AJ461" s="114"/>
      <c r="AK461" s="114"/>
      <c r="AL461" s="114"/>
      <c r="AM461" s="114"/>
      <c r="AN461" s="114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</row>
    <row r="462" spans="1:87" ht="11.25" customHeight="1" x14ac:dyDescent="0.2">
      <c r="A462" s="13"/>
      <c r="B462" s="13"/>
      <c r="C462" s="13"/>
      <c r="D462" s="112"/>
      <c r="E462" s="115"/>
      <c r="F462" s="13"/>
      <c r="G462" s="112"/>
      <c r="H462" s="114"/>
      <c r="I462" s="13"/>
      <c r="J462" s="13"/>
      <c r="K462" s="118"/>
      <c r="L462" s="13"/>
      <c r="M462" s="13"/>
      <c r="N462" s="13"/>
      <c r="O462" s="13"/>
      <c r="P462" s="121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14"/>
      <c r="AG462" s="114"/>
      <c r="AH462" s="114"/>
      <c r="AI462" s="114"/>
      <c r="AJ462" s="114"/>
      <c r="AK462" s="114"/>
      <c r="AL462" s="114"/>
      <c r="AM462" s="114"/>
      <c r="AN462" s="114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</row>
    <row r="463" spans="1:87" ht="11.25" customHeight="1" x14ac:dyDescent="0.2">
      <c r="A463" s="13"/>
      <c r="B463" s="13"/>
      <c r="C463" s="13"/>
      <c r="D463" s="112"/>
      <c r="E463" s="115"/>
      <c r="F463" s="13"/>
      <c r="G463" s="112"/>
      <c r="H463" s="114"/>
      <c r="I463" s="13"/>
      <c r="J463" s="13"/>
      <c r="K463" s="118"/>
      <c r="L463" s="13"/>
      <c r="M463" s="13"/>
      <c r="N463" s="13"/>
      <c r="O463" s="13"/>
      <c r="P463" s="121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14"/>
      <c r="AG463" s="114"/>
      <c r="AH463" s="114"/>
      <c r="AI463" s="114"/>
      <c r="AJ463" s="114"/>
      <c r="AK463" s="114"/>
      <c r="AL463" s="114"/>
      <c r="AM463" s="114"/>
      <c r="AN463" s="114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</row>
    <row r="464" spans="1:87" ht="11.25" customHeight="1" x14ac:dyDescent="0.2">
      <c r="A464" s="13"/>
      <c r="B464" s="13"/>
      <c r="C464" s="13"/>
      <c r="D464" s="112"/>
      <c r="E464" s="115"/>
      <c r="F464" s="13"/>
      <c r="G464" s="112"/>
      <c r="H464" s="114"/>
      <c r="I464" s="13"/>
      <c r="J464" s="13"/>
      <c r="K464" s="118"/>
      <c r="L464" s="13"/>
      <c r="M464" s="13"/>
      <c r="N464" s="13"/>
      <c r="O464" s="13"/>
      <c r="P464" s="121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14"/>
      <c r="AG464" s="114"/>
      <c r="AH464" s="114"/>
      <c r="AI464" s="114"/>
      <c r="AJ464" s="114"/>
      <c r="AK464" s="114"/>
      <c r="AL464" s="114"/>
      <c r="AM464" s="114"/>
      <c r="AN464" s="114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</row>
    <row r="465" spans="1:87" ht="11.25" customHeight="1" x14ac:dyDescent="0.2">
      <c r="A465" s="13"/>
      <c r="B465" s="13"/>
      <c r="C465" s="13"/>
      <c r="D465" s="112"/>
      <c r="E465" s="115"/>
      <c r="F465" s="13"/>
      <c r="G465" s="112"/>
      <c r="H465" s="114"/>
      <c r="I465" s="13"/>
      <c r="J465" s="13"/>
      <c r="K465" s="118"/>
      <c r="L465" s="13"/>
      <c r="M465" s="13"/>
      <c r="N465" s="13"/>
      <c r="O465" s="13"/>
      <c r="P465" s="121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14"/>
      <c r="AG465" s="114"/>
      <c r="AH465" s="114"/>
      <c r="AI465" s="114"/>
      <c r="AJ465" s="114"/>
      <c r="AK465" s="114"/>
      <c r="AL465" s="114"/>
      <c r="AM465" s="114"/>
      <c r="AN465" s="114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</row>
    <row r="466" spans="1:87" ht="11.25" customHeight="1" x14ac:dyDescent="0.2">
      <c r="A466" s="13"/>
      <c r="B466" s="13"/>
      <c r="C466" s="13"/>
      <c r="D466" s="112"/>
      <c r="E466" s="115"/>
      <c r="F466" s="13"/>
      <c r="G466" s="112"/>
      <c r="H466" s="114"/>
      <c r="I466" s="13"/>
      <c r="J466" s="13"/>
      <c r="K466" s="118"/>
      <c r="L466" s="13"/>
      <c r="M466" s="13"/>
      <c r="N466" s="13"/>
      <c r="O466" s="13"/>
      <c r="P466" s="121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</row>
    <row r="467" spans="1:87" ht="11.25" customHeight="1" x14ac:dyDescent="0.2">
      <c r="A467" s="13"/>
      <c r="B467" s="13"/>
      <c r="C467" s="13"/>
      <c r="D467" s="112"/>
      <c r="E467" s="115"/>
      <c r="F467" s="13"/>
      <c r="G467" s="112"/>
      <c r="H467" s="114"/>
      <c r="I467" s="13"/>
      <c r="J467" s="13"/>
      <c r="K467" s="118"/>
      <c r="L467" s="13"/>
      <c r="M467" s="13"/>
      <c r="N467" s="13"/>
      <c r="O467" s="13"/>
      <c r="P467" s="121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14"/>
      <c r="AG467" s="114"/>
      <c r="AH467" s="114"/>
      <c r="AI467" s="114"/>
      <c r="AJ467" s="114"/>
      <c r="AK467" s="114"/>
      <c r="AL467" s="114"/>
      <c r="AM467" s="114"/>
      <c r="AN467" s="114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</row>
    <row r="468" spans="1:87" ht="11.25" customHeight="1" x14ac:dyDescent="0.2">
      <c r="A468" s="13"/>
      <c r="B468" s="13"/>
      <c r="C468" s="13"/>
      <c r="D468" s="112"/>
      <c r="E468" s="115"/>
      <c r="F468" s="13"/>
      <c r="G468" s="112"/>
      <c r="H468" s="114"/>
      <c r="I468" s="13"/>
      <c r="J468" s="13"/>
      <c r="K468" s="118"/>
      <c r="L468" s="13"/>
      <c r="M468" s="13"/>
      <c r="N468" s="13"/>
      <c r="O468" s="13"/>
      <c r="P468" s="121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14"/>
      <c r="AG468" s="114"/>
      <c r="AH468" s="114"/>
      <c r="AI468" s="114"/>
      <c r="AJ468" s="114"/>
      <c r="AK468" s="114"/>
      <c r="AL468" s="114"/>
      <c r="AM468" s="114"/>
      <c r="AN468" s="114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</row>
    <row r="469" spans="1:87" ht="11.25" customHeight="1" x14ac:dyDescent="0.2">
      <c r="A469" s="13"/>
      <c r="B469" s="13"/>
      <c r="C469" s="13"/>
      <c r="D469" s="112"/>
      <c r="E469" s="115"/>
      <c r="F469" s="13"/>
      <c r="G469" s="112"/>
      <c r="H469" s="114"/>
      <c r="I469" s="13"/>
      <c r="J469" s="13"/>
      <c r="K469" s="118"/>
      <c r="L469" s="13"/>
      <c r="M469" s="13"/>
      <c r="N469" s="13"/>
      <c r="O469" s="13"/>
      <c r="P469" s="121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14"/>
      <c r="AG469" s="114"/>
      <c r="AH469" s="114"/>
      <c r="AI469" s="114"/>
      <c r="AJ469" s="114"/>
      <c r="AK469" s="114"/>
      <c r="AL469" s="114"/>
      <c r="AM469" s="114"/>
      <c r="AN469" s="114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</row>
    <row r="470" spans="1:87" ht="11.25" customHeight="1" x14ac:dyDescent="0.2">
      <c r="A470" s="13"/>
      <c r="B470" s="13"/>
      <c r="C470" s="13"/>
      <c r="D470" s="112"/>
      <c r="E470" s="115"/>
      <c r="F470" s="13"/>
      <c r="G470" s="112"/>
      <c r="H470" s="114"/>
      <c r="I470" s="13"/>
      <c r="J470" s="13"/>
      <c r="K470" s="118"/>
      <c r="L470" s="13"/>
      <c r="M470" s="13"/>
      <c r="N470" s="13"/>
      <c r="O470" s="13"/>
      <c r="P470" s="121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14"/>
      <c r="AG470" s="114"/>
      <c r="AH470" s="114"/>
      <c r="AI470" s="114"/>
      <c r="AJ470" s="114"/>
      <c r="AK470" s="114"/>
      <c r="AL470" s="114"/>
      <c r="AM470" s="114"/>
      <c r="AN470" s="114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</row>
    <row r="471" spans="1:87" ht="11.25" customHeight="1" x14ac:dyDescent="0.2">
      <c r="A471" s="13"/>
      <c r="B471" s="13"/>
      <c r="C471" s="13"/>
      <c r="D471" s="112"/>
      <c r="E471" s="115"/>
      <c r="F471" s="13"/>
      <c r="G471" s="112"/>
      <c r="H471" s="114"/>
      <c r="I471" s="13"/>
      <c r="J471" s="13"/>
      <c r="K471" s="118"/>
      <c r="L471" s="13"/>
      <c r="M471" s="13"/>
      <c r="N471" s="13"/>
      <c r="O471" s="13"/>
      <c r="P471" s="121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14"/>
      <c r="AG471" s="114"/>
      <c r="AH471" s="114"/>
      <c r="AI471" s="114"/>
      <c r="AJ471" s="114"/>
      <c r="AK471" s="114"/>
      <c r="AL471" s="114"/>
      <c r="AM471" s="114"/>
      <c r="AN471" s="114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</row>
    <row r="472" spans="1:87" ht="11.25" customHeight="1" x14ac:dyDescent="0.2">
      <c r="A472" s="13"/>
      <c r="B472" s="13"/>
      <c r="C472" s="13"/>
      <c r="D472" s="112"/>
      <c r="E472" s="115"/>
      <c r="F472" s="13"/>
      <c r="G472" s="112"/>
      <c r="H472" s="114"/>
      <c r="I472" s="13"/>
      <c r="J472" s="13"/>
      <c r="K472" s="118"/>
      <c r="L472" s="13"/>
      <c r="M472" s="13"/>
      <c r="N472" s="13"/>
      <c r="O472" s="13"/>
      <c r="P472" s="121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14"/>
      <c r="AG472" s="114"/>
      <c r="AH472" s="114"/>
      <c r="AI472" s="114"/>
      <c r="AJ472" s="114"/>
      <c r="AK472" s="114"/>
      <c r="AL472" s="114"/>
      <c r="AM472" s="114"/>
      <c r="AN472" s="114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</row>
    <row r="473" spans="1:87" ht="11.25" customHeight="1" x14ac:dyDescent="0.2">
      <c r="A473" s="13"/>
      <c r="B473" s="13"/>
      <c r="C473" s="13"/>
      <c r="D473" s="112"/>
      <c r="E473" s="115"/>
      <c r="F473" s="13"/>
      <c r="G473" s="112"/>
      <c r="H473" s="114"/>
      <c r="I473" s="13"/>
      <c r="J473" s="13"/>
      <c r="K473" s="118"/>
      <c r="L473" s="13"/>
      <c r="M473" s="13"/>
      <c r="N473" s="13"/>
      <c r="O473" s="13"/>
      <c r="P473" s="121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14"/>
      <c r="AG473" s="114"/>
      <c r="AH473" s="114"/>
      <c r="AI473" s="114"/>
      <c r="AJ473" s="114"/>
      <c r="AK473" s="114"/>
      <c r="AL473" s="114"/>
      <c r="AM473" s="114"/>
      <c r="AN473" s="114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</row>
    <row r="474" spans="1:87" ht="11.25" customHeight="1" x14ac:dyDescent="0.2">
      <c r="A474" s="13"/>
      <c r="B474" s="13"/>
      <c r="C474" s="13"/>
      <c r="D474" s="112"/>
      <c r="E474" s="115"/>
      <c r="F474" s="13"/>
      <c r="G474" s="112"/>
      <c r="H474" s="114"/>
      <c r="I474" s="13"/>
      <c r="J474" s="13"/>
      <c r="K474" s="118"/>
      <c r="L474" s="13"/>
      <c r="M474" s="13"/>
      <c r="N474" s="13"/>
      <c r="O474" s="13"/>
      <c r="P474" s="121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14"/>
      <c r="AG474" s="114"/>
      <c r="AH474" s="114"/>
      <c r="AI474" s="114"/>
      <c r="AJ474" s="114"/>
      <c r="AK474" s="114"/>
      <c r="AL474" s="114"/>
      <c r="AM474" s="114"/>
      <c r="AN474" s="114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</row>
    <row r="475" spans="1:87" ht="11.25" customHeight="1" x14ac:dyDescent="0.2">
      <c r="A475" s="13"/>
      <c r="B475" s="13"/>
      <c r="C475" s="13"/>
      <c r="D475" s="112"/>
      <c r="E475" s="115"/>
      <c r="F475" s="13"/>
      <c r="G475" s="112"/>
      <c r="H475" s="114"/>
      <c r="I475" s="13"/>
      <c r="J475" s="13"/>
      <c r="K475" s="118"/>
      <c r="L475" s="13"/>
      <c r="M475" s="13"/>
      <c r="N475" s="13"/>
      <c r="O475" s="13"/>
      <c r="P475" s="121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14"/>
      <c r="AG475" s="114"/>
      <c r="AH475" s="114"/>
      <c r="AI475" s="114"/>
      <c r="AJ475" s="114"/>
      <c r="AK475" s="114"/>
      <c r="AL475" s="114"/>
      <c r="AM475" s="114"/>
      <c r="AN475" s="114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</row>
    <row r="476" spans="1:87" ht="11.25" customHeight="1" x14ac:dyDescent="0.2">
      <c r="A476" s="13"/>
      <c r="B476" s="13"/>
      <c r="C476" s="13"/>
      <c r="D476" s="112"/>
      <c r="E476" s="115"/>
      <c r="F476" s="13"/>
      <c r="G476" s="112"/>
      <c r="H476" s="114"/>
      <c r="I476" s="13"/>
      <c r="J476" s="13"/>
      <c r="K476" s="118"/>
      <c r="L476" s="13"/>
      <c r="M476" s="13"/>
      <c r="N476" s="13"/>
      <c r="O476" s="13"/>
      <c r="P476" s="121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14"/>
      <c r="AG476" s="114"/>
      <c r="AH476" s="114"/>
      <c r="AI476" s="114"/>
      <c r="AJ476" s="114"/>
      <c r="AK476" s="114"/>
      <c r="AL476" s="114"/>
      <c r="AM476" s="114"/>
      <c r="AN476" s="114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</row>
    <row r="477" spans="1:87" ht="11.25" customHeight="1" x14ac:dyDescent="0.2">
      <c r="A477" s="13"/>
      <c r="B477" s="13"/>
      <c r="C477" s="13"/>
      <c r="D477" s="112"/>
      <c r="E477" s="115"/>
      <c r="F477" s="13"/>
      <c r="G477" s="112"/>
      <c r="H477" s="114"/>
      <c r="I477" s="13"/>
      <c r="J477" s="13"/>
      <c r="K477" s="118"/>
      <c r="L477" s="13"/>
      <c r="M477" s="13"/>
      <c r="N477" s="13"/>
      <c r="O477" s="13"/>
      <c r="P477" s="121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14"/>
      <c r="AG477" s="114"/>
      <c r="AH477" s="114"/>
      <c r="AI477" s="114"/>
      <c r="AJ477" s="114"/>
      <c r="AK477" s="114"/>
      <c r="AL477" s="114"/>
      <c r="AM477" s="114"/>
      <c r="AN477" s="114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</row>
    <row r="478" spans="1:87" ht="11.25" customHeight="1" x14ac:dyDescent="0.2">
      <c r="A478" s="13"/>
      <c r="B478" s="13"/>
      <c r="C478" s="13"/>
      <c r="D478" s="112"/>
      <c r="E478" s="115"/>
      <c r="F478" s="13"/>
      <c r="G478" s="112"/>
      <c r="H478" s="114"/>
      <c r="I478" s="13"/>
      <c r="J478" s="13"/>
      <c r="K478" s="118"/>
      <c r="L478" s="13"/>
      <c r="M478" s="13"/>
      <c r="N478" s="13"/>
      <c r="O478" s="13"/>
      <c r="P478" s="121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</row>
    <row r="479" spans="1:87" ht="11.25" customHeight="1" x14ac:dyDescent="0.2">
      <c r="A479" s="13"/>
      <c r="B479" s="13"/>
      <c r="C479" s="13"/>
      <c r="D479" s="112"/>
      <c r="E479" s="115"/>
      <c r="F479" s="13"/>
      <c r="G479" s="112"/>
      <c r="H479" s="114"/>
      <c r="I479" s="13"/>
      <c r="J479" s="13"/>
      <c r="K479" s="118"/>
      <c r="L479" s="13"/>
      <c r="M479" s="13"/>
      <c r="N479" s="13"/>
      <c r="O479" s="13"/>
      <c r="P479" s="121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14"/>
      <c r="AG479" s="114"/>
      <c r="AH479" s="114"/>
      <c r="AI479" s="114"/>
      <c r="AJ479" s="114"/>
      <c r="AK479" s="114"/>
      <c r="AL479" s="114"/>
      <c r="AM479" s="114"/>
      <c r="AN479" s="114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</row>
    <row r="480" spans="1:87" ht="11.25" customHeight="1" x14ac:dyDescent="0.2">
      <c r="A480" s="13"/>
      <c r="B480" s="13"/>
      <c r="C480" s="13"/>
      <c r="D480" s="112"/>
      <c r="E480" s="115"/>
      <c r="F480" s="13"/>
      <c r="G480" s="112"/>
      <c r="H480" s="114"/>
      <c r="I480" s="13"/>
      <c r="J480" s="13"/>
      <c r="K480" s="118"/>
      <c r="L480" s="13"/>
      <c r="M480" s="13"/>
      <c r="N480" s="13"/>
      <c r="O480" s="13"/>
      <c r="P480" s="121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14"/>
      <c r="AG480" s="114"/>
      <c r="AH480" s="114"/>
      <c r="AI480" s="114"/>
      <c r="AJ480" s="114"/>
      <c r="AK480" s="114"/>
      <c r="AL480" s="114"/>
      <c r="AM480" s="114"/>
      <c r="AN480" s="114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</row>
    <row r="481" spans="1:87" ht="11.25" customHeight="1" x14ac:dyDescent="0.2">
      <c r="A481" s="13"/>
      <c r="B481" s="13"/>
      <c r="C481" s="13"/>
      <c r="D481" s="112"/>
      <c r="E481" s="115"/>
      <c r="F481" s="13"/>
      <c r="G481" s="112"/>
      <c r="H481" s="114"/>
      <c r="I481" s="13"/>
      <c r="J481" s="13"/>
      <c r="K481" s="118"/>
      <c r="L481" s="13"/>
      <c r="M481" s="13"/>
      <c r="N481" s="13"/>
      <c r="O481" s="13"/>
      <c r="P481" s="121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14"/>
      <c r="AG481" s="114"/>
      <c r="AH481" s="114"/>
      <c r="AI481" s="114"/>
      <c r="AJ481" s="114"/>
      <c r="AK481" s="114"/>
      <c r="AL481" s="114"/>
      <c r="AM481" s="114"/>
      <c r="AN481" s="114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</row>
    <row r="482" spans="1:87" ht="11.25" customHeight="1" x14ac:dyDescent="0.2">
      <c r="A482" s="13"/>
      <c r="B482" s="13"/>
      <c r="C482" s="13"/>
      <c r="D482" s="112"/>
      <c r="E482" s="115"/>
      <c r="F482" s="13"/>
      <c r="G482" s="112"/>
      <c r="H482" s="114"/>
      <c r="I482" s="13"/>
      <c r="J482" s="13"/>
      <c r="K482" s="118"/>
      <c r="L482" s="13"/>
      <c r="M482" s="13"/>
      <c r="N482" s="13"/>
      <c r="O482" s="13"/>
      <c r="P482" s="121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14"/>
      <c r="AG482" s="114"/>
      <c r="AH482" s="114"/>
      <c r="AI482" s="114"/>
      <c r="AJ482" s="114"/>
      <c r="AK482" s="114"/>
      <c r="AL482" s="114"/>
      <c r="AM482" s="114"/>
      <c r="AN482" s="114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</row>
    <row r="483" spans="1:87" ht="11.25" customHeight="1" x14ac:dyDescent="0.2">
      <c r="A483" s="13"/>
      <c r="B483" s="13"/>
      <c r="C483" s="13"/>
      <c r="D483" s="112"/>
      <c r="E483" s="115"/>
      <c r="F483" s="13"/>
      <c r="G483" s="112"/>
      <c r="H483" s="114"/>
      <c r="I483" s="13"/>
      <c r="J483" s="13"/>
      <c r="K483" s="118"/>
      <c r="L483" s="13"/>
      <c r="M483" s="13"/>
      <c r="N483" s="13"/>
      <c r="O483" s="13"/>
      <c r="P483" s="121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</row>
    <row r="484" spans="1:87" ht="11.25" customHeight="1" x14ac:dyDescent="0.2">
      <c r="A484" s="13"/>
      <c r="B484" s="13"/>
      <c r="C484" s="13"/>
      <c r="D484" s="112"/>
      <c r="E484" s="115"/>
      <c r="F484" s="13"/>
      <c r="G484" s="112"/>
      <c r="H484" s="114"/>
      <c r="I484" s="13"/>
      <c r="J484" s="13"/>
      <c r="K484" s="118"/>
      <c r="L484" s="13"/>
      <c r="M484" s="13"/>
      <c r="N484" s="13"/>
      <c r="O484" s="13"/>
      <c r="P484" s="121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14"/>
      <c r="AG484" s="114"/>
      <c r="AH484" s="114"/>
      <c r="AI484" s="114"/>
      <c r="AJ484" s="114"/>
      <c r="AK484" s="114"/>
      <c r="AL484" s="114"/>
      <c r="AM484" s="114"/>
      <c r="AN484" s="114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</row>
    <row r="485" spans="1:87" ht="15" customHeight="1" x14ac:dyDescent="0.2">
      <c r="B485" s="13"/>
      <c r="C485" s="13"/>
      <c r="D485" s="112"/>
      <c r="E485" s="115"/>
      <c r="F485" s="13"/>
      <c r="G485" s="112"/>
      <c r="H485" s="114"/>
      <c r="I485" s="13"/>
      <c r="J485" s="13"/>
      <c r="K485" s="118"/>
      <c r="L485" s="13"/>
      <c r="M485" s="13"/>
      <c r="N485" s="13"/>
      <c r="O485" s="13"/>
      <c r="P485" s="121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14"/>
      <c r="AG485" s="114"/>
      <c r="AH485" s="114"/>
      <c r="AI485" s="114"/>
      <c r="AJ485" s="114"/>
      <c r="AK485" s="114"/>
      <c r="AL485" s="114"/>
      <c r="AM485" s="114"/>
      <c r="AN485" s="114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</row>
  </sheetData>
  <phoneticPr fontId="2" type="noConversion"/>
  <conditionalFormatting sqref="D1:D1048576">
    <cfRule type="duplicateValues" dxfId="18" priority="1"/>
  </conditionalFormatting>
  <conditionalFormatting sqref="D424">
    <cfRule type="duplicateValues" dxfId="17" priority="20"/>
  </conditionalFormatting>
  <conditionalFormatting sqref="E1:E1048576">
    <cfRule type="duplicateValues" dxfId="16" priority="5"/>
  </conditionalFormatting>
  <conditionalFormatting sqref="AL427:AL65536 AL1:AL423 AL425">
    <cfRule type="duplicateValues" dxfId="15" priority="2"/>
  </conditionalFormatting>
  <dataValidations count="1">
    <dataValidation type="list" allowBlank="1" showErrorMessage="1" sqref="AN5:AN439" xr:uid="{BEE0326A-2BA5-4D8A-9A9B-D8207E470F68}">
      <formula1>"MENIKAH,CERAI,BELUM MENIKAH"</formula1>
    </dataValidation>
  </dataValidations>
  <hyperlinks>
    <hyperlink ref="AK417" r:id="rId1" xr:uid="{E60E0187-6D10-4932-BF4C-F455ECCC22A8}"/>
  </hyperlinks>
  <printOptions horizontalCentered="1"/>
  <pageMargins left="0.11811023622047245" right="0.11811023622047245" top="0.74803149606299213" bottom="0.74803149606299213" header="0" footer="0"/>
  <pageSetup paperSize="9" fitToWidth="0" orientation="portrait"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EBBE-B6C4-4BE5-AF2D-59E2351D150E}">
  <sheetPr codeName="Sheet4">
    <tabColor rgb="FF92D050"/>
  </sheetPr>
  <dimension ref="A1:CG340"/>
  <sheetViews>
    <sheetView zoomScaleNormal="100" workbookViewId="0">
      <pane xSplit="3" ySplit="3" topLeftCell="BR134" activePane="bottomRight" state="frozen"/>
      <selection pane="topRight" activeCell="D1" sqref="D1"/>
      <selection pane="bottomLeft" activeCell="A4" sqref="A4"/>
      <selection pane="bottomRight" activeCell="C149" sqref="C149"/>
    </sheetView>
  </sheetViews>
  <sheetFormatPr defaultColWidth="14.44140625" defaultRowHeight="15" customHeight="1" x14ac:dyDescent="0.2"/>
  <cols>
    <col min="1" max="1" width="2.5546875" style="86" customWidth="1"/>
    <col min="2" max="2" width="7" style="86" customWidth="1"/>
    <col min="3" max="3" width="30.21875" style="86" customWidth="1"/>
    <col min="4" max="4" width="10.77734375" style="86" customWidth="1"/>
    <col min="5" max="5" width="16.21875" style="86" customWidth="1"/>
    <col min="6" max="6" width="9.5546875" style="86" customWidth="1"/>
    <col min="7" max="7" width="13" style="86" bestFit="1" customWidth="1"/>
    <col min="8" max="8" width="13.44140625" style="86" customWidth="1"/>
    <col min="9" max="9" width="12" style="212" customWidth="1"/>
    <col min="10" max="10" width="11" style="86" customWidth="1"/>
    <col min="11" max="11" width="5.77734375" style="86" customWidth="1"/>
    <col min="12" max="12" width="10" style="212" customWidth="1"/>
    <col min="13" max="14" width="13.5546875" style="86" customWidth="1"/>
    <col min="15" max="15" width="15.21875" style="212" customWidth="1"/>
    <col min="16" max="16" width="13.44140625" style="86" customWidth="1"/>
    <col min="17" max="17" width="10.21875" style="86" customWidth="1"/>
    <col min="18" max="18" width="12.77734375" style="86" customWidth="1"/>
    <col min="19" max="19" width="14.44140625" style="86"/>
    <col min="20" max="20" width="16.5546875" style="86" customWidth="1"/>
    <col min="21" max="21" width="17.77734375" style="86" customWidth="1"/>
    <col min="22" max="22" width="12.21875" style="86" customWidth="1"/>
    <col min="23" max="23" width="14.5546875" style="86" customWidth="1"/>
    <col min="24" max="24" width="12.77734375" style="86" customWidth="1"/>
    <col min="25" max="25" width="10" style="86" customWidth="1"/>
    <col min="26" max="26" width="9.21875" style="86" customWidth="1"/>
    <col min="27" max="27" width="11.44140625" style="212" customWidth="1"/>
    <col min="28" max="28" width="8.77734375" style="86" customWidth="1"/>
    <col min="29" max="29" width="13.77734375" style="86" customWidth="1"/>
    <col min="30" max="30" width="10.77734375" style="86" customWidth="1"/>
    <col min="31" max="31" width="17.21875" style="86" customWidth="1"/>
    <col min="32" max="32" width="15.5546875" style="86" customWidth="1"/>
    <col min="33" max="33" width="16.21875" style="86" customWidth="1"/>
    <col min="34" max="34" width="11.21875" style="86" customWidth="1"/>
    <col min="35" max="35" width="14" style="86" customWidth="1"/>
    <col min="36" max="36" width="17.21875" style="86" customWidth="1"/>
    <col min="37" max="37" width="22.77734375" style="86" customWidth="1"/>
    <col min="38" max="38" width="21.5546875" style="86" customWidth="1"/>
    <col min="39" max="39" width="15.21875" style="86" customWidth="1"/>
    <col min="40" max="40" width="17.21875" style="86" customWidth="1"/>
    <col min="41" max="41" width="12.5546875" style="86" customWidth="1"/>
    <col min="42" max="42" width="15" style="86" customWidth="1"/>
    <col min="43" max="43" width="13.77734375" style="86" customWidth="1"/>
    <col min="44" max="44" width="14.44140625" style="86"/>
    <col min="45" max="45" width="13.21875" style="86" customWidth="1"/>
    <col min="46" max="46" width="12.77734375" style="86" customWidth="1"/>
    <col min="47" max="47" width="13.5546875" style="86" customWidth="1"/>
    <col min="48" max="48" width="12.5546875" style="86" customWidth="1"/>
    <col min="49" max="49" width="10.5546875" style="86" customWidth="1"/>
    <col min="50" max="50" width="13.5546875" style="86" customWidth="1"/>
    <col min="51" max="51" width="19.21875" style="86" customWidth="1"/>
    <col min="52" max="52" width="32.44140625" style="86" customWidth="1"/>
    <col min="53" max="53" width="13.77734375" style="86" customWidth="1"/>
    <col min="54" max="54" width="15.21875" style="86" customWidth="1"/>
    <col min="55" max="55" width="16.44140625" style="86" customWidth="1"/>
    <col min="56" max="56" width="18" style="86" customWidth="1"/>
    <col min="57" max="57" width="13.77734375" style="86" customWidth="1"/>
    <col min="58" max="58" width="9.21875" style="212" customWidth="1"/>
    <col min="59" max="59" width="11.21875" style="212" customWidth="1"/>
    <col min="60" max="60" width="8.21875" style="86" customWidth="1"/>
    <col min="61" max="61" width="9.5546875" style="86" customWidth="1"/>
    <col min="62" max="62" width="9.77734375" style="86" customWidth="1"/>
    <col min="63" max="63" width="7.21875" style="86" customWidth="1"/>
    <col min="64" max="64" width="7.44140625" style="86" customWidth="1"/>
    <col min="65" max="65" width="8.21875" style="86" customWidth="1"/>
    <col min="66" max="66" width="18.21875" style="86" customWidth="1"/>
    <col min="67" max="68" width="9.21875" style="86" customWidth="1"/>
    <col min="69" max="69" width="15.44140625" style="86" customWidth="1"/>
    <col min="70" max="70" width="11.44140625" style="86" customWidth="1"/>
    <col min="71" max="72" width="8.21875" style="86" customWidth="1"/>
    <col min="73" max="73" width="9.21875" style="86" customWidth="1"/>
    <col min="74" max="74" width="14.21875" style="86" customWidth="1"/>
    <col min="75" max="76" width="9.21875" style="86" customWidth="1"/>
    <col min="77" max="77" width="14.44140625" style="86"/>
    <col min="78" max="78" width="11.21875" style="212" customWidth="1"/>
    <col min="79" max="16384" width="14.44140625" style="86"/>
  </cols>
  <sheetData>
    <row r="1" spans="1:85" ht="11.25" customHeight="1" x14ac:dyDescent="0.2">
      <c r="B1" s="13"/>
      <c r="C1" s="13"/>
      <c r="D1" s="109"/>
      <c r="E1" s="110"/>
      <c r="F1" s="115"/>
      <c r="G1" s="13"/>
      <c r="H1" s="13"/>
      <c r="I1" s="210"/>
      <c r="J1" s="111"/>
      <c r="K1" s="13"/>
      <c r="L1" s="210"/>
      <c r="M1" s="13"/>
      <c r="N1" s="13"/>
      <c r="O1" s="210"/>
      <c r="P1" s="111"/>
      <c r="Q1" s="13"/>
      <c r="R1" s="13"/>
      <c r="S1" s="13"/>
      <c r="T1" s="13"/>
      <c r="U1" s="13"/>
      <c r="V1" s="13"/>
      <c r="W1" s="13"/>
      <c r="X1" s="13"/>
      <c r="Y1" s="13"/>
      <c r="Z1" s="13"/>
      <c r="AA1" s="210"/>
      <c r="AB1" s="109"/>
      <c r="AC1" s="111"/>
      <c r="AD1" s="13"/>
      <c r="AE1" s="115"/>
      <c r="AF1" s="13"/>
      <c r="AG1" s="13"/>
      <c r="AH1" s="115"/>
      <c r="AI1" s="115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210"/>
      <c r="BG1" s="210"/>
      <c r="BH1" s="13"/>
      <c r="BI1" s="13"/>
      <c r="BJ1" s="13"/>
      <c r="BK1" s="13"/>
      <c r="BL1" s="13"/>
      <c r="BM1" s="13"/>
      <c r="BN1" s="13"/>
      <c r="BO1" s="174"/>
      <c r="BP1" s="174"/>
      <c r="BQ1" s="13"/>
      <c r="BR1" s="13"/>
      <c r="BS1" s="174"/>
      <c r="BT1" s="174"/>
      <c r="BU1" s="13"/>
      <c r="BV1" s="13"/>
      <c r="BW1" s="111"/>
      <c r="BX1" s="111"/>
      <c r="CC1" s="175"/>
    </row>
    <row r="2" spans="1:85" ht="11.25" customHeight="1" x14ac:dyDescent="0.2">
      <c r="B2" s="13"/>
      <c r="C2" s="176">
        <f ca="1">TODAY()</f>
        <v>45930</v>
      </c>
      <c r="D2" s="109"/>
      <c r="E2" s="110"/>
      <c r="F2" s="110"/>
      <c r="G2" s="13"/>
      <c r="H2" s="13"/>
      <c r="I2" s="210"/>
      <c r="J2" s="111"/>
      <c r="K2" s="13" t="s">
        <v>4697</v>
      </c>
      <c r="L2" s="210"/>
      <c r="M2" s="13"/>
      <c r="N2" s="13"/>
      <c r="O2" s="210"/>
      <c r="P2" s="111"/>
      <c r="Q2" s="13"/>
      <c r="R2" s="13"/>
      <c r="S2" s="13"/>
      <c r="T2" s="13"/>
      <c r="U2" s="13"/>
      <c r="V2" s="13"/>
      <c r="W2" s="13"/>
      <c r="X2" s="13"/>
      <c r="Y2" s="13"/>
      <c r="Z2" s="13"/>
      <c r="AA2" s="210"/>
      <c r="AB2" s="109"/>
      <c r="AC2" s="111"/>
      <c r="AD2" s="13"/>
      <c r="AE2" s="115"/>
      <c r="AF2" s="13"/>
      <c r="AG2" s="109"/>
      <c r="AH2" s="115"/>
      <c r="AI2" s="110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210"/>
      <c r="BG2" s="210"/>
      <c r="BH2" s="13"/>
      <c r="BI2" s="13"/>
      <c r="BJ2" s="13"/>
      <c r="BK2" s="13"/>
      <c r="BL2" s="13"/>
      <c r="BM2" s="13"/>
      <c r="BN2" s="13"/>
      <c r="BO2" s="174"/>
      <c r="BP2" s="174"/>
      <c r="BQ2" s="13"/>
      <c r="BR2" s="13"/>
      <c r="BS2" s="174"/>
      <c r="BT2" s="174"/>
      <c r="BU2" s="13"/>
      <c r="BV2" s="13"/>
      <c r="BW2" s="111"/>
      <c r="BX2" s="111"/>
      <c r="CC2" s="175"/>
    </row>
    <row r="3" spans="1:85" ht="11.25" customHeight="1" x14ac:dyDescent="0.2">
      <c r="A3" s="177"/>
      <c r="B3" s="165" t="s">
        <v>7</v>
      </c>
      <c r="C3" s="165" t="s">
        <v>60</v>
      </c>
      <c r="D3" s="165" t="s">
        <v>61</v>
      </c>
      <c r="E3" s="178" t="s">
        <v>222</v>
      </c>
      <c r="F3" s="179" t="s">
        <v>223</v>
      </c>
      <c r="G3" s="165" t="s">
        <v>224</v>
      </c>
      <c r="H3" s="165" t="s">
        <v>225</v>
      </c>
      <c r="I3" s="211" t="s">
        <v>4698</v>
      </c>
      <c r="J3" s="165" t="s">
        <v>227</v>
      </c>
      <c r="K3" s="165" t="s">
        <v>228</v>
      </c>
      <c r="L3" s="211" t="s">
        <v>4699</v>
      </c>
      <c r="M3" s="165" t="s">
        <v>182</v>
      </c>
      <c r="N3" s="165" t="s">
        <v>4700</v>
      </c>
      <c r="O3" s="211" t="s">
        <v>231</v>
      </c>
      <c r="P3" s="180" t="s">
        <v>232</v>
      </c>
      <c r="Q3" s="165" t="s">
        <v>233</v>
      </c>
      <c r="R3" s="165" t="s">
        <v>8</v>
      </c>
      <c r="S3" s="165" t="s">
        <v>236</v>
      </c>
      <c r="T3" s="165" t="s">
        <v>237</v>
      </c>
      <c r="U3" s="165" t="s">
        <v>183</v>
      </c>
      <c r="V3" s="165" t="s">
        <v>238</v>
      </c>
      <c r="W3" s="165" t="s">
        <v>239</v>
      </c>
      <c r="X3" s="165" t="s">
        <v>240</v>
      </c>
      <c r="Y3" s="165" t="s">
        <v>212</v>
      </c>
      <c r="Z3" s="165" t="s">
        <v>241</v>
      </c>
      <c r="AA3" s="211" t="s">
        <v>242</v>
      </c>
      <c r="AB3" s="165" t="s">
        <v>243</v>
      </c>
      <c r="AC3" s="165" t="s">
        <v>244</v>
      </c>
      <c r="AD3" s="165" t="s">
        <v>245</v>
      </c>
      <c r="AE3" s="181" t="s">
        <v>246</v>
      </c>
      <c r="AF3" s="165" t="s">
        <v>247</v>
      </c>
      <c r="AG3" s="165" t="s">
        <v>4701</v>
      </c>
      <c r="AH3" s="182" t="s">
        <v>250</v>
      </c>
      <c r="AI3" s="178" t="s">
        <v>251</v>
      </c>
      <c r="AJ3" s="165" t="s">
        <v>214</v>
      </c>
      <c r="AK3" s="165" t="s">
        <v>252</v>
      </c>
      <c r="AL3" s="165" t="s">
        <v>253</v>
      </c>
      <c r="AM3" s="165" t="s">
        <v>254</v>
      </c>
      <c r="AN3" s="165" t="s">
        <v>255</v>
      </c>
      <c r="AO3" s="165" t="s">
        <v>256</v>
      </c>
      <c r="AP3" s="165" t="s">
        <v>257</v>
      </c>
      <c r="AQ3" s="165" t="s">
        <v>258</v>
      </c>
      <c r="AR3" s="165" t="s">
        <v>259</v>
      </c>
      <c r="AS3" s="165" t="s">
        <v>260</v>
      </c>
      <c r="AT3" s="165" t="s">
        <v>261</v>
      </c>
      <c r="AU3" s="165" t="s">
        <v>262</v>
      </c>
      <c r="AV3" s="165" t="s">
        <v>264</v>
      </c>
      <c r="AW3" s="165" t="s">
        <v>265</v>
      </c>
      <c r="AX3" s="165" t="s">
        <v>62</v>
      </c>
      <c r="AY3" s="165" t="s">
        <v>63</v>
      </c>
      <c r="AZ3" s="165" t="s">
        <v>64</v>
      </c>
      <c r="BA3" s="165" t="s">
        <v>266</v>
      </c>
      <c r="BB3" s="165" t="s">
        <v>267</v>
      </c>
      <c r="BC3" s="165" t="s">
        <v>268</v>
      </c>
      <c r="BD3" s="165" t="s">
        <v>269</v>
      </c>
      <c r="BE3" s="165" t="s">
        <v>266</v>
      </c>
      <c r="BF3" s="211" t="s">
        <v>271</v>
      </c>
      <c r="BG3" s="211" t="s">
        <v>272</v>
      </c>
      <c r="BH3" s="165" t="s">
        <v>4702</v>
      </c>
      <c r="BI3" s="165" t="s">
        <v>4703</v>
      </c>
      <c r="BJ3" s="165" t="s">
        <v>4704</v>
      </c>
      <c r="BK3" s="180" t="s">
        <v>276</v>
      </c>
      <c r="BL3" s="180" t="s">
        <v>277</v>
      </c>
      <c r="BM3" s="183" t="s">
        <v>278</v>
      </c>
      <c r="BN3" s="165" t="s">
        <v>279</v>
      </c>
      <c r="BO3" s="184" t="s">
        <v>280</v>
      </c>
      <c r="BP3" s="184" t="s">
        <v>281</v>
      </c>
      <c r="BQ3" s="165" t="s">
        <v>282</v>
      </c>
      <c r="BR3" s="165" t="s">
        <v>283</v>
      </c>
      <c r="BS3" s="184" t="s">
        <v>284</v>
      </c>
      <c r="BT3" s="184" t="s">
        <v>285</v>
      </c>
      <c r="BU3" s="165" t="s">
        <v>286</v>
      </c>
      <c r="BV3" s="165" t="s">
        <v>287</v>
      </c>
      <c r="BW3" s="180" t="s">
        <v>288</v>
      </c>
      <c r="BX3" s="180" t="s">
        <v>289</v>
      </c>
      <c r="BY3" s="165" t="s">
        <v>290</v>
      </c>
      <c r="BZ3" s="211" t="s">
        <v>4705</v>
      </c>
      <c r="CA3" s="165" t="s">
        <v>4706</v>
      </c>
      <c r="CB3" s="165" t="s">
        <v>4707</v>
      </c>
      <c r="CC3" s="185" t="s">
        <v>4708</v>
      </c>
      <c r="CD3" s="165" t="s">
        <v>4709</v>
      </c>
      <c r="CE3" s="177"/>
      <c r="CF3" s="177"/>
      <c r="CG3" s="177"/>
    </row>
    <row r="4" spans="1:85" ht="11.25" customHeight="1" x14ac:dyDescent="0.2">
      <c r="B4" s="13">
        <v>1</v>
      </c>
      <c r="C4" s="13" t="s">
        <v>4710</v>
      </c>
      <c r="D4" s="109">
        <v>971500001</v>
      </c>
      <c r="E4" s="110">
        <v>1710003934802</v>
      </c>
      <c r="F4" s="186"/>
      <c r="G4" s="13" t="s">
        <v>217</v>
      </c>
      <c r="H4" s="13" t="s">
        <v>217</v>
      </c>
      <c r="I4" s="210">
        <v>41884</v>
      </c>
      <c r="J4" s="112">
        <f t="shared" ref="J4:J35" si="0">DATEDIF(I4,BZ4,"y")</f>
        <v>5</v>
      </c>
      <c r="K4" s="13">
        <f t="shared" ref="K4:K35" si="1">DATEDIF(I4,BZ4,"yM")</f>
        <v>7</v>
      </c>
      <c r="L4" s="210"/>
      <c r="M4" s="13" t="str">
        <f t="shared" ref="M4:M35" si="2">IF(LEFT(D4,2)="97","Tetap",IF(LEFT(D4,2)="75","Capeg",IF(LEFT(D4,2)="64","PKWT",IF(LEFT(D4,2)="99","Organik","Resign"))))</f>
        <v>Tetap</v>
      </c>
      <c r="N4" s="13"/>
      <c r="P4" s="111"/>
      <c r="Q4" s="13" t="s">
        <v>139</v>
      </c>
      <c r="R4" s="13" t="s">
        <v>4711</v>
      </c>
      <c r="S4" s="13"/>
      <c r="T4" s="13"/>
      <c r="U4" s="13"/>
      <c r="V4" s="13"/>
      <c r="W4" s="13"/>
      <c r="X4" s="13"/>
      <c r="Y4" s="13" t="s">
        <v>133</v>
      </c>
      <c r="Z4" s="13" t="s">
        <v>4712</v>
      </c>
      <c r="AA4" s="210">
        <v>29922</v>
      </c>
      <c r="AB4" s="109">
        <f t="shared" ref="AB4:AB35" ca="1" si="3">DATEDIF(AA4,$C$2,"y")</f>
        <v>43</v>
      </c>
      <c r="AC4" s="13" t="s">
        <v>4713</v>
      </c>
      <c r="AD4" s="13" t="s">
        <v>4714</v>
      </c>
      <c r="AE4" s="115" t="s">
        <v>4715</v>
      </c>
      <c r="AF4" s="13"/>
      <c r="AH4" s="186"/>
      <c r="AI4" s="115"/>
      <c r="AJ4" s="13" t="s">
        <v>4716</v>
      </c>
      <c r="AK4" s="13"/>
      <c r="AL4" s="13"/>
      <c r="AM4" s="13"/>
      <c r="AN4" s="13"/>
      <c r="AO4" s="13"/>
      <c r="AP4" s="13"/>
      <c r="AQ4" s="13"/>
      <c r="AR4" s="13"/>
      <c r="AS4" s="13"/>
      <c r="AW4" s="13" t="s">
        <v>161</v>
      </c>
      <c r="AX4" s="13" t="s">
        <v>75</v>
      </c>
      <c r="AY4" s="13" t="s">
        <v>4717</v>
      </c>
      <c r="AZ4" s="13"/>
      <c r="BA4" s="13"/>
      <c r="BB4" s="13" t="s">
        <v>75</v>
      </c>
      <c r="BC4" s="13" t="s">
        <v>4717</v>
      </c>
      <c r="BD4" s="13"/>
      <c r="BE4" s="13"/>
      <c r="BF4" s="210"/>
      <c r="BG4" s="210"/>
      <c r="BH4" s="13"/>
      <c r="BK4" s="13"/>
      <c r="BL4" s="13"/>
      <c r="BM4" s="13"/>
      <c r="BN4" s="13"/>
      <c r="BO4" s="174"/>
      <c r="BP4" s="174"/>
      <c r="BQ4" s="13"/>
      <c r="BR4" s="13"/>
      <c r="BS4" s="174"/>
      <c r="BT4" s="174"/>
      <c r="BU4" s="13"/>
      <c r="BV4" s="13"/>
      <c r="BW4" s="111"/>
      <c r="BX4" s="111"/>
      <c r="BY4" s="13"/>
      <c r="BZ4" s="210">
        <v>43948</v>
      </c>
      <c r="CA4" s="13" t="s">
        <v>4718</v>
      </c>
      <c r="CB4" s="13"/>
      <c r="CC4" s="119"/>
      <c r="CD4" s="13" t="s">
        <v>4719</v>
      </c>
      <c r="CE4" s="86" t="e">
        <f>VLOOKUP(C4,[1]Sertifikasi!$B$4:$I$19,8,0)</f>
        <v>#N/A</v>
      </c>
    </row>
    <row r="5" spans="1:85" ht="11.25" customHeight="1" x14ac:dyDescent="0.2">
      <c r="B5" s="13">
        <v>2</v>
      </c>
      <c r="C5" s="13" t="s">
        <v>4720</v>
      </c>
      <c r="D5" s="109">
        <v>641805150</v>
      </c>
      <c r="E5" s="110">
        <v>1710004257765</v>
      </c>
      <c r="F5" s="186"/>
      <c r="G5" s="13" t="s">
        <v>217</v>
      </c>
      <c r="H5" s="13" t="s">
        <v>31</v>
      </c>
      <c r="I5" s="210">
        <v>43227</v>
      </c>
      <c r="J5" s="112">
        <f t="shared" si="0"/>
        <v>2</v>
      </c>
      <c r="K5" s="13">
        <f t="shared" si="1"/>
        <v>1</v>
      </c>
      <c r="L5" s="210"/>
      <c r="M5" s="13" t="str">
        <f t="shared" si="2"/>
        <v>PKWT</v>
      </c>
      <c r="N5" s="13"/>
      <c r="O5" s="210">
        <v>43957</v>
      </c>
      <c r="Q5" s="13" t="s">
        <v>141</v>
      </c>
      <c r="R5" s="13" t="s">
        <v>26</v>
      </c>
      <c r="S5" s="13" t="s">
        <v>547</v>
      </c>
      <c r="T5" s="13" t="s">
        <v>4721</v>
      </c>
      <c r="U5" s="13"/>
      <c r="V5" s="187"/>
      <c r="W5" s="187"/>
      <c r="Y5" s="86" t="s">
        <v>132</v>
      </c>
      <c r="Z5" s="13" t="s">
        <v>31</v>
      </c>
      <c r="AA5" s="210">
        <v>32741</v>
      </c>
      <c r="AB5" s="109">
        <f t="shared" ca="1" si="3"/>
        <v>36</v>
      </c>
      <c r="AC5" s="13" t="s">
        <v>4722</v>
      </c>
      <c r="AD5" s="13" t="s">
        <v>4723</v>
      </c>
      <c r="AE5" s="115" t="s">
        <v>4724</v>
      </c>
      <c r="AH5" s="115" t="s">
        <v>4725</v>
      </c>
      <c r="AI5" s="110">
        <v>18035613472</v>
      </c>
      <c r="AJ5" s="13" t="s">
        <v>4716</v>
      </c>
      <c r="AK5" s="13"/>
      <c r="AL5" s="13"/>
      <c r="AM5" s="13"/>
      <c r="AN5" s="13"/>
      <c r="AO5" s="13"/>
      <c r="AP5" s="13"/>
      <c r="AQ5" s="13"/>
      <c r="AR5" s="13"/>
      <c r="AS5" s="13"/>
      <c r="AW5" s="13" t="s">
        <v>161</v>
      </c>
      <c r="AX5" s="13" t="s">
        <v>475</v>
      </c>
      <c r="AY5" s="13" t="s">
        <v>4726</v>
      </c>
      <c r="AZ5" s="13"/>
      <c r="BA5" s="13"/>
      <c r="BB5" s="13" t="s">
        <v>475</v>
      </c>
      <c r="BC5" s="13" t="s">
        <v>4726</v>
      </c>
      <c r="BD5" s="13"/>
      <c r="BE5" s="13"/>
      <c r="BF5" s="210"/>
      <c r="BG5" s="210"/>
      <c r="BH5" s="13"/>
      <c r="BK5" s="13"/>
      <c r="BL5" s="13"/>
      <c r="BM5" s="13"/>
      <c r="BN5" s="13"/>
      <c r="BO5" s="174"/>
      <c r="BP5" s="174"/>
      <c r="BQ5" s="13"/>
      <c r="BR5" s="13"/>
      <c r="BS5" s="174"/>
      <c r="BT5" s="174"/>
      <c r="BU5" s="13"/>
      <c r="BV5" s="13"/>
      <c r="BW5" s="111"/>
      <c r="BX5" s="111"/>
      <c r="BY5" s="13"/>
      <c r="BZ5" s="210">
        <v>44012</v>
      </c>
      <c r="CA5" s="13" t="s">
        <v>4727</v>
      </c>
      <c r="CB5" s="13"/>
      <c r="CC5" s="119"/>
      <c r="CD5" s="13" t="s">
        <v>4728</v>
      </c>
      <c r="CE5" s="86" t="e">
        <f>VLOOKUP(C5,[1]Sertifikasi!$B$4:$I$19,8,0)</f>
        <v>#N/A</v>
      </c>
    </row>
    <row r="6" spans="1:85" ht="11.25" customHeight="1" x14ac:dyDescent="0.2">
      <c r="B6" s="13">
        <v>3</v>
      </c>
      <c r="C6" s="13" t="s">
        <v>4729</v>
      </c>
      <c r="D6" s="109">
        <v>642001001</v>
      </c>
      <c r="E6" s="110">
        <v>1710004029370</v>
      </c>
      <c r="F6" s="186"/>
      <c r="G6" s="13" t="s">
        <v>217</v>
      </c>
      <c r="H6" s="13" t="s">
        <v>217</v>
      </c>
      <c r="I6" s="213">
        <v>42125</v>
      </c>
      <c r="J6" s="112">
        <f t="shared" si="0"/>
        <v>5</v>
      </c>
      <c r="K6" s="13">
        <f t="shared" si="1"/>
        <v>2</v>
      </c>
      <c r="L6" s="210"/>
      <c r="M6" s="13" t="str">
        <f t="shared" si="2"/>
        <v>PKWT</v>
      </c>
      <c r="N6" s="13"/>
      <c r="O6" s="210">
        <v>44196</v>
      </c>
      <c r="Q6" s="13" t="s">
        <v>141</v>
      </c>
      <c r="R6" s="13" t="s">
        <v>24</v>
      </c>
      <c r="S6" s="13" t="s">
        <v>443</v>
      </c>
      <c r="T6" s="13" t="s">
        <v>52</v>
      </c>
      <c r="U6" s="13"/>
      <c r="V6" s="187"/>
      <c r="W6" s="13" t="s">
        <v>462</v>
      </c>
      <c r="Y6" s="86" t="s">
        <v>132</v>
      </c>
      <c r="Z6" s="13" t="s">
        <v>217</v>
      </c>
      <c r="AA6" s="210">
        <v>28277</v>
      </c>
      <c r="AB6" s="109">
        <f t="shared" ca="1" si="3"/>
        <v>48</v>
      </c>
      <c r="AC6" s="110">
        <v>3519030107770010</v>
      </c>
      <c r="AD6" s="13" t="s">
        <v>4730</v>
      </c>
      <c r="AE6" s="115" t="s">
        <v>4731</v>
      </c>
      <c r="AH6" s="115" t="s">
        <v>4732</v>
      </c>
      <c r="AI6" s="110">
        <v>16006272401</v>
      </c>
      <c r="AJ6" s="13" t="s">
        <v>4733</v>
      </c>
      <c r="AK6" s="13"/>
      <c r="AL6" s="13"/>
      <c r="AM6" s="13"/>
      <c r="AN6" s="13"/>
      <c r="AO6" s="188"/>
      <c r="AP6" s="188"/>
      <c r="AQ6" s="188"/>
      <c r="AR6" s="188"/>
      <c r="AS6" s="188"/>
      <c r="AW6" s="13" t="s">
        <v>161</v>
      </c>
      <c r="AX6" s="13" t="s">
        <v>475</v>
      </c>
      <c r="AY6" s="13" t="s">
        <v>4726</v>
      </c>
      <c r="AZ6" s="13"/>
      <c r="BA6" s="13"/>
      <c r="BB6" s="13" t="s">
        <v>475</v>
      </c>
      <c r="BC6" s="13" t="s">
        <v>4726</v>
      </c>
      <c r="BD6" s="13"/>
      <c r="BE6" s="13"/>
      <c r="BF6" s="210"/>
      <c r="BG6" s="210"/>
      <c r="BH6" s="13"/>
      <c r="BK6" s="13"/>
      <c r="BL6" s="13"/>
      <c r="BM6" s="13"/>
      <c r="BN6" s="13"/>
      <c r="BO6" s="174"/>
      <c r="BP6" s="174"/>
      <c r="BQ6" s="13"/>
      <c r="BR6" s="13"/>
      <c r="BS6" s="174"/>
      <c r="BT6" s="174"/>
      <c r="BU6" s="13"/>
      <c r="BV6" s="13"/>
      <c r="BW6" s="111"/>
      <c r="BX6" s="111"/>
      <c r="BY6" s="13"/>
      <c r="BZ6" s="210">
        <v>44043</v>
      </c>
      <c r="CA6" s="13" t="s">
        <v>4734</v>
      </c>
      <c r="CB6" s="86" t="s">
        <v>4735</v>
      </c>
      <c r="CC6" s="175"/>
      <c r="CD6" s="13" t="s">
        <v>4736</v>
      </c>
      <c r="CE6" s="86" t="e">
        <f>VLOOKUP(C6,[1]Sertifikasi!$B$4:$I$19,8,0)</f>
        <v>#N/A</v>
      </c>
    </row>
    <row r="7" spans="1:85" ht="11.25" customHeight="1" x14ac:dyDescent="0.2">
      <c r="B7" s="13">
        <v>4</v>
      </c>
      <c r="C7" s="13" t="s">
        <v>4737</v>
      </c>
      <c r="D7" s="109">
        <v>642002082</v>
      </c>
      <c r="E7" s="110">
        <v>1710006361201</v>
      </c>
      <c r="F7" s="186"/>
      <c r="G7" s="13" t="s">
        <v>21</v>
      </c>
      <c r="H7" s="13" t="s">
        <v>21</v>
      </c>
      <c r="I7" s="210">
        <v>43891</v>
      </c>
      <c r="J7" s="112">
        <f t="shared" si="0"/>
        <v>0</v>
      </c>
      <c r="K7" s="13">
        <f t="shared" si="1"/>
        <v>6</v>
      </c>
      <c r="L7" s="210"/>
      <c r="M7" s="13" t="str">
        <f t="shared" si="2"/>
        <v>PKWT</v>
      </c>
      <c r="N7" s="13"/>
      <c r="O7" s="210">
        <v>44255</v>
      </c>
      <c r="Q7" s="13" t="s">
        <v>141</v>
      </c>
      <c r="R7" s="13" t="s">
        <v>21</v>
      </c>
      <c r="S7" s="13" t="s">
        <v>547</v>
      </c>
      <c r="T7" s="13" t="s">
        <v>47</v>
      </c>
      <c r="U7" s="13"/>
      <c r="V7" s="13"/>
      <c r="W7" s="13"/>
      <c r="Y7" s="86" t="s">
        <v>132</v>
      </c>
      <c r="Z7" s="13" t="s">
        <v>4738</v>
      </c>
      <c r="AA7" s="210">
        <v>35682</v>
      </c>
      <c r="AB7" s="109">
        <f t="shared" ca="1" si="3"/>
        <v>28</v>
      </c>
      <c r="AC7" s="13" t="s">
        <v>4739</v>
      </c>
      <c r="AD7" s="13" t="s">
        <v>4740</v>
      </c>
      <c r="AE7" s="115" t="s">
        <v>4741</v>
      </c>
      <c r="AH7" s="115"/>
      <c r="AI7" s="110"/>
      <c r="AJ7" s="13" t="s">
        <v>4716</v>
      </c>
      <c r="AK7" s="13"/>
      <c r="AL7" s="13"/>
      <c r="AM7" s="13"/>
      <c r="AN7" s="13"/>
      <c r="AO7" s="13"/>
      <c r="AP7" s="13"/>
      <c r="AQ7" s="13"/>
      <c r="AR7" s="13"/>
      <c r="AS7" s="13"/>
      <c r="AW7" s="13" t="s">
        <v>161</v>
      </c>
      <c r="AX7" s="13" t="s">
        <v>70</v>
      </c>
      <c r="AY7" s="13" t="s">
        <v>4742</v>
      </c>
      <c r="AZ7" s="13"/>
      <c r="BA7" s="13"/>
      <c r="BB7" s="13" t="s">
        <v>70</v>
      </c>
      <c r="BC7" s="13" t="s">
        <v>4742</v>
      </c>
      <c r="BD7" s="13"/>
      <c r="BE7" s="13"/>
      <c r="BF7" s="210"/>
      <c r="BG7" s="210"/>
      <c r="BH7" s="13"/>
      <c r="BK7" s="13"/>
      <c r="BL7" s="13"/>
      <c r="BM7" s="13"/>
      <c r="BN7" s="13"/>
      <c r="BO7" s="174"/>
      <c r="BP7" s="174"/>
      <c r="BQ7" s="13"/>
      <c r="BR7" s="13"/>
      <c r="BS7" s="174"/>
      <c r="BT7" s="174"/>
      <c r="BU7" s="13"/>
      <c r="BV7" s="13"/>
      <c r="BW7" s="111"/>
      <c r="BX7" s="111"/>
      <c r="BY7" s="13"/>
      <c r="BZ7" s="210">
        <v>44104</v>
      </c>
      <c r="CA7" s="13" t="s">
        <v>4734</v>
      </c>
      <c r="CB7" s="86" t="s">
        <v>4735</v>
      </c>
      <c r="CC7" s="175"/>
      <c r="CD7" s="13"/>
      <c r="CE7" s="86" t="e">
        <f>VLOOKUP(C7,[1]Sertifikasi!$B$4:$I$19,8,0)</f>
        <v>#N/A</v>
      </c>
    </row>
    <row r="8" spans="1:85" ht="11.25" customHeight="1" x14ac:dyDescent="0.2">
      <c r="B8" s="13">
        <v>5</v>
      </c>
      <c r="C8" s="13" t="s">
        <v>4743</v>
      </c>
      <c r="D8" s="109">
        <v>641810200</v>
      </c>
      <c r="E8" s="110">
        <v>1710004810902</v>
      </c>
      <c r="F8" s="186"/>
      <c r="G8" s="13" t="s">
        <v>25</v>
      </c>
      <c r="H8" s="13" t="s">
        <v>25</v>
      </c>
      <c r="I8" s="210">
        <v>43395</v>
      </c>
      <c r="J8" s="112">
        <f t="shared" si="0"/>
        <v>2</v>
      </c>
      <c r="K8" s="13">
        <f t="shared" si="1"/>
        <v>0</v>
      </c>
      <c r="L8" s="210"/>
      <c r="M8" s="13" t="str">
        <f t="shared" si="2"/>
        <v>PKWT</v>
      </c>
      <c r="N8" s="13"/>
      <c r="O8" s="210">
        <v>44125</v>
      </c>
      <c r="Q8" s="13" t="s">
        <v>141</v>
      </c>
      <c r="R8" s="13" t="s">
        <v>25</v>
      </c>
      <c r="S8" s="13" t="s">
        <v>443</v>
      </c>
      <c r="T8" s="13" t="s">
        <v>57</v>
      </c>
      <c r="U8" s="13"/>
      <c r="V8" s="187"/>
      <c r="W8" s="187"/>
      <c r="Y8" s="86" t="s">
        <v>132</v>
      </c>
      <c r="Z8" s="13" t="s">
        <v>25</v>
      </c>
      <c r="AA8" s="210">
        <v>32280</v>
      </c>
      <c r="AB8" s="109">
        <f t="shared" ca="1" si="3"/>
        <v>37</v>
      </c>
      <c r="AC8" s="13" t="s">
        <v>4744</v>
      </c>
      <c r="AD8" s="13" t="s">
        <v>4745</v>
      </c>
      <c r="AE8" s="115" t="s">
        <v>4746</v>
      </c>
      <c r="AH8" s="115" t="s">
        <v>4747</v>
      </c>
      <c r="AI8" s="115">
        <v>18099947550</v>
      </c>
      <c r="AJ8" s="13" t="s">
        <v>4733</v>
      </c>
      <c r="AK8" s="13"/>
      <c r="AL8" s="13"/>
      <c r="AM8" s="13"/>
      <c r="AN8" s="13"/>
      <c r="AO8" s="188"/>
      <c r="AP8" s="188"/>
      <c r="AQ8" s="188"/>
      <c r="AR8" s="188"/>
      <c r="AS8" s="188"/>
      <c r="AW8" s="13" t="s">
        <v>161</v>
      </c>
      <c r="AX8" s="13" t="s">
        <v>475</v>
      </c>
      <c r="AY8" s="13" t="s">
        <v>4726</v>
      </c>
      <c r="AZ8" s="13"/>
      <c r="BA8" s="13"/>
      <c r="BB8" s="13" t="s">
        <v>475</v>
      </c>
      <c r="BC8" s="13" t="s">
        <v>4726</v>
      </c>
      <c r="BD8" s="13"/>
      <c r="BE8" s="13"/>
      <c r="BF8" s="210"/>
      <c r="BG8" s="210"/>
      <c r="BH8" s="13"/>
      <c r="BK8" s="13"/>
      <c r="BL8" s="13"/>
      <c r="BM8" s="13"/>
      <c r="BN8" s="13"/>
      <c r="BO8" s="174"/>
      <c r="BP8" s="174"/>
      <c r="BQ8" s="13"/>
      <c r="BR8" s="13"/>
      <c r="BS8" s="174"/>
      <c r="BT8" s="174"/>
      <c r="BU8" s="13"/>
      <c r="BV8" s="13"/>
      <c r="BW8" s="111"/>
      <c r="BX8" s="111"/>
      <c r="BY8" s="13"/>
      <c r="BZ8" s="210">
        <v>44135</v>
      </c>
      <c r="CA8" s="13" t="s">
        <v>4727</v>
      </c>
      <c r="CB8" s="13"/>
      <c r="CC8" s="119"/>
      <c r="CD8" s="13" t="s">
        <v>4748</v>
      </c>
      <c r="CE8" s="86" t="e">
        <f>VLOOKUP(C8,[1]Sertifikasi!$B$4:$I$19,8,0)</f>
        <v>#N/A</v>
      </c>
    </row>
    <row r="9" spans="1:85" ht="11.25" customHeight="1" x14ac:dyDescent="0.2">
      <c r="B9" s="13">
        <v>6</v>
      </c>
      <c r="C9" s="13" t="s">
        <v>4749</v>
      </c>
      <c r="D9" s="109">
        <v>641907280</v>
      </c>
      <c r="E9" s="110">
        <v>1710004028976</v>
      </c>
      <c r="F9" s="186"/>
      <c r="G9" s="112" t="s">
        <v>217</v>
      </c>
      <c r="H9" s="13" t="s">
        <v>23</v>
      </c>
      <c r="I9" s="210">
        <v>43678</v>
      </c>
      <c r="J9" s="112">
        <f t="shared" si="0"/>
        <v>1</v>
      </c>
      <c r="K9" s="13">
        <f t="shared" si="1"/>
        <v>2</v>
      </c>
      <c r="L9" s="210"/>
      <c r="M9" s="13" t="str">
        <f t="shared" si="2"/>
        <v>PKWT</v>
      </c>
      <c r="N9" s="13"/>
      <c r="O9" s="210">
        <v>44196</v>
      </c>
      <c r="Q9" s="13" t="s">
        <v>139</v>
      </c>
      <c r="R9" s="13" t="s">
        <v>204</v>
      </c>
      <c r="S9" s="13" t="s">
        <v>4750</v>
      </c>
      <c r="T9" s="13" t="s">
        <v>4750</v>
      </c>
      <c r="U9" s="13" t="s">
        <v>313</v>
      </c>
      <c r="V9" s="13"/>
      <c r="W9" s="13" t="s">
        <v>462</v>
      </c>
      <c r="X9" s="13"/>
      <c r="Y9" s="13" t="s">
        <v>132</v>
      </c>
      <c r="Z9" s="13" t="s">
        <v>217</v>
      </c>
      <c r="AA9" s="210">
        <v>31932</v>
      </c>
      <c r="AB9" s="109">
        <f t="shared" ca="1" si="3"/>
        <v>38</v>
      </c>
      <c r="AC9" s="189" t="s">
        <v>4751</v>
      </c>
      <c r="AD9" s="13" t="s">
        <v>4752</v>
      </c>
      <c r="AE9" s="190" t="s">
        <v>4753</v>
      </c>
      <c r="AG9" s="191" t="s">
        <v>4754</v>
      </c>
      <c r="AH9" s="186"/>
      <c r="AI9" s="115"/>
      <c r="AJ9" s="13" t="s">
        <v>4733</v>
      </c>
      <c r="AK9" s="13"/>
      <c r="AL9" s="13"/>
      <c r="AM9" s="13"/>
      <c r="AN9" s="13"/>
      <c r="AO9" s="112"/>
      <c r="AP9" s="112"/>
      <c r="AQ9" s="112"/>
      <c r="AR9" s="112"/>
      <c r="AS9" s="112"/>
      <c r="AW9" s="112" t="s">
        <v>161</v>
      </c>
      <c r="AX9" s="13" t="s">
        <v>349</v>
      </c>
      <c r="AY9" s="13" t="s">
        <v>4755</v>
      </c>
      <c r="AZ9" s="13"/>
      <c r="BA9" s="13"/>
      <c r="BB9" s="13" t="s">
        <v>349</v>
      </c>
      <c r="BC9" s="13" t="s">
        <v>4755</v>
      </c>
      <c r="BD9" s="13"/>
      <c r="BE9" s="13"/>
      <c r="BF9" s="210"/>
      <c r="BG9" s="210"/>
      <c r="BH9" s="13"/>
      <c r="BK9" s="13"/>
      <c r="BL9" s="13"/>
      <c r="BM9" s="13"/>
      <c r="BN9" s="13"/>
      <c r="BO9" s="174"/>
      <c r="BP9" s="174"/>
      <c r="BQ9" s="13"/>
      <c r="BR9" s="13"/>
      <c r="BS9" s="174"/>
      <c r="BT9" s="174"/>
      <c r="BU9" s="13"/>
      <c r="BV9" s="13"/>
      <c r="BW9" s="111"/>
      <c r="BX9" s="111"/>
      <c r="BY9" s="13"/>
      <c r="BZ9" s="210">
        <v>44135</v>
      </c>
      <c r="CA9" s="13" t="s">
        <v>4734</v>
      </c>
      <c r="CB9" s="86" t="s">
        <v>4735</v>
      </c>
      <c r="CC9" s="175"/>
      <c r="CD9" s="13"/>
      <c r="CE9" s="86" t="e">
        <f>VLOOKUP(C9,[1]Sertifikasi!$B$4:$I$19,8,0)</f>
        <v>#N/A</v>
      </c>
    </row>
    <row r="10" spans="1:85" ht="11.25" customHeight="1" x14ac:dyDescent="0.2">
      <c r="B10" s="13">
        <v>7</v>
      </c>
      <c r="C10" s="13" t="s">
        <v>2175</v>
      </c>
      <c r="D10" s="109">
        <v>642002084</v>
      </c>
      <c r="E10" s="110">
        <v>1710006361177</v>
      </c>
      <c r="F10" s="186"/>
      <c r="G10" s="13" t="s">
        <v>30</v>
      </c>
      <c r="H10" s="13" t="s">
        <v>30</v>
      </c>
      <c r="I10" s="210">
        <v>43891</v>
      </c>
      <c r="J10" s="112">
        <f t="shared" si="0"/>
        <v>0</v>
      </c>
      <c r="K10" s="13">
        <f t="shared" si="1"/>
        <v>9</v>
      </c>
      <c r="L10" s="210"/>
      <c r="M10" s="13" t="str">
        <f t="shared" si="2"/>
        <v>PKWT</v>
      </c>
      <c r="N10" s="13"/>
      <c r="O10" s="210">
        <v>44255</v>
      </c>
      <c r="Q10" s="13" t="s">
        <v>141</v>
      </c>
      <c r="R10" s="13" t="s">
        <v>30</v>
      </c>
      <c r="S10" s="13" t="s">
        <v>461</v>
      </c>
      <c r="T10" s="13" t="s">
        <v>4756</v>
      </c>
      <c r="U10" s="13"/>
      <c r="V10" s="187"/>
      <c r="W10" s="13"/>
      <c r="Y10" s="86" t="s">
        <v>132</v>
      </c>
      <c r="Z10" s="13" t="s">
        <v>1099</v>
      </c>
      <c r="AA10" s="210">
        <v>32509</v>
      </c>
      <c r="AB10" s="109">
        <f t="shared" ca="1" si="3"/>
        <v>36</v>
      </c>
      <c r="AC10" s="13" t="s">
        <v>4757</v>
      </c>
      <c r="AD10" s="13" t="s">
        <v>4758</v>
      </c>
      <c r="AE10" s="115" t="s">
        <v>4759</v>
      </c>
      <c r="AG10" s="115" t="s">
        <v>4760</v>
      </c>
      <c r="AH10" s="115" t="s">
        <v>4761</v>
      </c>
      <c r="AI10" s="115">
        <v>20024319764</v>
      </c>
      <c r="AJ10" s="13" t="s">
        <v>4733</v>
      </c>
      <c r="AK10" s="13"/>
      <c r="AL10" s="13"/>
      <c r="AM10" s="13"/>
      <c r="AN10" s="13"/>
      <c r="AW10" s="13" t="s">
        <v>161</v>
      </c>
      <c r="AX10" s="13" t="s">
        <v>307</v>
      </c>
      <c r="AY10" s="13" t="s">
        <v>308</v>
      </c>
      <c r="AZ10" s="13"/>
      <c r="BA10" s="13"/>
      <c r="BB10" s="13" t="s">
        <v>307</v>
      </c>
      <c r="BC10" s="13" t="s">
        <v>308</v>
      </c>
      <c r="BD10" s="13"/>
      <c r="BE10" s="13"/>
      <c r="BF10" s="210"/>
      <c r="BG10" s="210"/>
      <c r="BH10" s="13"/>
      <c r="BK10" s="13"/>
      <c r="BO10" s="192"/>
      <c r="BP10" s="192"/>
      <c r="BS10" s="192"/>
      <c r="BT10" s="192"/>
      <c r="BU10" s="13"/>
      <c r="BV10" s="13"/>
      <c r="BW10" s="111"/>
      <c r="BX10" s="111"/>
      <c r="BY10" s="13"/>
      <c r="BZ10" s="210">
        <v>44179</v>
      </c>
      <c r="CA10" s="13" t="s">
        <v>4718</v>
      </c>
      <c r="CB10" s="13"/>
      <c r="CC10" s="119"/>
      <c r="CD10" s="13" t="s">
        <v>4762</v>
      </c>
      <c r="CE10" s="86" t="e">
        <f>VLOOKUP(C10,[1]Sertifikasi!$B$4:$I$19,8,0)</f>
        <v>#N/A</v>
      </c>
    </row>
    <row r="11" spans="1:85" ht="11.25" customHeight="1" x14ac:dyDescent="0.2">
      <c r="B11" s="13">
        <v>8</v>
      </c>
      <c r="C11" s="193" t="s">
        <v>4763</v>
      </c>
      <c r="D11" s="109">
        <v>971700012</v>
      </c>
      <c r="E11" s="110">
        <v>1710003919878</v>
      </c>
      <c r="F11" s="186"/>
      <c r="G11" s="112" t="s">
        <v>217</v>
      </c>
      <c r="H11" s="13" t="s">
        <v>217</v>
      </c>
      <c r="I11" s="210">
        <v>42471</v>
      </c>
      <c r="J11" s="112">
        <f t="shared" si="0"/>
        <v>4</v>
      </c>
      <c r="K11" s="13">
        <f t="shared" si="1"/>
        <v>8</v>
      </c>
      <c r="L11" s="210"/>
      <c r="M11" s="13" t="str">
        <f t="shared" si="2"/>
        <v>Tetap</v>
      </c>
      <c r="N11" s="13"/>
      <c r="O11" s="213"/>
      <c r="Q11" s="13" t="s">
        <v>138</v>
      </c>
      <c r="R11" s="13" t="s">
        <v>4711</v>
      </c>
      <c r="S11" s="13" t="s">
        <v>43</v>
      </c>
      <c r="T11" s="13" t="s">
        <v>4764</v>
      </c>
      <c r="U11" s="13" t="s">
        <v>50</v>
      </c>
      <c r="V11" s="13" t="s">
        <v>298</v>
      </c>
      <c r="W11" s="13"/>
      <c r="X11" s="13"/>
      <c r="Y11" s="13" t="s">
        <v>133</v>
      </c>
      <c r="Z11" s="13" t="s">
        <v>217</v>
      </c>
      <c r="AA11" s="210">
        <v>33783</v>
      </c>
      <c r="AB11" s="109">
        <f t="shared" ca="1" si="3"/>
        <v>33</v>
      </c>
      <c r="AC11" s="13" t="s">
        <v>4765</v>
      </c>
      <c r="AD11" s="13" t="s">
        <v>4766</v>
      </c>
      <c r="AE11" s="115" t="s">
        <v>4767</v>
      </c>
      <c r="AG11" s="191" t="s">
        <v>4768</v>
      </c>
      <c r="AH11" s="115" t="s">
        <v>4769</v>
      </c>
      <c r="AI11" s="115">
        <v>17028714230</v>
      </c>
      <c r="AJ11" s="13" t="s">
        <v>4716</v>
      </c>
      <c r="AK11" s="13"/>
      <c r="AL11" s="13"/>
      <c r="AM11" s="13"/>
      <c r="AN11" s="13"/>
      <c r="AW11" s="112" t="s">
        <v>161</v>
      </c>
      <c r="AX11" s="13" t="s">
        <v>75</v>
      </c>
      <c r="AY11" s="13" t="s">
        <v>4770</v>
      </c>
      <c r="AZ11" s="13" t="s">
        <v>4771</v>
      </c>
      <c r="BA11" s="13"/>
      <c r="BB11" s="13" t="s">
        <v>75</v>
      </c>
      <c r="BC11" s="13" t="s">
        <v>4770</v>
      </c>
      <c r="BD11" s="13" t="s">
        <v>4771</v>
      </c>
      <c r="BE11" s="13"/>
      <c r="BF11" s="210"/>
      <c r="BG11" s="210"/>
      <c r="BH11" s="13"/>
      <c r="BK11" s="13"/>
      <c r="BL11" s="13"/>
      <c r="BM11" s="13"/>
      <c r="BN11" s="13"/>
      <c r="BO11" s="174"/>
      <c r="BP11" s="174"/>
      <c r="BQ11" s="13"/>
      <c r="BR11" s="13"/>
      <c r="BS11" s="174"/>
      <c r="BT11" s="174"/>
      <c r="BU11" s="13"/>
      <c r="BV11" s="13"/>
      <c r="BW11" s="111"/>
      <c r="BX11" s="111"/>
      <c r="BY11" s="13"/>
      <c r="BZ11" s="210">
        <v>44196</v>
      </c>
      <c r="CA11" s="13" t="s">
        <v>4734</v>
      </c>
      <c r="CB11" s="13"/>
      <c r="CC11" s="119"/>
      <c r="CD11" s="109"/>
      <c r="CE11" s="86" t="e">
        <f>VLOOKUP(C11,[1]Sertifikasi!$B$4:$I$19,8,0)</f>
        <v>#N/A</v>
      </c>
    </row>
    <row r="12" spans="1:85" ht="11.25" customHeight="1" x14ac:dyDescent="0.2">
      <c r="B12" s="13">
        <v>9</v>
      </c>
      <c r="C12" s="13" t="s">
        <v>4772</v>
      </c>
      <c r="D12" s="109">
        <v>641907243</v>
      </c>
      <c r="E12" s="110">
        <v>1710005657591</v>
      </c>
      <c r="F12" s="186"/>
      <c r="G12" s="13" t="s">
        <v>28</v>
      </c>
      <c r="H12" s="13" t="s">
        <v>28</v>
      </c>
      <c r="I12" s="210">
        <v>43282</v>
      </c>
      <c r="J12" s="112">
        <f t="shared" si="0"/>
        <v>2</v>
      </c>
      <c r="K12" s="13">
        <f t="shared" si="1"/>
        <v>5</v>
      </c>
      <c r="L12" s="210"/>
      <c r="M12" s="13" t="str">
        <f t="shared" si="2"/>
        <v>PKWT</v>
      </c>
      <c r="N12" s="13"/>
      <c r="O12" s="210">
        <v>44196</v>
      </c>
      <c r="Q12" s="13" t="s">
        <v>139</v>
      </c>
      <c r="R12" s="13" t="s">
        <v>28</v>
      </c>
      <c r="S12" s="13" t="s">
        <v>461</v>
      </c>
      <c r="T12" s="13" t="s">
        <v>4773</v>
      </c>
      <c r="U12" s="13"/>
      <c r="V12" s="13"/>
      <c r="W12" s="13"/>
      <c r="Y12" s="86" t="s">
        <v>133</v>
      </c>
      <c r="Z12" s="13" t="s">
        <v>28</v>
      </c>
      <c r="AA12" s="210">
        <v>37083</v>
      </c>
      <c r="AB12" s="109">
        <f t="shared" ca="1" si="3"/>
        <v>24</v>
      </c>
      <c r="AC12" s="13" t="s">
        <v>4774</v>
      </c>
      <c r="AD12" s="13" t="s">
        <v>4775</v>
      </c>
      <c r="AE12" s="115" t="s">
        <v>4776</v>
      </c>
      <c r="AH12" s="115" t="s">
        <v>4777</v>
      </c>
      <c r="AI12" s="115">
        <v>19047643960</v>
      </c>
      <c r="AJ12" s="13" t="s">
        <v>4716</v>
      </c>
      <c r="AK12" s="13"/>
      <c r="AL12" s="13"/>
      <c r="AM12" s="13"/>
      <c r="AN12" s="13"/>
      <c r="AO12" s="13"/>
      <c r="AP12" s="13"/>
      <c r="AQ12" s="13"/>
      <c r="AR12" s="13"/>
      <c r="AS12" s="13"/>
      <c r="AW12" s="13" t="s">
        <v>161</v>
      </c>
      <c r="AX12" s="13" t="s">
        <v>349</v>
      </c>
      <c r="AY12" s="13" t="s">
        <v>43</v>
      </c>
      <c r="AZ12" s="13"/>
      <c r="BA12" s="13"/>
      <c r="BB12" s="13" t="s">
        <v>349</v>
      </c>
      <c r="BC12" s="13" t="s">
        <v>43</v>
      </c>
      <c r="BD12" s="13"/>
      <c r="BE12" s="13"/>
      <c r="BF12" s="210"/>
      <c r="BG12" s="210"/>
      <c r="BH12" s="13"/>
      <c r="BK12" s="13"/>
      <c r="BL12" s="13"/>
      <c r="BM12" s="13"/>
      <c r="BN12" s="13"/>
      <c r="BO12" s="174"/>
      <c r="BP12" s="174"/>
      <c r="BQ12" s="13"/>
      <c r="BR12" s="13"/>
      <c r="BS12" s="174"/>
      <c r="BT12" s="174"/>
      <c r="BU12" s="13"/>
      <c r="BV12" s="13"/>
      <c r="BW12" s="111"/>
      <c r="BX12" s="111"/>
      <c r="BZ12" s="210">
        <v>44196</v>
      </c>
      <c r="CA12" s="13" t="s">
        <v>4727</v>
      </c>
      <c r="CB12" s="13"/>
      <c r="CC12" s="119"/>
      <c r="CD12" s="13" t="s">
        <v>4778</v>
      </c>
      <c r="CE12" s="86" t="e">
        <f>VLOOKUP(C12,[1]Sertifikasi!$B$4:$I$19,8,0)</f>
        <v>#N/A</v>
      </c>
    </row>
    <row r="13" spans="1:85" ht="11.25" customHeight="1" x14ac:dyDescent="0.2">
      <c r="B13" s="13">
        <v>10</v>
      </c>
      <c r="C13" s="13" t="s">
        <v>4779</v>
      </c>
      <c r="D13" s="109">
        <v>641907271</v>
      </c>
      <c r="E13" s="110">
        <v>1710005658284</v>
      </c>
      <c r="F13" s="186"/>
      <c r="G13" s="13" t="s">
        <v>20</v>
      </c>
      <c r="H13" s="13" t="s">
        <v>20</v>
      </c>
      <c r="I13" s="210">
        <v>43647</v>
      </c>
      <c r="J13" s="112">
        <f t="shared" si="0"/>
        <v>1</v>
      </c>
      <c r="K13" s="13">
        <f t="shared" si="1"/>
        <v>6</v>
      </c>
      <c r="L13" s="210"/>
      <c r="M13" s="13" t="str">
        <f t="shared" si="2"/>
        <v>PKWT</v>
      </c>
      <c r="N13" s="13"/>
      <c r="O13" s="210">
        <v>44196</v>
      </c>
      <c r="Q13" s="13" t="s">
        <v>141</v>
      </c>
      <c r="R13" s="13" t="s">
        <v>20</v>
      </c>
      <c r="S13" s="13" t="s">
        <v>461</v>
      </c>
      <c r="T13" s="13" t="s">
        <v>4756</v>
      </c>
      <c r="U13" s="13"/>
      <c r="V13" s="187"/>
      <c r="W13" s="187"/>
      <c r="Y13" s="86" t="s">
        <v>132</v>
      </c>
      <c r="Z13" s="13" t="s">
        <v>20</v>
      </c>
      <c r="AA13" s="210">
        <v>34167</v>
      </c>
      <c r="AB13" s="109">
        <f t="shared" ca="1" si="3"/>
        <v>32</v>
      </c>
      <c r="AC13" s="13" t="s">
        <v>4780</v>
      </c>
      <c r="AD13" s="13" t="s">
        <v>4781</v>
      </c>
      <c r="AE13" s="115" t="s">
        <v>4782</v>
      </c>
      <c r="AG13" s="115" t="s">
        <v>4783</v>
      </c>
      <c r="AH13" s="115">
        <v>19047644224</v>
      </c>
      <c r="AI13" s="115" t="s">
        <v>4784</v>
      </c>
      <c r="AJ13" s="13" t="s">
        <v>4733</v>
      </c>
      <c r="AK13" s="13"/>
      <c r="AL13" s="13"/>
      <c r="AM13" s="13"/>
      <c r="AN13" s="13"/>
      <c r="AW13" s="13" t="s">
        <v>161</v>
      </c>
      <c r="AX13" s="13" t="s">
        <v>349</v>
      </c>
      <c r="AY13" s="13" t="s">
        <v>4726</v>
      </c>
      <c r="AZ13" s="13"/>
      <c r="BA13" s="13"/>
      <c r="BB13" s="13" t="s">
        <v>349</v>
      </c>
      <c r="BC13" s="13" t="s">
        <v>4726</v>
      </c>
      <c r="BD13" s="13"/>
      <c r="BE13" s="13"/>
      <c r="BF13" s="210"/>
      <c r="BG13" s="210"/>
      <c r="BH13" s="13"/>
      <c r="BJ13" s="13"/>
      <c r="BK13" s="13"/>
      <c r="BL13" s="13"/>
      <c r="BM13" s="13"/>
      <c r="BN13" s="13"/>
      <c r="BO13" s="174"/>
      <c r="BP13" s="174"/>
      <c r="BQ13" s="13"/>
      <c r="BR13" s="13"/>
      <c r="BS13" s="174"/>
      <c r="BT13" s="174"/>
      <c r="BU13" s="13"/>
      <c r="BV13" s="13"/>
      <c r="BW13" s="111"/>
      <c r="BX13" s="111"/>
      <c r="BY13" s="13"/>
      <c r="BZ13" s="210">
        <v>44206</v>
      </c>
      <c r="CA13" s="13" t="s">
        <v>4734</v>
      </c>
      <c r="CB13" s="86" t="s">
        <v>4735</v>
      </c>
      <c r="CC13" s="175"/>
      <c r="CE13" s="86" t="e">
        <f>VLOOKUP(C13,[1]Sertifikasi!$B$4:$I$19,8,0)</f>
        <v>#N/A</v>
      </c>
    </row>
    <row r="14" spans="1:85" ht="11.25" customHeight="1" x14ac:dyDescent="0.2">
      <c r="B14" s="13">
        <v>11</v>
      </c>
      <c r="C14" s="13" t="s">
        <v>4785</v>
      </c>
      <c r="D14" s="109">
        <v>641907270</v>
      </c>
      <c r="E14" s="110">
        <v>1710005657443</v>
      </c>
      <c r="F14" s="186"/>
      <c r="G14" s="13" t="s">
        <v>20</v>
      </c>
      <c r="H14" s="13" t="s">
        <v>20</v>
      </c>
      <c r="I14" s="210">
        <v>43647</v>
      </c>
      <c r="J14" s="112">
        <f t="shared" si="0"/>
        <v>1</v>
      </c>
      <c r="K14" s="13">
        <f t="shared" si="1"/>
        <v>6</v>
      </c>
      <c r="L14" s="210"/>
      <c r="M14" s="13" t="str">
        <f t="shared" si="2"/>
        <v>PKWT</v>
      </c>
      <c r="N14" s="13"/>
      <c r="O14" s="210">
        <v>44196</v>
      </c>
      <c r="Q14" s="13" t="s">
        <v>141</v>
      </c>
      <c r="R14" s="13" t="s">
        <v>20</v>
      </c>
      <c r="S14" s="13" t="s">
        <v>461</v>
      </c>
      <c r="T14" s="13" t="s">
        <v>4786</v>
      </c>
      <c r="U14" s="13"/>
      <c r="V14" s="187"/>
      <c r="W14" s="187"/>
      <c r="Y14" s="86" t="s">
        <v>132</v>
      </c>
      <c r="Z14" s="13" t="s">
        <v>20</v>
      </c>
      <c r="AA14" s="210">
        <v>35393</v>
      </c>
      <c r="AB14" s="109">
        <f t="shared" ca="1" si="3"/>
        <v>28</v>
      </c>
      <c r="AC14" s="13" t="s">
        <v>4787</v>
      </c>
      <c r="AD14" s="13" t="s">
        <v>4788</v>
      </c>
      <c r="AE14" s="115" t="s">
        <v>4789</v>
      </c>
      <c r="AG14" s="115" t="s">
        <v>4790</v>
      </c>
      <c r="AH14" s="115">
        <v>19047644182</v>
      </c>
      <c r="AI14" s="115" t="s">
        <v>4791</v>
      </c>
      <c r="AJ14" s="13" t="s">
        <v>4716</v>
      </c>
      <c r="AK14" s="13"/>
      <c r="AL14" s="13"/>
      <c r="AM14" s="13"/>
      <c r="AN14" s="13"/>
      <c r="AW14" s="13" t="s">
        <v>161</v>
      </c>
      <c r="AX14" s="13" t="s">
        <v>349</v>
      </c>
      <c r="AY14" s="13" t="s">
        <v>3037</v>
      </c>
      <c r="AZ14" s="13"/>
      <c r="BA14" s="13"/>
      <c r="BB14" s="13" t="s">
        <v>349</v>
      </c>
      <c r="BC14" s="13" t="s">
        <v>3037</v>
      </c>
      <c r="BD14" s="13"/>
      <c r="BE14" s="13"/>
      <c r="BF14" s="210"/>
      <c r="BG14" s="210"/>
      <c r="BH14" s="13"/>
      <c r="BJ14" s="13"/>
      <c r="BK14" s="13"/>
      <c r="BL14" s="13"/>
      <c r="BM14" s="13"/>
      <c r="BN14" s="13"/>
      <c r="BO14" s="174"/>
      <c r="BP14" s="174"/>
      <c r="BQ14" s="13"/>
      <c r="BR14" s="13"/>
      <c r="BS14" s="174"/>
      <c r="BT14" s="174"/>
      <c r="BU14" s="13"/>
      <c r="BV14" s="13"/>
      <c r="BW14" s="111"/>
      <c r="BX14" s="111"/>
      <c r="BY14" s="13"/>
      <c r="BZ14" s="210">
        <v>44206</v>
      </c>
      <c r="CA14" s="13" t="s">
        <v>4734</v>
      </c>
      <c r="CB14" s="86" t="s">
        <v>4735</v>
      </c>
      <c r="CC14" s="175"/>
    </row>
    <row r="15" spans="1:85" ht="11.25" customHeight="1" x14ac:dyDescent="0.2">
      <c r="B15" s="13">
        <v>12</v>
      </c>
      <c r="C15" s="13" t="s">
        <v>4792</v>
      </c>
      <c r="D15" s="109">
        <v>642101098</v>
      </c>
      <c r="E15" s="110"/>
      <c r="F15" s="186"/>
      <c r="G15" s="13" t="s">
        <v>217</v>
      </c>
      <c r="H15" s="13" t="s">
        <v>217</v>
      </c>
      <c r="I15" s="210">
        <v>44200</v>
      </c>
      <c r="J15" s="112">
        <f t="shared" si="0"/>
        <v>0</v>
      </c>
      <c r="K15" s="13">
        <f t="shared" si="1"/>
        <v>0</v>
      </c>
      <c r="L15" s="210"/>
      <c r="M15" s="13" t="str">
        <f t="shared" si="2"/>
        <v>PKWT</v>
      </c>
      <c r="N15" s="13"/>
      <c r="O15" s="210">
        <v>44564</v>
      </c>
      <c r="Q15" s="13" t="s">
        <v>141</v>
      </c>
      <c r="R15" s="13" t="s">
        <v>28</v>
      </c>
      <c r="S15" s="13" t="s">
        <v>461</v>
      </c>
      <c r="T15" s="13" t="s">
        <v>4773</v>
      </c>
      <c r="U15" s="13"/>
      <c r="V15" s="13"/>
      <c r="W15" s="13"/>
      <c r="Y15" s="86" t="s">
        <v>132</v>
      </c>
      <c r="Z15" s="13" t="s">
        <v>4793</v>
      </c>
      <c r="AA15" s="210">
        <v>36191</v>
      </c>
      <c r="AB15" s="109">
        <f t="shared" ca="1" si="3"/>
        <v>26</v>
      </c>
      <c r="AC15" s="13" t="s">
        <v>4794</v>
      </c>
      <c r="AD15" s="13" t="s">
        <v>4795</v>
      </c>
      <c r="AE15" s="115" t="s">
        <v>4796</v>
      </c>
      <c r="AG15" s="13" t="s">
        <v>4797</v>
      </c>
      <c r="AH15" s="115"/>
      <c r="AI15" s="115"/>
      <c r="AJ15" s="13" t="s">
        <v>4716</v>
      </c>
      <c r="AK15" s="13"/>
      <c r="AL15" s="13"/>
      <c r="AM15" s="13"/>
      <c r="AN15" s="13"/>
      <c r="AW15" s="13" t="s">
        <v>161</v>
      </c>
      <c r="AX15" s="13" t="s">
        <v>349</v>
      </c>
      <c r="AY15" s="13" t="s">
        <v>4798</v>
      </c>
      <c r="AZ15" s="13" t="s">
        <v>4799</v>
      </c>
      <c r="BA15" s="13"/>
      <c r="BB15" s="13" t="s">
        <v>349</v>
      </c>
      <c r="BC15" s="13" t="s">
        <v>4798</v>
      </c>
      <c r="BD15" s="13" t="s">
        <v>4799</v>
      </c>
      <c r="BE15" s="13"/>
      <c r="BF15" s="210"/>
      <c r="BG15" s="210"/>
      <c r="BH15" s="13"/>
      <c r="BJ15" s="13"/>
      <c r="BK15" s="13"/>
      <c r="BL15" s="13"/>
      <c r="BO15" s="174"/>
      <c r="BP15" s="174"/>
      <c r="BQ15" s="13"/>
      <c r="BR15" s="13" t="e">
        <f>"PKWT-"&amp;#REF!&amp;"/D1/2020"</f>
        <v>#REF!</v>
      </c>
      <c r="BS15" s="192"/>
      <c r="BT15" s="174"/>
      <c r="BU15" s="13"/>
      <c r="BV15" s="13"/>
      <c r="BW15" s="111"/>
      <c r="BX15" s="111"/>
      <c r="BY15" s="13"/>
      <c r="BZ15" s="210">
        <v>44226</v>
      </c>
      <c r="CA15" s="13" t="s">
        <v>4734</v>
      </c>
      <c r="CB15" s="86" t="s">
        <v>4735</v>
      </c>
      <c r="CC15" s="175"/>
    </row>
    <row r="16" spans="1:85" ht="11.25" customHeight="1" x14ac:dyDescent="0.2">
      <c r="B16" s="13">
        <v>13</v>
      </c>
      <c r="C16" s="13" t="s">
        <v>4800</v>
      </c>
      <c r="D16" s="109">
        <v>971900042</v>
      </c>
      <c r="E16" s="110">
        <v>1360014766213</v>
      </c>
      <c r="F16" s="186"/>
      <c r="G16" s="112" t="s">
        <v>217</v>
      </c>
      <c r="H16" s="13" t="s">
        <v>217</v>
      </c>
      <c r="I16" s="210">
        <v>43346</v>
      </c>
      <c r="J16" s="112">
        <f t="shared" si="0"/>
        <v>2</v>
      </c>
      <c r="K16" s="13">
        <f t="shared" si="1"/>
        <v>4</v>
      </c>
      <c r="L16" s="210"/>
      <c r="M16" s="13" t="str">
        <f t="shared" si="2"/>
        <v>Tetap</v>
      </c>
      <c r="N16" s="13" t="s">
        <v>1887</v>
      </c>
      <c r="O16" s="213">
        <v>43683</v>
      </c>
      <c r="Q16" s="13" t="s">
        <v>139</v>
      </c>
      <c r="R16" s="13" t="s">
        <v>4711</v>
      </c>
      <c r="S16" s="13" t="s">
        <v>4801</v>
      </c>
      <c r="T16" s="13" t="s">
        <v>54</v>
      </c>
      <c r="U16" s="13" t="s">
        <v>4802</v>
      </c>
      <c r="V16" s="13" t="s">
        <v>4803</v>
      </c>
      <c r="W16" s="13"/>
      <c r="X16" s="13"/>
      <c r="Y16" s="13" t="s">
        <v>132</v>
      </c>
      <c r="Z16" s="13" t="s">
        <v>1511</v>
      </c>
      <c r="AA16" s="210">
        <v>35144</v>
      </c>
      <c r="AB16" s="109">
        <f t="shared" ca="1" si="3"/>
        <v>29</v>
      </c>
      <c r="AC16" s="112" t="s">
        <v>4804</v>
      </c>
      <c r="AD16" s="13" t="s">
        <v>4805</v>
      </c>
      <c r="AE16" s="115" t="s">
        <v>4806</v>
      </c>
      <c r="AG16" s="191" t="s">
        <v>4807</v>
      </c>
      <c r="AH16" s="115" t="s">
        <v>4808</v>
      </c>
      <c r="AI16" s="115" t="s">
        <v>4809</v>
      </c>
      <c r="AJ16" s="13" t="s">
        <v>4716</v>
      </c>
      <c r="AK16" s="13"/>
      <c r="AL16" s="13"/>
      <c r="AM16" s="13"/>
      <c r="AN16" s="13"/>
      <c r="AW16" s="112" t="s">
        <v>161</v>
      </c>
      <c r="AX16" s="13" t="s">
        <v>75</v>
      </c>
      <c r="AY16" s="13" t="s">
        <v>4810</v>
      </c>
      <c r="AZ16" s="13" t="s">
        <v>4811</v>
      </c>
      <c r="BA16" s="13"/>
      <c r="BB16" s="13" t="s">
        <v>75</v>
      </c>
      <c r="BC16" s="13" t="s">
        <v>4810</v>
      </c>
      <c r="BD16" s="13" t="s">
        <v>4811</v>
      </c>
      <c r="BE16" s="13"/>
      <c r="BF16" s="210"/>
      <c r="BG16" s="213"/>
      <c r="BH16" s="109"/>
      <c r="BJ16" s="13"/>
      <c r="BK16" s="13"/>
      <c r="BL16" s="13"/>
      <c r="BO16" s="174"/>
      <c r="BP16" s="174"/>
      <c r="BQ16" s="13"/>
      <c r="BR16" s="13"/>
      <c r="BS16" s="174"/>
      <c r="BT16" s="174"/>
      <c r="BU16" s="13"/>
      <c r="BV16" s="13"/>
      <c r="BW16" s="111"/>
      <c r="BX16" s="111"/>
      <c r="BY16" s="13"/>
      <c r="BZ16" s="210">
        <v>44226</v>
      </c>
      <c r="CA16" s="13" t="s">
        <v>4734</v>
      </c>
      <c r="CC16" s="175"/>
    </row>
    <row r="17" spans="2:83" ht="11.25" customHeight="1" x14ac:dyDescent="0.2">
      <c r="B17" s="13">
        <v>14</v>
      </c>
      <c r="C17" s="13" t="s">
        <v>4812</v>
      </c>
      <c r="D17" s="109">
        <v>642002078</v>
      </c>
      <c r="E17" s="110">
        <v>1710006366465</v>
      </c>
      <c r="F17" s="110"/>
      <c r="G17" s="13" t="s">
        <v>24</v>
      </c>
      <c r="H17" s="13" t="s">
        <v>24</v>
      </c>
      <c r="I17" s="210">
        <v>43885</v>
      </c>
      <c r="J17" s="112">
        <f t="shared" si="0"/>
        <v>0</v>
      </c>
      <c r="K17" s="13">
        <f t="shared" si="1"/>
        <v>11</v>
      </c>
      <c r="L17" s="210"/>
      <c r="M17" s="13" t="str">
        <f t="shared" si="2"/>
        <v>PKWT</v>
      </c>
      <c r="N17" s="13"/>
      <c r="O17" s="210">
        <v>44561</v>
      </c>
      <c r="Q17" s="13" t="s">
        <v>141</v>
      </c>
      <c r="R17" s="13" t="s">
        <v>24</v>
      </c>
      <c r="S17" s="13" t="s">
        <v>204</v>
      </c>
      <c r="T17" s="13" t="s">
        <v>4813</v>
      </c>
      <c r="U17" s="13"/>
      <c r="V17" s="187"/>
      <c r="W17" s="13"/>
      <c r="Y17" s="86" t="s">
        <v>132</v>
      </c>
      <c r="Z17" s="13" t="s">
        <v>2239</v>
      </c>
      <c r="AA17" s="210">
        <v>36337</v>
      </c>
      <c r="AB17" s="109">
        <f t="shared" ca="1" si="3"/>
        <v>26</v>
      </c>
      <c r="AC17" s="13" t="s">
        <v>4814</v>
      </c>
      <c r="AD17" s="13" t="s">
        <v>4815</v>
      </c>
      <c r="AE17" s="115" t="s">
        <v>4816</v>
      </c>
      <c r="AG17" s="115" t="s">
        <v>4817</v>
      </c>
      <c r="AH17" s="115" t="s">
        <v>4818</v>
      </c>
      <c r="AI17" s="115">
        <v>20024319822</v>
      </c>
      <c r="AJ17" s="13" t="s">
        <v>4716</v>
      </c>
      <c r="AK17" s="13"/>
      <c r="AL17" s="13"/>
      <c r="AM17" s="13"/>
      <c r="AN17" s="13"/>
      <c r="AW17" s="13" t="s">
        <v>161</v>
      </c>
      <c r="AX17" s="13" t="s">
        <v>349</v>
      </c>
      <c r="AY17" s="13" t="s">
        <v>515</v>
      </c>
      <c r="AZ17" s="13" t="s">
        <v>4819</v>
      </c>
      <c r="BA17" s="13"/>
      <c r="BB17" s="13" t="s">
        <v>349</v>
      </c>
      <c r="BC17" s="13" t="s">
        <v>515</v>
      </c>
      <c r="BD17" s="13" t="s">
        <v>4819</v>
      </c>
      <c r="BE17" s="13"/>
      <c r="BH17" s="13"/>
      <c r="BI17" s="13"/>
      <c r="BJ17" s="13"/>
      <c r="BL17" s="13"/>
      <c r="BM17" s="13"/>
      <c r="BN17" s="13"/>
      <c r="BO17" s="174"/>
      <c r="BP17" s="174"/>
      <c r="BQ17" s="13"/>
      <c r="BR17" s="13"/>
      <c r="BS17" s="174"/>
      <c r="BT17" s="174"/>
      <c r="BU17" s="13"/>
      <c r="BV17" s="13"/>
      <c r="BW17" s="111"/>
      <c r="BX17" s="111"/>
      <c r="BY17" s="111"/>
      <c r="BZ17" s="210">
        <v>44227</v>
      </c>
      <c r="CA17" s="13" t="s">
        <v>4734</v>
      </c>
      <c r="CB17" s="86" t="s">
        <v>4735</v>
      </c>
      <c r="CC17" s="175"/>
      <c r="CE17" s="86" t="e">
        <f>VLOOKUP(C17,[1]Sertifikasi!$B$4:$I$19,8,0)</f>
        <v>#N/A</v>
      </c>
    </row>
    <row r="18" spans="2:83" ht="11.25" customHeight="1" x14ac:dyDescent="0.2">
      <c r="B18" s="13">
        <v>15</v>
      </c>
      <c r="C18" s="13" t="s">
        <v>4820</v>
      </c>
      <c r="D18" s="109">
        <v>999600006</v>
      </c>
      <c r="E18" s="110">
        <v>1440001094454</v>
      </c>
      <c r="F18" s="186"/>
      <c r="G18" s="112" t="s">
        <v>204</v>
      </c>
      <c r="H18" s="13" t="s">
        <v>217</v>
      </c>
      <c r="I18" s="210">
        <v>42359</v>
      </c>
      <c r="J18" s="112">
        <f t="shared" si="0"/>
        <v>5</v>
      </c>
      <c r="K18" s="13">
        <f t="shared" si="1"/>
        <v>1</v>
      </c>
      <c r="L18" s="210"/>
      <c r="M18" s="13" t="str">
        <f t="shared" si="2"/>
        <v>Organik</v>
      </c>
      <c r="N18" s="13" t="s">
        <v>2637</v>
      </c>
      <c r="O18" s="213">
        <v>35125</v>
      </c>
      <c r="P18" s="13" t="s">
        <v>4821</v>
      </c>
      <c r="R18" s="13" t="s">
        <v>139</v>
      </c>
      <c r="S18" s="13" t="s">
        <v>204</v>
      </c>
      <c r="T18" s="13" t="s">
        <v>4822</v>
      </c>
      <c r="U18" s="13"/>
      <c r="V18" s="13"/>
      <c r="W18" s="13"/>
      <c r="X18" s="13"/>
      <c r="Y18" s="13" t="s">
        <v>132</v>
      </c>
      <c r="Z18" s="13" t="s">
        <v>1511</v>
      </c>
      <c r="AA18" s="210">
        <v>24119</v>
      </c>
      <c r="AB18" s="109">
        <f t="shared" ca="1" si="3"/>
        <v>59</v>
      </c>
      <c r="AC18" s="13" t="s">
        <v>4823</v>
      </c>
      <c r="AD18" s="13" t="s">
        <v>4824</v>
      </c>
      <c r="AE18" s="115" t="s">
        <v>4825</v>
      </c>
      <c r="AG18" s="13" t="s">
        <v>4826</v>
      </c>
      <c r="AH18" s="115" t="s">
        <v>4827</v>
      </c>
      <c r="AI18" s="115"/>
      <c r="AJ18" s="13" t="s">
        <v>4733</v>
      </c>
      <c r="AK18" s="13" t="s">
        <v>4828</v>
      </c>
      <c r="AL18" s="13"/>
      <c r="AM18" s="13"/>
      <c r="AN18" s="13"/>
      <c r="AW18" s="112" t="s">
        <v>161</v>
      </c>
      <c r="AX18" s="13" t="s">
        <v>75</v>
      </c>
      <c r="AY18" s="13" t="s">
        <v>4798</v>
      </c>
      <c r="AZ18" s="13" t="s">
        <v>4829</v>
      </c>
      <c r="BA18" s="13"/>
      <c r="BB18" s="13" t="s">
        <v>75</v>
      </c>
      <c r="BC18" s="13" t="s">
        <v>4798</v>
      </c>
      <c r="BD18" s="13" t="s">
        <v>4829</v>
      </c>
      <c r="BE18" s="13"/>
      <c r="BF18" s="213"/>
      <c r="BG18" s="213"/>
      <c r="BH18" s="13"/>
      <c r="BJ18" s="13"/>
      <c r="BK18" s="13"/>
      <c r="BL18" s="13"/>
      <c r="BO18" s="174">
        <v>43467</v>
      </c>
      <c r="BP18" s="174">
        <v>43830</v>
      </c>
      <c r="BQ18" s="13" t="s">
        <v>4830</v>
      </c>
      <c r="BR18" s="13" t="s">
        <v>4831</v>
      </c>
      <c r="BS18" s="174"/>
      <c r="BT18" s="174"/>
      <c r="BU18" s="13"/>
      <c r="BV18" s="13"/>
      <c r="BW18" s="111"/>
      <c r="BX18" s="111"/>
      <c r="BY18" s="13"/>
      <c r="BZ18" s="210">
        <v>44228</v>
      </c>
      <c r="CA18" s="13" t="s">
        <v>4832</v>
      </c>
      <c r="CB18" s="13"/>
      <c r="CC18" s="119"/>
      <c r="CE18" s="86" t="e">
        <f>VLOOKUP(C18,[1]Sertifikasi!$B$4:$I$19,8,0)</f>
        <v>#N/A</v>
      </c>
    </row>
    <row r="19" spans="2:83" ht="11.25" customHeight="1" x14ac:dyDescent="0.2">
      <c r="B19" s="13">
        <v>16</v>
      </c>
      <c r="C19" s="13" t="s">
        <v>4833</v>
      </c>
      <c r="D19" s="109">
        <v>641801139</v>
      </c>
      <c r="E19" s="110">
        <v>1710004040831</v>
      </c>
      <c r="F19" s="186"/>
      <c r="G19" s="13" t="s">
        <v>24</v>
      </c>
      <c r="H19" s="13" t="s">
        <v>217</v>
      </c>
      <c r="I19" s="210">
        <v>43160</v>
      </c>
      <c r="J19" s="112">
        <f t="shared" si="0"/>
        <v>2</v>
      </c>
      <c r="K19" s="13">
        <f t="shared" si="1"/>
        <v>11</v>
      </c>
      <c r="L19" s="210"/>
      <c r="M19" s="13" t="str">
        <f t="shared" si="2"/>
        <v>PKWT</v>
      </c>
      <c r="N19" s="13"/>
      <c r="O19" s="210">
        <v>44561</v>
      </c>
      <c r="Q19" s="13" t="s">
        <v>141</v>
      </c>
      <c r="R19" s="13" t="s">
        <v>24</v>
      </c>
      <c r="S19" s="13" t="s">
        <v>443</v>
      </c>
      <c r="T19" s="13" t="s">
        <v>52</v>
      </c>
      <c r="U19" s="13"/>
      <c r="V19" s="13"/>
      <c r="W19" s="13"/>
      <c r="Y19" s="86" t="s">
        <v>132</v>
      </c>
      <c r="Z19" s="13" t="s">
        <v>1555</v>
      </c>
      <c r="AA19" s="210">
        <v>24724</v>
      </c>
      <c r="AB19" s="109">
        <f t="shared" ca="1" si="3"/>
        <v>58</v>
      </c>
      <c r="AC19" s="13" t="s">
        <v>4834</v>
      </c>
      <c r="AD19" s="13" t="s">
        <v>4835</v>
      </c>
      <c r="AE19" s="115" t="s">
        <v>930</v>
      </c>
      <c r="AG19" s="13" t="s">
        <v>4836</v>
      </c>
      <c r="AH19" s="115" t="s">
        <v>4837</v>
      </c>
      <c r="AI19" s="115">
        <v>1806270202</v>
      </c>
      <c r="AJ19" s="13" t="s">
        <v>4733</v>
      </c>
      <c r="AK19" s="13"/>
      <c r="AL19" s="13"/>
      <c r="AM19" s="13"/>
      <c r="AN19" s="13"/>
      <c r="AW19" s="13" t="s">
        <v>161</v>
      </c>
      <c r="AX19" s="13" t="s">
        <v>307</v>
      </c>
      <c r="AY19" s="13" t="s">
        <v>544</v>
      </c>
      <c r="AZ19" s="13"/>
      <c r="BA19" s="13"/>
      <c r="BB19" s="13" t="s">
        <v>307</v>
      </c>
      <c r="BC19" s="13" t="s">
        <v>544</v>
      </c>
      <c r="BD19" s="13"/>
      <c r="BE19" s="13"/>
      <c r="BF19" s="210"/>
      <c r="BG19" s="210"/>
      <c r="BH19" s="13"/>
      <c r="BJ19" s="13"/>
      <c r="BK19" s="13"/>
      <c r="BL19" s="13"/>
      <c r="BM19" s="13"/>
      <c r="BN19" s="13"/>
      <c r="BO19" s="174"/>
      <c r="BP19" s="174"/>
      <c r="BQ19" s="13"/>
      <c r="BR19" s="13"/>
      <c r="BS19" s="174"/>
      <c r="BT19" s="174"/>
      <c r="BU19" s="13"/>
      <c r="BV19" s="13"/>
      <c r="BW19" s="111"/>
      <c r="BX19" s="111"/>
      <c r="BY19" s="13"/>
      <c r="BZ19" s="210">
        <v>44238</v>
      </c>
      <c r="CA19" s="13" t="s">
        <v>4838</v>
      </c>
      <c r="CB19" s="13"/>
      <c r="CC19" s="119"/>
      <c r="CE19" s="86" t="e">
        <f>VLOOKUP(C19,[1]Sertifikasi!$B$4:$I$19,8,0)</f>
        <v>#N/A</v>
      </c>
    </row>
    <row r="20" spans="2:83" ht="11.25" customHeight="1" x14ac:dyDescent="0.2">
      <c r="B20" s="13">
        <v>17</v>
      </c>
      <c r="C20" s="13" t="s">
        <v>4839</v>
      </c>
      <c r="D20" s="109">
        <v>999400013</v>
      </c>
      <c r="E20" s="110">
        <v>1440011771638</v>
      </c>
      <c r="F20" s="186"/>
      <c r="G20" s="112" t="s">
        <v>204</v>
      </c>
      <c r="H20" s="13" t="s">
        <v>217</v>
      </c>
      <c r="I20" s="210">
        <v>43987</v>
      </c>
      <c r="J20" s="112">
        <f t="shared" si="0"/>
        <v>0</v>
      </c>
      <c r="K20" s="13">
        <f t="shared" si="1"/>
        <v>8</v>
      </c>
      <c r="L20" s="210"/>
      <c r="M20" s="13" t="str">
        <f t="shared" si="2"/>
        <v>Organik</v>
      </c>
      <c r="N20" s="13" t="s">
        <v>2649</v>
      </c>
      <c r="O20" s="213">
        <v>34366</v>
      </c>
      <c r="Q20" s="13" t="s">
        <v>139</v>
      </c>
      <c r="R20" s="13" t="s">
        <v>139</v>
      </c>
      <c r="S20" s="13" t="s">
        <v>204</v>
      </c>
      <c r="T20" s="13" t="s">
        <v>144</v>
      </c>
      <c r="U20" s="13"/>
      <c r="V20" s="13"/>
      <c r="W20" s="13"/>
      <c r="X20" s="13"/>
      <c r="Y20" s="13" t="s">
        <v>132</v>
      </c>
      <c r="Z20" s="13" t="s">
        <v>23</v>
      </c>
      <c r="AA20" s="210">
        <v>24162</v>
      </c>
      <c r="AB20" s="109">
        <f t="shared" ca="1" si="3"/>
        <v>59</v>
      </c>
      <c r="AC20" s="13" t="s">
        <v>4840</v>
      </c>
      <c r="AD20" s="13" t="s">
        <v>4841</v>
      </c>
      <c r="AE20" s="115" t="s">
        <v>4842</v>
      </c>
      <c r="AG20" s="13" t="s">
        <v>4843</v>
      </c>
      <c r="AH20" s="115" t="s">
        <v>4844</v>
      </c>
      <c r="AI20" s="115" t="s">
        <v>4845</v>
      </c>
      <c r="AJ20" s="13" t="s">
        <v>4733</v>
      </c>
      <c r="AK20" s="13" t="s">
        <v>4846</v>
      </c>
      <c r="AL20" s="13"/>
      <c r="AM20" s="13"/>
      <c r="AN20" s="13"/>
      <c r="AW20" s="112" t="s">
        <v>163</v>
      </c>
      <c r="AX20" s="13" t="s">
        <v>70</v>
      </c>
      <c r="AY20" s="13" t="s">
        <v>4847</v>
      </c>
      <c r="AZ20" s="13" t="s">
        <v>4811</v>
      </c>
      <c r="BA20" s="13"/>
      <c r="BB20" s="13" t="s">
        <v>70</v>
      </c>
      <c r="BC20" s="13" t="s">
        <v>4847</v>
      </c>
      <c r="BD20" s="13" t="s">
        <v>4811</v>
      </c>
      <c r="BE20" s="13"/>
      <c r="BF20" s="213"/>
      <c r="BG20" s="213"/>
      <c r="BH20" s="13"/>
      <c r="BJ20" s="13"/>
      <c r="BK20" s="13"/>
      <c r="BL20" s="13"/>
      <c r="BM20" s="13"/>
      <c r="BN20" s="13"/>
      <c r="BO20" s="174"/>
      <c r="BP20" s="174"/>
      <c r="BQ20" s="13"/>
      <c r="BR20" s="13"/>
      <c r="BS20" s="174"/>
      <c r="BT20" s="174"/>
      <c r="BU20" s="13"/>
      <c r="BV20" s="13"/>
      <c r="BW20" s="111"/>
      <c r="BX20" s="111"/>
      <c r="BY20" s="13"/>
      <c r="BZ20" s="210">
        <v>44256</v>
      </c>
      <c r="CA20" s="13" t="s">
        <v>4832</v>
      </c>
      <c r="CB20" s="13"/>
      <c r="CC20" s="119"/>
      <c r="CE20" s="86" t="e">
        <f>VLOOKUP(C20,[1]Sertifikasi!$B$4:$I$19,8,0)</f>
        <v>#N/A</v>
      </c>
    </row>
    <row r="21" spans="2:83" ht="11.25" customHeight="1" x14ac:dyDescent="0.2">
      <c r="B21" s="13">
        <v>18</v>
      </c>
      <c r="C21" s="13" t="s">
        <v>4848</v>
      </c>
      <c r="D21" s="109">
        <v>642001041</v>
      </c>
      <c r="E21" s="110">
        <v>1710003987990</v>
      </c>
      <c r="F21" s="186"/>
      <c r="G21" s="13" t="s">
        <v>217</v>
      </c>
      <c r="H21" s="13" t="s">
        <v>217</v>
      </c>
      <c r="I21" s="210">
        <v>42857</v>
      </c>
      <c r="J21" s="112">
        <f t="shared" si="0"/>
        <v>3</v>
      </c>
      <c r="K21" s="13">
        <f t="shared" si="1"/>
        <v>10</v>
      </c>
      <c r="L21" s="210"/>
      <c r="M21" s="13" t="str">
        <f t="shared" si="2"/>
        <v>PKWT</v>
      </c>
      <c r="N21" s="13"/>
      <c r="O21" s="210">
        <v>44255</v>
      </c>
      <c r="Q21" s="13" t="s">
        <v>141</v>
      </c>
      <c r="R21" s="13" t="s">
        <v>29</v>
      </c>
      <c r="S21" s="13" t="s">
        <v>461</v>
      </c>
      <c r="T21" s="13" t="s">
        <v>4849</v>
      </c>
      <c r="U21" s="13"/>
      <c r="V21" s="13"/>
      <c r="W21" s="13"/>
      <c r="Y21" s="86" t="s">
        <v>132</v>
      </c>
      <c r="Z21" s="13" t="s">
        <v>441</v>
      </c>
      <c r="AA21" s="210">
        <v>36206</v>
      </c>
      <c r="AB21" s="109">
        <f t="shared" ca="1" si="3"/>
        <v>26</v>
      </c>
      <c r="AC21" s="13" t="s">
        <v>4850</v>
      </c>
      <c r="AD21" s="13" t="s">
        <v>4851</v>
      </c>
      <c r="AE21" s="115" t="s">
        <v>4852</v>
      </c>
      <c r="AG21" s="13" t="s">
        <v>4853</v>
      </c>
      <c r="AH21" s="115" t="s">
        <v>4854</v>
      </c>
      <c r="AI21" s="115">
        <v>17043907579</v>
      </c>
      <c r="AJ21" s="13" t="s">
        <v>4733</v>
      </c>
      <c r="AK21" s="13"/>
      <c r="AL21" s="13"/>
      <c r="AM21" s="13"/>
      <c r="AN21" s="13"/>
      <c r="AW21" s="13" t="s">
        <v>161</v>
      </c>
      <c r="AX21" s="13" t="s">
        <v>349</v>
      </c>
      <c r="AY21" s="13" t="s">
        <v>4855</v>
      </c>
      <c r="AZ21" s="13"/>
      <c r="BA21" s="13"/>
      <c r="BB21" s="13" t="s">
        <v>349</v>
      </c>
      <c r="BC21" s="13" t="s">
        <v>4855</v>
      </c>
      <c r="BD21" s="13"/>
      <c r="BE21" s="13"/>
      <c r="BF21" s="210"/>
      <c r="BG21" s="210"/>
      <c r="BH21" s="13"/>
      <c r="BJ21" s="13"/>
      <c r="BL21" s="13"/>
      <c r="BM21" s="13"/>
      <c r="BN21" s="13"/>
      <c r="BO21" s="174"/>
      <c r="BP21" s="174"/>
      <c r="BQ21" s="13"/>
      <c r="BR21" s="13"/>
      <c r="BS21" s="174"/>
      <c r="BT21" s="174"/>
      <c r="BU21" s="13"/>
      <c r="BV21" s="13"/>
      <c r="BW21" s="111"/>
      <c r="BX21" s="111"/>
      <c r="BY21" s="13"/>
      <c r="BZ21" s="210">
        <v>44268</v>
      </c>
      <c r="CA21" s="13" t="s">
        <v>4734</v>
      </c>
      <c r="CB21" s="86" t="s">
        <v>4735</v>
      </c>
      <c r="CC21" s="175"/>
      <c r="CE21" s="86" t="e">
        <f>VLOOKUP(C21,[1]Sertifikasi!$B$4:$I$19,8,0)</f>
        <v>#N/A</v>
      </c>
    </row>
    <row r="22" spans="2:83" ht="11.25" customHeight="1" x14ac:dyDescent="0.2">
      <c r="B22" s="13">
        <v>19</v>
      </c>
      <c r="C22" s="13" t="s">
        <v>4856</v>
      </c>
      <c r="D22" s="109">
        <v>641907238</v>
      </c>
      <c r="E22" s="110">
        <v>1710005657641</v>
      </c>
      <c r="F22" s="186"/>
      <c r="G22" s="13" t="s">
        <v>25</v>
      </c>
      <c r="H22" s="13" t="s">
        <v>25</v>
      </c>
      <c r="I22" s="210">
        <v>43647</v>
      </c>
      <c r="J22" s="112">
        <f t="shared" si="0"/>
        <v>1</v>
      </c>
      <c r="K22" s="13">
        <f t="shared" si="1"/>
        <v>8</v>
      </c>
      <c r="L22" s="210"/>
      <c r="M22" s="13" t="str">
        <f t="shared" si="2"/>
        <v>PKWT</v>
      </c>
      <c r="N22" s="13"/>
      <c r="O22" s="210">
        <v>44377</v>
      </c>
      <c r="Q22" s="13" t="s">
        <v>141</v>
      </c>
      <c r="R22" s="13" t="s">
        <v>25</v>
      </c>
      <c r="S22" s="13" t="s">
        <v>443</v>
      </c>
      <c r="T22" s="13" t="s">
        <v>57</v>
      </c>
      <c r="U22" s="13"/>
      <c r="V22" s="13"/>
      <c r="W22" s="13"/>
      <c r="Y22" s="86" t="s">
        <v>132</v>
      </c>
      <c r="Z22" s="13" t="s">
        <v>25</v>
      </c>
      <c r="AA22" s="210">
        <v>36852</v>
      </c>
      <c r="AB22" s="109">
        <f t="shared" ca="1" si="3"/>
        <v>24</v>
      </c>
      <c r="AC22" s="13" t="s">
        <v>4857</v>
      </c>
      <c r="AD22" s="13" t="s">
        <v>4858</v>
      </c>
      <c r="AE22" s="115" t="s">
        <v>4859</v>
      </c>
      <c r="AG22" s="13" t="s">
        <v>4860</v>
      </c>
      <c r="AH22" s="115" t="s">
        <v>4861</v>
      </c>
      <c r="AI22" s="115">
        <v>16030084418</v>
      </c>
      <c r="AJ22" s="13" t="s">
        <v>4733</v>
      </c>
      <c r="AK22" s="13"/>
      <c r="AL22" s="13"/>
      <c r="AM22" s="13"/>
      <c r="AN22" s="13"/>
      <c r="AW22" s="13" t="s">
        <v>161</v>
      </c>
      <c r="AX22" s="13" t="s">
        <v>349</v>
      </c>
      <c r="AY22" s="13" t="s">
        <v>4726</v>
      </c>
      <c r="AZ22" s="13"/>
      <c r="BA22" s="13"/>
      <c r="BB22" s="13" t="s">
        <v>349</v>
      </c>
      <c r="BC22" s="13" t="s">
        <v>4726</v>
      </c>
      <c r="BD22" s="13"/>
      <c r="BE22" s="13"/>
      <c r="BF22" s="210"/>
      <c r="BG22" s="210"/>
      <c r="BH22" s="13"/>
      <c r="BJ22" s="13"/>
      <c r="BO22" s="192"/>
      <c r="BP22" s="192"/>
      <c r="BS22" s="192"/>
      <c r="BT22" s="192"/>
      <c r="BU22" s="13"/>
      <c r="BV22" s="13"/>
      <c r="BW22" s="111"/>
      <c r="BX22" s="111"/>
      <c r="BY22" s="13"/>
      <c r="BZ22" s="210">
        <v>44268</v>
      </c>
      <c r="CA22" s="13" t="s">
        <v>4734</v>
      </c>
      <c r="CB22" s="86" t="s">
        <v>4735</v>
      </c>
      <c r="CC22" s="175"/>
      <c r="CE22" s="86" t="e">
        <f>VLOOKUP(C22,[1]Sertifikasi!$B$4:$I$19,8,0)</f>
        <v>#N/A</v>
      </c>
    </row>
    <row r="23" spans="2:83" ht="11.25" customHeight="1" x14ac:dyDescent="0.2">
      <c r="B23" s="13">
        <v>20</v>
      </c>
      <c r="C23" s="13" t="s">
        <v>4862</v>
      </c>
      <c r="D23" s="109">
        <v>641810194</v>
      </c>
      <c r="E23" s="110">
        <v>1710004810613</v>
      </c>
      <c r="F23" s="186"/>
      <c r="G23" s="13" t="s">
        <v>24</v>
      </c>
      <c r="H23" s="13" t="s">
        <v>24</v>
      </c>
      <c r="I23" s="210">
        <v>43395</v>
      </c>
      <c r="J23" s="112">
        <f t="shared" si="0"/>
        <v>2</v>
      </c>
      <c r="K23" s="13">
        <f t="shared" si="1"/>
        <v>6</v>
      </c>
      <c r="L23" s="210"/>
      <c r="M23" s="13" t="str">
        <f t="shared" si="2"/>
        <v>PKWT</v>
      </c>
      <c r="N23" s="13"/>
      <c r="O23" s="210">
        <v>44588</v>
      </c>
      <c r="Q23" s="13" t="s">
        <v>141</v>
      </c>
      <c r="R23" s="13" t="s">
        <v>24</v>
      </c>
      <c r="S23" s="13" t="s">
        <v>204</v>
      </c>
      <c r="T23" s="13" t="s">
        <v>4813</v>
      </c>
      <c r="U23" s="13"/>
      <c r="V23" s="187"/>
      <c r="W23" s="187"/>
      <c r="Y23" s="86" t="s">
        <v>132</v>
      </c>
      <c r="Z23" s="13" t="s">
        <v>1524</v>
      </c>
      <c r="AA23" s="210">
        <v>35434</v>
      </c>
      <c r="AB23" s="109">
        <f t="shared" ca="1" si="3"/>
        <v>28</v>
      </c>
      <c r="AC23" s="13" t="s">
        <v>4863</v>
      </c>
      <c r="AD23" s="13" t="s">
        <v>4864</v>
      </c>
      <c r="AE23" s="115" t="s">
        <v>4865</v>
      </c>
      <c r="AG23" s="115" t="s">
        <v>4866</v>
      </c>
      <c r="AH23" s="115" t="s">
        <v>4867</v>
      </c>
      <c r="AI23" s="110">
        <v>18099947444</v>
      </c>
      <c r="AJ23" s="13" t="s">
        <v>4716</v>
      </c>
      <c r="AK23" s="13"/>
      <c r="AL23" s="13"/>
      <c r="AM23" s="13"/>
      <c r="AN23" s="13"/>
      <c r="AW23" s="13" t="s">
        <v>161</v>
      </c>
      <c r="AX23" s="13" t="s">
        <v>349</v>
      </c>
      <c r="AY23" s="13" t="s">
        <v>4742</v>
      </c>
      <c r="AZ23" s="13"/>
      <c r="BA23" s="13"/>
      <c r="BB23" s="13" t="s">
        <v>349</v>
      </c>
      <c r="BC23" s="13" t="s">
        <v>4742</v>
      </c>
      <c r="BD23" s="13"/>
      <c r="BE23" s="13"/>
      <c r="BF23" s="210"/>
      <c r="BG23" s="210"/>
      <c r="BH23" s="13"/>
      <c r="BJ23" s="13"/>
      <c r="BK23" s="13"/>
      <c r="BL23" s="13"/>
      <c r="BM23" s="13"/>
      <c r="BN23" s="13"/>
      <c r="BO23" s="174"/>
      <c r="BP23" s="174"/>
      <c r="BQ23" s="13"/>
      <c r="BR23" s="13"/>
      <c r="BS23" s="174"/>
      <c r="BT23" s="174"/>
      <c r="BU23" s="13"/>
      <c r="BV23" s="13"/>
      <c r="BW23" s="111"/>
      <c r="BX23" s="111"/>
      <c r="BY23" s="13"/>
      <c r="BZ23" s="210">
        <v>44316</v>
      </c>
      <c r="CA23" s="13" t="s">
        <v>4718</v>
      </c>
      <c r="CB23" s="13"/>
      <c r="CC23" s="119"/>
      <c r="CE23" s="86" t="e">
        <f>VLOOKUP(C23,[1]Sertifikasi!$B$4:$I$19,8,0)</f>
        <v>#N/A</v>
      </c>
    </row>
    <row r="24" spans="2:83" ht="11.25" customHeight="1" x14ac:dyDescent="0.2">
      <c r="B24" s="13">
        <v>21</v>
      </c>
      <c r="C24" s="13" t="s">
        <v>4868</v>
      </c>
      <c r="D24" s="109">
        <v>642001023</v>
      </c>
      <c r="E24" s="110">
        <v>1710003987685</v>
      </c>
      <c r="F24" s="186"/>
      <c r="G24" s="13" t="s">
        <v>217</v>
      </c>
      <c r="H24" s="13" t="s">
        <v>217</v>
      </c>
      <c r="I24" s="210">
        <v>42919</v>
      </c>
      <c r="J24" s="112">
        <f t="shared" si="0"/>
        <v>3</v>
      </c>
      <c r="K24" s="13">
        <f t="shared" si="1"/>
        <v>10</v>
      </c>
      <c r="L24" s="210"/>
      <c r="M24" s="13" t="str">
        <f t="shared" si="2"/>
        <v>PKWT</v>
      </c>
      <c r="N24" s="13"/>
      <c r="O24" s="210">
        <v>44561</v>
      </c>
      <c r="Q24" s="13" t="s">
        <v>140</v>
      </c>
      <c r="R24" s="13" t="s">
        <v>217</v>
      </c>
      <c r="S24" s="13" t="s">
        <v>4869</v>
      </c>
      <c r="T24" s="13" t="s">
        <v>4869</v>
      </c>
      <c r="U24" s="13"/>
      <c r="V24" s="187"/>
      <c r="W24" s="187"/>
      <c r="Y24" s="86" t="s">
        <v>132</v>
      </c>
      <c r="Z24" s="13" t="s">
        <v>311</v>
      </c>
      <c r="AA24" s="210">
        <v>36027</v>
      </c>
      <c r="AB24" s="109">
        <f t="shared" ca="1" si="3"/>
        <v>27</v>
      </c>
      <c r="AC24" s="13" t="s">
        <v>4870</v>
      </c>
      <c r="AD24" s="13" t="s">
        <v>4871</v>
      </c>
      <c r="AE24" s="115" t="s">
        <v>4872</v>
      </c>
      <c r="AG24" s="115" t="s">
        <v>4873</v>
      </c>
      <c r="AH24" s="115" t="s">
        <v>4874</v>
      </c>
      <c r="AI24" s="115">
        <v>17043907736</v>
      </c>
      <c r="AJ24" s="13" t="s">
        <v>4716</v>
      </c>
      <c r="AK24" s="13"/>
      <c r="AL24" s="13"/>
      <c r="AM24" s="13"/>
      <c r="AN24" s="13"/>
      <c r="AW24" s="13" t="s">
        <v>161</v>
      </c>
      <c r="AX24" s="13" t="s">
        <v>349</v>
      </c>
      <c r="AY24" s="13" t="s">
        <v>4726</v>
      </c>
      <c r="AZ24" s="13"/>
      <c r="BA24" s="13"/>
      <c r="BB24" s="13" t="s">
        <v>349</v>
      </c>
      <c r="BC24" s="13" t="s">
        <v>4726</v>
      </c>
      <c r="BD24" s="13"/>
      <c r="BE24" s="13"/>
      <c r="BF24" s="210"/>
      <c r="BG24" s="210"/>
      <c r="BH24" s="13"/>
      <c r="BJ24" s="13"/>
      <c r="BO24" s="174">
        <v>43467</v>
      </c>
      <c r="BP24" s="174">
        <v>43830</v>
      </c>
      <c r="BQ24" s="13" t="s">
        <v>4875</v>
      </c>
      <c r="BR24" s="13" t="e">
        <f>"PKWT-"&amp;#REF!&amp;"/D1/2020"</f>
        <v>#REF!</v>
      </c>
      <c r="BS24" s="174"/>
      <c r="BT24" s="174"/>
      <c r="BU24" s="13"/>
      <c r="BW24" s="87"/>
      <c r="BX24" s="87"/>
      <c r="BZ24" s="210">
        <v>44340</v>
      </c>
      <c r="CA24" s="13" t="s">
        <v>4734</v>
      </c>
      <c r="CB24" s="86" t="s">
        <v>4735</v>
      </c>
      <c r="CC24" s="175"/>
      <c r="CE24" s="86" t="e">
        <f>VLOOKUP(C24,[1]Sertifikasi!$B$4:$I$19,8,0)</f>
        <v>#N/A</v>
      </c>
    </row>
    <row r="25" spans="2:83" ht="11.25" customHeight="1" x14ac:dyDescent="0.2">
      <c r="B25" s="13">
        <v>22</v>
      </c>
      <c r="C25" s="13" t="s">
        <v>4876</v>
      </c>
      <c r="D25" s="109">
        <v>999100018</v>
      </c>
      <c r="E25" s="110">
        <v>1440001094579</v>
      </c>
      <c r="F25" s="186"/>
      <c r="G25" s="13" t="s">
        <v>204</v>
      </c>
      <c r="H25" s="13" t="s">
        <v>217</v>
      </c>
      <c r="I25" s="210">
        <v>43987</v>
      </c>
      <c r="J25" s="112">
        <f t="shared" si="0"/>
        <v>0</v>
      </c>
      <c r="K25" s="13">
        <f t="shared" si="1"/>
        <v>11</v>
      </c>
      <c r="L25" s="210"/>
      <c r="M25" s="13" t="str">
        <f t="shared" si="2"/>
        <v>Organik</v>
      </c>
      <c r="N25" s="13" t="s">
        <v>2649</v>
      </c>
      <c r="O25" s="210">
        <v>33390</v>
      </c>
      <c r="Q25" s="13" t="s">
        <v>139</v>
      </c>
      <c r="R25" s="111" t="s">
        <v>139</v>
      </c>
      <c r="S25" s="13" t="s">
        <v>204</v>
      </c>
      <c r="T25" s="13" t="s">
        <v>4802</v>
      </c>
      <c r="U25" s="13" t="s">
        <v>4803</v>
      </c>
      <c r="V25" s="13"/>
      <c r="W25" s="13"/>
      <c r="X25" s="13"/>
      <c r="Y25" s="13" t="s">
        <v>132</v>
      </c>
      <c r="Z25" s="13" t="s">
        <v>217</v>
      </c>
      <c r="AA25" s="210">
        <v>24231</v>
      </c>
      <c r="AB25" s="109">
        <f t="shared" ca="1" si="3"/>
        <v>59</v>
      </c>
      <c r="AC25" s="13" t="s">
        <v>4877</v>
      </c>
      <c r="AD25" s="13" t="s">
        <v>4878</v>
      </c>
      <c r="AE25" s="195" t="s">
        <v>4879</v>
      </c>
      <c r="AG25" s="13" t="s">
        <v>4880</v>
      </c>
      <c r="AH25" s="115" t="s">
        <v>4881</v>
      </c>
      <c r="AI25" s="115" t="s">
        <v>4882</v>
      </c>
      <c r="AJ25" s="13" t="s">
        <v>4733</v>
      </c>
      <c r="AK25" s="13" t="s">
        <v>4883</v>
      </c>
      <c r="AL25" s="13"/>
      <c r="AM25" s="13"/>
      <c r="AV25" s="13" t="s">
        <v>4884</v>
      </c>
      <c r="AW25" s="13" t="s">
        <v>161</v>
      </c>
      <c r="AX25" s="13" t="s">
        <v>349</v>
      </c>
      <c r="AY25" s="13" t="s">
        <v>4798</v>
      </c>
      <c r="AZ25" s="13" t="s">
        <v>4885</v>
      </c>
      <c r="BA25" s="13"/>
      <c r="BB25" s="13" t="s">
        <v>349</v>
      </c>
      <c r="BC25" s="13" t="s">
        <v>4798</v>
      </c>
      <c r="BD25" s="13" t="s">
        <v>4885</v>
      </c>
      <c r="BE25" s="13"/>
      <c r="BF25" s="210"/>
      <c r="BG25" s="210"/>
      <c r="BH25" s="13"/>
      <c r="BJ25" s="13"/>
      <c r="BK25" s="13"/>
      <c r="BL25" s="13"/>
      <c r="BM25" s="13"/>
      <c r="BN25" s="13"/>
      <c r="BO25" s="174"/>
      <c r="BP25" s="174"/>
      <c r="BQ25" s="13"/>
      <c r="BR25" s="13"/>
      <c r="BS25" s="174"/>
      <c r="BT25" s="174"/>
      <c r="BU25" s="13"/>
      <c r="BV25" s="13"/>
      <c r="BW25" s="111"/>
      <c r="BX25" s="111"/>
      <c r="BY25" s="13"/>
      <c r="BZ25" s="210">
        <v>44347</v>
      </c>
      <c r="CA25" s="13" t="s">
        <v>4832</v>
      </c>
      <c r="CB25" s="13"/>
      <c r="CC25" s="119"/>
      <c r="CE25" s="86" t="e">
        <f>VLOOKUP(C25,[1]Sertifikasi!$B$4:$I$19,8,0)</f>
        <v>#N/A</v>
      </c>
    </row>
    <row r="26" spans="2:83" ht="11.25" customHeight="1" x14ac:dyDescent="0.2">
      <c r="B26" s="13">
        <v>23</v>
      </c>
      <c r="C26" s="13" t="s">
        <v>4886</v>
      </c>
      <c r="D26" s="109">
        <v>971900038</v>
      </c>
      <c r="E26" s="110">
        <v>9000006541305</v>
      </c>
      <c r="F26" s="186"/>
      <c r="G26" s="112" t="s">
        <v>217</v>
      </c>
      <c r="H26" s="13" t="s">
        <v>217</v>
      </c>
      <c r="I26" s="210">
        <v>43346</v>
      </c>
      <c r="J26" s="112">
        <f t="shared" si="0"/>
        <v>2</v>
      </c>
      <c r="K26" s="13">
        <f t="shared" si="1"/>
        <v>10</v>
      </c>
      <c r="L26" s="210"/>
      <c r="M26" s="13" t="str">
        <f t="shared" si="2"/>
        <v>Tetap</v>
      </c>
      <c r="N26" s="13" t="s">
        <v>1887</v>
      </c>
      <c r="O26" s="213">
        <v>43683</v>
      </c>
      <c r="Q26" s="13" t="s">
        <v>139</v>
      </c>
      <c r="R26" s="13" t="s">
        <v>4711</v>
      </c>
      <c r="S26" s="13" t="s">
        <v>4887</v>
      </c>
      <c r="T26" s="13" t="s">
        <v>1150</v>
      </c>
      <c r="U26" s="13" t="s">
        <v>104</v>
      </c>
      <c r="V26" s="13" t="s">
        <v>298</v>
      </c>
      <c r="W26" s="13"/>
      <c r="X26" s="13"/>
      <c r="Y26" s="13" t="s">
        <v>133</v>
      </c>
      <c r="Z26" s="13" t="s">
        <v>31</v>
      </c>
      <c r="AA26" s="210">
        <v>34538</v>
      </c>
      <c r="AB26" s="109">
        <f t="shared" ca="1" si="3"/>
        <v>31</v>
      </c>
      <c r="AC26" s="13" t="s">
        <v>4888</v>
      </c>
      <c r="AD26" s="13" t="s">
        <v>4889</v>
      </c>
      <c r="AE26" s="115" t="s">
        <v>4890</v>
      </c>
      <c r="AG26" s="191" t="s">
        <v>4891</v>
      </c>
      <c r="AH26" s="115" t="s">
        <v>4892</v>
      </c>
      <c r="AI26" s="115" t="s">
        <v>4893</v>
      </c>
      <c r="AJ26" s="13" t="s">
        <v>4733</v>
      </c>
      <c r="AK26" s="13"/>
      <c r="AL26" s="13"/>
      <c r="AM26" s="13"/>
      <c r="AN26" s="13"/>
      <c r="AW26" s="13" t="s">
        <v>161</v>
      </c>
      <c r="AX26" s="13" t="s">
        <v>75</v>
      </c>
      <c r="AY26" s="13" t="s">
        <v>83</v>
      </c>
      <c r="AZ26" s="13" t="s">
        <v>4894</v>
      </c>
      <c r="BA26" s="13"/>
      <c r="BB26" s="13" t="s">
        <v>75</v>
      </c>
      <c r="BC26" s="13" t="s">
        <v>83</v>
      </c>
      <c r="BD26" s="13" t="s">
        <v>4894</v>
      </c>
      <c r="BE26" s="13"/>
      <c r="BF26" s="210"/>
      <c r="BG26" s="210"/>
      <c r="BH26" s="13"/>
      <c r="BJ26" s="13"/>
      <c r="BO26" s="174"/>
      <c r="BP26" s="174"/>
      <c r="BQ26" s="13"/>
      <c r="BR26" s="13"/>
      <c r="BS26" s="174"/>
      <c r="BT26" s="174"/>
      <c r="BU26" s="13"/>
      <c r="BV26" s="13"/>
      <c r="BW26" s="111"/>
      <c r="BX26" s="111"/>
      <c r="BY26" s="13"/>
      <c r="BZ26" s="210">
        <v>44380</v>
      </c>
      <c r="CA26" s="13" t="s">
        <v>4838</v>
      </c>
      <c r="CB26" s="13"/>
      <c r="CC26" s="119"/>
      <c r="CE26" s="86" t="e">
        <f>VLOOKUP(C26,[1]Sertifikasi!$B$4:$I$19,8,0)</f>
        <v>#N/A</v>
      </c>
    </row>
    <row r="27" spans="2:83" ht="11.25" customHeight="1" x14ac:dyDescent="0.2">
      <c r="B27" s="13">
        <v>24</v>
      </c>
      <c r="C27" s="13" t="s">
        <v>4895</v>
      </c>
      <c r="D27" s="109">
        <v>642001064</v>
      </c>
      <c r="E27" s="196" t="s">
        <v>4896</v>
      </c>
      <c r="F27" s="186"/>
      <c r="G27" s="13" t="s">
        <v>217</v>
      </c>
      <c r="H27" s="13" t="s">
        <v>217</v>
      </c>
      <c r="I27" s="210">
        <v>42461</v>
      </c>
      <c r="J27" s="112">
        <f t="shared" si="0"/>
        <v>5</v>
      </c>
      <c r="K27" s="13">
        <f t="shared" si="1"/>
        <v>4</v>
      </c>
      <c r="L27" s="210"/>
      <c r="M27" s="13" t="str">
        <f t="shared" si="2"/>
        <v>PKWT</v>
      </c>
      <c r="N27" s="13"/>
      <c r="O27" s="210">
        <v>44561</v>
      </c>
      <c r="Q27" s="111" t="s">
        <v>141</v>
      </c>
      <c r="R27" s="13" t="s">
        <v>217</v>
      </c>
      <c r="S27" s="13" t="s">
        <v>4869</v>
      </c>
      <c r="T27" s="13" t="s">
        <v>4869</v>
      </c>
      <c r="U27" s="13"/>
      <c r="V27" s="13"/>
      <c r="W27" s="13"/>
      <c r="Y27" s="86" t="s">
        <v>132</v>
      </c>
      <c r="Z27" s="13" t="s">
        <v>217</v>
      </c>
      <c r="AA27" s="210">
        <v>29827</v>
      </c>
      <c r="AB27" s="109">
        <f t="shared" ca="1" si="3"/>
        <v>44</v>
      </c>
      <c r="AC27" s="13" t="s">
        <v>4897</v>
      </c>
      <c r="AD27" s="13" t="s">
        <v>4898</v>
      </c>
      <c r="AE27" s="115" t="s">
        <v>4899</v>
      </c>
      <c r="AG27" s="13" t="s">
        <v>4900</v>
      </c>
      <c r="AH27" s="115" t="s">
        <v>4901</v>
      </c>
      <c r="AI27" s="115">
        <v>16043177209</v>
      </c>
      <c r="AJ27" s="13" t="s">
        <v>4716</v>
      </c>
      <c r="AK27" s="13"/>
      <c r="AL27" s="13"/>
      <c r="AM27" s="13"/>
      <c r="AN27" s="13"/>
      <c r="AW27" s="13" t="s">
        <v>161</v>
      </c>
      <c r="AX27" s="13" t="s">
        <v>349</v>
      </c>
      <c r="AY27" s="13" t="s">
        <v>4902</v>
      </c>
      <c r="AZ27" s="13"/>
      <c r="BA27" s="13"/>
      <c r="BB27" s="13" t="s">
        <v>349</v>
      </c>
      <c r="BC27" s="13" t="s">
        <v>4902</v>
      </c>
      <c r="BD27" s="13"/>
      <c r="BE27" s="13"/>
      <c r="BF27" s="210"/>
      <c r="BG27" s="210"/>
      <c r="BH27" s="13"/>
      <c r="BJ27" s="13"/>
      <c r="BO27" s="174">
        <v>43467</v>
      </c>
      <c r="BP27" s="174">
        <v>43830</v>
      </c>
      <c r="BQ27" s="13" t="s">
        <v>4903</v>
      </c>
      <c r="BR27" s="13" t="s">
        <v>4904</v>
      </c>
      <c r="BS27" s="174">
        <v>44293</v>
      </c>
      <c r="BT27" s="174">
        <v>44322</v>
      </c>
      <c r="BU27" s="13"/>
      <c r="BW27" s="111">
        <v>44293</v>
      </c>
      <c r="BX27" s="111">
        <v>44322</v>
      </c>
      <c r="BY27" s="13"/>
      <c r="BZ27" s="210">
        <v>44418</v>
      </c>
      <c r="CA27" s="13" t="s">
        <v>4734</v>
      </c>
      <c r="CB27" s="86" t="s">
        <v>4735</v>
      </c>
      <c r="CC27" s="175"/>
      <c r="CE27" s="86" t="e">
        <f>VLOOKUP(C27,[1]Sertifikasi!$B$4:$I$19,8,0)</f>
        <v>#N/A</v>
      </c>
    </row>
    <row r="28" spans="2:83" ht="11.25" customHeight="1" x14ac:dyDescent="0.2">
      <c r="B28" s="13">
        <v>25</v>
      </c>
      <c r="C28" s="13" t="s">
        <v>4905</v>
      </c>
      <c r="D28" s="109">
        <v>641810187</v>
      </c>
      <c r="E28" s="196" t="s">
        <v>4906</v>
      </c>
      <c r="F28" s="186"/>
      <c r="G28" s="13" t="s">
        <v>24</v>
      </c>
      <c r="H28" s="13" t="s">
        <v>24</v>
      </c>
      <c r="I28" s="210">
        <v>43395</v>
      </c>
      <c r="J28" s="112">
        <f t="shared" si="0"/>
        <v>2</v>
      </c>
      <c r="K28" s="13">
        <f t="shared" si="1"/>
        <v>9</v>
      </c>
      <c r="L28" s="210"/>
      <c r="M28" s="13" t="str">
        <f t="shared" si="2"/>
        <v>PKWT</v>
      </c>
      <c r="N28" s="13"/>
      <c r="O28" s="210">
        <v>44561</v>
      </c>
      <c r="Q28" s="13" t="s">
        <v>141</v>
      </c>
      <c r="R28" s="13" t="s">
        <v>24</v>
      </c>
      <c r="S28" s="13" t="s">
        <v>443</v>
      </c>
      <c r="T28" s="13" t="s">
        <v>52</v>
      </c>
      <c r="U28" s="13"/>
      <c r="V28" s="187"/>
      <c r="W28" s="187"/>
      <c r="Y28" s="86" t="s">
        <v>132</v>
      </c>
      <c r="Z28" s="13" t="s">
        <v>4907</v>
      </c>
      <c r="AA28" s="210">
        <v>34394</v>
      </c>
      <c r="AB28" s="109">
        <f t="shared" ca="1" si="3"/>
        <v>31</v>
      </c>
      <c r="AC28" s="13" t="s">
        <v>4908</v>
      </c>
      <c r="AD28" s="13" t="s">
        <v>4909</v>
      </c>
      <c r="AE28" s="115" t="s">
        <v>4910</v>
      </c>
      <c r="AG28" s="115" t="s">
        <v>4911</v>
      </c>
      <c r="AH28" s="115" t="s">
        <v>4912</v>
      </c>
      <c r="AI28" s="110">
        <v>18099947519</v>
      </c>
      <c r="AJ28" s="13" t="s">
        <v>4733</v>
      </c>
      <c r="AK28" s="13"/>
      <c r="AL28" s="13"/>
      <c r="AM28" s="13"/>
      <c r="AN28" s="13"/>
      <c r="AW28" s="13" t="s">
        <v>161</v>
      </c>
      <c r="AX28" s="13" t="s">
        <v>75</v>
      </c>
      <c r="AY28" s="13" t="s">
        <v>4726</v>
      </c>
      <c r="AZ28" s="13"/>
      <c r="BA28" s="13"/>
      <c r="BB28" s="13" t="s">
        <v>75</v>
      </c>
      <c r="BC28" s="13" t="s">
        <v>4726</v>
      </c>
      <c r="BD28" s="13"/>
      <c r="BE28" s="13"/>
      <c r="BF28" s="210"/>
      <c r="BG28" s="210"/>
      <c r="BH28" s="13"/>
      <c r="BJ28" s="13"/>
      <c r="BO28" s="174"/>
      <c r="BP28" s="174"/>
      <c r="BQ28" s="13"/>
      <c r="BR28" s="13"/>
      <c r="BS28" s="174"/>
      <c r="BT28" s="174"/>
      <c r="BU28" s="13"/>
      <c r="BW28" s="111"/>
      <c r="BX28" s="111"/>
      <c r="BY28" s="13"/>
      <c r="BZ28" s="210">
        <v>44418</v>
      </c>
      <c r="CA28" s="13" t="s">
        <v>4734</v>
      </c>
      <c r="CB28" s="86" t="s">
        <v>4735</v>
      </c>
      <c r="CC28" s="175"/>
      <c r="CE28" s="86" t="e">
        <f>VLOOKUP(C28,[1]Sertifikasi!$B$4:$I$19,8,0)</f>
        <v>#N/A</v>
      </c>
    </row>
    <row r="29" spans="2:83" ht="11.25" customHeight="1" x14ac:dyDescent="0.2">
      <c r="B29" s="13">
        <v>26</v>
      </c>
      <c r="C29" s="13" t="s">
        <v>4913</v>
      </c>
      <c r="D29" s="109">
        <v>641907265</v>
      </c>
      <c r="E29" s="110">
        <v>1710005657724</v>
      </c>
      <c r="F29" s="186"/>
      <c r="G29" s="13" t="s">
        <v>24</v>
      </c>
      <c r="H29" s="13" t="s">
        <v>24</v>
      </c>
      <c r="I29" s="210">
        <v>43647</v>
      </c>
      <c r="J29" s="112">
        <f t="shared" si="0"/>
        <v>2</v>
      </c>
      <c r="K29" s="13">
        <f t="shared" si="1"/>
        <v>1</v>
      </c>
      <c r="L29" s="210"/>
      <c r="M29" s="13" t="str">
        <f t="shared" si="2"/>
        <v>PKWT</v>
      </c>
      <c r="N29" s="13"/>
      <c r="O29" s="210">
        <v>44561</v>
      </c>
      <c r="Q29" s="13" t="s">
        <v>141</v>
      </c>
      <c r="R29" s="13" t="s">
        <v>24</v>
      </c>
      <c r="S29" s="13" t="s">
        <v>443</v>
      </c>
      <c r="T29" s="13" t="s">
        <v>52</v>
      </c>
      <c r="U29" s="13"/>
      <c r="V29" s="187"/>
      <c r="W29" s="187"/>
      <c r="Y29" s="86" t="s">
        <v>132</v>
      </c>
      <c r="Z29" s="13" t="s">
        <v>24</v>
      </c>
      <c r="AA29" s="210">
        <v>34241</v>
      </c>
      <c r="AB29" s="109">
        <f t="shared" ca="1" si="3"/>
        <v>32</v>
      </c>
      <c r="AC29" s="13" t="s">
        <v>4914</v>
      </c>
      <c r="AD29" s="13" t="s">
        <v>4915</v>
      </c>
      <c r="AE29" s="115" t="s">
        <v>4916</v>
      </c>
      <c r="AG29" s="115" t="s">
        <v>4917</v>
      </c>
      <c r="AH29" s="115" t="s">
        <v>4918</v>
      </c>
      <c r="AI29" s="115">
        <v>19047644216</v>
      </c>
      <c r="AJ29" s="13" t="s">
        <v>4716</v>
      </c>
      <c r="AK29" s="13"/>
      <c r="AL29" s="13"/>
      <c r="AM29" s="13"/>
      <c r="AN29" s="13"/>
      <c r="AW29" s="13" t="s">
        <v>161</v>
      </c>
      <c r="AX29" s="13" t="s">
        <v>349</v>
      </c>
      <c r="AY29" s="13" t="s">
        <v>4726</v>
      </c>
      <c r="AZ29" s="13"/>
      <c r="BA29" s="13"/>
      <c r="BB29" s="13" t="s">
        <v>349</v>
      </c>
      <c r="BC29" s="13" t="s">
        <v>4726</v>
      </c>
      <c r="BD29" s="13"/>
      <c r="BE29" s="13"/>
      <c r="BF29" s="210"/>
      <c r="BG29" s="210"/>
      <c r="BH29" s="13"/>
      <c r="BJ29" s="13"/>
      <c r="BO29" s="174"/>
      <c r="BP29" s="174"/>
      <c r="BQ29" s="13"/>
      <c r="BR29" s="13"/>
      <c r="BS29" s="174"/>
      <c r="BT29" s="174"/>
      <c r="BU29" s="13"/>
      <c r="BW29" s="111"/>
      <c r="BX29" s="111"/>
      <c r="BY29" s="13"/>
      <c r="BZ29" s="210">
        <v>44418</v>
      </c>
      <c r="CA29" s="13" t="s">
        <v>4734</v>
      </c>
      <c r="CB29" s="86" t="s">
        <v>4735</v>
      </c>
      <c r="CC29" s="175"/>
      <c r="CE29" s="86" t="e">
        <f>VLOOKUP(C29,[1]Sertifikasi!$B$4:$I$19,8,0)</f>
        <v>#N/A</v>
      </c>
    </row>
    <row r="30" spans="2:83" ht="11.25" customHeight="1" x14ac:dyDescent="0.2">
      <c r="B30" s="13">
        <v>27</v>
      </c>
      <c r="C30" s="13" t="s">
        <v>4919</v>
      </c>
      <c r="D30" s="109">
        <v>642001049</v>
      </c>
      <c r="E30" s="110">
        <v>1710003987750</v>
      </c>
      <c r="F30" s="186"/>
      <c r="G30" s="13" t="s">
        <v>217</v>
      </c>
      <c r="H30" s="13" t="s">
        <v>217</v>
      </c>
      <c r="I30" s="210">
        <v>42767</v>
      </c>
      <c r="J30" s="112">
        <f t="shared" si="0"/>
        <v>4</v>
      </c>
      <c r="K30" s="13">
        <f t="shared" si="1"/>
        <v>6</v>
      </c>
      <c r="L30" s="210"/>
      <c r="M30" s="13" t="str">
        <f t="shared" si="2"/>
        <v>PKWT</v>
      </c>
      <c r="N30" s="13"/>
      <c r="O30" s="210">
        <v>44561</v>
      </c>
      <c r="Q30" s="13" t="s">
        <v>141</v>
      </c>
      <c r="R30" s="13" t="s">
        <v>23</v>
      </c>
      <c r="S30" s="13" t="s">
        <v>204</v>
      </c>
      <c r="T30" s="13" t="s">
        <v>51</v>
      </c>
      <c r="U30" s="13"/>
      <c r="V30" s="187"/>
      <c r="W30" s="187"/>
      <c r="Y30" s="86" t="s">
        <v>132</v>
      </c>
      <c r="Z30" s="13" t="s">
        <v>217</v>
      </c>
      <c r="AA30" s="210">
        <v>30579</v>
      </c>
      <c r="AB30" s="109">
        <f t="shared" ca="1" si="3"/>
        <v>42</v>
      </c>
      <c r="AC30" s="13" t="s">
        <v>4920</v>
      </c>
      <c r="AD30" s="13" t="s">
        <v>4921</v>
      </c>
      <c r="AE30" s="115" t="s">
        <v>4922</v>
      </c>
      <c r="AG30" s="115" t="s">
        <v>4923</v>
      </c>
      <c r="AH30" s="115" t="s">
        <v>4924</v>
      </c>
      <c r="AI30" s="110">
        <v>17028638853</v>
      </c>
      <c r="AJ30" s="13" t="s">
        <v>4733</v>
      </c>
      <c r="AK30" s="13"/>
      <c r="AL30" s="13"/>
      <c r="AM30" s="13"/>
      <c r="AN30" s="13"/>
      <c r="AW30" s="13" t="s">
        <v>161</v>
      </c>
      <c r="AX30" s="13" t="s">
        <v>349</v>
      </c>
      <c r="AY30" s="13" t="s">
        <v>53</v>
      </c>
      <c r="AZ30" s="13"/>
      <c r="BA30" s="13"/>
      <c r="BB30" s="13" t="s">
        <v>349</v>
      </c>
      <c r="BC30" s="13" t="s">
        <v>53</v>
      </c>
      <c r="BD30" s="13"/>
      <c r="BE30" s="13"/>
      <c r="BF30" s="210"/>
      <c r="BG30" s="210"/>
      <c r="BH30" s="13"/>
      <c r="BJ30" s="13"/>
      <c r="BO30" s="174">
        <v>43467</v>
      </c>
      <c r="BP30" s="174">
        <v>43830</v>
      </c>
      <c r="BQ30" s="13" t="s">
        <v>4925</v>
      </c>
      <c r="BR30" s="13" t="e">
        <f>"PKWT-"&amp;#REF!&amp;"/D1/2020"</f>
        <v>#REF!</v>
      </c>
      <c r="BS30" s="174">
        <v>44293</v>
      </c>
      <c r="BT30" s="174">
        <v>44322</v>
      </c>
      <c r="BU30" s="13"/>
      <c r="BW30" s="111">
        <v>44293</v>
      </c>
      <c r="BX30" s="111">
        <v>44322</v>
      </c>
      <c r="BY30" s="13"/>
      <c r="BZ30" s="210">
        <v>44432</v>
      </c>
      <c r="CA30" s="13" t="s">
        <v>4734</v>
      </c>
      <c r="CB30" s="86" t="s">
        <v>4735</v>
      </c>
      <c r="CC30" s="175"/>
      <c r="CE30" s="86" t="e">
        <f>VLOOKUP(C30,[1]Sertifikasi!$B$4:$I$19,8,0)</f>
        <v>#N/A</v>
      </c>
    </row>
    <row r="31" spans="2:83" ht="11.25" customHeight="1" x14ac:dyDescent="0.2">
      <c r="B31" s="13">
        <v>28</v>
      </c>
      <c r="C31" s="13" t="s">
        <v>4926</v>
      </c>
      <c r="D31" s="109">
        <v>641811207</v>
      </c>
      <c r="E31" s="110">
        <v>1710004832153</v>
      </c>
      <c r="F31" s="186"/>
      <c r="G31" s="13" t="s">
        <v>217</v>
      </c>
      <c r="H31" s="13" t="s">
        <v>31</v>
      </c>
      <c r="I31" s="210">
        <v>43405</v>
      </c>
      <c r="J31" s="112">
        <f t="shared" si="0"/>
        <v>2</v>
      </c>
      <c r="K31" s="13">
        <f t="shared" si="1"/>
        <v>11</v>
      </c>
      <c r="L31" s="210"/>
      <c r="M31" s="13" t="str">
        <f t="shared" si="2"/>
        <v>PKWT</v>
      </c>
      <c r="N31" s="13"/>
      <c r="O31" s="210">
        <v>44490</v>
      </c>
      <c r="Q31" s="13" t="s">
        <v>141</v>
      </c>
      <c r="R31" s="13" t="s">
        <v>217</v>
      </c>
      <c r="S31" s="13" t="s">
        <v>204</v>
      </c>
      <c r="T31" s="13" t="s">
        <v>18</v>
      </c>
      <c r="U31" s="13"/>
      <c r="V31" s="187"/>
      <c r="W31" s="187"/>
      <c r="Y31" s="86" t="s">
        <v>132</v>
      </c>
      <c r="Z31" s="13" t="s">
        <v>31</v>
      </c>
      <c r="AA31" s="210">
        <v>36142</v>
      </c>
      <c r="AB31" s="109">
        <f t="shared" ca="1" si="3"/>
        <v>26</v>
      </c>
      <c r="AC31" s="13" t="s">
        <v>4927</v>
      </c>
      <c r="AD31" s="13" t="s">
        <v>4928</v>
      </c>
      <c r="AE31" s="115" t="s">
        <v>4929</v>
      </c>
      <c r="AG31" s="115" t="s">
        <v>4930</v>
      </c>
      <c r="AH31" s="115" t="s">
        <v>4931</v>
      </c>
      <c r="AI31" s="110">
        <v>18099947469</v>
      </c>
      <c r="AJ31" s="13" t="s">
        <v>4716</v>
      </c>
      <c r="AK31" s="13"/>
      <c r="AL31" s="13"/>
      <c r="AM31" s="13"/>
      <c r="AN31" s="13"/>
      <c r="AW31" s="13" t="s">
        <v>161</v>
      </c>
      <c r="AX31" s="13" t="s">
        <v>349</v>
      </c>
      <c r="AY31" s="13" t="s">
        <v>4742</v>
      </c>
      <c r="AZ31" s="13"/>
      <c r="BA31" s="13"/>
      <c r="BB31" s="13" t="s">
        <v>349</v>
      </c>
      <c r="BC31" s="13" t="s">
        <v>4742</v>
      </c>
      <c r="BD31" s="13"/>
      <c r="BE31" s="13"/>
      <c r="BF31" s="210"/>
      <c r="BG31" s="210"/>
      <c r="BH31" s="13"/>
      <c r="BJ31" s="13"/>
      <c r="BK31" s="13"/>
      <c r="BL31" s="13"/>
      <c r="BM31" s="13"/>
      <c r="BN31" s="13"/>
      <c r="BO31" s="174"/>
      <c r="BP31" s="174"/>
      <c r="BQ31" s="13"/>
      <c r="BR31" s="13"/>
      <c r="BS31" s="174">
        <v>44365</v>
      </c>
      <c r="BT31" s="174"/>
      <c r="BU31" s="13"/>
      <c r="BW31" s="111">
        <v>44365</v>
      </c>
      <c r="BX31" s="111"/>
      <c r="BY31" s="13"/>
      <c r="BZ31" s="210">
        <v>44491</v>
      </c>
      <c r="CA31" s="13" t="s">
        <v>4734</v>
      </c>
      <c r="CB31" s="86" t="s">
        <v>4735</v>
      </c>
      <c r="CC31" s="175"/>
      <c r="CE31" s="86" t="e">
        <f>VLOOKUP(C31,[1]Sertifikasi!$B$4:$I$19,8,0)</f>
        <v>#N/A</v>
      </c>
    </row>
    <row r="32" spans="2:83" ht="11.25" customHeight="1" x14ac:dyDescent="0.2">
      <c r="B32" s="13">
        <v>29</v>
      </c>
      <c r="C32" s="13" t="s">
        <v>4932</v>
      </c>
      <c r="D32" s="109">
        <v>642001002</v>
      </c>
      <c r="E32" s="110">
        <v>1710004029388</v>
      </c>
      <c r="F32" s="110"/>
      <c r="G32" s="13" t="s">
        <v>217</v>
      </c>
      <c r="H32" s="13" t="s">
        <v>217</v>
      </c>
      <c r="I32" s="213">
        <v>42217</v>
      </c>
      <c r="J32" s="112">
        <f t="shared" si="0"/>
        <v>6</v>
      </c>
      <c r="K32" s="13">
        <f t="shared" si="1"/>
        <v>4</v>
      </c>
      <c r="L32" s="210"/>
      <c r="M32" s="13" t="str">
        <f t="shared" si="2"/>
        <v>PKWT</v>
      </c>
      <c r="N32" s="13"/>
      <c r="O32" s="210">
        <v>44544</v>
      </c>
      <c r="Q32" s="13" t="s">
        <v>140</v>
      </c>
      <c r="R32" s="13" t="s">
        <v>217</v>
      </c>
      <c r="S32" s="13" t="s">
        <v>461</v>
      </c>
      <c r="T32" s="13" t="s">
        <v>4849</v>
      </c>
      <c r="U32" s="13"/>
      <c r="V32" s="187"/>
      <c r="W32" s="13" t="s">
        <v>462</v>
      </c>
      <c r="Y32" s="86" t="s">
        <v>132</v>
      </c>
      <c r="Z32" s="13" t="s">
        <v>217</v>
      </c>
      <c r="AA32" s="210">
        <v>34797</v>
      </c>
      <c r="AB32" s="109">
        <f t="shared" ca="1" si="3"/>
        <v>30</v>
      </c>
      <c r="AC32" s="13" t="s">
        <v>4933</v>
      </c>
      <c r="AD32" s="13" t="s">
        <v>4934</v>
      </c>
      <c r="AE32" s="115" t="s">
        <v>4935</v>
      </c>
      <c r="AG32" s="115" t="s">
        <v>4936</v>
      </c>
      <c r="AH32" s="115" t="s">
        <v>4937</v>
      </c>
      <c r="AI32" s="115">
        <v>16006272104</v>
      </c>
      <c r="AJ32" s="13" t="s">
        <v>4733</v>
      </c>
      <c r="AK32" s="13"/>
      <c r="AL32" s="13"/>
      <c r="AM32" s="13"/>
      <c r="AN32" s="13"/>
      <c r="AW32" s="13" t="s">
        <v>161</v>
      </c>
      <c r="AX32" s="13" t="s">
        <v>349</v>
      </c>
      <c r="AY32" s="13" t="s">
        <v>91</v>
      </c>
      <c r="AZ32" s="13" t="s">
        <v>516</v>
      </c>
      <c r="BA32" s="13"/>
      <c r="BB32" s="13" t="s">
        <v>475</v>
      </c>
      <c r="BC32" s="13" t="s">
        <v>91</v>
      </c>
      <c r="BD32" s="13" t="s">
        <v>516</v>
      </c>
      <c r="BE32" s="13"/>
      <c r="BH32" s="13"/>
      <c r="BI32" s="13">
        <v>32</v>
      </c>
      <c r="BJ32" s="13">
        <v>44</v>
      </c>
      <c r="BL32" s="13"/>
      <c r="BM32" s="13"/>
      <c r="BN32" s="13"/>
      <c r="BO32" s="174"/>
      <c r="BP32" s="174"/>
      <c r="BQ32" s="13"/>
      <c r="BR32" s="13"/>
      <c r="BS32" s="174"/>
      <c r="BT32" s="174"/>
      <c r="BU32" s="13"/>
      <c r="BV32" s="13"/>
      <c r="BW32" s="111"/>
      <c r="BX32" s="111"/>
      <c r="BY32" s="111"/>
      <c r="BZ32" s="210">
        <v>44544</v>
      </c>
      <c r="CA32" s="13" t="s">
        <v>4734</v>
      </c>
      <c r="CB32" s="86" t="s">
        <v>4735</v>
      </c>
      <c r="CC32" s="175"/>
      <c r="CE32" s="86" t="e">
        <f>VLOOKUP(C32,[1]Sertifikasi!$B$4:$I$19,8,0)</f>
        <v>#N/A</v>
      </c>
    </row>
    <row r="33" spans="1:83" ht="11.25" customHeight="1" x14ac:dyDescent="0.2">
      <c r="B33" s="13">
        <v>30</v>
      </c>
      <c r="C33" s="13" t="s">
        <v>4938</v>
      </c>
      <c r="D33" s="109">
        <v>641810182</v>
      </c>
      <c r="E33" s="110">
        <v>1710004766682</v>
      </c>
      <c r="F33" s="110"/>
      <c r="G33" s="13" t="s">
        <v>25</v>
      </c>
      <c r="H33" s="13" t="s">
        <v>25</v>
      </c>
      <c r="I33" s="210">
        <v>43374</v>
      </c>
      <c r="J33" s="112">
        <f t="shared" si="0"/>
        <v>3</v>
      </c>
      <c r="K33" s="13">
        <f t="shared" si="1"/>
        <v>2</v>
      </c>
      <c r="L33" s="210"/>
      <c r="M33" s="13" t="str">
        <f t="shared" si="2"/>
        <v>PKWT</v>
      </c>
      <c r="N33" s="13"/>
      <c r="O33" s="210">
        <v>44469</v>
      </c>
      <c r="Q33" s="13" t="s">
        <v>141</v>
      </c>
      <c r="R33" s="13" t="s">
        <v>25</v>
      </c>
      <c r="S33" s="13" t="s">
        <v>443</v>
      </c>
      <c r="T33" s="13" t="s">
        <v>57</v>
      </c>
      <c r="U33" s="13"/>
      <c r="V33" s="187"/>
      <c r="W33" s="187"/>
      <c r="Y33" s="86" t="s">
        <v>132</v>
      </c>
      <c r="Z33" s="13" t="s">
        <v>25</v>
      </c>
      <c r="AA33" s="210">
        <v>36875</v>
      </c>
      <c r="AB33" s="109">
        <f t="shared" ca="1" si="3"/>
        <v>24</v>
      </c>
      <c r="AC33" s="13" t="s">
        <v>4939</v>
      </c>
      <c r="AD33" s="13" t="s">
        <v>4940</v>
      </c>
      <c r="AE33" s="115" t="s">
        <v>4941</v>
      </c>
      <c r="AG33" s="13" t="s">
        <v>4942</v>
      </c>
      <c r="AH33" s="115" t="s">
        <v>4943</v>
      </c>
      <c r="AI33" s="110">
        <v>18080676614</v>
      </c>
      <c r="AJ33" s="13" t="s">
        <v>4716</v>
      </c>
      <c r="AK33" s="13"/>
      <c r="AL33" s="13"/>
      <c r="AM33" s="13"/>
      <c r="AN33" s="13"/>
      <c r="AW33" s="13" t="s">
        <v>161</v>
      </c>
      <c r="AX33" s="13" t="s">
        <v>349</v>
      </c>
      <c r="AY33" s="13" t="s">
        <v>515</v>
      </c>
      <c r="AZ33" s="13" t="s">
        <v>1855</v>
      </c>
      <c r="BA33" s="13"/>
      <c r="BB33" s="13" t="s">
        <v>475</v>
      </c>
      <c r="BC33" s="13" t="s">
        <v>515</v>
      </c>
      <c r="BD33" s="13" t="s">
        <v>1855</v>
      </c>
      <c r="BE33" s="13"/>
      <c r="BH33" s="13"/>
      <c r="BI33" s="13">
        <v>28</v>
      </c>
      <c r="BJ33" s="13">
        <v>40</v>
      </c>
      <c r="BL33" s="13"/>
      <c r="BM33" s="13"/>
      <c r="BN33" s="13"/>
      <c r="BO33" s="174"/>
      <c r="BP33" s="174"/>
      <c r="BQ33" s="13"/>
      <c r="BR33" s="13"/>
      <c r="BS33" s="174"/>
      <c r="BT33" s="174"/>
      <c r="BU33" s="13"/>
      <c r="BV33" s="13"/>
      <c r="BW33" s="111"/>
      <c r="BX33" s="111"/>
      <c r="BY33" s="111"/>
      <c r="BZ33" s="210">
        <v>44553</v>
      </c>
      <c r="CA33" s="13" t="s">
        <v>4734</v>
      </c>
      <c r="CB33" s="86" t="s">
        <v>4735</v>
      </c>
      <c r="CC33" s="175"/>
      <c r="CE33" s="86" t="e">
        <f>VLOOKUP(C33,[1]Sertifikasi!$B$4:$I$19,8,0)</f>
        <v>#N/A</v>
      </c>
    </row>
    <row r="34" spans="1:83" ht="11.25" customHeight="1" x14ac:dyDescent="0.2">
      <c r="B34" s="13">
        <v>31</v>
      </c>
      <c r="C34" s="13" t="s">
        <v>4944</v>
      </c>
      <c r="D34" s="109">
        <v>999500011</v>
      </c>
      <c r="E34" s="110">
        <v>1440001093142</v>
      </c>
      <c r="F34" s="186"/>
      <c r="G34" s="112" t="s">
        <v>204</v>
      </c>
      <c r="H34" s="13" t="s">
        <v>217</v>
      </c>
      <c r="I34" s="210">
        <v>43987</v>
      </c>
      <c r="J34" s="112">
        <f t="shared" si="0"/>
        <v>1</v>
      </c>
      <c r="K34" s="13">
        <f t="shared" si="1"/>
        <v>6</v>
      </c>
      <c r="L34" s="210"/>
      <c r="M34" s="13" t="str">
        <f t="shared" si="2"/>
        <v>Organik</v>
      </c>
      <c r="N34" s="13" t="s">
        <v>2649</v>
      </c>
      <c r="O34" s="213" t="s">
        <v>4945</v>
      </c>
      <c r="P34" s="13" t="s">
        <v>139</v>
      </c>
      <c r="Q34" s="13" t="s">
        <v>139</v>
      </c>
      <c r="R34" s="13" t="s">
        <v>139</v>
      </c>
      <c r="S34" s="13" t="s">
        <v>204</v>
      </c>
      <c r="T34" s="13"/>
      <c r="U34" s="13" t="s">
        <v>4946</v>
      </c>
      <c r="V34" s="13" t="s">
        <v>313</v>
      </c>
      <c r="W34" s="13" t="s">
        <v>445</v>
      </c>
      <c r="X34" s="13"/>
      <c r="Y34" s="13" t="s">
        <v>132</v>
      </c>
      <c r="Z34" s="13" t="s">
        <v>4947</v>
      </c>
      <c r="AA34" s="210">
        <v>26048</v>
      </c>
      <c r="AB34" s="109">
        <f t="shared" ca="1" si="3"/>
        <v>54</v>
      </c>
      <c r="AC34" s="13" t="s">
        <v>4948</v>
      </c>
      <c r="AD34" s="13" t="s">
        <v>4949</v>
      </c>
      <c r="AE34" s="115" t="s">
        <v>4950</v>
      </c>
      <c r="AG34" s="13" t="s">
        <v>4951</v>
      </c>
      <c r="AH34" s="115" t="s">
        <v>4952</v>
      </c>
      <c r="AI34" s="115" t="s">
        <v>4953</v>
      </c>
      <c r="AJ34" s="13" t="s">
        <v>4733</v>
      </c>
      <c r="AK34" s="13" t="s">
        <v>4954</v>
      </c>
      <c r="AL34" s="13"/>
      <c r="AM34" s="13"/>
      <c r="AV34" s="112" t="s">
        <v>4955</v>
      </c>
      <c r="AW34" s="112" t="s">
        <v>161</v>
      </c>
      <c r="AX34" s="13" t="s">
        <v>70</v>
      </c>
      <c r="AY34" s="13" t="s">
        <v>87</v>
      </c>
      <c r="AZ34" s="13" t="s">
        <v>81</v>
      </c>
      <c r="BA34" s="13"/>
      <c r="BB34" s="13" t="s">
        <v>75</v>
      </c>
      <c r="BC34" s="13" t="s">
        <v>106</v>
      </c>
      <c r="BD34" s="13" t="s">
        <v>4270</v>
      </c>
      <c r="BE34" s="13"/>
      <c r="BF34" s="213"/>
      <c r="BG34" s="213"/>
      <c r="BH34" s="13"/>
      <c r="BJ34" s="13"/>
      <c r="BK34" s="111"/>
      <c r="BL34" s="111"/>
      <c r="BM34" s="13"/>
      <c r="BN34" s="13"/>
      <c r="BO34" s="174"/>
      <c r="BP34" s="174"/>
      <c r="BQ34" s="13"/>
      <c r="BR34" s="13"/>
      <c r="BS34" s="174"/>
      <c r="BT34" s="174"/>
      <c r="BU34" s="13"/>
      <c r="BV34" s="13"/>
      <c r="BW34" s="111"/>
      <c r="BX34" s="111"/>
      <c r="BY34" s="13"/>
      <c r="BZ34" s="210">
        <v>44561</v>
      </c>
      <c r="CA34" s="13" t="s">
        <v>4832</v>
      </c>
      <c r="CB34" s="13"/>
      <c r="CC34" s="119"/>
      <c r="CE34" s="86" t="e">
        <f>VLOOKUP(C34,[1]Sertifikasi!$B$4:$I$19,8,0)</f>
        <v>#N/A</v>
      </c>
    </row>
    <row r="35" spans="1:83" ht="11.25" customHeight="1" x14ac:dyDescent="0.2">
      <c r="B35" s="13">
        <v>32</v>
      </c>
      <c r="C35" s="13" t="s">
        <v>4956</v>
      </c>
      <c r="D35" s="109">
        <v>999900010</v>
      </c>
      <c r="E35" s="110">
        <v>1440001098398</v>
      </c>
      <c r="F35" s="186"/>
      <c r="G35" s="112" t="s">
        <v>204</v>
      </c>
      <c r="H35" s="13" t="s">
        <v>217</v>
      </c>
      <c r="I35" s="210">
        <v>43987</v>
      </c>
      <c r="J35" s="112">
        <f t="shared" si="0"/>
        <v>1</v>
      </c>
      <c r="K35" s="13">
        <f t="shared" si="1"/>
        <v>6</v>
      </c>
      <c r="L35" s="210"/>
      <c r="M35" s="13" t="str">
        <f t="shared" si="2"/>
        <v>Organik</v>
      </c>
      <c r="N35" s="13" t="s">
        <v>2649</v>
      </c>
      <c r="O35" s="213" t="s">
        <v>4957</v>
      </c>
      <c r="P35" s="13" t="s">
        <v>139</v>
      </c>
      <c r="Q35" s="13" t="s">
        <v>139</v>
      </c>
      <c r="R35" s="13" t="s">
        <v>139</v>
      </c>
      <c r="S35" s="13" t="s">
        <v>204</v>
      </c>
      <c r="T35" s="13"/>
      <c r="U35" s="13" t="s">
        <v>4802</v>
      </c>
      <c r="V35" s="13" t="s">
        <v>4803</v>
      </c>
      <c r="W35" s="13"/>
      <c r="X35" s="13"/>
      <c r="Y35" s="13" t="s">
        <v>132</v>
      </c>
      <c r="Z35" s="13" t="s">
        <v>217</v>
      </c>
      <c r="AA35" s="210">
        <v>26097</v>
      </c>
      <c r="AB35" s="109">
        <f t="shared" ca="1" si="3"/>
        <v>54</v>
      </c>
      <c r="AC35" s="13" t="s">
        <v>4958</v>
      </c>
      <c r="AD35" s="13" t="s">
        <v>4959</v>
      </c>
      <c r="AE35" s="115" t="s">
        <v>4960</v>
      </c>
      <c r="AG35" s="13" t="s">
        <v>4961</v>
      </c>
      <c r="AH35" s="115" t="s">
        <v>4962</v>
      </c>
      <c r="AI35" s="115" t="s">
        <v>4963</v>
      </c>
      <c r="AJ35" s="13" t="s">
        <v>4733</v>
      </c>
      <c r="AK35" s="13" t="s">
        <v>4964</v>
      </c>
      <c r="AL35" s="13"/>
      <c r="AM35" s="13"/>
      <c r="AV35" s="112" t="s">
        <v>4965</v>
      </c>
      <c r="AW35" s="112" t="s">
        <v>161</v>
      </c>
      <c r="AX35" s="13" t="s">
        <v>349</v>
      </c>
      <c r="AY35" s="13" t="s">
        <v>2730</v>
      </c>
      <c r="AZ35" s="13" t="s">
        <v>4966</v>
      </c>
      <c r="BA35" s="13"/>
      <c r="BB35" s="13" t="s">
        <v>75</v>
      </c>
      <c r="BC35" s="13" t="s">
        <v>91</v>
      </c>
      <c r="BD35" s="13" t="s">
        <v>92</v>
      </c>
      <c r="BE35" s="13"/>
      <c r="BF35" s="213"/>
      <c r="BG35" s="213"/>
      <c r="BH35" s="13"/>
      <c r="BJ35" s="13"/>
      <c r="BK35" s="111"/>
      <c r="BL35" s="111"/>
      <c r="BM35" s="13"/>
      <c r="BN35" s="13"/>
      <c r="BO35" s="174"/>
      <c r="BP35" s="174"/>
      <c r="BQ35" s="13"/>
      <c r="BR35" s="13"/>
      <c r="BS35" s="174"/>
      <c r="BT35" s="174"/>
      <c r="BU35" s="13"/>
      <c r="BV35" s="13"/>
      <c r="BW35" s="111"/>
      <c r="BX35" s="111"/>
      <c r="BY35" s="13"/>
      <c r="BZ35" s="210">
        <v>44561</v>
      </c>
      <c r="CA35" s="13" t="s">
        <v>4832</v>
      </c>
      <c r="CB35" s="13"/>
      <c r="CC35" s="119"/>
      <c r="CE35" s="86" t="e">
        <f>VLOOKUP(C35,[1]Sertifikasi!$B$4:$I$19,8,0)</f>
        <v>#N/A</v>
      </c>
    </row>
    <row r="36" spans="1:83" ht="11.25" customHeight="1" x14ac:dyDescent="0.2">
      <c r="B36" s="13">
        <v>33</v>
      </c>
      <c r="C36" s="13" t="s">
        <v>4967</v>
      </c>
      <c r="D36" s="109">
        <v>999800101</v>
      </c>
      <c r="E36" s="110">
        <v>1440001093472</v>
      </c>
      <c r="F36" s="186"/>
      <c r="G36" s="112" t="s">
        <v>204</v>
      </c>
      <c r="H36" s="13" t="s">
        <v>217</v>
      </c>
      <c r="I36" s="210">
        <v>43987</v>
      </c>
      <c r="J36" s="112">
        <f t="shared" ref="J36:J67" si="4">DATEDIF(I36,BZ36,"y")</f>
        <v>1</v>
      </c>
      <c r="K36" s="13">
        <f t="shared" ref="K36:K67" si="5">DATEDIF(I36,BZ36,"yM")</f>
        <v>6</v>
      </c>
      <c r="L36" s="210"/>
      <c r="M36" s="13" t="str">
        <f t="shared" ref="M36:M67" si="6">IF(LEFT(D36,2)="97","Tetap",IF(LEFT(D36,2)="75","Capeg",IF(LEFT(D36,2)="64","PKWT",IF(LEFT(D36,2)="99","Organik","Resign"))))</f>
        <v>Organik</v>
      </c>
      <c r="N36" s="13" t="s">
        <v>2649</v>
      </c>
      <c r="O36" s="213">
        <v>36312</v>
      </c>
      <c r="P36" s="13" t="s">
        <v>139</v>
      </c>
      <c r="Q36" s="13" t="s">
        <v>139</v>
      </c>
      <c r="R36" s="13" t="s">
        <v>139</v>
      </c>
      <c r="S36" s="13" t="s">
        <v>204</v>
      </c>
      <c r="T36" s="13"/>
      <c r="U36" s="13" t="s">
        <v>144</v>
      </c>
      <c r="V36" s="13" t="s">
        <v>313</v>
      </c>
      <c r="W36" s="13"/>
      <c r="X36" s="13"/>
      <c r="Y36" s="13" t="s">
        <v>132</v>
      </c>
      <c r="Z36" s="13" t="s">
        <v>217</v>
      </c>
      <c r="AA36" s="210">
        <v>24840</v>
      </c>
      <c r="AB36" s="109">
        <f t="shared" ref="AB36:AB67" ca="1" si="7">DATEDIF(AA36,$C$2,"y")</f>
        <v>57</v>
      </c>
      <c r="AC36" s="13" t="s">
        <v>4968</v>
      </c>
      <c r="AD36" s="13" t="s">
        <v>4969</v>
      </c>
      <c r="AE36" s="115" t="s">
        <v>4970</v>
      </c>
      <c r="AG36" s="13" t="s">
        <v>4971</v>
      </c>
      <c r="AH36" s="115" t="s">
        <v>4972</v>
      </c>
      <c r="AI36" s="115" t="s">
        <v>4973</v>
      </c>
      <c r="AJ36" s="13" t="s">
        <v>4733</v>
      </c>
      <c r="AK36" s="13" t="s">
        <v>1939</v>
      </c>
      <c r="AL36" s="13"/>
      <c r="AM36" s="13"/>
      <c r="AV36" s="112" t="s">
        <v>4974</v>
      </c>
      <c r="AW36" s="112" t="s">
        <v>161</v>
      </c>
      <c r="AX36" s="13" t="s">
        <v>349</v>
      </c>
      <c r="AY36" s="13" t="s">
        <v>2730</v>
      </c>
      <c r="AZ36" s="13" t="s">
        <v>2751</v>
      </c>
      <c r="BA36" s="13"/>
      <c r="BB36" s="13" t="s">
        <v>349</v>
      </c>
      <c r="BC36" s="13" t="s">
        <v>2730</v>
      </c>
      <c r="BD36" s="13" t="s">
        <v>2751</v>
      </c>
      <c r="BE36" s="13"/>
      <c r="BF36" s="213"/>
      <c r="BG36" s="213"/>
      <c r="BH36" s="13"/>
      <c r="BJ36" s="13"/>
      <c r="BK36" s="111"/>
      <c r="BL36" s="111"/>
      <c r="BM36" s="13"/>
      <c r="BN36" s="13"/>
      <c r="BO36" s="174"/>
      <c r="BP36" s="174"/>
      <c r="BQ36" s="13"/>
      <c r="BR36" s="13"/>
      <c r="BS36" s="174"/>
      <c r="BT36" s="174"/>
      <c r="BU36" s="13"/>
      <c r="BV36" s="13"/>
      <c r="BW36" s="111"/>
      <c r="BX36" s="111"/>
      <c r="BY36" s="13"/>
      <c r="BZ36" s="210">
        <v>44561</v>
      </c>
      <c r="CA36" s="13" t="s">
        <v>4832</v>
      </c>
      <c r="CB36" s="13"/>
      <c r="CC36" s="119"/>
      <c r="CE36" s="86" t="e">
        <f>VLOOKUP(C36,[1]Sertifikasi!$B$4:$I$19,8,0)</f>
        <v>#N/A</v>
      </c>
    </row>
    <row r="37" spans="1:83" ht="11.25" customHeight="1" x14ac:dyDescent="0.2">
      <c r="B37" s="13">
        <v>34</v>
      </c>
      <c r="C37" s="13" t="s">
        <v>2610</v>
      </c>
      <c r="D37" s="109">
        <v>999800092</v>
      </c>
      <c r="E37" s="110">
        <v>1440011136162</v>
      </c>
      <c r="F37" s="186"/>
      <c r="G37" s="112" t="s">
        <v>204</v>
      </c>
      <c r="H37" s="13" t="s">
        <v>217</v>
      </c>
      <c r="I37" s="210">
        <v>43987</v>
      </c>
      <c r="J37" s="112">
        <f t="shared" si="4"/>
        <v>1</v>
      </c>
      <c r="K37" s="13">
        <f t="shared" si="5"/>
        <v>6</v>
      </c>
      <c r="L37" s="210"/>
      <c r="M37" s="13" t="str">
        <f t="shared" si="6"/>
        <v>Organik</v>
      </c>
      <c r="N37" s="13" t="s">
        <v>2649</v>
      </c>
      <c r="O37" s="213">
        <v>36312</v>
      </c>
      <c r="P37" s="13" t="s">
        <v>139</v>
      </c>
      <c r="Q37" s="13" t="s">
        <v>139</v>
      </c>
      <c r="R37" s="13" t="s">
        <v>139</v>
      </c>
      <c r="S37" s="13" t="s">
        <v>204</v>
      </c>
      <c r="T37" s="13"/>
      <c r="U37" s="13" t="s">
        <v>144</v>
      </c>
      <c r="V37" s="13" t="s">
        <v>313</v>
      </c>
      <c r="W37" s="13"/>
      <c r="X37" s="13"/>
      <c r="Y37" s="13" t="s">
        <v>132</v>
      </c>
      <c r="Z37" s="13" t="s">
        <v>217</v>
      </c>
      <c r="AA37" s="210">
        <v>24633</v>
      </c>
      <c r="AB37" s="109">
        <f t="shared" ca="1" si="7"/>
        <v>58</v>
      </c>
      <c r="AC37" s="13" t="s">
        <v>4975</v>
      </c>
      <c r="AD37" s="13" t="s">
        <v>4976</v>
      </c>
      <c r="AE37" s="115">
        <v>81335533892</v>
      </c>
      <c r="AG37" s="13" t="s">
        <v>4977</v>
      </c>
      <c r="AH37" s="115">
        <v>1127808573</v>
      </c>
      <c r="AI37" s="115" t="s">
        <v>4978</v>
      </c>
      <c r="AJ37" s="13" t="s">
        <v>4733</v>
      </c>
      <c r="AK37" s="13" t="s">
        <v>2611</v>
      </c>
      <c r="AL37" s="13"/>
      <c r="AM37" s="13"/>
      <c r="AV37" s="112" t="s">
        <v>4979</v>
      </c>
      <c r="AW37" s="112" t="s">
        <v>161</v>
      </c>
      <c r="AX37" s="13" t="s">
        <v>349</v>
      </c>
      <c r="AY37" s="13" t="s">
        <v>2730</v>
      </c>
      <c r="AZ37" s="13" t="s">
        <v>2751</v>
      </c>
      <c r="BA37" s="13"/>
      <c r="BB37" s="13" t="s">
        <v>349</v>
      </c>
      <c r="BC37" s="13" t="s">
        <v>2730</v>
      </c>
      <c r="BD37" s="13" t="s">
        <v>2751</v>
      </c>
      <c r="BE37" s="13"/>
      <c r="BF37" s="213"/>
      <c r="BG37" s="213"/>
      <c r="BH37" s="13"/>
      <c r="BJ37" s="13"/>
      <c r="BK37" s="111"/>
      <c r="BL37" s="111"/>
      <c r="BM37" s="13"/>
      <c r="BN37" s="13"/>
      <c r="BO37" s="174"/>
      <c r="BP37" s="174"/>
      <c r="BQ37" s="13"/>
      <c r="BR37" s="13"/>
      <c r="BS37" s="174"/>
      <c r="BT37" s="174"/>
      <c r="BU37" s="13"/>
      <c r="BV37" s="13"/>
      <c r="BW37" s="111"/>
      <c r="BX37" s="111"/>
      <c r="BY37" s="13"/>
      <c r="BZ37" s="210">
        <v>44561</v>
      </c>
      <c r="CA37" s="13" t="s">
        <v>4832</v>
      </c>
      <c r="CB37" s="13"/>
      <c r="CC37" s="119"/>
      <c r="CE37" s="86" t="e">
        <f>VLOOKUP(C37,[1]Sertifikasi!$B$4:$I$19,8,0)</f>
        <v>#N/A</v>
      </c>
    </row>
    <row r="38" spans="1:83" ht="11.25" customHeight="1" x14ac:dyDescent="0.2">
      <c r="B38" s="13">
        <v>35</v>
      </c>
      <c r="C38" s="13" t="s">
        <v>4980</v>
      </c>
      <c r="D38" s="109">
        <v>641907262</v>
      </c>
      <c r="E38" s="110">
        <v>1710005658144</v>
      </c>
      <c r="F38" s="110"/>
      <c r="G38" s="13" t="s">
        <v>24</v>
      </c>
      <c r="H38" s="13" t="s">
        <v>24</v>
      </c>
      <c r="I38" s="210">
        <v>43647</v>
      </c>
      <c r="J38" s="112">
        <f t="shared" si="4"/>
        <v>2</v>
      </c>
      <c r="K38" s="13">
        <f t="shared" si="5"/>
        <v>5</v>
      </c>
      <c r="L38" s="210"/>
      <c r="M38" s="13" t="str">
        <f t="shared" si="6"/>
        <v>PKWT</v>
      </c>
      <c r="N38" s="13"/>
      <c r="O38" s="210">
        <v>44561</v>
      </c>
      <c r="Q38" s="13" t="s">
        <v>141</v>
      </c>
      <c r="R38" s="13" t="s">
        <v>24</v>
      </c>
      <c r="S38" s="13" t="s">
        <v>443</v>
      </c>
      <c r="T38" s="13" t="s">
        <v>52</v>
      </c>
      <c r="U38" s="13"/>
      <c r="V38" s="187"/>
      <c r="W38" s="187"/>
      <c r="Y38" s="86" t="s">
        <v>132</v>
      </c>
      <c r="Z38" s="13" t="s">
        <v>24</v>
      </c>
      <c r="AA38" s="210">
        <v>34450</v>
      </c>
      <c r="AB38" s="109">
        <f t="shared" ca="1" si="7"/>
        <v>31</v>
      </c>
      <c r="AC38" s="13" t="s">
        <v>4981</v>
      </c>
      <c r="AD38" s="13" t="s">
        <v>4982</v>
      </c>
      <c r="AE38" s="115" t="s">
        <v>4983</v>
      </c>
      <c r="AG38" s="115" t="s">
        <v>4984</v>
      </c>
      <c r="AH38" s="115" t="s">
        <v>4985</v>
      </c>
      <c r="AI38" s="115">
        <v>19047644109</v>
      </c>
      <c r="AJ38" s="13" t="s">
        <v>4733</v>
      </c>
      <c r="AK38" s="13"/>
      <c r="AL38" s="13"/>
      <c r="AM38" s="13"/>
      <c r="AN38" s="13"/>
      <c r="AW38" s="13" t="s">
        <v>161</v>
      </c>
      <c r="AX38" s="13" t="s">
        <v>75</v>
      </c>
      <c r="AY38" s="13" t="s">
        <v>91</v>
      </c>
      <c r="AZ38" s="13" t="s">
        <v>4986</v>
      </c>
      <c r="BA38" s="13"/>
      <c r="BB38" s="13" t="s">
        <v>75</v>
      </c>
      <c r="BC38" s="13" t="s">
        <v>91</v>
      </c>
      <c r="BD38" s="13" t="s">
        <v>4986</v>
      </c>
      <c r="BE38" s="13"/>
      <c r="BH38" s="13"/>
      <c r="BI38" s="13">
        <v>32</v>
      </c>
      <c r="BJ38" s="13">
        <v>42</v>
      </c>
      <c r="BL38" s="13"/>
      <c r="BM38" s="13"/>
      <c r="BN38" s="13"/>
      <c r="BO38" s="174"/>
      <c r="BP38" s="174"/>
      <c r="BQ38" s="13"/>
      <c r="BR38" s="13"/>
      <c r="BS38" s="174"/>
      <c r="BT38" s="174"/>
      <c r="BU38" s="13"/>
      <c r="BV38" s="13"/>
      <c r="BW38" s="111"/>
      <c r="BX38" s="111"/>
      <c r="BY38" s="13"/>
      <c r="BZ38" s="210">
        <v>44561</v>
      </c>
      <c r="CA38" s="13" t="s">
        <v>4734</v>
      </c>
      <c r="CB38" s="86" t="s">
        <v>4735</v>
      </c>
      <c r="CC38" s="175"/>
      <c r="CE38" s="86" t="e">
        <f>VLOOKUP(C38,[1]Sertifikasi!$B$4:$I$19,8,0)</f>
        <v>#N/A</v>
      </c>
    </row>
    <row r="39" spans="1:83" ht="11.25" customHeight="1" x14ac:dyDescent="0.2">
      <c r="A39" s="13"/>
      <c r="B39" s="13">
        <v>36</v>
      </c>
      <c r="C39" s="13" t="s">
        <v>4987</v>
      </c>
      <c r="D39" s="109">
        <v>641807167</v>
      </c>
      <c r="E39" s="110">
        <v>1710004387547</v>
      </c>
      <c r="F39" s="110"/>
      <c r="G39" s="13" t="s">
        <v>217</v>
      </c>
      <c r="H39" s="13" t="s">
        <v>217</v>
      </c>
      <c r="I39" s="210">
        <v>43282</v>
      </c>
      <c r="J39" s="112">
        <f t="shared" si="4"/>
        <v>3</v>
      </c>
      <c r="K39" s="13">
        <f t="shared" si="5"/>
        <v>5</v>
      </c>
      <c r="L39" s="210"/>
      <c r="M39" s="13" t="str">
        <f t="shared" si="6"/>
        <v>PKWT</v>
      </c>
      <c r="N39" s="13"/>
      <c r="O39" s="210">
        <v>44561</v>
      </c>
      <c r="Q39" s="13" t="s">
        <v>141</v>
      </c>
      <c r="R39" s="13" t="s">
        <v>217</v>
      </c>
      <c r="S39" s="13" t="s">
        <v>204</v>
      </c>
      <c r="T39" s="13" t="s">
        <v>4988</v>
      </c>
      <c r="U39" s="13"/>
      <c r="V39" s="187"/>
      <c r="W39" s="187"/>
      <c r="Y39" s="86" t="s">
        <v>132</v>
      </c>
      <c r="Z39" s="13" t="s">
        <v>432</v>
      </c>
      <c r="AA39" s="210">
        <v>35521</v>
      </c>
      <c r="AB39" s="109">
        <f t="shared" ca="1" si="7"/>
        <v>28</v>
      </c>
      <c r="AC39" s="13" t="s">
        <v>4989</v>
      </c>
      <c r="AD39" s="13" t="s">
        <v>4990</v>
      </c>
      <c r="AE39" s="115" t="s">
        <v>4991</v>
      </c>
      <c r="AG39" s="115" t="s">
        <v>4992</v>
      </c>
      <c r="AH39" s="115" t="s">
        <v>4993</v>
      </c>
      <c r="AI39" s="110">
        <v>18056171996</v>
      </c>
      <c r="AJ39" s="13" t="s">
        <v>4716</v>
      </c>
      <c r="AK39" s="13"/>
      <c r="AL39" s="13"/>
      <c r="AM39" s="13"/>
      <c r="AN39" s="13"/>
      <c r="AW39" s="13" t="s">
        <v>161</v>
      </c>
      <c r="AX39" s="13" t="s">
        <v>349</v>
      </c>
      <c r="AY39" s="13" t="s">
        <v>515</v>
      </c>
      <c r="AZ39" s="13" t="s">
        <v>3877</v>
      </c>
      <c r="BA39" s="13"/>
      <c r="BB39" s="13" t="s">
        <v>475</v>
      </c>
      <c r="BC39" s="13" t="s">
        <v>515</v>
      </c>
      <c r="BD39" s="13" t="s">
        <v>3877</v>
      </c>
      <c r="BE39" s="13"/>
      <c r="BH39" s="13"/>
      <c r="BI39" s="13"/>
      <c r="BJ39" s="13"/>
      <c r="BL39" s="13"/>
      <c r="BM39" s="13"/>
      <c r="BN39" s="13"/>
      <c r="BO39" s="174"/>
      <c r="BP39" s="174"/>
      <c r="BQ39" s="13"/>
      <c r="BR39" s="13"/>
      <c r="BS39" s="174"/>
      <c r="BT39" s="174"/>
      <c r="BU39" s="13"/>
      <c r="BV39" s="13"/>
      <c r="BW39" s="111"/>
      <c r="BX39" s="111"/>
      <c r="BY39" s="111"/>
      <c r="BZ39" s="210">
        <v>44561</v>
      </c>
      <c r="CA39" s="13" t="s">
        <v>4734</v>
      </c>
      <c r="CB39" s="86" t="s">
        <v>4735</v>
      </c>
      <c r="CC39" s="175"/>
    </row>
    <row r="40" spans="1:83" ht="11.25" customHeight="1" x14ac:dyDescent="0.2">
      <c r="B40" s="13">
        <v>37</v>
      </c>
      <c r="C40" s="13" t="s">
        <v>4994</v>
      </c>
      <c r="D40" s="109">
        <v>990900012</v>
      </c>
      <c r="E40" s="110">
        <v>1440009309599</v>
      </c>
      <c r="F40" s="110"/>
      <c r="G40" s="112" t="s">
        <v>204</v>
      </c>
      <c r="H40" s="13" t="s">
        <v>217</v>
      </c>
      <c r="I40" s="210">
        <v>43763</v>
      </c>
      <c r="J40" s="112">
        <f t="shared" si="4"/>
        <v>2</v>
      </c>
      <c r="K40" s="13">
        <f t="shared" si="5"/>
        <v>2</v>
      </c>
      <c r="L40" s="210"/>
      <c r="M40" s="13" t="str">
        <f t="shared" si="6"/>
        <v>Organik</v>
      </c>
      <c r="N40" s="13" t="s">
        <v>2685</v>
      </c>
      <c r="O40" s="213">
        <v>39848</v>
      </c>
      <c r="P40" s="13" t="s">
        <v>2686</v>
      </c>
      <c r="Q40" s="13" t="s">
        <v>4995</v>
      </c>
      <c r="R40" s="13" t="s">
        <v>4711</v>
      </c>
      <c r="S40" s="13" t="s">
        <v>204</v>
      </c>
      <c r="T40" s="13"/>
      <c r="U40" s="13" t="s">
        <v>11</v>
      </c>
      <c r="V40" s="13" t="s">
        <v>11</v>
      </c>
      <c r="W40" s="13"/>
      <c r="X40" s="13"/>
      <c r="Y40" s="13" t="s">
        <v>132</v>
      </c>
      <c r="Z40" s="13" t="s">
        <v>31</v>
      </c>
      <c r="AA40" s="210">
        <v>31163</v>
      </c>
      <c r="AB40" s="109">
        <f t="shared" ca="1" si="7"/>
        <v>40</v>
      </c>
      <c r="AC40" s="13" t="s">
        <v>4996</v>
      </c>
      <c r="AD40" s="13" t="s">
        <v>4997</v>
      </c>
      <c r="AE40" s="115" t="s">
        <v>4998</v>
      </c>
      <c r="AG40" s="13" t="s">
        <v>4999</v>
      </c>
      <c r="AH40" s="115" t="s">
        <v>5000</v>
      </c>
      <c r="AI40" s="115">
        <v>8024057344</v>
      </c>
      <c r="AJ40" s="13" t="s">
        <v>4733</v>
      </c>
      <c r="AK40" s="13" t="s">
        <v>5001</v>
      </c>
      <c r="AT40" s="13">
        <v>2</v>
      </c>
      <c r="AU40" s="13" t="s">
        <v>5002</v>
      </c>
      <c r="AV40" s="112" t="s">
        <v>5003</v>
      </c>
      <c r="AW40" s="13" t="s">
        <v>161</v>
      </c>
      <c r="AX40" s="13" t="s">
        <v>75</v>
      </c>
      <c r="AY40" s="13" t="s">
        <v>87</v>
      </c>
      <c r="AZ40" s="13" t="s">
        <v>1902</v>
      </c>
      <c r="BA40" s="13"/>
      <c r="BB40" s="13" t="s">
        <v>75</v>
      </c>
      <c r="BC40" s="13" t="s">
        <v>87</v>
      </c>
      <c r="BD40" s="13" t="s">
        <v>1902</v>
      </c>
      <c r="BE40" s="13"/>
      <c r="BG40" s="210"/>
      <c r="BH40" s="13"/>
      <c r="BK40" s="111">
        <v>44322</v>
      </c>
      <c r="BL40" s="13"/>
      <c r="BM40" s="13"/>
      <c r="BN40" s="13"/>
      <c r="BO40" s="174"/>
      <c r="BP40" s="174"/>
      <c r="BQ40" s="13"/>
      <c r="BR40" s="13"/>
      <c r="BS40" s="174"/>
      <c r="BT40" s="174"/>
      <c r="BU40" s="13"/>
      <c r="BV40" s="13"/>
      <c r="BW40" s="111"/>
      <c r="BX40" s="111"/>
      <c r="BY40" s="13"/>
      <c r="BZ40" s="210">
        <v>44575</v>
      </c>
      <c r="CA40" s="13" t="s">
        <v>5004</v>
      </c>
      <c r="CB40" s="13"/>
      <c r="CC40" s="119"/>
      <c r="CD40" s="86" t="s">
        <v>294</v>
      </c>
      <c r="CE40" s="86" t="e">
        <f>VLOOKUP(C40,[1]Sertifikasi!$B$4:$I$19,8,0)</f>
        <v>#N/A</v>
      </c>
    </row>
    <row r="41" spans="1:83" ht="11.25" customHeight="1" x14ac:dyDescent="0.2">
      <c r="B41" s="13">
        <v>38</v>
      </c>
      <c r="C41" s="13" t="s">
        <v>5005</v>
      </c>
      <c r="D41" s="109">
        <v>999500017</v>
      </c>
      <c r="E41" s="110"/>
      <c r="F41" s="110"/>
      <c r="G41" s="112" t="s">
        <v>204</v>
      </c>
      <c r="H41" s="13" t="s">
        <v>217</v>
      </c>
      <c r="I41" s="210">
        <v>43987</v>
      </c>
      <c r="J41" s="112">
        <f t="shared" si="4"/>
        <v>1</v>
      </c>
      <c r="K41" s="13">
        <f t="shared" si="5"/>
        <v>7</v>
      </c>
      <c r="L41" s="210"/>
      <c r="M41" s="13" t="str">
        <f t="shared" si="6"/>
        <v>Organik</v>
      </c>
      <c r="N41" s="13" t="s">
        <v>2685</v>
      </c>
      <c r="O41" s="213" t="s">
        <v>4945</v>
      </c>
      <c r="P41" s="13" t="s">
        <v>4259</v>
      </c>
      <c r="Q41" s="13" t="s">
        <v>5006</v>
      </c>
      <c r="R41" s="13" t="s">
        <v>4711</v>
      </c>
      <c r="S41" s="13" t="s">
        <v>4711</v>
      </c>
      <c r="T41" s="13"/>
      <c r="U41" s="188" t="s">
        <v>11</v>
      </c>
      <c r="V41" s="13" t="s">
        <v>11</v>
      </c>
      <c r="W41" s="13"/>
      <c r="X41" s="13"/>
      <c r="Y41" s="13" t="s">
        <v>132</v>
      </c>
      <c r="Z41" s="13" t="s">
        <v>4793</v>
      </c>
      <c r="AA41" s="210">
        <v>26794</v>
      </c>
      <c r="AB41" s="109">
        <f t="shared" ca="1" si="7"/>
        <v>52</v>
      </c>
      <c r="AC41" s="13" t="s">
        <v>5007</v>
      </c>
      <c r="AD41" s="13" t="s">
        <v>5008</v>
      </c>
      <c r="AE41" s="115" t="s">
        <v>5009</v>
      </c>
      <c r="AG41" s="13" t="s">
        <v>5010</v>
      </c>
      <c r="AH41" s="115" t="s">
        <v>5011</v>
      </c>
      <c r="AI41" s="115"/>
      <c r="AJ41" s="13" t="s">
        <v>4733</v>
      </c>
      <c r="AK41" s="13" t="s">
        <v>5012</v>
      </c>
      <c r="AT41" s="13">
        <v>2</v>
      </c>
      <c r="AU41" s="13" t="s">
        <v>5002</v>
      </c>
      <c r="AV41" s="112" t="s">
        <v>5013</v>
      </c>
      <c r="AW41" s="13" t="s">
        <v>161</v>
      </c>
      <c r="AX41" s="13" t="s">
        <v>70</v>
      </c>
      <c r="AY41" s="13" t="s">
        <v>43</v>
      </c>
      <c r="AZ41" s="13" t="s">
        <v>81</v>
      </c>
      <c r="BA41" s="13"/>
      <c r="BB41" s="13" t="s">
        <v>70</v>
      </c>
      <c r="BC41" s="13" t="s">
        <v>43</v>
      </c>
      <c r="BD41" s="13" t="s">
        <v>81</v>
      </c>
      <c r="BE41" s="13"/>
      <c r="BG41" s="210"/>
      <c r="BH41" s="13"/>
      <c r="BK41" s="111">
        <v>44322</v>
      </c>
      <c r="BL41" s="13"/>
      <c r="BM41" s="13"/>
      <c r="BN41" s="13"/>
      <c r="BO41" s="174"/>
      <c r="BP41" s="174"/>
      <c r="BQ41" s="13"/>
      <c r="BR41" s="13"/>
      <c r="BS41" s="174"/>
      <c r="BT41" s="174"/>
      <c r="BU41" s="13"/>
      <c r="BV41" s="13"/>
      <c r="BW41" s="111"/>
      <c r="BX41" s="111"/>
      <c r="BY41" s="13"/>
      <c r="BZ41" s="210">
        <v>44575</v>
      </c>
      <c r="CA41" s="13" t="s">
        <v>5004</v>
      </c>
      <c r="CB41" s="13"/>
      <c r="CC41" s="119"/>
      <c r="CD41" s="86" t="s">
        <v>294</v>
      </c>
      <c r="CE41" s="86" t="e">
        <f>VLOOKUP(C41,[1]Sertifikasi!$B$4:$I$19,8,0)</f>
        <v>#N/A</v>
      </c>
    </row>
    <row r="42" spans="1:83" ht="11.25" customHeight="1" x14ac:dyDescent="0.2">
      <c r="B42" s="13">
        <v>39</v>
      </c>
      <c r="C42" s="13" t="s">
        <v>5014</v>
      </c>
      <c r="D42" s="109">
        <v>641907273</v>
      </c>
      <c r="E42" s="110">
        <v>1710005658276</v>
      </c>
      <c r="F42" s="110"/>
      <c r="G42" s="13" t="s">
        <v>24</v>
      </c>
      <c r="H42" s="13" t="s">
        <v>20</v>
      </c>
      <c r="I42" s="210">
        <v>43647</v>
      </c>
      <c r="J42" s="112">
        <f t="shared" si="4"/>
        <v>2</v>
      </c>
      <c r="K42" s="13">
        <f t="shared" si="5"/>
        <v>9</v>
      </c>
      <c r="L42" s="210"/>
      <c r="M42" s="13" t="str">
        <f t="shared" si="6"/>
        <v>PKWT</v>
      </c>
      <c r="N42" s="13"/>
      <c r="O42" s="210">
        <v>44926</v>
      </c>
      <c r="Q42" s="13" t="s">
        <v>141</v>
      </c>
      <c r="R42" s="13" t="s">
        <v>24</v>
      </c>
      <c r="S42" s="13" t="s">
        <v>443</v>
      </c>
      <c r="T42" s="13" t="s">
        <v>52</v>
      </c>
      <c r="U42" s="13"/>
      <c r="V42" s="187"/>
      <c r="W42" s="187"/>
      <c r="Y42" s="13" t="s">
        <v>314</v>
      </c>
      <c r="Z42" s="13" t="s">
        <v>217</v>
      </c>
      <c r="AA42" s="210">
        <v>34740</v>
      </c>
      <c r="AB42" s="109">
        <f t="shared" ca="1" si="7"/>
        <v>30</v>
      </c>
      <c r="AC42" s="13" t="s">
        <v>5015</v>
      </c>
      <c r="AD42" s="13" t="s">
        <v>5016</v>
      </c>
      <c r="AE42" s="115" t="s">
        <v>5017</v>
      </c>
      <c r="AG42" s="115" t="s">
        <v>5018</v>
      </c>
      <c r="AH42" s="115" t="s">
        <v>5019</v>
      </c>
      <c r="AI42" s="115">
        <v>19047644265</v>
      </c>
      <c r="AJ42" s="13" t="s">
        <v>4716</v>
      </c>
      <c r="AK42" s="109"/>
      <c r="AM42" s="13"/>
      <c r="AN42" s="13" t="s">
        <v>306</v>
      </c>
      <c r="AW42" s="13" t="s">
        <v>161</v>
      </c>
      <c r="AX42" s="13" t="s">
        <v>349</v>
      </c>
      <c r="AY42" s="13" t="s">
        <v>515</v>
      </c>
      <c r="AZ42" s="13" t="s">
        <v>516</v>
      </c>
      <c r="BA42" s="13"/>
      <c r="BB42" s="13" t="s">
        <v>349</v>
      </c>
      <c r="BC42" s="13" t="s">
        <v>515</v>
      </c>
      <c r="BD42" s="13" t="s">
        <v>516</v>
      </c>
      <c r="BE42" s="13"/>
      <c r="BF42" s="210"/>
      <c r="BG42" s="210"/>
      <c r="BH42" s="13"/>
      <c r="BJ42" s="13">
        <v>41</v>
      </c>
      <c r="BK42" s="13"/>
      <c r="BL42" s="13"/>
      <c r="BM42" s="13"/>
      <c r="BN42" s="13"/>
      <c r="BO42" s="174"/>
      <c r="BP42" s="174"/>
      <c r="BQ42" s="13"/>
      <c r="BR42" s="13"/>
      <c r="BS42" s="174"/>
      <c r="BT42" s="174"/>
      <c r="BU42" s="13"/>
      <c r="BV42" s="13"/>
      <c r="BW42" s="111"/>
      <c r="BX42" s="111"/>
      <c r="BY42" s="13"/>
      <c r="BZ42" s="210">
        <v>44676</v>
      </c>
      <c r="CA42" s="13" t="s">
        <v>4734</v>
      </c>
      <c r="CB42" s="86" t="s">
        <v>4735</v>
      </c>
      <c r="CC42" s="175"/>
      <c r="CE42" s="86" t="e">
        <f>VLOOKUP(C42,[1]Sertifikasi!$B$4:$I$19,8,0)</f>
        <v>#N/A</v>
      </c>
    </row>
    <row r="43" spans="1:83" ht="11.25" customHeight="1" x14ac:dyDescent="0.2">
      <c r="B43" s="13">
        <v>40</v>
      </c>
      <c r="C43" s="13" t="s">
        <v>5020</v>
      </c>
      <c r="D43" s="109">
        <v>642102109</v>
      </c>
      <c r="E43" s="110">
        <v>1710002924689</v>
      </c>
      <c r="F43" s="110"/>
      <c r="G43" s="13" t="s">
        <v>217</v>
      </c>
      <c r="H43" s="13" t="s">
        <v>217</v>
      </c>
      <c r="I43" s="210">
        <v>44242</v>
      </c>
      <c r="J43" s="112">
        <f t="shared" si="4"/>
        <v>1</v>
      </c>
      <c r="K43" s="13">
        <f t="shared" si="5"/>
        <v>2</v>
      </c>
      <c r="L43" s="210"/>
      <c r="M43" s="13" t="str">
        <f t="shared" si="6"/>
        <v>PKWT</v>
      </c>
      <c r="N43" s="13"/>
      <c r="O43" s="210">
        <v>44971</v>
      </c>
      <c r="Q43" s="13" t="s">
        <v>141</v>
      </c>
      <c r="R43" s="13" t="s">
        <v>23</v>
      </c>
      <c r="S43" s="13" t="s">
        <v>204</v>
      </c>
      <c r="T43" s="13" t="s">
        <v>51</v>
      </c>
      <c r="U43" s="13"/>
      <c r="V43" s="13"/>
      <c r="W43" s="13"/>
      <c r="Y43" s="13" t="s">
        <v>314</v>
      </c>
      <c r="Z43" s="13" t="s">
        <v>311</v>
      </c>
      <c r="AA43" s="210">
        <v>35911</v>
      </c>
      <c r="AB43" s="109">
        <f t="shared" ca="1" si="7"/>
        <v>27</v>
      </c>
      <c r="AC43" s="13" t="s">
        <v>5021</v>
      </c>
      <c r="AD43" s="13" t="s">
        <v>5022</v>
      </c>
      <c r="AE43" s="115" t="s">
        <v>5023</v>
      </c>
      <c r="AG43" s="13" t="s">
        <v>5024</v>
      </c>
      <c r="AH43" s="115" t="s">
        <v>5025</v>
      </c>
      <c r="AI43" s="110">
        <v>17023994829</v>
      </c>
      <c r="AJ43" s="13" t="s">
        <v>4716</v>
      </c>
      <c r="AK43" s="13"/>
      <c r="AM43" s="13"/>
      <c r="AN43" s="13"/>
      <c r="AW43" s="13" t="s">
        <v>161</v>
      </c>
      <c r="AX43" s="13" t="s">
        <v>349</v>
      </c>
      <c r="AY43" s="13" t="s">
        <v>5026</v>
      </c>
      <c r="AZ43" s="13" t="s">
        <v>327</v>
      </c>
      <c r="BA43" s="13"/>
      <c r="BB43" s="13" t="s">
        <v>349</v>
      </c>
      <c r="BC43" s="13" t="s">
        <v>5026</v>
      </c>
      <c r="BD43" s="13" t="s">
        <v>327</v>
      </c>
      <c r="BE43" s="13"/>
      <c r="BF43" s="210"/>
      <c r="BG43" s="210"/>
      <c r="BH43" s="13"/>
      <c r="BJ43" s="13">
        <v>41</v>
      </c>
      <c r="BK43" s="13"/>
      <c r="BL43" s="13"/>
      <c r="BM43" s="13"/>
      <c r="BN43" s="13" t="e">
        <f>"PKWT-"&amp;#REF!&amp;"/D1/2020"</f>
        <v>#REF!</v>
      </c>
      <c r="BO43" s="192"/>
      <c r="BP43" s="174"/>
      <c r="BQ43" s="13"/>
      <c r="BR43" s="13"/>
      <c r="BS43" s="174"/>
      <c r="BT43" s="174"/>
      <c r="BU43" s="13"/>
      <c r="BV43" s="13"/>
      <c r="BW43" s="111"/>
      <c r="BX43" s="111"/>
      <c r="BY43" s="13"/>
      <c r="BZ43" s="210">
        <v>44690</v>
      </c>
      <c r="CA43" s="13" t="s">
        <v>4734</v>
      </c>
      <c r="CB43" s="86" t="s">
        <v>4735</v>
      </c>
      <c r="CC43" s="175"/>
      <c r="CE43" s="86" t="e">
        <f>VLOOKUP(C43,[1]Sertifikasi!$B$4:$I$19,8,0)</f>
        <v>#N/A</v>
      </c>
    </row>
    <row r="44" spans="1:83" ht="11.25" customHeight="1" x14ac:dyDescent="0.2">
      <c r="B44" s="13">
        <v>41</v>
      </c>
      <c r="C44" s="13" t="s">
        <v>5027</v>
      </c>
      <c r="D44" s="109">
        <v>642102108</v>
      </c>
      <c r="E44" s="110">
        <v>1710007309118</v>
      </c>
      <c r="F44" s="110"/>
      <c r="G44" s="13" t="s">
        <v>217</v>
      </c>
      <c r="H44" s="13" t="s">
        <v>217</v>
      </c>
      <c r="I44" s="210">
        <v>44242</v>
      </c>
      <c r="J44" s="112">
        <f t="shared" si="4"/>
        <v>1</v>
      </c>
      <c r="K44" s="13">
        <f t="shared" si="5"/>
        <v>3</v>
      </c>
      <c r="L44" s="210"/>
      <c r="M44" s="13" t="str">
        <f t="shared" si="6"/>
        <v>PKWT</v>
      </c>
      <c r="N44" s="13"/>
      <c r="O44" s="210">
        <v>44606</v>
      </c>
      <c r="Q44" s="13" t="s">
        <v>141</v>
      </c>
      <c r="R44" s="13" t="s">
        <v>23</v>
      </c>
      <c r="S44" s="13" t="s">
        <v>204</v>
      </c>
      <c r="T44" s="13" t="s">
        <v>51</v>
      </c>
      <c r="U44" s="13"/>
      <c r="V44" s="13"/>
      <c r="W44" s="13"/>
      <c r="Y44" s="86" t="s">
        <v>132</v>
      </c>
      <c r="Z44" s="13" t="s">
        <v>311</v>
      </c>
      <c r="AA44" s="210">
        <v>34490</v>
      </c>
      <c r="AB44" s="109">
        <f t="shared" ca="1" si="7"/>
        <v>31</v>
      </c>
      <c r="AC44" s="13" t="s">
        <v>5028</v>
      </c>
      <c r="AD44" s="13" t="s">
        <v>5029</v>
      </c>
      <c r="AE44" s="115" t="s">
        <v>5030</v>
      </c>
      <c r="AG44" s="13" t="s">
        <v>5031</v>
      </c>
      <c r="AH44" s="115" t="s">
        <v>5032</v>
      </c>
      <c r="AI44" s="115"/>
      <c r="AJ44" s="13" t="s">
        <v>4716</v>
      </c>
      <c r="AK44" s="13"/>
      <c r="AL44" s="13"/>
      <c r="AM44" s="13"/>
      <c r="AN44" s="197"/>
      <c r="AW44" s="13" t="s">
        <v>161</v>
      </c>
      <c r="AX44" s="13" t="s">
        <v>349</v>
      </c>
      <c r="AY44" s="13" t="s">
        <v>5026</v>
      </c>
      <c r="AZ44" s="13" t="s">
        <v>327</v>
      </c>
      <c r="BA44" s="13"/>
      <c r="BB44" s="13" t="s">
        <v>349</v>
      </c>
      <c r="BC44" s="13" t="s">
        <v>5026</v>
      </c>
      <c r="BD44" s="13" t="s">
        <v>327</v>
      </c>
      <c r="BE44" s="13"/>
      <c r="BH44" s="13"/>
      <c r="BI44" s="13">
        <v>31</v>
      </c>
      <c r="BJ44" s="13">
        <v>41</v>
      </c>
      <c r="BL44" s="13"/>
      <c r="BM44" s="13"/>
      <c r="BN44" s="13" t="e">
        <f>"PKWT-"&amp;#REF!&amp;"/D1/2020"</f>
        <v>#REF!</v>
      </c>
      <c r="BO44" s="174"/>
      <c r="BP44" s="192"/>
      <c r="BQ44" s="13"/>
      <c r="BR44" s="13"/>
      <c r="BS44" s="174"/>
      <c r="BT44" s="174"/>
      <c r="BU44" s="13"/>
      <c r="BV44" s="13"/>
      <c r="BW44" s="111"/>
      <c r="BX44" s="111"/>
      <c r="BY44" s="111"/>
      <c r="BZ44" s="210">
        <v>44712</v>
      </c>
      <c r="CA44" s="13" t="s">
        <v>4734</v>
      </c>
      <c r="CB44" s="86" t="s">
        <v>4735</v>
      </c>
      <c r="CC44" s="175"/>
      <c r="CE44" s="86" t="e">
        <f>VLOOKUP(C44,[1]Sertifikasi!$B$4:$I$19,8,0)</f>
        <v>#N/A</v>
      </c>
    </row>
    <row r="45" spans="1:83" ht="11.25" customHeight="1" x14ac:dyDescent="0.2">
      <c r="B45" s="13">
        <v>42</v>
      </c>
      <c r="C45" s="13" t="s">
        <v>5033</v>
      </c>
      <c r="D45" s="109">
        <v>642001066</v>
      </c>
      <c r="E45" s="110">
        <v>1710003988337</v>
      </c>
      <c r="F45" s="110"/>
      <c r="G45" s="13" t="s">
        <v>217</v>
      </c>
      <c r="H45" s="13" t="s">
        <v>217</v>
      </c>
      <c r="I45" s="210">
        <v>42461</v>
      </c>
      <c r="J45" s="112">
        <f t="shared" si="4"/>
        <v>6</v>
      </c>
      <c r="K45" s="13">
        <f t="shared" si="5"/>
        <v>3</v>
      </c>
      <c r="L45" s="210"/>
      <c r="M45" s="13" t="str">
        <f t="shared" si="6"/>
        <v>PKWT</v>
      </c>
      <c r="N45" s="13"/>
      <c r="O45" s="210">
        <v>44926</v>
      </c>
      <c r="Q45" s="13" t="s">
        <v>140</v>
      </c>
      <c r="R45" s="13" t="s">
        <v>217</v>
      </c>
      <c r="S45" s="13" t="s">
        <v>204</v>
      </c>
      <c r="T45" s="13" t="s">
        <v>18</v>
      </c>
      <c r="U45" s="13"/>
      <c r="V45" s="187"/>
      <c r="W45" s="187"/>
      <c r="Y45" s="13" t="s">
        <v>314</v>
      </c>
      <c r="Z45" s="13" t="s">
        <v>217</v>
      </c>
      <c r="AA45" s="210">
        <v>29877</v>
      </c>
      <c r="AB45" s="109">
        <f t="shared" ca="1" si="7"/>
        <v>43</v>
      </c>
      <c r="AC45" s="13" t="s">
        <v>5034</v>
      </c>
      <c r="AD45" s="13" t="s">
        <v>5035</v>
      </c>
      <c r="AE45" s="115" t="s">
        <v>5036</v>
      </c>
      <c r="AG45" s="115" t="s">
        <v>5037</v>
      </c>
      <c r="AH45" s="115" t="s">
        <v>5038</v>
      </c>
      <c r="AI45" s="115">
        <v>16048981308</v>
      </c>
      <c r="AJ45" s="13" t="s">
        <v>4733</v>
      </c>
      <c r="AK45" s="109"/>
      <c r="AM45" s="13"/>
      <c r="AN45" s="13"/>
      <c r="AW45" s="13" t="s">
        <v>161</v>
      </c>
      <c r="AX45" s="13" t="s">
        <v>349</v>
      </c>
      <c r="AY45" s="13" t="s">
        <v>515</v>
      </c>
      <c r="AZ45" s="13" t="s">
        <v>663</v>
      </c>
      <c r="BA45" s="13"/>
      <c r="BB45" s="13" t="s">
        <v>475</v>
      </c>
      <c r="BC45" s="13" t="s">
        <v>515</v>
      </c>
      <c r="BD45" s="13" t="s">
        <v>663</v>
      </c>
      <c r="BE45" s="13"/>
      <c r="BF45" s="210"/>
      <c r="BG45" s="210"/>
      <c r="BH45" s="13"/>
      <c r="BJ45" s="13">
        <v>42</v>
      </c>
      <c r="BK45" s="13"/>
      <c r="BO45" s="174">
        <v>43467</v>
      </c>
      <c r="BP45" s="174">
        <v>43830</v>
      </c>
      <c r="BQ45" s="13" t="s">
        <v>5039</v>
      </c>
      <c r="BR45" s="13" t="e">
        <f>"PKWT-"&amp;#REF!&amp;"/D1/2020"</f>
        <v>#REF!</v>
      </c>
      <c r="BS45" s="174"/>
      <c r="BT45" s="174"/>
      <c r="BU45" s="13"/>
      <c r="BV45" s="13"/>
      <c r="BW45" s="111"/>
      <c r="BX45" s="111"/>
      <c r="BY45" s="13"/>
      <c r="BZ45" s="210">
        <v>44749</v>
      </c>
      <c r="CA45" s="13" t="s">
        <v>4734</v>
      </c>
      <c r="CB45" s="86" t="s">
        <v>4735</v>
      </c>
      <c r="CC45" s="175"/>
      <c r="CE45" s="86" t="e">
        <f>VLOOKUP(C45,[1]Sertifikasi!$B$4:$I$19,8,0)</f>
        <v>#N/A</v>
      </c>
    </row>
    <row r="46" spans="1:83" ht="11.25" customHeight="1" x14ac:dyDescent="0.2">
      <c r="B46" s="13">
        <v>43</v>
      </c>
      <c r="C46" s="13" t="s">
        <v>5040</v>
      </c>
      <c r="D46" s="109">
        <v>642001018</v>
      </c>
      <c r="E46" s="110">
        <v>1710003987982</v>
      </c>
      <c r="F46" s="110"/>
      <c r="G46" s="13" t="s">
        <v>217</v>
      </c>
      <c r="H46" s="13" t="s">
        <v>217</v>
      </c>
      <c r="I46" s="213">
        <v>42401</v>
      </c>
      <c r="J46" s="112">
        <f t="shared" si="4"/>
        <v>6</v>
      </c>
      <c r="K46" s="13">
        <f t="shared" si="5"/>
        <v>5</v>
      </c>
      <c r="L46" s="210"/>
      <c r="M46" s="13" t="str">
        <f t="shared" si="6"/>
        <v>PKWT</v>
      </c>
      <c r="N46" s="13"/>
      <c r="O46" s="210">
        <v>44926</v>
      </c>
      <c r="Q46" s="13" t="s">
        <v>141</v>
      </c>
      <c r="R46" s="13" t="s">
        <v>217</v>
      </c>
      <c r="S46" s="13" t="s">
        <v>204</v>
      </c>
      <c r="T46" s="13" t="s">
        <v>18</v>
      </c>
      <c r="U46" s="13"/>
      <c r="V46" s="187"/>
      <c r="W46" s="187"/>
      <c r="Y46" s="13" t="s">
        <v>314</v>
      </c>
      <c r="Z46" s="13" t="s">
        <v>217</v>
      </c>
      <c r="AA46" s="210">
        <v>32373</v>
      </c>
      <c r="AB46" s="109">
        <f t="shared" ca="1" si="7"/>
        <v>37</v>
      </c>
      <c r="AC46" s="13" t="s">
        <v>5041</v>
      </c>
      <c r="AD46" s="13" t="s">
        <v>5042</v>
      </c>
      <c r="AE46" s="115" t="s">
        <v>5043</v>
      </c>
      <c r="AG46" s="115" t="s">
        <v>5044</v>
      </c>
      <c r="AH46" s="115" t="s">
        <v>5045</v>
      </c>
      <c r="AI46" s="115">
        <v>16006271957</v>
      </c>
      <c r="AJ46" s="13" t="s">
        <v>4716</v>
      </c>
      <c r="AK46" s="109"/>
      <c r="AM46" s="13"/>
      <c r="AN46" s="13"/>
      <c r="AW46" s="13" t="s">
        <v>161</v>
      </c>
      <c r="AX46" s="13" t="s">
        <v>349</v>
      </c>
      <c r="AY46" s="13" t="s">
        <v>838</v>
      </c>
      <c r="AZ46" s="13" t="s">
        <v>5046</v>
      </c>
      <c r="BA46" s="13"/>
      <c r="BB46" s="13" t="s">
        <v>475</v>
      </c>
      <c r="BC46" s="13" t="s">
        <v>838</v>
      </c>
      <c r="BD46" s="13" t="s">
        <v>5046</v>
      </c>
      <c r="BE46" s="13"/>
      <c r="BF46" s="210"/>
      <c r="BG46" s="210"/>
      <c r="BH46" s="13"/>
      <c r="BJ46" s="13">
        <v>42</v>
      </c>
      <c r="BK46" s="13"/>
      <c r="BO46" s="174">
        <v>43467</v>
      </c>
      <c r="BP46" s="174">
        <v>43830</v>
      </c>
      <c r="BQ46" s="13" t="s">
        <v>5047</v>
      </c>
      <c r="BR46" s="13" t="e">
        <f>"PKWT-"&amp;#REF!&amp;"/D1/2020"</f>
        <v>#REF!</v>
      </c>
      <c r="BS46" s="174"/>
      <c r="BT46" s="174"/>
      <c r="BU46" s="13"/>
      <c r="BV46" s="13"/>
      <c r="BW46" s="111"/>
      <c r="BX46" s="111"/>
      <c r="BY46" s="13"/>
      <c r="BZ46" s="210">
        <v>44749</v>
      </c>
      <c r="CA46" s="13" t="s">
        <v>4734</v>
      </c>
      <c r="CB46" s="86" t="s">
        <v>4735</v>
      </c>
      <c r="CC46" s="175"/>
      <c r="CE46" s="86" t="e">
        <f>VLOOKUP(C46,[1]Sertifikasi!$B$4:$I$19,8,0)</f>
        <v>#N/A</v>
      </c>
    </row>
    <row r="47" spans="1:83" ht="11.25" customHeight="1" x14ac:dyDescent="0.2">
      <c r="B47" s="13">
        <v>44</v>
      </c>
      <c r="C47" s="13" t="s">
        <v>5048</v>
      </c>
      <c r="D47" s="109">
        <v>642201147</v>
      </c>
      <c r="E47" s="110">
        <v>9000038403904</v>
      </c>
      <c r="F47" s="110"/>
      <c r="G47" s="13" t="s">
        <v>217</v>
      </c>
      <c r="H47" s="13" t="s">
        <v>217</v>
      </c>
      <c r="I47" s="210">
        <v>44596</v>
      </c>
      <c r="J47" s="112">
        <f t="shared" si="4"/>
        <v>0</v>
      </c>
      <c r="K47" s="13">
        <f t="shared" si="5"/>
        <v>5</v>
      </c>
      <c r="L47" s="210"/>
      <c r="M47" s="13" t="str">
        <f t="shared" si="6"/>
        <v>PKWT</v>
      </c>
      <c r="N47" s="13"/>
      <c r="O47" s="210">
        <v>44960</v>
      </c>
      <c r="Q47" s="13" t="s">
        <v>141</v>
      </c>
      <c r="R47" s="13" t="s">
        <v>23</v>
      </c>
      <c r="S47" s="13" t="s">
        <v>204</v>
      </c>
      <c r="T47" s="13" t="s">
        <v>51</v>
      </c>
      <c r="U47" s="13"/>
      <c r="V47" s="13"/>
      <c r="W47" s="13"/>
      <c r="Y47" s="13" t="s">
        <v>314</v>
      </c>
      <c r="Z47" s="13" t="s">
        <v>217</v>
      </c>
      <c r="AA47" s="210">
        <v>35806</v>
      </c>
      <c r="AB47" s="109">
        <f t="shared" ca="1" si="7"/>
        <v>27</v>
      </c>
      <c r="AC47" s="13" t="s">
        <v>5049</v>
      </c>
      <c r="AD47" s="13" t="s">
        <v>5050</v>
      </c>
      <c r="AE47" s="115" t="s">
        <v>5051</v>
      </c>
      <c r="AG47" s="115" t="s">
        <v>5052</v>
      </c>
      <c r="AH47" s="115" t="s">
        <v>5053</v>
      </c>
      <c r="AI47" s="115"/>
      <c r="AJ47" s="13" t="s">
        <v>4716</v>
      </c>
      <c r="AK47" s="109"/>
      <c r="AM47" s="13"/>
      <c r="AN47" s="13"/>
      <c r="AW47" s="13" t="s">
        <v>161</v>
      </c>
      <c r="AX47" s="13" t="s">
        <v>307</v>
      </c>
      <c r="AY47" s="13" t="s">
        <v>91</v>
      </c>
      <c r="AZ47" s="13" t="s">
        <v>1631</v>
      </c>
      <c r="BA47" s="13"/>
      <c r="BB47" s="13" t="s">
        <v>307</v>
      </c>
      <c r="BC47" s="13" t="s">
        <v>91</v>
      </c>
      <c r="BD47" s="13" t="s">
        <v>1631</v>
      </c>
      <c r="BE47" s="13"/>
      <c r="BF47" s="210"/>
      <c r="BG47" s="210"/>
      <c r="BH47" s="13"/>
      <c r="BJ47" s="13"/>
      <c r="BK47" s="13"/>
      <c r="BL47" s="13"/>
      <c r="BM47" s="13"/>
      <c r="BN47" s="13"/>
      <c r="BO47" s="174"/>
      <c r="BP47" s="174"/>
      <c r="BQ47" s="13"/>
      <c r="BR47" s="13"/>
      <c r="BS47" s="174"/>
      <c r="BT47" s="174"/>
      <c r="BU47" s="13"/>
      <c r="BV47" s="13"/>
      <c r="BW47" s="111"/>
      <c r="BX47" s="111"/>
      <c r="BY47" s="13"/>
      <c r="BZ47" s="210">
        <v>44773</v>
      </c>
      <c r="CA47" s="13" t="s">
        <v>4734</v>
      </c>
      <c r="CB47" s="86" t="s">
        <v>4735</v>
      </c>
      <c r="CC47" s="175"/>
      <c r="CE47" s="86" t="e">
        <f>VLOOKUP(C47,[1]Sertifikasi!$B$4:$I$19,8,0)</f>
        <v>#N/A</v>
      </c>
    </row>
    <row r="48" spans="1:83" ht="11.25" customHeight="1" x14ac:dyDescent="0.2">
      <c r="B48" s="13">
        <v>45</v>
      </c>
      <c r="C48" s="13" t="s">
        <v>5054</v>
      </c>
      <c r="D48" s="109">
        <v>642111120</v>
      </c>
      <c r="E48" s="110"/>
      <c r="F48" s="110">
        <v>7089528857</v>
      </c>
      <c r="G48" s="13" t="s">
        <v>24</v>
      </c>
      <c r="H48" s="13" t="s">
        <v>24</v>
      </c>
      <c r="I48" s="210">
        <v>44517</v>
      </c>
      <c r="J48" s="112">
        <f t="shared" si="4"/>
        <v>0</v>
      </c>
      <c r="K48" s="13">
        <f t="shared" si="5"/>
        <v>8</v>
      </c>
      <c r="L48" s="210"/>
      <c r="M48" s="13" t="str">
        <f t="shared" si="6"/>
        <v>PKWT</v>
      </c>
      <c r="N48" s="13"/>
      <c r="O48" s="210">
        <v>45062</v>
      </c>
      <c r="Q48" s="13" t="s">
        <v>141</v>
      </c>
      <c r="R48" s="13" t="s">
        <v>24</v>
      </c>
      <c r="S48" s="13" t="s">
        <v>204</v>
      </c>
      <c r="T48" s="13" t="s">
        <v>4813</v>
      </c>
      <c r="U48" s="13"/>
      <c r="V48" s="13"/>
      <c r="W48" s="13"/>
      <c r="Y48" s="13" t="s">
        <v>314</v>
      </c>
      <c r="Z48" s="13" t="s">
        <v>5055</v>
      </c>
      <c r="AA48" s="210">
        <v>21736</v>
      </c>
      <c r="AB48" s="109">
        <f t="shared" ca="1" si="7"/>
        <v>66</v>
      </c>
      <c r="AC48" s="13"/>
      <c r="AD48" s="13" t="s">
        <v>5056</v>
      </c>
      <c r="AE48" s="115" t="s">
        <v>5057</v>
      </c>
      <c r="AG48" s="115" t="s">
        <v>5058</v>
      </c>
      <c r="AH48" s="115" t="s">
        <v>5059</v>
      </c>
      <c r="AI48" s="110"/>
      <c r="AJ48" s="13" t="s">
        <v>4733</v>
      </c>
      <c r="AK48" s="109"/>
      <c r="AM48" s="13"/>
      <c r="AN48" s="13"/>
      <c r="AW48" s="13" t="s">
        <v>161</v>
      </c>
      <c r="AX48" s="13" t="s">
        <v>349</v>
      </c>
      <c r="AY48" s="13" t="s">
        <v>91</v>
      </c>
      <c r="AZ48" s="13" t="s">
        <v>5060</v>
      </c>
      <c r="BA48" s="13"/>
      <c r="BB48" s="13" t="s">
        <v>349</v>
      </c>
      <c r="BC48" s="13" t="s">
        <v>91</v>
      </c>
      <c r="BD48" s="13" t="s">
        <v>5060</v>
      </c>
      <c r="BE48" s="13"/>
      <c r="BF48" s="210"/>
      <c r="BG48" s="210"/>
      <c r="BH48" s="13"/>
      <c r="BJ48" s="13"/>
      <c r="BK48" s="13"/>
      <c r="BL48" s="13"/>
      <c r="BM48" s="13"/>
      <c r="BN48" s="13"/>
      <c r="BO48" s="174"/>
      <c r="BP48" s="174"/>
      <c r="BQ48" s="13"/>
      <c r="BR48" s="13"/>
      <c r="BS48" s="174"/>
      <c r="BT48" s="174"/>
      <c r="BU48" s="13"/>
      <c r="BV48" s="13"/>
      <c r="BW48" s="111"/>
      <c r="BX48" s="111"/>
      <c r="BY48" s="13"/>
      <c r="BZ48" s="210">
        <v>44773</v>
      </c>
      <c r="CA48" s="13" t="s">
        <v>4727</v>
      </c>
      <c r="CB48" s="13"/>
      <c r="CC48" s="119"/>
      <c r="CE48" s="86" t="e">
        <f>VLOOKUP(C48,[1]Sertifikasi!$B$4:$I$19,8,0)</f>
        <v>#N/A</v>
      </c>
    </row>
    <row r="49" spans="1:83" ht="11.25" customHeight="1" x14ac:dyDescent="0.2">
      <c r="B49" s="13">
        <v>46</v>
      </c>
      <c r="C49" s="86" t="s">
        <v>5061</v>
      </c>
      <c r="D49" s="109">
        <v>991000013</v>
      </c>
      <c r="E49" s="198" t="s">
        <v>5062</v>
      </c>
      <c r="F49" s="198"/>
      <c r="G49" s="86" t="s">
        <v>204</v>
      </c>
      <c r="H49" s="86" t="s">
        <v>217</v>
      </c>
      <c r="I49" s="210">
        <v>44575</v>
      </c>
      <c r="J49" s="112">
        <f t="shared" si="4"/>
        <v>0</v>
      </c>
      <c r="K49" s="13">
        <f t="shared" si="5"/>
        <v>6</v>
      </c>
      <c r="L49" s="210"/>
      <c r="M49" s="13" t="str">
        <f t="shared" si="6"/>
        <v>Organik</v>
      </c>
      <c r="N49" s="86" t="s">
        <v>294</v>
      </c>
      <c r="O49" s="213">
        <v>40210</v>
      </c>
      <c r="P49" s="86" t="s">
        <v>5063</v>
      </c>
      <c r="Q49" s="86" t="s">
        <v>2686</v>
      </c>
      <c r="R49" s="86" t="s">
        <v>4711</v>
      </c>
      <c r="Y49" s="86" t="s">
        <v>132</v>
      </c>
      <c r="Z49" s="86" t="s">
        <v>217</v>
      </c>
      <c r="AA49" s="210">
        <v>31440</v>
      </c>
      <c r="AB49" s="109">
        <f t="shared" ca="1" si="7"/>
        <v>39</v>
      </c>
      <c r="AC49" s="86" t="s">
        <v>5064</v>
      </c>
      <c r="AD49" s="86" t="s">
        <v>5065</v>
      </c>
      <c r="AE49" s="186" t="s">
        <v>5066</v>
      </c>
      <c r="AG49" s="13" t="s">
        <v>5067</v>
      </c>
      <c r="AH49" s="186">
        <v>9025984288</v>
      </c>
      <c r="AI49" s="186" t="s">
        <v>5068</v>
      </c>
      <c r="AJ49" s="86" t="s">
        <v>4733</v>
      </c>
      <c r="AK49" s="86" t="s">
        <v>5069</v>
      </c>
      <c r="AW49" s="86" t="s">
        <v>161</v>
      </c>
      <c r="AX49" s="86" t="s">
        <v>75</v>
      </c>
      <c r="AY49" s="86" t="s">
        <v>5070</v>
      </c>
      <c r="AZ49" s="86" t="s">
        <v>5071</v>
      </c>
      <c r="BB49" s="86" t="s">
        <v>75</v>
      </c>
      <c r="BC49" s="86" t="s">
        <v>5070</v>
      </c>
      <c r="BD49" s="86" t="s">
        <v>5071</v>
      </c>
      <c r="BH49" s="194"/>
      <c r="BM49" s="87"/>
      <c r="BN49" s="87"/>
      <c r="BO49" s="174"/>
      <c r="BP49" s="174"/>
      <c r="BQ49" s="13"/>
      <c r="BR49" s="13"/>
      <c r="BS49" s="174"/>
      <c r="BT49" s="174"/>
      <c r="BU49" s="13"/>
      <c r="BV49" s="13"/>
      <c r="BW49" s="111"/>
      <c r="BX49" s="111"/>
      <c r="BY49" s="13"/>
      <c r="BZ49" s="210">
        <v>44777</v>
      </c>
      <c r="CA49" s="13" t="s">
        <v>5004</v>
      </c>
      <c r="CB49" s="13"/>
      <c r="CC49" s="119"/>
      <c r="CE49" s="86" t="e">
        <f>VLOOKUP(C49,[1]Sertifikasi!$B$4:$I$19,8,0)</f>
        <v>#N/A</v>
      </c>
    </row>
    <row r="50" spans="1:83" ht="11.25" customHeight="1" x14ac:dyDescent="0.2">
      <c r="B50" s="13">
        <v>47</v>
      </c>
      <c r="C50" s="13" t="s">
        <v>5072</v>
      </c>
      <c r="D50" s="109">
        <v>641809177</v>
      </c>
      <c r="E50" s="110">
        <v>1710004667849</v>
      </c>
      <c r="F50" s="110"/>
      <c r="G50" s="13" t="s">
        <v>25</v>
      </c>
      <c r="H50" s="13" t="s">
        <v>25</v>
      </c>
      <c r="I50" s="210">
        <v>43356</v>
      </c>
      <c r="J50" s="112">
        <f t="shared" si="4"/>
        <v>3</v>
      </c>
      <c r="K50" s="13">
        <f t="shared" si="5"/>
        <v>11</v>
      </c>
      <c r="L50" s="210"/>
      <c r="M50" s="13" t="str">
        <f t="shared" si="6"/>
        <v>PKWT</v>
      </c>
      <c r="N50" s="13"/>
      <c r="O50" s="210">
        <v>44815</v>
      </c>
      <c r="Q50" s="13" t="s">
        <v>141</v>
      </c>
      <c r="R50" s="13" t="s">
        <v>25</v>
      </c>
      <c r="S50" s="13" t="s">
        <v>443</v>
      </c>
      <c r="T50" s="13" t="s">
        <v>57</v>
      </c>
      <c r="U50" s="13"/>
      <c r="V50" s="187"/>
      <c r="W50" s="187"/>
      <c r="Y50" s="86" t="s">
        <v>132</v>
      </c>
      <c r="Z50" s="13" t="s">
        <v>5073</v>
      </c>
      <c r="AA50" s="210">
        <v>34291</v>
      </c>
      <c r="AB50" s="109">
        <f t="shared" ca="1" si="7"/>
        <v>31</v>
      </c>
      <c r="AC50" s="13" t="s">
        <v>5074</v>
      </c>
      <c r="AD50" s="13" t="s">
        <v>5075</v>
      </c>
      <c r="AE50" s="115" t="s">
        <v>5076</v>
      </c>
      <c r="AH50" s="115" t="s">
        <v>5077</v>
      </c>
      <c r="AI50" s="110">
        <v>18070554052</v>
      </c>
      <c r="AJ50" s="13" t="s">
        <v>4716</v>
      </c>
      <c r="AK50" s="13"/>
      <c r="AN50" s="188">
        <v>0</v>
      </c>
      <c r="AO50" s="13"/>
      <c r="AP50" s="13"/>
      <c r="AQ50" s="13"/>
      <c r="AR50" s="13"/>
      <c r="AS50" s="13"/>
      <c r="AT50" s="13">
        <v>0</v>
      </c>
      <c r="AU50" s="13" t="s">
        <v>5078</v>
      </c>
      <c r="AW50" s="86" t="s">
        <v>161</v>
      </c>
      <c r="AX50" s="13" t="s">
        <v>349</v>
      </c>
      <c r="AY50" s="13" t="s">
        <v>4502</v>
      </c>
      <c r="AZ50" s="13" t="s">
        <v>5079</v>
      </c>
      <c r="BA50" s="13"/>
      <c r="BB50" s="13" t="s">
        <v>475</v>
      </c>
      <c r="BC50" s="13" t="s">
        <v>4502</v>
      </c>
      <c r="BD50" s="13" t="s">
        <v>5079</v>
      </c>
      <c r="BE50" s="13"/>
      <c r="BF50" s="210"/>
      <c r="BG50" s="210"/>
      <c r="BH50" s="13"/>
      <c r="BJ50" s="13"/>
      <c r="BK50" s="13"/>
      <c r="BL50" s="13"/>
      <c r="BM50" s="13"/>
      <c r="BN50" s="13"/>
      <c r="BO50" s="174"/>
      <c r="BP50" s="174"/>
      <c r="BQ50" s="13"/>
      <c r="BR50" s="13"/>
      <c r="BS50" s="174"/>
      <c r="BT50" s="174"/>
      <c r="BU50" s="13"/>
      <c r="BV50" s="13"/>
      <c r="BW50" s="111"/>
      <c r="BX50" s="111"/>
      <c r="BY50" s="13"/>
      <c r="BZ50" s="210">
        <v>44816</v>
      </c>
      <c r="CA50" s="13" t="s">
        <v>4734</v>
      </c>
      <c r="CB50" s="86" t="s">
        <v>4735</v>
      </c>
      <c r="CC50" s="175"/>
      <c r="CE50" s="86" t="e">
        <f>VLOOKUP(C50,[1]Sertifikasi!$B$4:$I$19,8,0)</f>
        <v>#N/A</v>
      </c>
    </row>
    <row r="51" spans="1:83" ht="11.25" customHeight="1" x14ac:dyDescent="0.2">
      <c r="B51" s="13">
        <v>48</v>
      </c>
      <c r="C51" s="13" t="s">
        <v>5080</v>
      </c>
      <c r="D51" s="109">
        <v>642001051</v>
      </c>
      <c r="E51" s="196" t="s">
        <v>5081</v>
      </c>
      <c r="F51" s="186"/>
      <c r="G51" s="13" t="s">
        <v>28</v>
      </c>
      <c r="H51" s="13" t="s">
        <v>217</v>
      </c>
      <c r="I51" s="210">
        <v>43752</v>
      </c>
      <c r="J51" s="112">
        <f t="shared" si="4"/>
        <v>2</v>
      </c>
      <c r="K51" s="13">
        <f t="shared" si="5"/>
        <v>11</v>
      </c>
      <c r="L51" s="210"/>
      <c r="M51" s="13" t="str">
        <f t="shared" si="6"/>
        <v>PKWT</v>
      </c>
      <c r="N51" s="13"/>
      <c r="O51" s="210">
        <v>44926</v>
      </c>
      <c r="Q51" s="13" t="s">
        <v>139</v>
      </c>
      <c r="R51" s="13" t="s">
        <v>4711</v>
      </c>
      <c r="S51" s="13"/>
      <c r="T51" s="13"/>
      <c r="U51" s="13"/>
      <c r="V51" s="13"/>
      <c r="W51" s="13"/>
      <c r="X51" s="13"/>
      <c r="Y51" s="13" t="s">
        <v>133</v>
      </c>
      <c r="Z51" s="13" t="s">
        <v>23</v>
      </c>
      <c r="AA51" s="210">
        <v>35904</v>
      </c>
      <c r="AB51" s="109">
        <f t="shared" ca="1" si="7"/>
        <v>27</v>
      </c>
      <c r="AC51" s="13" t="s">
        <v>5082</v>
      </c>
      <c r="AD51" s="13" t="s">
        <v>5083</v>
      </c>
      <c r="AE51" s="115" t="s">
        <v>5084</v>
      </c>
      <c r="AH51" s="115" t="s">
        <v>5085</v>
      </c>
      <c r="AI51" s="115" t="s">
        <v>5086</v>
      </c>
      <c r="AJ51" s="13" t="s">
        <v>4716</v>
      </c>
      <c r="AK51" s="13"/>
      <c r="AN51" s="112"/>
      <c r="AO51" s="112"/>
      <c r="AP51" s="112"/>
      <c r="AQ51" s="112"/>
      <c r="AR51" s="112"/>
      <c r="AS51" s="112"/>
      <c r="AT51" s="13">
        <v>0</v>
      </c>
      <c r="AU51" s="13" t="s">
        <v>5078</v>
      </c>
      <c r="AW51" s="86" t="s">
        <v>161</v>
      </c>
      <c r="AX51" s="13" t="s">
        <v>70</v>
      </c>
      <c r="AY51" s="13" t="s">
        <v>5087</v>
      </c>
      <c r="AZ51" s="13" t="s">
        <v>402</v>
      </c>
      <c r="BA51" s="13"/>
      <c r="BB51" s="13" t="s">
        <v>70</v>
      </c>
      <c r="BC51" s="13" t="s">
        <v>5088</v>
      </c>
      <c r="BD51" s="13" t="s">
        <v>402</v>
      </c>
      <c r="BE51" s="13"/>
      <c r="BF51" s="213"/>
      <c r="BG51" s="213"/>
      <c r="BH51" s="13"/>
      <c r="BJ51" s="111"/>
      <c r="BK51" s="111"/>
      <c r="BL51" s="13"/>
      <c r="BM51" s="13"/>
      <c r="BN51" s="13"/>
      <c r="BO51" s="174"/>
      <c r="BP51" s="174"/>
      <c r="BQ51" s="13"/>
      <c r="BR51" s="13"/>
      <c r="BS51" s="174"/>
      <c r="BT51" s="174"/>
      <c r="BU51" s="13"/>
      <c r="BV51" s="13"/>
      <c r="BW51" s="111"/>
      <c r="BX51" s="111"/>
      <c r="BY51" s="13"/>
      <c r="BZ51" s="210">
        <v>44827</v>
      </c>
      <c r="CA51" s="13" t="s">
        <v>4734</v>
      </c>
      <c r="CB51" s="86" t="s">
        <v>4735</v>
      </c>
      <c r="CC51" s="175"/>
      <c r="CE51" s="86" t="e">
        <f>VLOOKUP(C51,[1]Sertifikasi!$B$4:$I$19,8,0)</f>
        <v>#N/A</v>
      </c>
    </row>
    <row r="52" spans="1:83" ht="11.25" customHeight="1" x14ac:dyDescent="0.2">
      <c r="B52" s="13">
        <v>49</v>
      </c>
      <c r="C52" s="13" t="s">
        <v>5089</v>
      </c>
      <c r="D52" s="109">
        <v>642109116</v>
      </c>
      <c r="E52" s="110">
        <v>1380019937205</v>
      </c>
      <c r="F52" s="115"/>
      <c r="G52" s="13" t="s">
        <v>23</v>
      </c>
      <c r="H52" s="13" t="s">
        <v>23</v>
      </c>
      <c r="I52" s="210">
        <v>44487</v>
      </c>
      <c r="J52" s="112">
        <f t="shared" si="4"/>
        <v>1</v>
      </c>
      <c r="K52" s="13">
        <f t="shared" si="5"/>
        <v>0</v>
      </c>
      <c r="L52" s="210"/>
      <c r="M52" s="13" t="str">
        <f t="shared" si="6"/>
        <v>PKWT</v>
      </c>
      <c r="N52" s="13"/>
      <c r="O52" s="210">
        <v>44851</v>
      </c>
      <c r="Q52" s="13" t="s">
        <v>141</v>
      </c>
      <c r="R52" s="13" t="s">
        <v>23</v>
      </c>
      <c r="S52" s="13" t="s">
        <v>204</v>
      </c>
      <c r="T52" s="13" t="s">
        <v>51</v>
      </c>
      <c r="U52" s="13"/>
      <c r="V52" s="13"/>
      <c r="W52" s="13"/>
      <c r="Y52" s="86" t="s">
        <v>132</v>
      </c>
      <c r="Z52" s="111" t="s">
        <v>5090</v>
      </c>
      <c r="AA52" s="210">
        <v>34780</v>
      </c>
      <c r="AB52" s="109">
        <f t="shared" ca="1" si="7"/>
        <v>30</v>
      </c>
      <c r="AC52" s="13" t="s">
        <v>5091</v>
      </c>
      <c r="AD52" s="13" t="s">
        <v>5092</v>
      </c>
      <c r="AE52" s="115" t="s">
        <v>5093</v>
      </c>
      <c r="AG52" s="13" t="s">
        <v>5094</v>
      </c>
      <c r="AH52" s="115" t="s">
        <v>5095</v>
      </c>
      <c r="AI52" s="115">
        <v>21076296140</v>
      </c>
      <c r="AJ52" s="13" t="s">
        <v>4733</v>
      </c>
      <c r="AN52" s="13"/>
      <c r="AU52" s="13"/>
      <c r="AW52" s="86" t="s">
        <v>161</v>
      </c>
      <c r="AX52" s="13" t="s">
        <v>349</v>
      </c>
      <c r="AY52" s="13" t="s">
        <v>515</v>
      </c>
      <c r="AZ52" s="13" t="s">
        <v>5096</v>
      </c>
      <c r="BA52" s="13"/>
      <c r="BB52" s="13" t="s">
        <v>349</v>
      </c>
      <c r="BC52" s="13" t="s">
        <v>515</v>
      </c>
      <c r="BD52" s="13" t="s">
        <v>5096</v>
      </c>
      <c r="BE52" s="13"/>
      <c r="BF52" s="210"/>
      <c r="BG52" s="210"/>
      <c r="BJ52" s="13"/>
      <c r="BK52" s="13"/>
      <c r="BL52" s="13"/>
      <c r="BM52" s="13"/>
      <c r="BN52" s="13"/>
      <c r="BO52" s="174"/>
      <c r="BP52" s="174"/>
      <c r="BQ52" s="13"/>
      <c r="BR52" s="13"/>
      <c r="BS52" s="174"/>
      <c r="BT52" s="174"/>
      <c r="BU52" s="13"/>
      <c r="BV52" s="13"/>
      <c r="BW52" s="111"/>
      <c r="BX52" s="111"/>
      <c r="BY52" s="13"/>
      <c r="BZ52" s="210">
        <v>44865</v>
      </c>
      <c r="CA52" s="13" t="s">
        <v>4734</v>
      </c>
      <c r="CB52" s="86" t="s">
        <v>4735</v>
      </c>
      <c r="CC52" s="175"/>
      <c r="CE52" s="86" t="e">
        <f>VLOOKUP(C52,[1]Sertifikasi!$B$4:$I$19,8,0)</f>
        <v>#N/A</v>
      </c>
    </row>
    <row r="53" spans="1:83" ht="11.25" customHeight="1" x14ac:dyDescent="0.2">
      <c r="B53" s="13">
        <v>50</v>
      </c>
      <c r="C53" s="13" t="s">
        <v>5097</v>
      </c>
      <c r="D53" s="109">
        <v>642109119</v>
      </c>
      <c r="E53" s="110"/>
      <c r="F53" s="110">
        <v>7179380597</v>
      </c>
      <c r="G53" s="13" t="s">
        <v>25</v>
      </c>
      <c r="H53" s="13" t="s">
        <v>25</v>
      </c>
      <c r="I53" s="210">
        <v>44490</v>
      </c>
      <c r="J53" s="112">
        <f t="shared" si="4"/>
        <v>1</v>
      </c>
      <c r="K53" s="13">
        <f t="shared" si="5"/>
        <v>1</v>
      </c>
      <c r="L53" s="210"/>
      <c r="M53" s="13" t="str">
        <f t="shared" si="6"/>
        <v>PKWT</v>
      </c>
      <c r="N53" s="13"/>
      <c r="O53" s="210">
        <v>45219</v>
      </c>
      <c r="Q53" s="13" t="s">
        <v>141</v>
      </c>
      <c r="R53" s="86" t="s">
        <v>25</v>
      </c>
      <c r="S53" s="13"/>
      <c r="T53" s="13"/>
      <c r="U53" s="13"/>
      <c r="V53" s="13"/>
      <c r="W53" s="13"/>
      <c r="X53" s="13"/>
      <c r="Y53" s="13" t="s">
        <v>132</v>
      </c>
      <c r="Z53" s="13" t="s">
        <v>5098</v>
      </c>
      <c r="AA53" s="210">
        <v>34733</v>
      </c>
      <c r="AB53" s="109">
        <f t="shared" ca="1" si="7"/>
        <v>30</v>
      </c>
      <c r="AC53" s="13" t="s">
        <v>5099</v>
      </c>
      <c r="AD53" s="13" t="s">
        <v>5100</v>
      </c>
      <c r="AE53" s="115" t="s">
        <v>5101</v>
      </c>
      <c r="AG53" s="115" t="s">
        <v>5102</v>
      </c>
      <c r="AH53" s="117" t="s">
        <v>5103</v>
      </c>
      <c r="AI53" s="110">
        <v>18012384303</v>
      </c>
      <c r="AJ53" s="13" t="s">
        <v>4716</v>
      </c>
      <c r="AN53" s="13"/>
      <c r="AU53" s="13" t="s">
        <v>5078</v>
      </c>
      <c r="AW53" s="13" t="s">
        <v>161</v>
      </c>
      <c r="AX53" s="13" t="s">
        <v>75</v>
      </c>
      <c r="AY53" s="13" t="s">
        <v>87</v>
      </c>
      <c r="AZ53" s="13" t="s">
        <v>5104</v>
      </c>
      <c r="BA53" s="13"/>
      <c r="BB53" s="13" t="s">
        <v>75</v>
      </c>
      <c r="BC53" s="13" t="s">
        <v>87</v>
      </c>
      <c r="BD53" s="13" t="s">
        <v>5105</v>
      </c>
      <c r="BE53" s="13"/>
      <c r="BF53" s="210"/>
      <c r="BG53" s="210"/>
      <c r="BL53" s="13"/>
      <c r="BM53" s="13"/>
      <c r="BN53" s="13"/>
      <c r="BO53" s="174"/>
      <c r="BP53" s="174"/>
      <c r="BQ53" s="13"/>
      <c r="BR53" s="13"/>
      <c r="BS53" s="174"/>
      <c r="BT53" s="174"/>
      <c r="BU53" s="13"/>
      <c r="BV53" s="13"/>
      <c r="BW53" s="111"/>
      <c r="BX53" s="111"/>
      <c r="BY53" s="13"/>
      <c r="BZ53" s="210">
        <v>44895</v>
      </c>
      <c r="CA53" s="13" t="s">
        <v>4727</v>
      </c>
      <c r="CB53" s="13"/>
      <c r="CC53" s="119"/>
      <c r="CE53" s="86" t="e">
        <f>VLOOKUP(C53,[1]Sertifikasi!$B$4:$I$19,8,0)</f>
        <v>#N/A</v>
      </c>
    </row>
    <row r="54" spans="1:83" ht="11.25" customHeight="1" x14ac:dyDescent="0.2">
      <c r="B54" s="13">
        <v>51</v>
      </c>
      <c r="C54" s="13" t="s">
        <v>5106</v>
      </c>
      <c r="D54" s="109">
        <v>999600003</v>
      </c>
      <c r="E54" s="110">
        <v>1440001094611</v>
      </c>
      <c r="F54" s="110"/>
      <c r="G54" s="112" t="s">
        <v>204</v>
      </c>
      <c r="H54" s="13" t="s">
        <v>217</v>
      </c>
      <c r="I54" s="210">
        <v>43238</v>
      </c>
      <c r="J54" s="112">
        <f t="shared" si="4"/>
        <v>4</v>
      </c>
      <c r="K54" s="13">
        <f t="shared" si="5"/>
        <v>7</v>
      </c>
      <c r="L54" s="210"/>
      <c r="M54" s="13" t="str">
        <f t="shared" si="6"/>
        <v>Organik</v>
      </c>
      <c r="N54" s="13" t="s">
        <v>2685</v>
      </c>
      <c r="O54" s="213">
        <v>35125</v>
      </c>
      <c r="P54" s="13" t="s">
        <v>4259</v>
      </c>
      <c r="Q54" s="13" t="s">
        <v>5107</v>
      </c>
      <c r="R54" s="13" t="s">
        <v>4711</v>
      </c>
      <c r="S54" s="13" t="s">
        <v>4711</v>
      </c>
      <c r="T54" s="13"/>
      <c r="U54" s="13" t="s">
        <v>11</v>
      </c>
      <c r="V54" s="13" t="s">
        <v>11</v>
      </c>
      <c r="W54" s="13" t="s">
        <v>1039</v>
      </c>
      <c r="X54" s="13"/>
      <c r="Y54" s="13" t="s">
        <v>132</v>
      </c>
      <c r="Z54" s="13" t="s">
        <v>31</v>
      </c>
      <c r="AA54" s="210">
        <v>25268</v>
      </c>
      <c r="AB54" s="109">
        <f t="shared" ca="1" si="7"/>
        <v>56</v>
      </c>
      <c r="AC54" s="112" t="s">
        <v>5108</v>
      </c>
      <c r="AD54" s="112" t="s">
        <v>5109</v>
      </c>
      <c r="AE54" s="190" t="s">
        <v>5110</v>
      </c>
      <c r="AG54" s="13" t="s">
        <v>5111</v>
      </c>
      <c r="AH54" s="110" t="s">
        <v>5112</v>
      </c>
      <c r="AI54" s="115" t="s">
        <v>5113</v>
      </c>
      <c r="AJ54" s="13" t="s">
        <v>4733</v>
      </c>
      <c r="AK54" s="13" t="s">
        <v>5114</v>
      </c>
      <c r="AT54" s="13">
        <v>2</v>
      </c>
      <c r="AU54" s="13" t="s">
        <v>5002</v>
      </c>
      <c r="AV54" s="112">
        <v>382991768621000</v>
      </c>
      <c r="AW54" s="13" t="s">
        <v>161</v>
      </c>
      <c r="AX54" s="13" t="s">
        <v>109</v>
      </c>
      <c r="AY54" s="13" t="s">
        <v>83</v>
      </c>
      <c r="AZ54" s="13" t="s">
        <v>5115</v>
      </c>
      <c r="BA54" s="13"/>
      <c r="BB54" s="13" t="s">
        <v>109</v>
      </c>
      <c r="BC54" s="13" t="s">
        <v>83</v>
      </c>
      <c r="BD54" s="13" t="s">
        <v>5115</v>
      </c>
      <c r="BE54" s="13"/>
      <c r="BG54" s="210"/>
      <c r="BH54" s="13"/>
      <c r="BK54" s="111">
        <v>44322</v>
      </c>
      <c r="BL54" s="13"/>
      <c r="BM54" s="13"/>
      <c r="BN54" s="13"/>
      <c r="BO54" s="174"/>
      <c r="BP54" s="174"/>
      <c r="BQ54" s="13"/>
      <c r="BR54" s="13"/>
      <c r="BS54" s="174"/>
      <c r="BT54" s="174"/>
      <c r="BU54" s="13"/>
      <c r="BV54" s="13"/>
      <c r="BW54" s="111"/>
      <c r="BX54" s="111"/>
      <c r="BY54" s="13"/>
      <c r="BZ54" s="210">
        <v>44926</v>
      </c>
      <c r="CA54" s="13" t="s">
        <v>5004</v>
      </c>
      <c r="CB54" s="13"/>
      <c r="CC54" s="119"/>
      <c r="CD54" s="86" t="s">
        <v>294</v>
      </c>
      <c r="CE54" s="86" t="e">
        <f>VLOOKUP(C54,[1]Sertifikasi!$B$4:$I$19,8,0)</f>
        <v>#N/A</v>
      </c>
    </row>
    <row r="55" spans="1:83" ht="11.25" customHeight="1" x14ac:dyDescent="0.2">
      <c r="A55" s="13"/>
      <c r="B55" s="13">
        <v>52</v>
      </c>
      <c r="C55" s="13" t="s">
        <v>5116</v>
      </c>
      <c r="D55" s="109">
        <v>641907260</v>
      </c>
      <c r="E55" s="110">
        <v>1710005658300</v>
      </c>
      <c r="F55" s="110"/>
      <c r="G55" s="13" t="s">
        <v>24</v>
      </c>
      <c r="H55" s="13" t="s">
        <v>24</v>
      </c>
      <c r="I55" s="210">
        <v>43647</v>
      </c>
      <c r="J55" s="112">
        <f t="shared" si="4"/>
        <v>3</v>
      </c>
      <c r="K55" s="13">
        <f t="shared" si="5"/>
        <v>5</v>
      </c>
      <c r="L55" s="210"/>
      <c r="M55" s="13" t="str">
        <f t="shared" si="6"/>
        <v>PKWT</v>
      </c>
      <c r="N55" s="13"/>
      <c r="O55" s="210">
        <v>44926</v>
      </c>
      <c r="Q55" s="13" t="s">
        <v>141</v>
      </c>
      <c r="R55" s="86" t="s">
        <v>24</v>
      </c>
      <c r="S55" s="13"/>
      <c r="T55" s="13"/>
      <c r="U55" s="13"/>
      <c r="V55" s="13"/>
      <c r="W55" s="13"/>
      <c r="X55" s="187"/>
      <c r="Y55" s="187" t="s">
        <v>132</v>
      </c>
      <c r="Z55" s="13" t="s">
        <v>5117</v>
      </c>
      <c r="AA55" s="210">
        <v>33978</v>
      </c>
      <c r="AB55" s="109">
        <f t="shared" ca="1" si="7"/>
        <v>32</v>
      </c>
      <c r="AC55" s="13" t="s">
        <v>5118</v>
      </c>
      <c r="AD55" s="13" t="s">
        <v>5119</v>
      </c>
      <c r="AE55" s="115" t="s">
        <v>5120</v>
      </c>
      <c r="AG55" s="86" t="s">
        <v>5121</v>
      </c>
      <c r="AH55" s="115" t="s">
        <v>5122</v>
      </c>
      <c r="AI55" s="115">
        <v>19047644091</v>
      </c>
      <c r="AJ55" s="13" t="s">
        <v>4716</v>
      </c>
      <c r="AN55" s="13"/>
      <c r="AU55" s="13" t="s">
        <v>5078</v>
      </c>
      <c r="AW55" s="86" t="s">
        <v>161</v>
      </c>
      <c r="AX55" s="13" t="s">
        <v>70</v>
      </c>
      <c r="AY55" s="13" t="s">
        <v>5123</v>
      </c>
      <c r="AZ55" s="13" t="s">
        <v>5124</v>
      </c>
      <c r="BA55" s="13"/>
      <c r="BB55" s="13" t="s">
        <v>70</v>
      </c>
      <c r="BC55" s="13" t="s">
        <v>5123</v>
      </c>
      <c r="BD55" s="13" t="s">
        <v>5124</v>
      </c>
      <c r="BE55" s="13"/>
      <c r="BF55" s="210"/>
      <c r="BI55" s="13">
        <v>31</v>
      </c>
      <c r="BJ55" s="13">
        <v>41</v>
      </c>
      <c r="BM55" s="13"/>
      <c r="BN55" s="13"/>
      <c r="BO55" s="174"/>
      <c r="BP55" s="174"/>
      <c r="BQ55" s="13"/>
      <c r="BR55" s="13"/>
      <c r="BS55" s="174"/>
      <c r="BT55" s="174"/>
      <c r="BU55" s="13"/>
      <c r="BV55" s="13"/>
      <c r="BW55" s="111"/>
      <c r="BX55" s="111"/>
      <c r="BY55" s="13"/>
      <c r="BZ55" s="210">
        <v>44926</v>
      </c>
      <c r="CA55" s="13" t="s">
        <v>4727</v>
      </c>
      <c r="CB55" s="13"/>
      <c r="CC55" s="119"/>
    </row>
    <row r="56" spans="1:83" ht="11.25" customHeight="1" x14ac:dyDescent="0.2">
      <c r="A56" s="13"/>
      <c r="B56" s="13">
        <v>53</v>
      </c>
      <c r="C56" s="13" t="s">
        <v>5125</v>
      </c>
      <c r="D56" s="109">
        <v>642001054</v>
      </c>
      <c r="E56" s="110">
        <v>1710003987073</v>
      </c>
      <c r="F56" s="110"/>
      <c r="G56" s="13" t="s">
        <v>217</v>
      </c>
      <c r="H56" s="13" t="s">
        <v>217</v>
      </c>
      <c r="I56" s="210">
        <v>42522</v>
      </c>
      <c r="J56" s="112">
        <f t="shared" si="4"/>
        <v>6</v>
      </c>
      <c r="K56" s="13">
        <f t="shared" si="5"/>
        <v>6</v>
      </c>
      <c r="L56" s="210"/>
      <c r="M56" s="13" t="str">
        <f t="shared" si="6"/>
        <v>PKWT</v>
      </c>
      <c r="N56" s="13"/>
      <c r="O56" s="210">
        <v>44926</v>
      </c>
      <c r="Q56" s="13" t="s">
        <v>141</v>
      </c>
      <c r="R56" s="86" t="s">
        <v>217</v>
      </c>
      <c r="S56" s="13"/>
      <c r="T56" s="13"/>
      <c r="U56" s="13"/>
      <c r="V56" s="13"/>
      <c r="W56" s="13"/>
      <c r="X56" s="187"/>
      <c r="Y56" s="187" t="s">
        <v>132</v>
      </c>
      <c r="Z56" s="13" t="s">
        <v>217</v>
      </c>
      <c r="AA56" s="210">
        <v>27634</v>
      </c>
      <c r="AB56" s="109">
        <f t="shared" ca="1" si="7"/>
        <v>50</v>
      </c>
      <c r="AC56" s="13" t="s">
        <v>5126</v>
      </c>
      <c r="AD56" s="13" t="s">
        <v>5127</v>
      </c>
      <c r="AE56" s="115" t="s">
        <v>5128</v>
      </c>
      <c r="AG56" s="115" t="s">
        <v>5129</v>
      </c>
      <c r="AH56" s="115" t="s">
        <v>4985</v>
      </c>
      <c r="AI56" s="115">
        <v>16040373587</v>
      </c>
      <c r="AJ56" s="13" t="s">
        <v>4733</v>
      </c>
      <c r="AN56" s="13"/>
      <c r="AU56" s="13"/>
      <c r="AW56" s="86" t="s">
        <v>161</v>
      </c>
      <c r="AX56" s="13" t="s">
        <v>349</v>
      </c>
      <c r="AY56" s="13" t="s">
        <v>91</v>
      </c>
      <c r="AZ56" s="13" t="s">
        <v>5130</v>
      </c>
      <c r="BA56" s="13"/>
      <c r="BB56" s="13" t="s">
        <v>349</v>
      </c>
      <c r="BC56" s="13" t="s">
        <v>91</v>
      </c>
      <c r="BD56" s="13" t="s">
        <v>5130</v>
      </c>
      <c r="BE56" s="13"/>
      <c r="BF56" s="210"/>
      <c r="BI56" s="13">
        <v>36</v>
      </c>
      <c r="BJ56" s="13">
        <v>41</v>
      </c>
      <c r="BM56" s="13"/>
      <c r="BO56" s="174">
        <v>43467</v>
      </c>
      <c r="BP56" s="174">
        <v>43830</v>
      </c>
      <c r="BQ56" s="13" t="s">
        <v>5131</v>
      </c>
      <c r="BR56" s="13" t="e">
        <f>"PKWT-"&amp;#REF!&amp;"/D1/2020"</f>
        <v>#REF!</v>
      </c>
      <c r="BS56" s="174"/>
      <c r="BT56" s="174"/>
      <c r="BU56" s="13"/>
      <c r="BV56" s="13"/>
      <c r="BW56" s="111"/>
      <c r="BX56" s="111"/>
      <c r="BY56" s="13"/>
      <c r="BZ56" s="210">
        <v>44926</v>
      </c>
      <c r="CA56" s="13" t="s">
        <v>4727</v>
      </c>
      <c r="CB56" s="13"/>
      <c r="CC56" s="119"/>
    </row>
    <row r="57" spans="1:83" ht="11.25" customHeight="1" x14ac:dyDescent="0.2">
      <c r="A57" s="13"/>
      <c r="B57" s="13">
        <v>54</v>
      </c>
      <c r="C57" s="13" t="s">
        <v>5132</v>
      </c>
      <c r="D57" s="109">
        <v>642201125</v>
      </c>
      <c r="E57" s="110">
        <v>1710007739470</v>
      </c>
      <c r="F57" s="110"/>
      <c r="G57" s="112" t="s">
        <v>217</v>
      </c>
      <c r="H57" s="13" t="s">
        <v>217</v>
      </c>
      <c r="I57" s="210">
        <v>44565</v>
      </c>
      <c r="J57" s="112">
        <f t="shared" si="4"/>
        <v>0</v>
      </c>
      <c r="K57" s="13">
        <f t="shared" si="5"/>
        <v>11</v>
      </c>
      <c r="L57" s="210"/>
      <c r="M57" s="13" t="str">
        <f t="shared" si="6"/>
        <v>PKWT</v>
      </c>
      <c r="O57" s="213">
        <v>44929</v>
      </c>
      <c r="Q57" s="13" t="s">
        <v>139</v>
      </c>
      <c r="R57" s="13" t="s">
        <v>4711</v>
      </c>
      <c r="S57" s="13" t="s">
        <v>2774</v>
      </c>
      <c r="T57" s="13"/>
      <c r="U57" s="13" t="s">
        <v>120</v>
      </c>
      <c r="V57" s="13" t="s">
        <v>313</v>
      </c>
      <c r="W57" s="13"/>
      <c r="X57" s="13"/>
      <c r="Y57" s="13" t="s">
        <v>133</v>
      </c>
      <c r="Z57" s="13" t="s">
        <v>217</v>
      </c>
      <c r="AA57" s="210">
        <v>36593</v>
      </c>
      <c r="AB57" s="109">
        <f t="shared" ca="1" si="7"/>
        <v>25</v>
      </c>
      <c r="AC57" s="13" t="s">
        <v>5133</v>
      </c>
      <c r="AD57" s="13" t="s">
        <v>5134</v>
      </c>
      <c r="AE57" s="115" t="s">
        <v>5135</v>
      </c>
      <c r="AG57" s="13" t="s">
        <v>5136</v>
      </c>
      <c r="AH57" s="115" t="s">
        <v>4985</v>
      </c>
      <c r="AI57" s="115"/>
      <c r="AJ57" s="13" t="s">
        <v>4716</v>
      </c>
      <c r="AN57" s="13"/>
      <c r="AU57" s="13" t="s">
        <v>5078</v>
      </c>
      <c r="AW57" s="86" t="s">
        <v>161</v>
      </c>
      <c r="AX57" s="13" t="s">
        <v>307</v>
      </c>
      <c r="AY57" s="13" t="s">
        <v>308</v>
      </c>
      <c r="AZ57" s="13" t="s">
        <v>5137</v>
      </c>
      <c r="BA57" s="13"/>
      <c r="BB57" s="13" t="s">
        <v>307</v>
      </c>
      <c r="BC57" s="13" t="s">
        <v>308</v>
      </c>
      <c r="BD57" s="13" t="s">
        <v>5137</v>
      </c>
      <c r="BE57" s="13"/>
      <c r="BG57" s="213"/>
      <c r="BH57" s="109"/>
      <c r="BJ57" s="111"/>
      <c r="BK57" s="111"/>
      <c r="BL57" s="13"/>
      <c r="BM57" s="13"/>
      <c r="BN57" s="13"/>
      <c r="BO57" s="174"/>
      <c r="BP57" s="174"/>
      <c r="BQ57" s="13"/>
      <c r="BR57" s="13"/>
      <c r="BS57" s="174"/>
      <c r="BT57" s="174"/>
      <c r="BU57" s="13"/>
      <c r="BV57" s="13"/>
      <c r="BW57" s="111"/>
      <c r="BX57" s="111"/>
      <c r="BY57" s="13"/>
      <c r="BZ57" s="210">
        <v>44926</v>
      </c>
      <c r="CA57" s="13" t="s">
        <v>4727</v>
      </c>
      <c r="CB57" s="13"/>
      <c r="CC57" s="119"/>
    </row>
    <row r="58" spans="1:83" ht="11.25" customHeight="1" x14ac:dyDescent="0.2">
      <c r="B58" s="13">
        <v>55</v>
      </c>
      <c r="C58" s="13" t="s">
        <v>5138</v>
      </c>
      <c r="D58" s="109">
        <v>999400099</v>
      </c>
      <c r="E58" s="110">
        <v>1440001093282</v>
      </c>
      <c r="F58" s="110"/>
      <c r="G58" s="112" t="s">
        <v>204</v>
      </c>
      <c r="H58" s="13" t="s">
        <v>217</v>
      </c>
      <c r="I58" s="210">
        <v>43332</v>
      </c>
      <c r="J58" s="112">
        <f t="shared" si="4"/>
        <v>4</v>
      </c>
      <c r="K58" s="13">
        <f t="shared" si="5"/>
        <v>5</v>
      </c>
      <c r="L58" s="210"/>
      <c r="M58" s="13" t="str">
        <f t="shared" si="6"/>
        <v>Organik</v>
      </c>
      <c r="N58" s="13" t="s">
        <v>2637</v>
      </c>
      <c r="O58" s="213">
        <v>34608</v>
      </c>
      <c r="P58" s="13" t="s">
        <v>295</v>
      </c>
      <c r="Q58" s="13" t="s">
        <v>137</v>
      </c>
      <c r="R58" s="86" t="s">
        <v>4711</v>
      </c>
      <c r="S58" s="13"/>
      <c r="T58" s="13" t="s">
        <v>4750</v>
      </c>
      <c r="U58" s="13" t="s">
        <v>121</v>
      </c>
      <c r="V58" s="13" t="s">
        <v>313</v>
      </c>
      <c r="X58" s="13"/>
      <c r="Y58" s="13" t="s">
        <v>132</v>
      </c>
      <c r="Z58" s="13" t="s">
        <v>217</v>
      </c>
      <c r="AA58" s="210">
        <v>24852</v>
      </c>
      <c r="AB58" s="109">
        <f t="shared" ca="1" si="7"/>
        <v>57</v>
      </c>
      <c r="AC58" s="13" t="s">
        <v>5139</v>
      </c>
      <c r="AD58" s="13" t="s">
        <v>5140</v>
      </c>
      <c r="AE58" s="115" t="s">
        <v>5141</v>
      </c>
      <c r="AG58" s="13" t="s">
        <v>5142</v>
      </c>
      <c r="AH58" s="117" t="s">
        <v>5143</v>
      </c>
      <c r="AI58" s="115" t="s">
        <v>5144</v>
      </c>
      <c r="AJ58" s="13" t="s">
        <v>4733</v>
      </c>
      <c r="AU58" s="13" t="s">
        <v>5145</v>
      </c>
      <c r="AV58" s="112">
        <v>382988905621000</v>
      </c>
      <c r="AW58" s="112" t="s">
        <v>161</v>
      </c>
      <c r="AX58" s="13" t="s">
        <v>75</v>
      </c>
      <c r="AY58" s="13" t="s">
        <v>87</v>
      </c>
      <c r="AZ58" s="13" t="s">
        <v>5146</v>
      </c>
      <c r="BA58" s="13"/>
      <c r="BB58" s="13" t="s">
        <v>75</v>
      </c>
      <c r="BC58" s="13" t="s">
        <v>87</v>
      </c>
      <c r="BD58" s="13" t="s">
        <v>5146</v>
      </c>
      <c r="BE58" s="13"/>
      <c r="BF58" s="210">
        <v>44294</v>
      </c>
      <c r="BG58" s="210">
        <v>44322</v>
      </c>
      <c r="BH58" s="13"/>
      <c r="BL58" s="87"/>
      <c r="BM58" s="13"/>
      <c r="BN58" s="13"/>
      <c r="BO58" s="174"/>
      <c r="BP58" s="174"/>
      <c r="BQ58" s="13"/>
      <c r="BR58" s="13"/>
      <c r="BS58" s="174"/>
      <c r="BT58" s="174"/>
      <c r="BU58" s="13"/>
      <c r="BV58" s="13"/>
      <c r="BW58" s="111"/>
      <c r="BX58" s="111"/>
      <c r="BY58" s="13"/>
      <c r="BZ58" s="210">
        <v>44957</v>
      </c>
      <c r="CA58" s="13" t="s">
        <v>4832</v>
      </c>
      <c r="CB58" s="13"/>
      <c r="CC58" s="119"/>
      <c r="CE58" s="86" t="e">
        <f>VLOOKUP(C58,[1]Sertifikasi!$B$4:$I$19,8,0)</f>
        <v>#N/A</v>
      </c>
    </row>
    <row r="59" spans="1:83" ht="11.25" customHeight="1" x14ac:dyDescent="0.2">
      <c r="B59" s="13">
        <v>56</v>
      </c>
      <c r="C59" s="13" t="s">
        <v>5147</v>
      </c>
      <c r="D59" s="109">
        <v>991000007</v>
      </c>
      <c r="E59" s="110">
        <v>1440010312871</v>
      </c>
      <c r="F59" s="110"/>
      <c r="G59" s="112" t="s">
        <v>204</v>
      </c>
      <c r="H59" s="13" t="s">
        <v>217</v>
      </c>
      <c r="I59" s="210">
        <v>43987</v>
      </c>
      <c r="J59" s="112">
        <f t="shared" si="4"/>
        <v>2</v>
      </c>
      <c r="K59" s="13">
        <f t="shared" si="5"/>
        <v>8</v>
      </c>
      <c r="L59" s="210"/>
      <c r="M59" s="13" t="str">
        <f t="shared" si="6"/>
        <v>Organik</v>
      </c>
      <c r="N59" s="13" t="s">
        <v>2685</v>
      </c>
      <c r="O59" s="213">
        <v>40210</v>
      </c>
      <c r="P59" s="13" t="s">
        <v>2686</v>
      </c>
      <c r="Q59" s="13" t="s">
        <v>142</v>
      </c>
      <c r="R59" s="86" t="s">
        <v>4711</v>
      </c>
      <c r="S59" s="13"/>
      <c r="T59" s="13" t="s">
        <v>4711</v>
      </c>
      <c r="U59" s="13" t="s">
        <v>120</v>
      </c>
      <c r="V59" s="13" t="s">
        <v>313</v>
      </c>
      <c r="X59" s="13"/>
      <c r="Y59" s="13" t="s">
        <v>132</v>
      </c>
      <c r="Z59" s="13" t="s">
        <v>5148</v>
      </c>
      <c r="AA59" s="210">
        <v>30700</v>
      </c>
      <c r="AB59" s="109">
        <f t="shared" ca="1" si="7"/>
        <v>41</v>
      </c>
      <c r="AC59" s="13" t="s">
        <v>5149</v>
      </c>
      <c r="AD59" s="13" t="s">
        <v>5150</v>
      </c>
      <c r="AE59" s="115" t="s">
        <v>5151</v>
      </c>
      <c r="AG59" s="13" t="s">
        <v>5152</v>
      </c>
      <c r="AH59" s="117" t="s">
        <v>5153</v>
      </c>
      <c r="AI59" s="115">
        <v>8025075469</v>
      </c>
      <c r="AJ59" s="13" t="s">
        <v>4733</v>
      </c>
      <c r="AK59" s="13" t="s">
        <v>5154</v>
      </c>
      <c r="AL59" s="13" t="s">
        <v>5155</v>
      </c>
      <c r="AM59" s="13" t="s">
        <v>5156</v>
      </c>
      <c r="AN59" s="13" t="s">
        <v>5157</v>
      </c>
      <c r="AT59" s="86" t="str">
        <f ca="1">COUNTA(AL59:AV59)</f>
        <v>#REF!</v>
      </c>
      <c r="AU59" s="13" t="str">
        <f ca="1">IF(AJ59="Menikah","K","TK")&amp;"/"&amp;AT59</f>
        <v>#REF!</v>
      </c>
      <c r="AV59" s="112" t="s">
        <v>5158</v>
      </c>
      <c r="AW59" s="112" t="s">
        <v>161</v>
      </c>
      <c r="AX59" s="13" t="s">
        <v>75</v>
      </c>
      <c r="AY59" s="13" t="s">
        <v>87</v>
      </c>
      <c r="AZ59" s="13" t="s">
        <v>81</v>
      </c>
      <c r="BA59" s="13"/>
      <c r="BB59" s="13" t="s">
        <v>75</v>
      </c>
      <c r="BC59" s="13" t="s">
        <v>87</v>
      </c>
      <c r="BD59" s="13" t="s">
        <v>81</v>
      </c>
      <c r="BE59" s="13"/>
      <c r="BF59" s="213">
        <v>50802</v>
      </c>
      <c r="BG59" s="213">
        <v>51167</v>
      </c>
      <c r="BK59" s="111">
        <v>44294</v>
      </c>
      <c r="BL59" s="111">
        <v>44322</v>
      </c>
      <c r="BM59" s="87">
        <v>44585</v>
      </c>
      <c r="BO59" s="192"/>
      <c r="BP59" s="192"/>
      <c r="BQ59" s="87"/>
      <c r="BS59" s="192"/>
      <c r="BT59" s="192"/>
      <c r="BW59" s="87"/>
      <c r="BX59" s="87"/>
      <c r="BZ59" s="210">
        <v>44971</v>
      </c>
      <c r="CA59" s="86" t="s">
        <v>5004</v>
      </c>
      <c r="CC59" s="175"/>
      <c r="CD59" s="86" t="s">
        <v>5159</v>
      </c>
      <c r="CE59" s="86" t="e">
        <f>VLOOKUP(C59,[1]Sertifikasi!$B$4:$I$19,8,0)</f>
        <v>#N/A</v>
      </c>
    </row>
    <row r="60" spans="1:83" ht="11.25" customHeight="1" x14ac:dyDescent="0.2">
      <c r="B60" s="13">
        <v>57</v>
      </c>
      <c r="C60" s="13" t="s">
        <v>5160</v>
      </c>
      <c r="D60" s="109">
        <v>991000008</v>
      </c>
      <c r="E60" s="110">
        <v>1440010312897</v>
      </c>
      <c r="F60" s="110"/>
      <c r="G60" s="112" t="s">
        <v>204</v>
      </c>
      <c r="H60" s="13" t="s">
        <v>217</v>
      </c>
      <c r="I60" s="210">
        <v>43987</v>
      </c>
      <c r="J60" s="112">
        <f t="shared" si="4"/>
        <v>2</v>
      </c>
      <c r="K60" s="13">
        <f t="shared" si="5"/>
        <v>10</v>
      </c>
      <c r="L60" s="210"/>
      <c r="M60" s="13" t="str">
        <f t="shared" si="6"/>
        <v>Organik</v>
      </c>
      <c r="N60" s="13" t="s">
        <v>2685</v>
      </c>
      <c r="O60" s="213">
        <v>40210</v>
      </c>
      <c r="P60" s="13" t="s">
        <v>2686</v>
      </c>
      <c r="Q60" s="13" t="s">
        <v>142</v>
      </c>
      <c r="R60" s="86" t="s">
        <v>4711</v>
      </c>
      <c r="S60" s="13"/>
      <c r="T60" s="13"/>
      <c r="U60" s="13" t="s">
        <v>104</v>
      </c>
      <c r="V60" s="13" t="s">
        <v>1064</v>
      </c>
      <c r="X60" s="13"/>
      <c r="Y60" s="13" t="s">
        <v>133</v>
      </c>
      <c r="Z60" s="13" t="s">
        <v>31</v>
      </c>
      <c r="AA60" s="210">
        <v>32376</v>
      </c>
      <c r="AB60" s="109">
        <f t="shared" ca="1" si="7"/>
        <v>37</v>
      </c>
      <c r="AC60" s="13" t="s">
        <v>5161</v>
      </c>
      <c r="AD60" s="13" t="s">
        <v>5162</v>
      </c>
      <c r="AE60" s="115" t="s">
        <v>5163</v>
      </c>
      <c r="AG60" s="13" t="s">
        <v>5164</v>
      </c>
      <c r="AH60" s="117" t="s">
        <v>5165</v>
      </c>
      <c r="AI60" s="115">
        <v>9025984205</v>
      </c>
      <c r="AJ60" s="13" t="s">
        <v>4733</v>
      </c>
      <c r="AK60" s="13" t="s">
        <v>5166</v>
      </c>
      <c r="AL60" s="13"/>
      <c r="AM60" s="13" t="s">
        <v>5167</v>
      </c>
      <c r="AN60" s="13"/>
      <c r="AT60" s="86" t="str">
        <f ca="1">COUNTA(AL60:AV60)</f>
        <v>#REF!</v>
      </c>
      <c r="AU60" s="13" t="str">
        <f ca="1">IF(AJ60="Menikah","K","TK")&amp;"/"&amp;AT60</f>
        <v>#REF!</v>
      </c>
      <c r="AV60" s="112" t="s">
        <v>5168</v>
      </c>
      <c r="AW60" s="112" t="s">
        <v>161</v>
      </c>
      <c r="AX60" s="13" t="s">
        <v>75</v>
      </c>
      <c r="AY60" s="13" t="s">
        <v>43</v>
      </c>
      <c r="AZ60" s="13" t="s">
        <v>5071</v>
      </c>
      <c r="BA60" s="13"/>
      <c r="BB60" s="13" t="s">
        <v>109</v>
      </c>
      <c r="BC60" s="13" t="s">
        <v>5169</v>
      </c>
      <c r="BD60" s="13" t="s">
        <v>5071</v>
      </c>
      <c r="BE60" s="13"/>
      <c r="BF60" s="213">
        <v>52475</v>
      </c>
      <c r="BG60" s="213">
        <v>15493</v>
      </c>
      <c r="BK60" s="111">
        <v>44294</v>
      </c>
      <c r="BL60" s="111">
        <v>44322</v>
      </c>
      <c r="BM60" s="87">
        <v>44583</v>
      </c>
      <c r="BO60" s="192"/>
      <c r="BP60" s="192"/>
      <c r="BQ60" s="87"/>
      <c r="BS60" s="192"/>
      <c r="BT60" s="192"/>
      <c r="BW60" s="87"/>
      <c r="BX60" s="87"/>
      <c r="BZ60" s="210">
        <v>45021</v>
      </c>
      <c r="CA60" s="86" t="s">
        <v>5004</v>
      </c>
      <c r="CC60" s="175"/>
      <c r="CE60" s="86" t="e">
        <f>VLOOKUP(C60,[1]Sertifikasi!$B$4:$I$19,8,0)</f>
        <v>#N/A</v>
      </c>
    </row>
    <row r="61" spans="1:83" ht="11.25" customHeight="1" x14ac:dyDescent="0.2">
      <c r="A61" s="13"/>
      <c r="B61" s="13">
        <v>58</v>
      </c>
      <c r="C61" s="13" t="s">
        <v>5170</v>
      </c>
      <c r="D61" s="109">
        <v>642006088</v>
      </c>
      <c r="E61" s="196" t="s">
        <v>5171</v>
      </c>
      <c r="F61" s="115"/>
      <c r="G61" s="112" t="s">
        <v>24</v>
      </c>
      <c r="H61" s="13" t="s">
        <v>24</v>
      </c>
      <c r="I61" s="210">
        <v>43984</v>
      </c>
      <c r="J61" s="112">
        <f t="shared" si="4"/>
        <v>2</v>
      </c>
      <c r="K61" s="13">
        <f t="shared" si="5"/>
        <v>11</v>
      </c>
      <c r="L61" s="210"/>
      <c r="M61" s="13" t="str">
        <f t="shared" si="6"/>
        <v>PKWT</v>
      </c>
      <c r="N61" s="13" t="s">
        <v>5172</v>
      </c>
      <c r="O61" s="213">
        <v>45078</v>
      </c>
      <c r="P61" s="111"/>
      <c r="Q61" s="13" t="s">
        <v>139</v>
      </c>
      <c r="R61" s="86" t="s">
        <v>24</v>
      </c>
      <c r="S61" s="13"/>
      <c r="T61" s="13" t="s">
        <v>59</v>
      </c>
      <c r="U61" s="13" t="s">
        <v>59</v>
      </c>
      <c r="V61" s="13" t="s">
        <v>313</v>
      </c>
      <c r="X61" s="13"/>
      <c r="Y61" s="13" t="s">
        <v>132</v>
      </c>
      <c r="Z61" s="13" t="s">
        <v>24</v>
      </c>
      <c r="AA61" s="210">
        <v>27522</v>
      </c>
      <c r="AB61" s="109">
        <f t="shared" ca="1" si="7"/>
        <v>50</v>
      </c>
      <c r="AC61" s="199" t="s">
        <v>5173</v>
      </c>
      <c r="AD61" s="13" t="s">
        <v>5174</v>
      </c>
      <c r="AE61" s="115" t="s">
        <v>5175</v>
      </c>
      <c r="AG61" s="13" t="s">
        <v>5176</v>
      </c>
      <c r="AH61" s="117" t="s">
        <v>5177</v>
      </c>
      <c r="AI61" s="110" t="s">
        <v>5178</v>
      </c>
      <c r="AJ61" s="13" t="s">
        <v>4733</v>
      </c>
      <c r="AL61" s="13"/>
      <c r="AM61" s="13"/>
      <c r="AN61" s="13"/>
      <c r="AO61" s="13"/>
      <c r="AP61" s="13"/>
      <c r="AQ61" s="13"/>
      <c r="AR61" s="13"/>
      <c r="AS61" s="13"/>
      <c r="AT61" s="86" t="str">
        <f ca="1">COUNTA(AM61:AV61)</f>
        <v>#REF!</v>
      </c>
      <c r="AU61" s="13" t="str">
        <f ca="1">IF(AJ61="Menikah","K","TK")&amp;"/"&amp;AT61</f>
        <v>#REF!</v>
      </c>
      <c r="AW61" s="112" t="s">
        <v>161</v>
      </c>
      <c r="AX61" s="13" t="s">
        <v>75</v>
      </c>
      <c r="AY61" s="13" t="s">
        <v>5179</v>
      </c>
      <c r="AZ61" s="13" t="s">
        <v>5180</v>
      </c>
      <c r="BA61" s="13"/>
      <c r="BB61" s="13" t="s">
        <v>75</v>
      </c>
      <c r="BC61" s="13" t="s">
        <v>5179</v>
      </c>
      <c r="BD61" s="13" t="s">
        <v>5180</v>
      </c>
      <c r="BE61" s="13"/>
      <c r="BI61" s="13" t="s">
        <v>339</v>
      </c>
      <c r="BJ61" s="13" t="s">
        <v>339</v>
      </c>
      <c r="BK61" s="109"/>
      <c r="BN61" s="111"/>
      <c r="BO61" s="174"/>
      <c r="BP61" s="192"/>
      <c r="BQ61" s="13"/>
      <c r="BR61" s="13"/>
      <c r="BS61" s="174"/>
      <c r="BT61" s="174"/>
      <c r="BU61" s="13"/>
      <c r="BV61" s="13"/>
      <c r="BW61" s="111"/>
      <c r="BX61" s="111"/>
      <c r="BY61" s="13"/>
      <c r="BZ61" s="210">
        <v>45051</v>
      </c>
      <c r="CA61" s="13" t="s">
        <v>4718</v>
      </c>
      <c r="CB61" s="13"/>
      <c r="CC61" s="119"/>
      <c r="CD61" s="86" t="s">
        <v>5181</v>
      </c>
    </row>
    <row r="62" spans="1:83" ht="11.25" customHeight="1" x14ac:dyDescent="0.2">
      <c r="A62" s="13"/>
      <c r="B62" s="13">
        <v>59</v>
      </c>
      <c r="C62" s="13" t="s">
        <v>5182</v>
      </c>
      <c r="D62" s="109">
        <v>642107111</v>
      </c>
      <c r="E62" s="110" t="s">
        <v>5183</v>
      </c>
      <c r="F62" s="110"/>
      <c r="G62" s="13" t="s">
        <v>24</v>
      </c>
      <c r="H62" s="13" t="s">
        <v>24</v>
      </c>
      <c r="I62" s="213" t="s">
        <v>5184</v>
      </c>
      <c r="J62" s="112">
        <f t="shared" si="4"/>
        <v>1</v>
      </c>
      <c r="K62" s="13">
        <f t="shared" si="5"/>
        <v>8</v>
      </c>
      <c r="L62" s="210"/>
      <c r="M62" s="13" t="str">
        <f t="shared" si="6"/>
        <v>PKWT</v>
      </c>
      <c r="N62" s="13"/>
      <c r="O62" s="210">
        <v>45169</v>
      </c>
      <c r="Q62" s="13" t="s">
        <v>139</v>
      </c>
      <c r="R62" s="86" t="s">
        <v>24</v>
      </c>
      <c r="S62" s="13"/>
      <c r="T62" s="13" t="s">
        <v>24</v>
      </c>
      <c r="U62" s="13" t="s">
        <v>24</v>
      </c>
      <c r="V62" s="13" t="s">
        <v>313</v>
      </c>
      <c r="W62" s="13"/>
      <c r="X62" s="13"/>
      <c r="Y62" s="13" t="s">
        <v>132</v>
      </c>
      <c r="Z62" s="13" t="s">
        <v>24</v>
      </c>
      <c r="AA62" s="210">
        <v>27699</v>
      </c>
      <c r="AB62" s="109">
        <f t="shared" ca="1" si="7"/>
        <v>49</v>
      </c>
      <c r="AC62" s="13" t="s">
        <v>5185</v>
      </c>
      <c r="AD62" s="13" t="s">
        <v>5186</v>
      </c>
      <c r="AE62" s="115" t="s">
        <v>5187</v>
      </c>
      <c r="AG62" s="115" t="s">
        <v>5188</v>
      </c>
      <c r="AH62" s="117" t="s">
        <v>5189</v>
      </c>
      <c r="AI62" s="115">
        <v>21067065413</v>
      </c>
      <c r="AJ62" s="13" t="s">
        <v>4733</v>
      </c>
      <c r="AK62" s="13" t="s">
        <v>5190</v>
      </c>
      <c r="AL62" s="13" t="s">
        <v>5191</v>
      </c>
      <c r="AM62" s="13" t="s">
        <v>5192</v>
      </c>
      <c r="AW62" s="13" t="s">
        <v>161</v>
      </c>
      <c r="AX62" s="13" t="s">
        <v>307</v>
      </c>
      <c r="AY62" s="13" t="s">
        <v>308</v>
      </c>
      <c r="AZ62" s="13" t="s">
        <v>5193</v>
      </c>
      <c r="BA62" s="13"/>
      <c r="BB62" s="13" t="s">
        <v>307</v>
      </c>
      <c r="BC62" s="13" t="s">
        <v>308</v>
      </c>
      <c r="BD62" s="13" t="s">
        <v>5193</v>
      </c>
      <c r="BE62" s="13"/>
      <c r="BJ62" s="13"/>
      <c r="BK62" s="13"/>
      <c r="BO62" s="192"/>
      <c r="BP62" s="174"/>
      <c r="BQ62" s="13"/>
      <c r="BR62" s="13" t="e">
        <f>"PKWT-"&amp;#REF!&amp;"/D1/2020"</f>
        <v>#REF!</v>
      </c>
      <c r="BS62" s="174"/>
      <c r="BT62" s="174"/>
      <c r="BV62" s="13"/>
      <c r="BW62" s="111"/>
      <c r="BX62" s="111"/>
      <c r="BY62" s="13"/>
      <c r="BZ62" s="210">
        <v>45051</v>
      </c>
      <c r="CA62" s="13" t="s">
        <v>4718</v>
      </c>
      <c r="CB62" s="13"/>
      <c r="CC62" s="119"/>
      <c r="CD62" s="86" t="s">
        <v>5194</v>
      </c>
    </row>
    <row r="63" spans="1:83" ht="11.25" customHeight="1" x14ac:dyDescent="0.2">
      <c r="B63" s="13">
        <v>60</v>
      </c>
      <c r="C63" s="114" t="s">
        <v>5195</v>
      </c>
      <c r="D63" s="109">
        <v>999900116</v>
      </c>
      <c r="E63" s="110">
        <v>1440001095998</v>
      </c>
      <c r="F63" s="110"/>
      <c r="G63" s="112" t="s">
        <v>204</v>
      </c>
      <c r="H63" s="13" t="s">
        <v>217</v>
      </c>
      <c r="I63" s="210">
        <v>43600</v>
      </c>
      <c r="J63" s="112">
        <f t="shared" si="4"/>
        <v>3</v>
      </c>
      <c r="K63" s="13">
        <f t="shared" si="5"/>
        <v>11</v>
      </c>
      <c r="L63" s="210"/>
      <c r="M63" s="13" t="str">
        <f t="shared" si="6"/>
        <v>Organik</v>
      </c>
      <c r="N63" s="13" t="s">
        <v>5196</v>
      </c>
      <c r="O63" s="213">
        <v>36586</v>
      </c>
      <c r="P63" s="13" t="s">
        <v>2686</v>
      </c>
      <c r="Q63" s="13" t="s">
        <v>142</v>
      </c>
      <c r="R63" s="86" t="s">
        <v>4711</v>
      </c>
      <c r="S63" s="13"/>
      <c r="T63" s="13"/>
      <c r="U63" s="13" t="s">
        <v>121</v>
      </c>
      <c r="V63" s="13" t="s">
        <v>298</v>
      </c>
      <c r="X63" s="13"/>
      <c r="Y63" s="13" t="s">
        <v>132</v>
      </c>
      <c r="Z63" s="13" t="s">
        <v>23</v>
      </c>
      <c r="AA63" s="210">
        <v>27366</v>
      </c>
      <c r="AB63" s="109">
        <f t="shared" ca="1" si="7"/>
        <v>50</v>
      </c>
      <c r="AC63" s="13" t="s">
        <v>5197</v>
      </c>
      <c r="AD63" s="13" t="s">
        <v>5198</v>
      </c>
      <c r="AE63" s="115" t="s">
        <v>5199</v>
      </c>
      <c r="AG63" s="13" t="s">
        <v>5200</v>
      </c>
      <c r="AH63" s="117" t="s">
        <v>5201</v>
      </c>
      <c r="AI63" s="115" t="s">
        <v>5202</v>
      </c>
      <c r="AJ63" s="13" t="s">
        <v>4733</v>
      </c>
      <c r="AK63" s="13" t="s">
        <v>5203</v>
      </c>
      <c r="AL63" s="13" t="s">
        <v>5204</v>
      </c>
      <c r="AM63" s="13" t="s">
        <v>5205</v>
      </c>
      <c r="AN63" s="13" t="s">
        <v>5206</v>
      </c>
      <c r="AT63" s="86" t="str">
        <f ca="1">COUNTA(AL63:AV63)</f>
        <v>#REF!</v>
      </c>
      <c r="AU63" s="13" t="str">
        <f t="shared" ref="AU63:AU70" ca="1" si="8">IF(AJ63="Menikah","K","TK")&amp;"/"&amp;AT63</f>
        <v>#REF!</v>
      </c>
      <c r="AV63" s="112">
        <v>382988855621000</v>
      </c>
      <c r="AW63" s="112" t="s">
        <v>161</v>
      </c>
      <c r="AX63" s="13" t="s">
        <v>70</v>
      </c>
      <c r="AY63" s="13" t="s">
        <v>91</v>
      </c>
      <c r="AZ63" s="13" t="s">
        <v>402</v>
      </c>
      <c r="BA63" s="13"/>
      <c r="BB63" s="13" t="s">
        <v>109</v>
      </c>
      <c r="BC63" s="13" t="s">
        <v>91</v>
      </c>
      <c r="BD63" s="13" t="s">
        <v>114</v>
      </c>
      <c r="BE63" s="13"/>
      <c r="BF63" s="213">
        <v>47484</v>
      </c>
      <c r="BG63" s="213">
        <v>47849</v>
      </c>
      <c r="BK63" s="111">
        <v>44294</v>
      </c>
      <c r="BL63" s="111">
        <v>44322</v>
      </c>
      <c r="BM63" s="87">
        <v>44581</v>
      </c>
      <c r="BO63" s="192"/>
      <c r="BP63" s="192"/>
      <c r="BQ63" s="13"/>
      <c r="BR63" s="13"/>
      <c r="BS63" s="174"/>
      <c r="BT63" s="174"/>
      <c r="BU63" s="13"/>
      <c r="BV63" s="13"/>
      <c r="BW63" s="111"/>
      <c r="BX63" s="111"/>
      <c r="BY63" s="13"/>
      <c r="BZ63" s="210">
        <v>45058</v>
      </c>
      <c r="CA63" s="13" t="s">
        <v>5004</v>
      </c>
      <c r="CB63" s="13"/>
      <c r="CC63" s="119"/>
      <c r="CD63" s="86" t="s">
        <v>5207</v>
      </c>
      <c r="CE63" s="86" t="e">
        <f>VLOOKUP(C63,[1]Sertifikasi!$B$4:$I$19,8,0)</f>
        <v>#N/A</v>
      </c>
    </row>
    <row r="64" spans="1:83" ht="11.25" customHeight="1" x14ac:dyDescent="0.2">
      <c r="B64" s="13">
        <v>61</v>
      </c>
      <c r="C64" s="13" t="s">
        <v>5208</v>
      </c>
      <c r="D64" s="109">
        <v>999600062</v>
      </c>
      <c r="E64" s="110">
        <v>1440004862394</v>
      </c>
      <c r="F64" s="110"/>
      <c r="G64" s="112" t="s">
        <v>204</v>
      </c>
      <c r="H64" s="13" t="s">
        <v>217</v>
      </c>
      <c r="I64" s="210">
        <v>43987</v>
      </c>
      <c r="J64" s="112">
        <f t="shared" si="4"/>
        <v>2</v>
      </c>
      <c r="K64" s="13">
        <f t="shared" si="5"/>
        <v>11</v>
      </c>
      <c r="L64" s="210"/>
      <c r="M64" s="13" t="str">
        <f t="shared" si="6"/>
        <v>Organik</v>
      </c>
      <c r="N64" s="13" t="s">
        <v>2685</v>
      </c>
      <c r="O64" s="213">
        <v>35186</v>
      </c>
      <c r="P64" s="13" t="s">
        <v>2686</v>
      </c>
      <c r="Q64" s="13" t="s">
        <v>142</v>
      </c>
      <c r="R64" s="86" t="s">
        <v>4711</v>
      </c>
      <c r="S64" s="13"/>
      <c r="T64" s="13"/>
      <c r="U64" s="13" t="s">
        <v>59</v>
      </c>
      <c r="V64" s="13" t="s">
        <v>298</v>
      </c>
      <c r="X64" s="13"/>
      <c r="Y64" s="13" t="s">
        <v>132</v>
      </c>
      <c r="Z64" s="13" t="s">
        <v>5209</v>
      </c>
      <c r="AA64" s="210">
        <v>25643</v>
      </c>
      <c r="AB64" s="109">
        <f t="shared" ca="1" si="7"/>
        <v>55</v>
      </c>
      <c r="AC64" s="13" t="s">
        <v>5210</v>
      </c>
      <c r="AD64" s="13" t="s">
        <v>5211</v>
      </c>
      <c r="AE64" s="115" t="s">
        <v>5212</v>
      </c>
      <c r="AG64" s="13" t="s">
        <v>5213</v>
      </c>
      <c r="AH64" s="117" t="s">
        <v>5214</v>
      </c>
      <c r="AI64" s="115" t="s">
        <v>5215</v>
      </c>
      <c r="AJ64" s="13" t="s">
        <v>4733</v>
      </c>
      <c r="AK64" s="13" t="s">
        <v>5216</v>
      </c>
      <c r="AL64" s="13" t="s">
        <v>5217</v>
      </c>
      <c r="AM64" s="13" t="s">
        <v>5218</v>
      </c>
      <c r="AN64" s="13"/>
      <c r="AT64" s="86" t="str">
        <f ca="1">COUNTA(AL64:AV64)</f>
        <v>#REF!</v>
      </c>
      <c r="AU64" s="13" t="str">
        <f t="shared" ca="1" si="8"/>
        <v>#REF!</v>
      </c>
      <c r="AV64" s="112" t="s">
        <v>5219</v>
      </c>
      <c r="AW64" s="112" t="s">
        <v>161</v>
      </c>
      <c r="AX64" s="13" t="s">
        <v>75</v>
      </c>
      <c r="AY64" s="13" t="s">
        <v>91</v>
      </c>
      <c r="AZ64" s="13" t="s">
        <v>81</v>
      </c>
      <c r="BA64" s="13"/>
      <c r="BB64" s="13" t="s">
        <v>75</v>
      </c>
      <c r="BC64" s="13" t="s">
        <v>91</v>
      </c>
      <c r="BD64" s="13" t="s">
        <v>81</v>
      </c>
      <c r="BE64" s="13"/>
      <c r="BF64" s="213">
        <v>45748</v>
      </c>
      <c r="BG64" s="213">
        <v>46113</v>
      </c>
      <c r="BK64" s="111">
        <v>44259</v>
      </c>
      <c r="BL64" s="111">
        <v>44304</v>
      </c>
      <c r="BM64" s="87">
        <v>44585</v>
      </c>
      <c r="BO64" s="192"/>
      <c r="BP64" s="192"/>
      <c r="BQ64" s="13"/>
      <c r="BR64" s="13"/>
      <c r="BS64" s="174"/>
      <c r="BT64" s="174"/>
      <c r="BU64" s="13"/>
      <c r="BV64" s="13"/>
      <c r="BW64" s="111"/>
      <c r="BX64" s="111"/>
      <c r="BY64" s="13"/>
      <c r="BZ64" s="210">
        <v>45058</v>
      </c>
      <c r="CA64" s="13" t="s">
        <v>5004</v>
      </c>
      <c r="CB64" s="13"/>
      <c r="CC64" s="119" t="s">
        <v>5220</v>
      </c>
      <c r="CD64" s="86" t="s">
        <v>5207</v>
      </c>
      <c r="CE64" s="86" t="e">
        <f>VLOOKUP(C64,[1]Sertifikasi!$B$4:$I$19,8,0)</f>
        <v>#N/A</v>
      </c>
    </row>
    <row r="65" spans="1:83" ht="11.25" customHeight="1" x14ac:dyDescent="0.2">
      <c r="B65" s="13">
        <v>62</v>
      </c>
      <c r="C65" s="86" t="s">
        <v>4257</v>
      </c>
      <c r="D65" s="109">
        <v>999900113</v>
      </c>
      <c r="E65" s="198"/>
      <c r="F65" s="200"/>
      <c r="G65" s="86" t="s">
        <v>204</v>
      </c>
      <c r="H65" s="86" t="s">
        <v>217</v>
      </c>
      <c r="I65" s="210">
        <v>44777</v>
      </c>
      <c r="J65" s="112">
        <f t="shared" si="4"/>
        <v>0</v>
      </c>
      <c r="K65" s="13">
        <f t="shared" si="5"/>
        <v>10</v>
      </c>
      <c r="L65" s="210"/>
      <c r="M65" s="13" t="str">
        <f t="shared" si="6"/>
        <v>Organik</v>
      </c>
      <c r="N65" s="86" t="s">
        <v>5221</v>
      </c>
      <c r="O65" s="213">
        <v>44777</v>
      </c>
      <c r="P65" s="86" t="s">
        <v>2686</v>
      </c>
      <c r="Q65" s="86" t="s">
        <v>11</v>
      </c>
      <c r="R65" s="86" t="s">
        <v>4711</v>
      </c>
      <c r="V65" s="86" t="s">
        <v>1064</v>
      </c>
      <c r="Y65" s="86" t="s">
        <v>132</v>
      </c>
      <c r="Z65" s="86" t="s">
        <v>217</v>
      </c>
      <c r="AA65" s="210">
        <v>27892</v>
      </c>
      <c r="AB65" s="109">
        <f t="shared" ca="1" si="7"/>
        <v>49</v>
      </c>
      <c r="AC65" s="86" t="s">
        <v>4260</v>
      </c>
      <c r="AD65" s="86" t="s">
        <v>5222</v>
      </c>
      <c r="AE65" s="186" t="s">
        <v>4262</v>
      </c>
      <c r="AG65" s="13" t="s">
        <v>4263</v>
      </c>
      <c r="AH65" s="201" t="s">
        <v>4264</v>
      </c>
      <c r="AI65" s="186" t="s">
        <v>4265</v>
      </c>
      <c r="AJ65" s="86" t="s">
        <v>4733</v>
      </c>
      <c r="AK65" s="86" t="s">
        <v>4266</v>
      </c>
      <c r="AL65" s="86" t="s">
        <v>4267</v>
      </c>
      <c r="AM65" s="86" t="s">
        <v>4268</v>
      </c>
      <c r="AT65" s="86">
        <f t="shared" ref="AT65:AT70" si="9">COUNTA(AL65:AO65)</f>
        <v>2</v>
      </c>
      <c r="AU65" s="13" t="str">
        <f t="shared" si="8"/>
        <v>K/2</v>
      </c>
      <c r="AV65" s="202" t="s">
        <v>4269</v>
      </c>
      <c r="AW65" s="86" t="s">
        <v>161</v>
      </c>
      <c r="AX65" s="86" t="s">
        <v>75</v>
      </c>
      <c r="AY65" s="13" t="s">
        <v>91</v>
      </c>
      <c r="AZ65" s="86" t="s">
        <v>4270</v>
      </c>
      <c r="BC65" s="13" t="s">
        <v>91</v>
      </c>
      <c r="BD65" s="86" t="s">
        <v>4270</v>
      </c>
      <c r="BF65" s="213"/>
      <c r="BG65" s="213"/>
      <c r="BK65" s="87"/>
      <c r="BL65" s="87"/>
      <c r="BM65" s="87"/>
      <c r="BN65" s="87"/>
      <c r="BZ65" s="210">
        <v>45089</v>
      </c>
      <c r="CA65" s="86" t="s">
        <v>5004</v>
      </c>
      <c r="CC65" s="175"/>
      <c r="CD65" s="86" t="s">
        <v>5223</v>
      </c>
      <c r="CE65" s="86" t="e">
        <f>VLOOKUP(C65,[1]Sertifikasi!$B$4:$I$19,8,0)</f>
        <v>#N/A</v>
      </c>
    </row>
    <row r="66" spans="1:83" ht="11.25" customHeight="1" x14ac:dyDescent="0.2">
      <c r="B66" s="13">
        <v>63</v>
      </c>
      <c r="C66" s="13" t="s">
        <v>5224</v>
      </c>
      <c r="D66" s="109">
        <v>991100039</v>
      </c>
      <c r="E66" s="110">
        <v>1440013093569</v>
      </c>
      <c r="F66" s="197"/>
      <c r="G66" s="112" t="s">
        <v>204</v>
      </c>
      <c r="H66" s="13" t="s">
        <v>217</v>
      </c>
      <c r="I66" s="210">
        <v>43987</v>
      </c>
      <c r="J66" s="112">
        <f t="shared" si="4"/>
        <v>3</v>
      </c>
      <c r="K66" s="13">
        <f t="shared" si="5"/>
        <v>0</v>
      </c>
      <c r="L66" s="210"/>
      <c r="M66" s="13" t="str">
        <f t="shared" si="6"/>
        <v>Organik</v>
      </c>
      <c r="N66" s="13" t="s">
        <v>2637</v>
      </c>
      <c r="O66" s="213">
        <v>40907</v>
      </c>
      <c r="P66" s="13" t="s">
        <v>295</v>
      </c>
      <c r="Q66" s="13" t="s">
        <v>137</v>
      </c>
      <c r="R66" s="13" t="s">
        <v>4711</v>
      </c>
      <c r="S66" s="13"/>
      <c r="T66" s="13" t="s">
        <v>54</v>
      </c>
      <c r="U66" s="13" t="s">
        <v>120</v>
      </c>
      <c r="V66" s="13" t="s">
        <v>313</v>
      </c>
      <c r="W66" s="13"/>
      <c r="X66" s="13"/>
      <c r="Y66" s="13" t="s">
        <v>132</v>
      </c>
      <c r="Z66" s="13" t="s">
        <v>4793</v>
      </c>
      <c r="AA66" s="210">
        <v>29764</v>
      </c>
      <c r="AB66" s="109">
        <f t="shared" ca="1" si="7"/>
        <v>44</v>
      </c>
      <c r="AC66" s="13" t="s">
        <v>5225</v>
      </c>
      <c r="AD66" s="13" t="s">
        <v>5226</v>
      </c>
      <c r="AE66" s="115" t="s">
        <v>5227</v>
      </c>
      <c r="AF66" s="13"/>
      <c r="AG66" s="13" t="s">
        <v>5228</v>
      </c>
      <c r="AH66" s="117" t="s">
        <v>5229</v>
      </c>
      <c r="AI66" s="115">
        <v>10013670046</v>
      </c>
      <c r="AJ66" s="13" t="s">
        <v>4733</v>
      </c>
      <c r="AK66" s="13" t="s">
        <v>5230</v>
      </c>
      <c r="AL66" s="13" t="s">
        <v>5231</v>
      </c>
      <c r="AM66" s="13" t="s">
        <v>5232</v>
      </c>
      <c r="AN66" s="13"/>
      <c r="AO66" s="13"/>
      <c r="AP66" s="13"/>
      <c r="AQ66" s="13"/>
      <c r="AR66" s="13"/>
      <c r="AS66" s="13"/>
      <c r="AT66" s="86">
        <f t="shared" si="9"/>
        <v>2</v>
      </c>
      <c r="AU66" s="13" t="str">
        <f t="shared" si="8"/>
        <v>K/2</v>
      </c>
      <c r="AV66" s="112" t="s">
        <v>5233</v>
      </c>
      <c r="AW66" s="112" t="s">
        <v>161</v>
      </c>
      <c r="AX66" s="13" t="s">
        <v>75</v>
      </c>
      <c r="AY66" s="13" t="s">
        <v>91</v>
      </c>
      <c r="AZ66" s="13" t="s">
        <v>81</v>
      </c>
      <c r="BA66" s="13"/>
      <c r="BB66" s="13" t="s">
        <v>75</v>
      </c>
      <c r="BC66" s="13" t="s">
        <v>91</v>
      </c>
      <c r="BD66" s="13" t="s">
        <v>81</v>
      </c>
      <c r="BE66" s="13"/>
      <c r="BF66" s="213">
        <v>49857</v>
      </c>
      <c r="BG66" s="213">
        <v>50222</v>
      </c>
      <c r="BH66" s="13"/>
      <c r="BI66" s="13"/>
      <c r="BJ66" s="86">
        <v>41</v>
      </c>
      <c r="BK66" s="111">
        <v>44294</v>
      </c>
      <c r="BL66" s="111">
        <v>44322</v>
      </c>
      <c r="BM66" s="87">
        <v>44585</v>
      </c>
      <c r="BN66" s="87"/>
      <c r="BZ66" s="210">
        <v>45089</v>
      </c>
      <c r="CA66" s="86" t="s">
        <v>5004</v>
      </c>
      <c r="CC66" s="175"/>
      <c r="CD66" s="86" t="s">
        <v>5223</v>
      </c>
      <c r="CE66" s="86" t="e">
        <f>VLOOKUP(C66,[1]Sertifikasi!$B$4:$I$19,8,0)</f>
        <v>#N/A</v>
      </c>
    </row>
    <row r="67" spans="1:83" ht="11.25" customHeight="1" x14ac:dyDescent="0.2">
      <c r="B67" s="13">
        <v>64</v>
      </c>
      <c r="C67" s="13" t="s">
        <v>5234</v>
      </c>
      <c r="D67" s="109">
        <v>642201157</v>
      </c>
      <c r="E67" s="110">
        <v>1190007131541</v>
      </c>
      <c r="F67" s="197"/>
      <c r="G67" s="13" t="s">
        <v>24</v>
      </c>
      <c r="H67" s="13" t="s">
        <v>24</v>
      </c>
      <c r="I67" s="210">
        <v>44594</v>
      </c>
      <c r="J67" s="112">
        <f t="shared" si="4"/>
        <v>1</v>
      </c>
      <c r="K67" s="13">
        <f t="shared" si="5"/>
        <v>4</v>
      </c>
      <c r="L67" s="210"/>
      <c r="M67" s="13" t="str">
        <f t="shared" si="6"/>
        <v>PKWT</v>
      </c>
      <c r="N67" s="13"/>
      <c r="O67" s="210">
        <v>45169</v>
      </c>
      <c r="Q67" s="13" t="s">
        <v>141</v>
      </c>
      <c r="R67" s="13" t="s">
        <v>24</v>
      </c>
      <c r="S67" s="13" t="s">
        <v>204</v>
      </c>
      <c r="T67" s="186" t="s">
        <v>5235</v>
      </c>
      <c r="W67" s="13"/>
      <c r="X67" s="13"/>
      <c r="Y67" s="13" t="s">
        <v>314</v>
      </c>
      <c r="Z67" s="13" t="s">
        <v>24</v>
      </c>
      <c r="AA67" s="210">
        <v>31982</v>
      </c>
      <c r="AB67" s="109">
        <f t="shared" ca="1" si="7"/>
        <v>38</v>
      </c>
      <c r="AC67" s="13" t="s">
        <v>5236</v>
      </c>
      <c r="AD67" s="13" t="s">
        <v>5237</v>
      </c>
      <c r="AE67" s="115" t="s">
        <v>5238</v>
      </c>
      <c r="AF67" s="109"/>
      <c r="AG67" s="115" t="s">
        <v>5239</v>
      </c>
      <c r="AH67" s="117" t="s">
        <v>5240</v>
      </c>
      <c r="AI67" s="110">
        <v>22017333505</v>
      </c>
      <c r="AJ67" s="13" t="s">
        <v>4733</v>
      </c>
      <c r="AK67" s="13"/>
      <c r="AL67" s="13"/>
      <c r="AM67" s="13"/>
      <c r="AN67" s="13"/>
      <c r="AO67" s="13"/>
      <c r="AP67" s="13"/>
      <c r="AQ67" s="13"/>
      <c r="AR67" s="13"/>
      <c r="AS67" s="13"/>
      <c r="AT67" s="13">
        <f t="shared" si="9"/>
        <v>0</v>
      </c>
      <c r="AU67" s="13" t="str">
        <f t="shared" si="8"/>
        <v>K/0</v>
      </c>
      <c r="AV67" s="13"/>
      <c r="AW67" s="13" t="s">
        <v>161</v>
      </c>
      <c r="AX67" s="13" t="s">
        <v>75</v>
      </c>
      <c r="AY67" s="13" t="s">
        <v>5241</v>
      </c>
      <c r="AZ67" s="13" t="s">
        <v>5242</v>
      </c>
      <c r="BA67" s="13"/>
      <c r="BB67" s="13" t="s">
        <v>75</v>
      </c>
      <c r="BC67" s="13" t="s">
        <v>5241</v>
      </c>
      <c r="BD67" s="13" t="s">
        <v>5242</v>
      </c>
      <c r="BE67" s="13"/>
      <c r="BF67" s="210"/>
      <c r="BG67" s="210"/>
      <c r="BH67" s="13"/>
      <c r="BI67" s="13"/>
      <c r="BJ67" s="13">
        <v>42</v>
      </c>
      <c r="BK67" s="111"/>
      <c r="BL67" s="111"/>
      <c r="BM67" s="87">
        <v>44816</v>
      </c>
      <c r="BN67" s="13"/>
      <c r="BO67" s="13"/>
      <c r="BP67" s="13"/>
      <c r="BQ67" s="13"/>
      <c r="BR67" s="13" t="e">
        <f>"PKWT-"&amp;#REF!&amp;"/D1/2020"</f>
        <v>#REF!</v>
      </c>
      <c r="BS67" s="13"/>
      <c r="BT67" s="13"/>
      <c r="BU67" s="13"/>
      <c r="BV67" s="13"/>
      <c r="BW67" s="13"/>
      <c r="BX67" s="13"/>
      <c r="BY67" s="13"/>
      <c r="BZ67" s="210">
        <v>45107</v>
      </c>
      <c r="CA67" s="86" t="s">
        <v>4734</v>
      </c>
      <c r="CB67" s="86" t="s">
        <v>4735</v>
      </c>
      <c r="CC67" s="175"/>
      <c r="CD67" s="86" t="s">
        <v>3602</v>
      </c>
      <c r="CE67" s="86" t="e">
        <f>VLOOKUP(C67,[1]Sertifikasi!$B$4:$I$19,8,0)</f>
        <v>#N/A</v>
      </c>
    </row>
    <row r="68" spans="1:83" ht="11.25" customHeight="1" x14ac:dyDescent="0.2">
      <c r="B68" s="13">
        <v>65</v>
      </c>
      <c r="C68" s="13" t="s">
        <v>5243</v>
      </c>
      <c r="D68" s="109">
        <v>642007091</v>
      </c>
      <c r="E68" s="110">
        <v>9000032982713</v>
      </c>
      <c r="F68" s="197"/>
      <c r="G68" s="112" t="s">
        <v>217</v>
      </c>
      <c r="H68" s="13" t="s">
        <v>217</v>
      </c>
      <c r="I68" s="210">
        <v>44013</v>
      </c>
      <c r="J68" s="112">
        <f t="shared" ref="J68:J99" si="10">DATEDIF(I68,BZ68,"y")</f>
        <v>2</v>
      </c>
      <c r="K68" s="13">
        <f t="shared" ref="K68:K99" si="11">DATEDIF(I68,BZ68,"yM")</f>
        <v>11</v>
      </c>
      <c r="L68" s="210"/>
      <c r="M68" s="13" t="str">
        <f t="shared" ref="M68:M99" si="12">IF(LEFT(D68,2)="97","Tetap",IF(LEFT(D68,2)="75","Capeg",IF(LEFT(D68,2)="64","PKWT",IF(LEFT(D68,2)="99","Organik","Resign"))))</f>
        <v>PKWT</v>
      </c>
      <c r="N68" s="13" t="s">
        <v>5244</v>
      </c>
      <c r="O68" s="213">
        <v>45473</v>
      </c>
      <c r="P68" s="13"/>
      <c r="Q68" s="13" t="s">
        <v>139</v>
      </c>
      <c r="R68" s="13" t="s">
        <v>4711</v>
      </c>
      <c r="S68" s="13" t="s">
        <v>59</v>
      </c>
      <c r="T68" s="13" t="s">
        <v>59</v>
      </c>
      <c r="U68" s="13" t="s">
        <v>59</v>
      </c>
      <c r="V68" s="13" t="s">
        <v>298</v>
      </c>
      <c r="W68" s="13"/>
      <c r="X68" s="13"/>
      <c r="Y68" s="13" t="s">
        <v>132</v>
      </c>
      <c r="Z68" s="13" t="s">
        <v>667</v>
      </c>
      <c r="AA68" s="210">
        <v>33489</v>
      </c>
      <c r="AB68" s="109">
        <f t="shared" ref="AB68:AB99" ca="1" si="13">DATEDIF(AA68,$C$2,"y")</f>
        <v>34</v>
      </c>
      <c r="AC68" s="13" t="s">
        <v>5245</v>
      </c>
      <c r="AD68" s="13" t="s">
        <v>5246</v>
      </c>
      <c r="AE68" s="115" t="s">
        <v>5247</v>
      </c>
      <c r="AF68" s="13"/>
      <c r="AG68" s="13" t="s">
        <v>5248</v>
      </c>
      <c r="AH68" s="117" t="s">
        <v>5249</v>
      </c>
      <c r="AI68" s="115" t="s">
        <v>5250</v>
      </c>
      <c r="AJ68" s="13" t="s">
        <v>4733</v>
      </c>
      <c r="AK68" s="13" t="s">
        <v>5251</v>
      </c>
      <c r="AL68" s="13" t="s">
        <v>5252</v>
      </c>
      <c r="AM68" s="13"/>
      <c r="AN68" s="13"/>
      <c r="AO68" s="13"/>
      <c r="AP68" s="13"/>
      <c r="AQ68" s="13"/>
      <c r="AR68" s="13"/>
      <c r="AS68" s="13"/>
      <c r="AT68" s="86">
        <f t="shared" si="9"/>
        <v>1</v>
      </c>
      <c r="AU68" s="13" t="str">
        <f t="shared" si="8"/>
        <v>K/1</v>
      </c>
      <c r="AV68" s="110"/>
      <c r="AW68" s="112" t="s">
        <v>161</v>
      </c>
      <c r="AX68" s="13" t="s">
        <v>75</v>
      </c>
      <c r="AY68" s="13" t="s">
        <v>106</v>
      </c>
      <c r="AZ68" s="13" t="s">
        <v>5253</v>
      </c>
      <c r="BA68" s="13"/>
      <c r="BB68" s="13" t="s">
        <v>75</v>
      </c>
      <c r="BC68" s="13" t="s">
        <v>106</v>
      </c>
      <c r="BD68" s="13" t="s">
        <v>5253</v>
      </c>
      <c r="BE68" s="13"/>
      <c r="BF68" s="213"/>
      <c r="BG68" s="213"/>
      <c r="BH68" s="13"/>
      <c r="BI68" s="13"/>
      <c r="BK68" s="111">
        <v>44294</v>
      </c>
      <c r="BL68" s="111">
        <v>44322</v>
      </c>
      <c r="BM68" s="87">
        <v>44585</v>
      </c>
      <c r="BN68" s="87"/>
      <c r="BZ68" s="210">
        <v>45107</v>
      </c>
      <c r="CA68" s="86" t="s">
        <v>4734</v>
      </c>
      <c r="CB68" s="86" t="s">
        <v>4735</v>
      </c>
      <c r="CC68" s="175"/>
      <c r="CD68" s="86" t="s">
        <v>3602</v>
      </c>
      <c r="CE68" s="86" t="e">
        <f>VLOOKUP(C68,[1]Sertifikasi!$B$4:$I$19,8,0)</f>
        <v>#N/A</v>
      </c>
    </row>
    <row r="69" spans="1:83" ht="11.25" customHeight="1" x14ac:dyDescent="0.2">
      <c r="B69" s="13">
        <v>66</v>
      </c>
      <c r="C69" s="13" t="s">
        <v>5254</v>
      </c>
      <c r="D69" s="109">
        <v>642201155</v>
      </c>
      <c r="E69" s="110">
        <v>1200012509365</v>
      </c>
      <c r="F69" s="197"/>
      <c r="G69" s="13" t="s">
        <v>24</v>
      </c>
      <c r="H69" s="13" t="s">
        <v>24</v>
      </c>
      <c r="I69" s="210">
        <v>44594</v>
      </c>
      <c r="J69" s="112">
        <f t="shared" si="10"/>
        <v>1</v>
      </c>
      <c r="K69" s="13">
        <f t="shared" si="11"/>
        <v>4</v>
      </c>
      <c r="L69" s="210"/>
      <c r="M69" s="13" t="str">
        <f t="shared" si="12"/>
        <v>PKWT</v>
      </c>
      <c r="N69" s="13"/>
      <c r="O69" s="210">
        <v>45169</v>
      </c>
      <c r="Q69" s="13" t="s">
        <v>141</v>
      </c>
      <c r="R69" s="13" t="s">
        <v>24</v>
      </c>
      <c r="S69" s="13" t="s">
        <v>204</v>
      </c>
      <c r="T69" s="115" t="s">
        <v>5235</v>
      </c>
      <c r="W69" s="13"/>
      <c r="X69" s="13"/>
      <c r="Y69" s="13" t="s">
        <v>314</v>
      </c>
      <c r="Z69" s="13" t="s">
        <v>24</v>
      </c>
      <c r="AA69" s="210">
        <v>34858</v>
      </c>
      <c r="AB69" s="109">
        <f t="shared" ca="1" si="13"/>
        <v>30</v>
      </c>
      <c r="AC69" s="13" t="s">
        <v>5255</v>
      </c>
      <c r="AD69" s="13" t="s">
        <v>5256</v>
      </c>
      <c r="AE69" s="115" t="s">
        <v>5257</v>
      </c>
      <c r="AF69" s="109"/>
      <c r="AG69" s="115" t="s">
        <v>5258</v>
      </c>
      <c r="AH69" s="117" t="s">
        <v>5259</v>
      </c>
      <c r="AI69" s="110">
        <v>22017333521</v>
      </c>
      <c r="AJ69" s="13" t="s">
        <v>4716</v>
      </c>
      <c r="AK69" s="13"/>
      <c r="AL69" s="13"/>
      <c r="AM69" s="13"/>
      <c r="AN69" s="13"/>
      <c r="AO69" s="13"/>
      <c r="AP69" s="13"/>
      <c r="AQ69" s="13"/>
      <c r="AR69" s="13"/>
      <c r="AS69" s="13"/>
      <c r="AT69" s="13">
        <f t="shared" si="9"/>
        <v>0</v>
      </c>
      <c r="AU69" s="13" t="str">
        <f t="shared" si="8"/>
        <v>TK/0</v>
      </c>
      <c r="AV69" s="13"/>
      <c r="AW69" s="13" t="s">
        <v>161</v>
      </c>
      <c r="AX69" s="13" t="s">
        <v>75</v>
      </c>
      <c r="AY69" s="13" t="s">
        <v>5241</v>
      </c>
      <c r="AZ69" s="13" t="s">
        <v>4986</v>
      </c>
      <c r="BA69" s="13"/>
      <c r="BB69" s="13" t="s">
        <v>75</v>
      </c>
      <c r="BC69" s="13" t="s">
        <v>5241</v>
      </c>
      <c r="BD69" s="13" t="s">
        <v>4986</v>
      </c>
      <c r="BE69" s="13"/>
      <c r="BF69" s="210"/>
      <c r="BG69" s="210"/>
      <c r="BH69" s="13"/>
      <c r="BI69" s="13"/>
      <c r="BJ69" s="13">
        <v>40</v>
      </c>
      <c r="BK69" s="111"/>
      <c r="BL69" s="111"/>
      <c r="BM69" s="87">
        <v>43989</v>
      </c>
      <c r="BN69" s="13"/>
      <c r="BO69" s="13"/>
      <c r="BP69" s="13"/>
      <c r="BQ69" s="13"/>
      <c r="BR69" s="13" t="e">
        <f>"PKWT-"&amp;#REF!&amp;"/D1/2020"</f>
        <v>#REF!</v>
      </c>
      <c r="BS69" s="13"/>
      <c r="BT69" s="13"/>
      <c r="BU69" s="13"/>
      <c r="BV69" s="13"/>
      <c r="BW69" s="13"/>
      <c r="BX69" s="13"/>
      <c r="BY69" s="13"/>
      <c r="BZ69" s="210">
        <v>45107</v>
      </c>
      <c r="CA69" s="86" t="s">
        <v>4734</v>
      </c>
      <c r="CB69" s="86" t="s">
        <v>4735</v>
      </c>
      <c r="CC69" s="175"/>
      <c r="CD69" s="86" t="s">
        <v>3602</v>
      </c>
      <c r="CE69" s="86" t="e">
        <f>VLOOKUP(C69,[1]Sertifikasi!$B$4:$I$19,8,0)</f>
        <v>#N/A</v>
      </c>
    </row>
    <row r="70" spans="1:83" ht="11.25" customHeight="1" x14ac:dyDescent="0.2">
      <c r="A70" s="13"/>
      <c r="B70" s="13">
        <v>67</v>
      </c>
      <c r="C70" s="13" t="s">
        <v>2035</v>
      </c>
      <c r="D70" s="109">
        <v>642111123</v>
      </c>
      <c r="E70" s="110"/>
      <c r="F70" s="197">
        <v>7183163641</v>
      </c>
      <c r="G70" s="13" t="s">
        <v>24</v>
      </c>
      <c r="H70" s="13" t="s">
        <v>24</v>
      </c>
      <c r="I70" s="210">
        <v>44529</v>
      </c>
      <c r="J70" s="112">
        <f t="shared" si="10"/>
        <v>1</v>
      </c>
      <c r="K70" s="13">
        <f t="shared" si="11"/>
        <v>7</v>
      </c>
      <c r="L70" s="210"/>
      <c r="M70" s="13" t="str">
        <f t="shared" si="12"/>
        <v>PKWT</v>
      </c>
      <c r="N70" s="13"/>
      <c r="O70" s="210">
        <v>45430</v>
      </c>
      <c r="Q70" s="13" t="s">
        <v>141</v>
      </c>
      <c r="R70" s="13" t="s">
        <v>24</v>
      </c>
      <c r="S70" s="13" t="s">
        <v>204</v>
      </c>
      <c r="T70" s="186" t="s">
        <v>5260</v>
      </c>
      <c r="W70" s="13" t="s">
        <v>1218</v>
      </c>
      <c r="X70" s="13"/>
      <c r="Y70" s="13" t="s">
        <v>314</v>
      </c>
      <c r="Z70" s="13" t="s">
        <v>24</v>
      </c>
      <c r="AA70" s="210">
        <v>23403</v>
      </c>
      <c r="AB70" s="109">
        <f t="shared" ca="1" si="13"/>
        <v>61</v>
      </c>
      <c r="AC70" s="13" t="s">
        <v>5261</v>
      </c>
      <c r="AD70" s="13" t="s">
        <v>5262</v>
      </c>
      <c r="AE70" s="115" t="s">
        <v>5263</v>
      </c>
      <c r="AF70" s="109"/>
      <c r="AG70" s="115"/>
      <c r="AH70" s="117" t="s">
        <v>5264</v>
      </c>
      <c r="AI70" s="115">
        <v>21098326602</v>
      </c>
      <c r="AJ70" s="13" t="s">
        <v>4733</v>
      </c>
      <c r="AK70" s="13"/>
      <c r="AL70" s="13"/>
      <c r="AM70" s="13"/>
      <c r="AN70" s="13"/>
      <c r="AO70" s="13"/>
      <c r="AP70" s="13"/>
      <c r="AQ70" s="13"/>
      <c r="AR70" s="13"/>
      <c r="AS70" s="13"/>
      <c r="AT70" s="13">
        <f t="shared" si="9"/>
        <v>0</v>
      </c>
      <c r="AU70" s="13" t="str">
        <f t="shared" si="8"/>
        <v>K/0</v>
      </c>
      <c r="AV70" s="13"/>
      <c r="AW70" s="13" t="s">
        <v>161</v>
      </c>
      <c r="AX70" s="13" t="s">
        <v>349</v>
      </c>
      <c r="AY70" s="13" t="s">
        <v>91</v>
      </c>
      <c r="AZ70" s="13" t="s">
        <v>5265</v>
      </c>
      <c r="BA70" s="13"/>
      <c r="BB70" s="13" t="s">
        <v>349</v>
      </c>
      <c r="BC70" s="13" t="s">
        <v>91</v>
      </c>
      <c r="BD70" s="13" t="s">
        <v>5265</v>
      </c>
      <c r="BE70" s="13"/>
      <c r="BF70" s="210"/>
      <c r="BG70" s="210"/>
      <c r="BH70" s="13"/>
      <c r="BI70" s="13"/>
      <c r="BJ70" s="13">
        <v>41</v>
      </c>
      <c r="BK70" s="111"/>
      <c r="BL70" s="111"/>
      <c r="BM70" s="87"/>
      <c r="BN70" s="13"/>
      <c r="BO70" s="13"/>
      <c r="BP70" s="13"/>
      <c r="BQ70" s="13"/>
      <c r="BR70" s="13" t="e">
        <f>"PKWT-"&amp;#REF!&amp;"/D1/2020"</f>
        <v>#REF!</v>
      </c>
      <c r="BS70" s="13"/>
      <c r="BT70" s="13"/>
      <c r="BU70" s="13"/>
      <c r="BV70" s="13"/>
      <c r="BW70" s="13"/>
      <c r="BX70" s="13"/>
      <c r="BY70" s="13"/>
      <c r="BZ70" s="210">
        <v>45107</v>
      </c>
      <c r="CA70" s="86" t="s">
        <v>4734</v>
      </c>
      <c r="CB70" s="86" t="s">
        <v>4735</v>
      </c>
      <c r="CC70" s="175"/>
      <c r="CD70" s="86" t="s">
        <v>3602</v>
      </c>
    </row>
    <row r="71" spans="1:83" ht="11.25" customHeight="1" x14ac:dyDescent="0.2">
      <c r="B71" s="13">
        <v>68</v>
      </c>
      <c r="C71" s="13" t="s">
        <v>5266</v>
      </c>
      <c r="D71" s="109">
        <v>642301182</v>
      </c>
      <c r="E71" s="110">
        <v>1710012919489</v>
      </c>
      <c r="F71" s="115"/>
      <c r="G71" s="13" t="s">
        <v>217</v>
      </c>
      <c r="H71" s="13" t="s">
        <v>217</v>
      </c>
      <c r="I71" s="210">
        <v>44931</v>
      </c>
      <c r="J71" s="112">
        <f t="shared" si="10"/>
        <v>0</v>
      </c>
      <c r="K71" s="13">
        <f t="shared" si="11"/>
        <v>5</v>
      </c>
      <c r="L71" s="210"/>
      <c r="M71" s="13" t="str">
        <f t="shared" si="12"/>
        <v>PKWT</v>
      </c>
      <c r="N71" s="13"/>
      <c r="O71" s="210">
        <v>45291</v>
      </c>
      <c r="P71" s="111"/>
      <c r="Q71" s="13" t="s">
        <v>141</v>
      </c>
      <c r="R71" s="13" t="s">
        <v>24</v>
      </c>
      <c r="S71" s="13" t="s">
        <v>204</v>
      </c>
      <c r="T71" s="13" t="s">
        <v>5235</v>
      </c>
      <c r="U71" s="13" t="s">
        <v>121</v>
      </c>
      <c r="V71" s="13" t="s">
        <v>313</v>
      </c>
      <c r="W71" s="86" t="s">
        <v>445</v>
      </c>
      <c r="X71" s="13"/>
      <c r="Y71" s="13" t="s">
        <v>314</v>
      </c>
      <c r="Z71" s="13" t="s">
        <v>3534</v>
      </c>
      <c r="AA71" s="210">
        <v>36930</v>
      </c>
      <c r="AB71" s="109">
        <f t="shared" ca="1" si="13"/>
        <v>24</v>
      </c>
      <c r="AC71" s="13" t="s">
        <v>5267</v>
      </c>
      <c r="AD71" s="13" t="s">
        <v>5268</v>
      </c>
      <c r="AE71" s="115" t="s">
        <v>5269</v>
      </c>
      <c r="AF71" s="13"/>
      <c r="AG71" s="115" t="s">
        <v>5270</v>
      </c>
      <c r="AH71" s="115" t="s">
        <v>5271</v>
      </c>
      <c r="AI71" s="115">
        <v>23009096639</v>
      </c>
      <c r="AJ71" s="13" t="s">
        <v>4716</v>
      </c>
      <c r="AL71" s="13"/>
      <c r="AM71" s="13"/>
      <c r="AN71" s="13"/>
      <c r="AO71" s="13"/>
      <c r="AP71" s="13"/>
      <c r="AQ71" s="13"/>
      <c r="AR71" s="13"/>
      <c r="AS71" s="13"/>
      <c r="AT71" s="13">
        <v>0</v>
      </c>
      <c r="AU71" s="13" t="s">
        <v>5078</v>
      </c>
      <c r="AV71" s="13"/>
      <c r="AW71" s="13" t="s">
        <v>161</v>
      </c>
      <c r="AX71" s="13" t="s">
        <v>70</v>
      </c>
      <c r="AY71" s="13" t="s">
        <v>3475</v>
      </c>
      <c r="AZ71" s="13" t="s">
        <v>100</v>
      </c>
      <c r="BA71" s="13"/>
      <c r="BB71" s="13" t="s">
        <v>70</v>
      </c>
      <c r="BC71" s="13" t="s">
        <v>3475</v>
      </c>
      <c r="BD71" s="13" t="s">
        <v>100</v>
      </c>
      <c r="BE71" s="13"/>
      <c r="BG71" s="210"/>
      <c r="BH71" s="13"/>
      <c r="BI71" s="13"/>
      <c r="BJ71" s="13">
        <v>43</v>
      </c>
      <c r="BL71" s="13"/>
      <c r="BM71" s="13"/>
      <c r="BN71" s="13"/>
      <c r="BO71" s="174"/>
      <c r="BP71" s="174"/>
      <c r="BQ71" s="13"/>
      <c r="BR71" s="13"/>
      <c r="BS71" s="174"/>
      <c r="BT71" s="174"/>
      <c r="BU71" s="13"/>
      <c r="BV71" s="13"/>
      <c r="BW71" s="111"/>
      <c r="BX71" s="111"/>
      <c r="BZ71" s="212">
        <v>45107</v>
      </c>
      <c r="CA71" s="86" t="s">
        <v>4734</v>
      </c>
      <c r="CB71" s="86" t="s">
        <v>4735</v>
      </c>
      <c r="CC71" s="175"/>
      <c r="CE71" s="86" t="e">
        <f>VLOOKUP(C71,[1]Sertifikasi!$B$4:$I$19,8,0)</f>
        <v>#N/A</v>
      </c>
    </row>
    <row r="72" spans="1:83" ht="11.25" customHeight="1" x14ac:dyDescent="0.2">
      <c r="B72" s="13">
        <v>69</v>
      </c>
      <c r="C72" s="13" t="s">
        <v>5272</v>
      </c>
      <c r="D72" s="112">
        <v>999600008</v>
      </c>
      <c r="E72" s="110">
        <v>1440001101416</v>
      </c>
      <c r="F72" s="13"/>
      <c r="G72" s="13" t="s">
        <v>204</v>
      </c>
      <c r="H72" s="13" t="s">
        <v>217</v>
      </c>
      <c r="I72" s="210">
        <v>43538</v>
      </c>
      <c r="J72" s="112">
        <f t="shared" si="10"/>
        <v>4</v>
      </c>
      <c r="K72" s="13">
        <f t="shared" si="11"/>
        <v>4</v>
      </c>
      <c r="L72" s="210"/>
      <c r="M72" s="13" t="str">
        <f t="shared" si="12"/>
        <v>Organik</v>
      </c>
      <c r="N72" s="13" t="s">
        <v>2685</v>
      </c>
      <c r="O72" s="213">
        <v>35125</v>
      </c>
      <c r="P72" s="13" t="s">
        <v>295</v>
      </c>
      <c r="Q72" s="13" t="s">
        <v>142</v>
      </c>
      <c r="R72" s="13" t="s">
        <v>4711</v>
      </c>
      <c r="S72" s="13"/>
      <c r="T72" s="13"/>
      <c r="U72" s="13" t="s">
        <v>50</v>
      </c>
      <c r="V72" s="13" t="s">
        <v>1064</v>
      </c>
      <c r="W72" s="13"/>
      <c r="X72" s="111"/>
      <c r="Y72" s="13" t="s">
        <v>132</v>
      </c>
      <c r="Z72" s="13" t="s">
        <v>217</v>
      </c>
      <c r="AA72" s="210">
        <v>26406</v>
      </c>
      <c r="AB72" s="109">
        <f t="shared" ca="1" si="13"/>
        <v>53</v>
      </c>
      <c r="AC72" s="115" t="s">
        <v>5273</v>
      </c>
      <c r="AD72" s="115" t="s">
        <v>5274</v>
      </c>
      <c r="AE72" s="115" t="s">
        <v>5275</v>
      </c>
      <c r="AF72" s="13"/>
      <c r="AG72" s="13" t="s">
        <v>5276</v>
      </c>
      <c r="AH72" s="115" t="s">
        <v>5277</v>
      </c>
      <c r="AI72" s="115" t="s">
        <v>5278</v>
      </c>
      <c r="AJ72" s="13" t="s">
        <v>4733</v>
      </c>
      <c r="AK72" s="13" t="s">
        <v>5279</v>
      </c>
      <c r="AL72" s="13" t="s">
        <v>5280</v>
      </c>
      <c r="AM72" s="13" t="s">
        <v>5281</v>
      </c>
      <c r="AN72" s="13" t="s">
        <v>5282</v>
      </c>
      <c r="AO72" s="13"/>
      <c r="AP72" s="13"/>
      <c r="AQ72" s="13"/>
      <c r="AR72" s="13"/>
      <c r="AS72" s="13"/>
      <c r="AT72" s="13">
        <v>3</v>
      </c>
      <c r="AU72" s="13" t="s">
        <v>5145</v>
      </c>
      <c r="AV72" s="112">
        <v>382989226621000</v>
      </c>
      <c r="AW72" s="13" t="s">
        <v>161</v>
      </c>
      <c r="AX72" s="13" t="s">
        <v>70</v>
      </c>
      <c r="AY72" s="13" t="s">
        <v>43</v>
      </c>
      <c r="AZ72" s="13" t="s">
        <v>5071</v>
      </c>
      <c r="BA72" s="13"/>
      <c r="BB72" s="13" t="s">
        <v>70</v>
      </c>
      <c r="BC72" s="13" t="s">
        <v>43</v>
      </c>
      <c r="BD72" s="13" t="s">
        <v>5071</v>
      </c>
      <c r="BE72" s="13"/>
      <c r="BF72" s="213">
        <v>46508</v>
      </c>
      <c r="BG72" s="213" t="s">
        <v>5283</v>
      </c>
      <c r="BH72" s="13"/>
      <c r="BI72" s="13"/>
      <c r="BJ72" s="174"/>
      <c r="BK72" s="111">
        <v>44294</v>
      </c>
      <c r="BL72" s="111">
        <v>44322</v>
      </c>
      <c r="BM72" s="87">
        <v>44585</v>
      </c>
      <c r="BN72" s="174"/>
      <c r="BO72" s="174"/>
      <c r="BP72" s="13"/>
      <c r="BQ72" s="13"/>
      <c r="BR72" s="111"/>
      <c r="BS72" s="111"/>
      <c r="BZ72" s="210">
        <v>45124</v>
      </c>
      <c r="CA72" s="86" t="s">
        <v>5004</v>
      </c>
      <c r="CC72" s="175"/>
      <c r="CD72" s="86" t="s">
        <v>5284</v>
      </c>
      <c r="CE72" s="86" t="e">
        <f>VLOOKUP(C72,[1]Sertifikasi!$B$4:$I$19,8,0)</f>
        <v>#N/A</v>
      </c>
    </row>
    <row r="73" spans="1:83" ht="11.25" customHeight="1" x14ac:dyDescent="0.2">
      <c r="B73" s="13">
        <v>70</v>
      </c>
      <c r="C73" s="13" t="s">
        <v>5285</v>
      </c>
      <c r="D73" s="109">
        <v>999600041</v>
      </c>
      <c r="E73" s="110">
        <v>1440001095733</v>
      </c>
      <c r="F73" s="197"/>
      <c r="G73" s="112" t="s">
        <v>204</v>
      </c>
      <c r="H73" s="13" t="s">
        <v>217</v>
      </c>
      <c r="I73" s="210">
        <v>43987</v>
      </c>
      <c r="J73" s="112">
        <f t="shared" si="10"/>
        <v>3</v>
      </c>
      <c r="K73" s="13">
        <f t="shared" si="11"/>
        <v>1</v>
      </c>
      <c r="L73" s="210"/>
      <c r="M73" s="13" t="str">
        <f t="shared" si="12"/>
        <v>Organik</v>
      </c>
      <c r="N73" s="13" t="s">
        <v>2637</v>
      </c>
      <c r="O73" s="213">
        <v>35278</v>
      </c>
      <c r="P73" s="13" t="s">
        <v>295</v>
      </c>
      <c r="Q73" s="13" t="s">
        <v>137</v>
      </c>
      <c r="R73" s="13" t="s">
        <v>204</v>
      </c>
      <c r="S73" s="13"/>
      <c r="T73" s="13" t="s">
        <v>5286</v>
      </c>
      <c r="U73" s="13" t="s">
        <v>144</v>
      </c>
      <c r="V73" s="13" t="s">
        <v>313</v>
      </c>
      <c r="W73" s="13"/>
      <c r="X73" s="13"/>
      <c r="Y73" s="13" t="s">
        <v>132</v>
      </c>
      <c r="Z73" s="13" t="s">
        <v>432</v>
      </c>
      <c r="AA73" s="210">
        <v>26949</v>
      </c>
      <c r="AB73" s="109">
        <f t="shared" ca="1" si="13"/>
        <v>51</v>
      </c>
      <c r="AC73" s="13" t="s">
        <v>5287</v>
      </c>
      <c r="AD73" s="13" t="s">
        <v>5288</v>
      </c>
      <c r="AE73" s="115" t="s">
        <v>5289</v>
      </c>
      <c r="AF73" s="13"/>
      <c r="AG73" s="13" t="s">
        <v>5290</v>
      </c>
      <c r="AH73" s="203" t="s">
        <v>5291</v>
      </c>
      <c r="AI73" s="115" t="s">
        <v>5292</v>
      </c>
      <c r="AJ73" s="13" t="s">
        <v>4733</v>
      </c>
      <c r="AK73" s="13" t="s">
        <v>5293</v>
      </c>
      <c r="AL73" s="13" t="s">
        <v>5294</v>
      </c>
      <c r="AM73" s="13" t="s">
        <v>5295</v>
      </c>
      <c r="AN73" s="13"/>
      <c r="AO73" s="13"/>
      <c r="AP73" s="13"/>
      <c r="AQ73" s="13"/>
      <c r="AR73" s="13"/>
      <c r="AS73" s="13"/>
      <c r="AT73" s="86">
        <f t="shared" ref="AT73:AT101" si="14">COUNTA(AL73:AO73)</f>
        <v>2</v>
      </c>
      <c r="AU73" s="13" t="str">
        <f t="shared" ref="AU73:AU101" si="15">IF(AJ73="Menikah","K","TK")&amp;"/"&amp;AT73</f>
        <v>K/2</v>
      </c>
      <c r="AV73" s="110">
        <v>478340599621000</v>
      </c>
      <c r="AW73" s="112" t="s">
        <v>161</v>
      </c>
      <c r="AX73" s="13" t="s">
        <v>349</v>
      </c>
      <c r="AY73" s="13" t="s">
        <v>4502</v>
      </c>
      <c r="AZ73" s="13" t="s">
        <v>4350</v>
      </c>
      <c r="BA73" s="13"/>
      <c r="BB73" s="13" t="s">
        <v>349</v>
      </c>
      <c r="BC73" s="13" t="s">
        <v>4502</v>
      </c>
      <c r="BD73" s="13" t="s">
        <v>4350</v>
      </c>
      <c r="BE73" s="13"/>
      <c r="BF73" s="213">
        <v>47058</v>
      </c>
      <c r="BG73" s="213">
        <v>47423</v>
      </c>
      <c r="BH73" s="13"/>
      <c r="BI73" s="13"/>
      <c r="BJ73" s="13">
        <v>41</v>
      </c>
      <c r="BK73" s="111">
        <v>44293</v>
      </c>
      <c r="BL73" s="111">
        <v>44322</v>
      </c>
      <c r="BM73" s="87">
        <v>44585</v>
      </c>
      <c r="BN73" s="87"/>
      <c r="BZ73" s="210">
        <v>45135</v>
      </c>
      <c r="CA73" s="86" t="s">
        <v>5004</v>
      </c>
      <c r="CC73" s="175"/>
      <c r="CD73" s="86" t="s">
        <v>5296</v>
      </c>
      <c r="CE73" s="86" t="e">
        <f>VLOOKUP(C73,[1]Sertifikasi!$B$4:$I$19,8,0)</f>
        <v>#N/A</v>
      </c>
    </row>
    <row r="74" spans="1:83" ht="11.25" customHeight="1" x14ac:dyDescent="0.2">
      <c r="B74" s="13">
        <v>71</v>
      </c>
      <c r="C74" s="13" t="s">
        <v>5297</v>
      </c>
      <c r="D74" s="109">
        <v>991800022</v>
      </c>
      <c r="E74" s="110">
        <v>1710003198648</v>
      </c>
      <c r="F74" s="197"/>
      <c r="G74" s="112" t="s">
        <v>204</v>
      </c>
      <c r="H74" s="13" t="s">
        <v>217</v>
      </c>
      <c r="I74" s="210">
        <v>43987</v>
      </c>
      <c r="J74" s="112">
        <f t="shared" si="10"/>
        <v>3</v>
      </c>
      <c r="K74" s="13">
        <f t="shared" si="11"/>
        <v>1</v>
      </c>
      <c r="L74" s="210"/>
      <c r="M74" s="13" t="str">
        <f t="shared" si="12"/>
        <v>Organik</v>
      </c>
      <c r="N74" s="13" t="s">
        <v>2649</v>
      </c>
      <c r="O74" s="213">
        <v>43132</v>
      </c>
      <c r="P74" s="13" t="s">
        <v>139</v>
      </c>
      <c r="Q74" s="13" t="s">
        <v>138</v>
      </c>
      <c r="R74" s="13" t="s">
        <v>4711</v>
      </c>
      <c r="S74" s="13" t="s">
        <v>1115</v>
      </c>
      <c r="T74" s="13" t="s">
        <v>119</v>
      </c>
      <c r="U74" s="13" t="s">
        <v>120</v>
      </c>
      <c r="V74" s="13" t="s">
        <v>313</v>
      </c>
      <c r="W74" s="13"/>
      <c r="X74" s="13"/>
      <c r="Y74" s="13" t="s">
        <v>132</v>
      </c>
      <c r="Z74" s="13" t="s">
        <v>31</v>
      </c>
      <c r="AA74" s="210">
        <v>33074</v>
      </c>
      <c r="AB74" s="109">
        <f t="shared" ca="1" si="13"/>
        <v>35</v>
      </c>
      <c r="AC74" s="13" t="s">
        <v>5298</v>
      </c>
      <c r="AD74" s="13" t="s">
        <v>5299</v>
      </c>
      <c r="AE74" s="190" t="s">
        <v>5300</v>
      </c>
      <c r="AF74" s="13"/>
      <c r="AG74" s="13" t="s">
        <v>5301</v>
      </c>
      <c r="AH74" s="117" t="s">
        <v>5302</v>
      </c>
      <c r="AI74" s="115">
        <v>12036704893</v>
      </c>
      <c r="AJ74" s="13" t="s">
        <v>4733</v>
      </c>
      <c r="AK74" s="13" t="s">
        <v>5303</v>
      </c>
      <c r="AL74" s="13" t="s">
        <v>5304</v>
      </c>
      <c r="AM74" s="13" t="s">
        <v>5305</v>
      </c>
      <c r="AN74" s="13"/>
      <c r="AO74" s="13"/>
      <c r="AP74" s="13"/>
      <c r="AQ74" s="13"/>
      <c r="AR74" s="13"/>
      <c r="AS74" s="13"/>
      <c r="AT74" s="86">
        <f t="shared" si="14"/>
        <v>2</v>
      </c>
      <c r="AU74" s="13" t="str">
        <f t="shared" si="15"/>
        <v>K/2</v>
      </c>
      <c r="AV74" s="110" t="s">
        <v>5306</v>
      </c>
      <c r="AW74" s="112" t="s">
        <v>161</v>
      </c>
      <c r="AX74" s="13" t="s">
        <v>156</v>
      </c>
      <c r="AY74" s="13" t="s">
        <v>2236</v>
      </c>
      <c r="AZ74" s="13" t="s">
        <v>5307</v>
      </c>
      <c r="BA74" s="13"/>
      <c r="BB74" s="13" t="s">
        <v>156</v>
      </c>
      <c r="BC74" s="13" t="s">
        <v>2236</v>
      </c>
      <c r="BD74" s="13" t="s">
        <v>5307</v>
      </c>
      <c r="BE74" s="13"/>
      <c r="BF74" s="213">
        <v>53175</v>
      </c>
      <c r="BG74" s="213" t="s">
        <v>5308</v>
      </c>
      <c r="BH74" s="13"/>
      <c r="BI74" s="13"/>
      <c r="BJ74" s="86">
        <v>41</v>
      </c>
      <c r="BK74" s="111">
        <v>44294</v>
      </c>
      <c r="BL74" s="111">
        <v>44322</v>
      </c>
      <c r="BM74" s="87">
        <v>44657</v>
      </c>
      <c r="BN74" s="87"/>
      <c r="BZ74" s="210">
        <v>45135</v>
      </c>
      <c r="CA74" s="86" t="s">
        <v>5004</v>
      </c>
      <c r="CC74" s="175"/>
      <c r="CD74" s="86" t="s">
        <v>5296</v>
      </c>
      <c r="CE74" s="86" t="e">
        <f>VLOOKUP(C74,[1]Sertifikasi!$B$4:$I$19,8,0)</f>
        <v>#N/A</v>
      </c>
    </row>
    <row r="75" spans="1:83" ht="11.25" customHeight="1" x14ac:dyDescent="0.2">
      <c r="B75" s="13">
        <v>72</v>
      </c>
      <c r="C75" s="13" t="s">
        <v>5309</v>
      </c>
      <c r="D75" s="109">
        <v>999100010</v>
      </c>
      <c r="E75" s="110">
        <v>1440011136154</v>
      </c>
      <c r="F75" s="197">
        <v>7174486411</v>
      </c>
      <c r="G75" s="112" t="s">
        <v>204</v>
      </c>
      <c r="H75" s="13" t="s">
        <v>217</v>
      </c>
      <c r="I75" s="210">
        <v>43987</v>
      </c>
      <c r="J75" s="112">
        <f t="shared" si="10"/>
        <v>3</v>
      </c>
      <c r="K75" s="13">
        <f t="shared" si="11"/>
        <v>1</v>
      </c>
      <c r="L75" s="210"/>
      <c r="M75" s="13" t="str">
        <f t="shared" si="12"/>
        <v>Organik</v>
      </c>
      <c r="N75" s="13" t="s">
        <v>2649</v>
      </c>
      <c r="O75" s="213">
        <v>33390</v>
      </c>
      <c r="P75" s="13" t="s">
        <v>139</v>
      </c>
      <c r="Q75" s="13" t="s">
        <v>139</v>
      </c>
      <c r="R75" s="13" t="s">
        <v>204</v>
      </c>
      <c r="S75" s="13"/>
      <c r="T75" s="13"/>
      <c r="U75" s="13" t="s">
        <v>121</v>
      </c>
      <c r="V75" s="13" t="s">
        <v>313</v>
      </c>
      <c r="W75" s="13"/>
      <c r="X75" s="13"/>
      <c r="Y75" s="13" t="s">
        <v>132</v>
      </c>
      <c r="Z75" s="13" t="s">
        <v>2276</v>
      </c>
      <c r="AA75" s="210">
        <v>25798</v>
      </c>
      <c r="AB75" s="109">
        <f t="shared" ca="1" si="13"/>
        <v>55</v>
      </c>
      <c r="AC75" s="13" t="s">
        <v>5310</v>
      </c>
      <c r="AD75" s="13" t="s">
        <v>5311</v>
      </c>
      <c r="AE75" s="115" t="s">
        <v>5312</v>
      </c>
      <c r="AF75" s="13"/>
      <c r="AG75" s="13" t="s">
        <v>5313</v>
      </c>
      <c r="AH75" s="117" t="s">
        <v>5314</v>
      </c>
      <c r="AI75" s="115" t="s">
        <v>5315</v>
      </c>
      <c r="AJ75" s="13" t="s">
        <v>4733</v>
      </c>
      <c r="AK75" s="13" t="s">
        <v>5316</v>
      </c>
      <c r="AL75" s="13" t="s">
        <v>5317</v>
      </c>
      <c r="AM75" s="13" t="s">
        <v>5318</v>
      </c>
      <c r="AN75" s="13" t="s">
        <v>5319</v>
      </c>
      <c r="AO75" s="13"/>
      <c r="AP75" s="13"/>
      <c r="AQ75" s="13"/>
      <c r="AR75" s="13"/>
      <c r="AS75" s="13"/>
      <c r="AT75" s="86">
        <f t="shared" si="14"/>
        <v>3</v>
      </c>
      <c r="AU75" s="13" t="str">
        <f t="shared" si="15"/>
        <v>K/3</v>
      </c>
      <c r="AV75" s="110" t="s">
        <v>5320</v>
      </c>
      <c r="AW75" s="112" t="s">
        <v>161</v>
      </c>
      <c r="AX75" s="13" t="s">
        <v>349</v>
      </c>
      <c r="AY75" s="13" t="s">
        <v>4502</v>
      </c>
      <c r="AZ75" s="13" t="s">
        <v>2751</v>
      </c>
      <c r="BA75" s="13"/>
      <c r="BB75" s="13" t="s">
        <v>349</v>
      </c>
      <c r="BC75" s="13" t="s">
        <v>4502</v>
      </c>
      <c r="BD75" s="13" t="s">
        <v>2751</v>
      </c>
      <c r="BE75" s="13"/>
      <c r="BF75" s="213">
        <v>45901</v>
      </c>
      <c r="BG75" s="213">
        <v>46266</v>
      </c>
      <c r="BH75" s="13"/>
      <c r="BI75" s="13"/>
      <c r="BJ75" s="13">
        <v>44</v>
      </c>
      <c r="BK75" s="111">
        <v>44294</v>
      </c>
      <c r="BL75" s="111">
        <v>44322</v>
      </c>
      <c r="BM75" s="87">
        <v>44601</v>
      </c>
      <c r="BN75" s="87"/>
      <c r="BZ75" s="210">
        <v>45135</v>
      </c>
      <c r="CA75" s="86" t="s">
        <v>5004</v>
      </c>
      <c r="CC75" s="175"/>
      <c r="CD75" s="86" t="s">
        <v>3602</v>
      </c>
      <c r="CE75" s="86" t="e">
        <f>VLOOKUP(C75,[1]Sertifikasi!$B$4:$I$19,8,0)</f>
        <v>#N/A</v>
      </c>
    </row>
    <row r="76" spans="1:83" ht="11.25" customHeight="1" x14ac:dyDescent="0.2">
      <c r="B76" s="13">
        <v>73</v>
      </c>
      <c r="C76" s="13" t="s">
        <v>5321</v>
      </c>
      <c r="D76" s="109">
        <v>999900029</v>
      </c>
      <c r="E76" s="110">
        <v>1440001098612</v>
      </c>
      <c r="F76" s="197"/>
      <c r="G76" s="112" t="s">
        <v>204</v>
      </c>
      <c r="H76" s="13" t="s">
        <v>217</v>
      </c>
      <c r="I76" s="210">
        <v>43987</v>
      </c>
      <c r="J76" s="112">
        <f t="shared" si="10"/>
        <v>3</v>
      </c>
      <c r="K76" s="13">
        <f t="shared" si="11"/>
        <v>1</v>
      </c>
      <c r="L76" s="210"/>
      <c r="M76" s="13" t="str">
        <f t="shared" si="12"/>
        <v>Organik</v>
      </c>
      <c r="N76" s="13" t="s">
        <v>2649</v>
      </c>
      <c r="O76" s="213">
        <v>36495</v>
      </c>
      <c r="P76" s="13" t="s">
        <v>139</v>
      </c>
      <c r="Q76" s="13" t="s">
        <v>139</v>
      </c>
      <c r="R76" s="13" t="s">
        <v>204</v>
      </c>
      <c r="S76" s="13"/>
      <c r="T76" s="13"/>
      <c r="U76" s="13" t="s">
        <v>121</v>
      </c>
      <c r="V76" s="13" t="s">
        <v>313</v>
      </c>
      <c r="W76" s="13"/>
      <c r="X76" s="13"/>
      <c r="Y76" s="13" t="s">
        <v>132</v>
      </c>
      <c r="Z76" s="13" t="s">
        <v>217</v>
      </c>
      <c r="AA76" s="210">
        <v>26861</v>
      </c>
      <c r="AB76" s="109">
        <f t="shared" ca="1" si="13"/>
        <v>52</v>
      </c>
      <c r="AC76" s="13" t="s">
        <v>5322</v>
      </c>
      <c r="AD76" s="13" t="s">
        <v>5323</v>
      </c>
      <c r="AE76" s="115" t="s">
        <v>5324</v>
      </c>
      <c r="AF76" s="13"/>
      <c r="AG76" s="13" t="s">
        <v>5325</v>
      </c>
      <c r="AH76" s="117" t="s">
        <v>5326</v>
      </c>
      <c r="AI76" s="115" t="s">
        <v>5327</v>
      </c>
      <c r="AJ76" s="13" t="s">
        <v>4733</v>
      </c>
      <c r="AK76" s="13" t="s">
        <v>5328</v>
      </c>
      <c r="AL76" s="13" t="s">
        <v>5329</v>
      </c>
      <c r="AM76" s="13" t="s">
        <v>5330</v>
      </c>
      <c r="AN76" s="13"/>
      <c r="AO76" s="13"/>
      <c r="AP76" s="13"/>
      <c r="AQ76" s="13"/>
      <c r="AR76" s="13"/>
      <c r="AS76" s="13"/>
      <c r="AT76" s="86">
        <f t="shared" si="14"/>
        <v>2</v>
      </c>
      <c r="AU76" s="13" t="str">
        <f t="shared" si="15"/>
        <v>K/2</v>
      </c>
      <c r="AV76" s="110" t="s">
        <v>5331</v>
      </c>
      <c r="AW76" s="112" t="s">
        <v>161</v>
      </c>
      <c r="AX76" s="13" t="s">
        <v>349</v>
      </c>
      <c r="AY76" s="13" t="s">
        <v>2730</v>
      </c>
      <c r="AZ76" s="13" t="s">
        <v>2751</v>
      </c>
      <c r="BA76" s="13"/>
      <c r="BB76" s="13" t="s">
        <v>349</v>
      </c>
      <c r="BC76" s="13" t="s">
        <v>2730</v>
      </c>
      <c r="BD76" s="13" t="s">
        <v>2751</v>
      </c>
      <c r="BE76" s="13"/>
      <c r="BF76" s="213">
        <v>46966</v>
      </c>
      <c r="BG76" s="213" t="s">
        <v>5332</v>
      </c>
      <c r="BH76" s="13"/>
      <c r="BI76" s="13"/>
      <c r="BJ76" s="13">
        <v>40</v>
      </c>
      <c r="BK76" s="111">
        <v>44293</v>
      </c>
      <c r="BL76" s="111">
        <v>44322</v>
      </c>
      <c r="BM76" s="87">
        <v>44585</v>
      </c>
      <c r="BN76" s="87"/>
      <c r="BZ76" s="210">
        <v>45135</v>
      </c>
      <c r="CA76" s="86" t="s">
        <v>5004</v>
      </c>
      <c r="CC76" s="175"/>
      <c r="CD76" s="86" t="s">
        <v>3602</v>
      </c>
      <c r="CE76" s="86" t="e">
        <f>VLOOKUP(C76,[1]Sertifikasi!$B$4:$I$19,8,0)</f>
        <v>#N/A</v>
      </c>
    </row>
    <row r="77" spans="1:83" ht="11.25" customHeight="1" x14ac:dyDescent="0.2">
      <c r="B77" s="13">
        <v>74</v>
      </c>
      <c r="C77" s="13" t="s">
        <v>5333</v>
      </c>
      <c r="D77" s="109">
        <v>991700037</v>
      </c>
      <c r="E77" s="110">
        <v>1710000376205</v>
      </c>
      <c r="F77" s="197"/>
      <c r="G77" s="112" t="s">
        <v>204</v>
      </c>
      <c r="H77" s="13" t="s">
        <v>217</v>
      </c>
      <c r="I77" s="210">
        <v>43987</v>
      </c>
      <c r="J77" s="112">
        <f t="shared" si="10"/>
        <v>3</v>
      </c>
      <c r="K77" s="13">
        <f t="shared" si="11"/>
        <v>1</v>
      </c>
      <c r="L77" s="210"/>
      <c r="M77" s="13" t="str">
        <f t="shared" si="12"/>
        <v>Organik</v>
      </c>
      <c r="N77" s="13" t="s">
        <v>2649</v>
      </c>
      <c r="O77" s="213">
        <v>42767</v>
      </c>
      <c r="P77" s="13" t="s">
        <v>139</v>
      </c>
      <c r="Q77" s="13" t="s">
        <v>139</v>
      </c>
      <c r="R77" s="13" t="s">
        <v>204</v>
      </c>
      <c r="S77" s="13"/>
      <c r="T77" s="13"/>
      <c r="U77" s="13" t="s">
        <v>122</v>
      </c>
      <c r="V77" s="13" t="s">
        <v>313</v>
      </c>
      <c r="W77" s="13"/>
      <c r="X77" s="13"/>
      <c r="Y77" s="13" t="s">
        <v>132</v>
      </c>
      <c r="Z77" s="13" t="s">
        <v>217</v>
      </c>
      <c r="AA77" s="210">
        <v>32338</v>
      </c>
      <c r="AB77" s="109">
        <f t="shared" ca="1" si="13"/>
        <v>37</v>
      </c>
      <c r="AC77" s="13" t="s">
        <v>5334</v>
      </c>
      <c r="AD77" s="13" t="s">
        <v>5335</v>
      </c>
      <c r="AE77" s="115" t="s">
        <v>5336</v>
      </c>
      <c r="AF77" s="13"/>
      <c r="AG77" s="13" t="s">
        <v>5337</v>
      </c>
      <c r="AH77" s="117" t="s">
        <v>5338</v>
      </c>
      <c r="AI77" s="115">
        <v>14018489824</v>
      </c>
      <c r="AJ77" s="13" t="s">
        <v>4733</v>
      </c>
      <c r="AK77" s="13" t="s">
        <v>5339</v>
      </c>
      <c r="AL77" s="13" t="s">
        <v>5340</v>
      </c>
      <c r="AM77" s="13"/>
      <c r="AN77" s="13"/>
      <c r="AO77" s="13"/>
      <c r="AP77" s="13"/>
      <c r="AQ77" s="13"/>
      <c r="AR77" s="13"/>
      <c r="AS77" s="13"/>
      <c r="AT77" s="86">
        <f t="shared" si="14"/>
        <v>1</v>
      </c>
      <c r="AU77" s="13" t="str">
        <f t="shared" si="15"/>
        <v>K/1</v>
      </c>
      <c r="AV77" s="110" t="s">
        <v>5341</v>
      </c>
      <c r="AW77" s="112" t="s">
        <v>161</v>
      </c>
      <c r="AX77" s="13" t="s">
        <v>349</v>
      </c>
      <c r="AY77" s="13" t="s">
        <v>87</v>
      </c>
      <c r="AZ77" s="13" t="s">
        <v>4350</v>
      </c>
      <c r="BA77" s="13"/>
      <c r="BB77" s="13" t="s">
        <v>349</v>
      </c>
      <c r="BC77" s="13" t="s">
        <v>87</v>
      </c>
      <c r="BD77" s="13" t="s">
        <v>4350</v>
      </c>
      <c r="BE77" s="13"/>
      <c r="BF77" s="213">
        <v>48061</v>
      </c>
      <c r="BG77" s="213" t="s">
        <v>5342</v>
      </c>
      <c r="BH77" s="13"/>
      <c r="BI77" s="13"/>
      <c r="BJ77" s="13">
        <v>41</v>
      </c>
      <c r="BK77" s="111">
        <v>44259</v>
      </c>
      <c r="BL77" s="111">
        <v>44304</v>
      </c>
      <c r="BM77" s="87">
        <v>44600</v>
      </c>
      <c r="BN77" s="87"/>
      <c r="BZ77" s="210">
        <v>45135</v>
      </c>
      <c r="CA77" s="86" t="s">
        <v>5004</v>
      </c>
      <c r="CC77" s="175"/>
      <c r="CD77" s="86" t="s">
        <v>3602</v>
      </c>
      <c r="CE77" s="86" t="e">
        <f>VLOOKUP(C77,[1]Sertifikasi!$B$4:$I$19,8,0)</f>
        <v>#N/A</v>
      </c>
    </row>
    <row r="78" spans="1:83" ht="11.25" customHeight="1" x14ac:dyDescent="0.2">
      <c r="B78" s="13">
        <v>75</v>
      </c>
      <c r="C78" s="13" t="s">
        <v>5343</v>
      </c>
      <c r="D78" s="109">
        <v>999400075</v>
      </c>
      <c r="E78" s="110">
        <v>1440001099941</v>
      </c>
      <c r="F78" s="197"/>
      <c r="G78" s="112" t="s">
        <v>204</v>
      </c>
      <c r="H78" s="13" t="s">
        <v>217</v>
      </c>
      <c r="I78" s="210">
        <v>43987</v>
      </c>
      <c r="J78" s="112">
        <f t="shared" si="10"/>
        <v>3</v>
      </c>
      <c r="K78" s="13">
        <f t="shared" si="11"/>
        <v>1</v>
      </c>
      <c r="L78" s="210"/>
      <c r="M78" s="13" t="str">
        <f t="shared" si="12"/>
        <v>Organik</v>
      </c>
      <c r="N78" s="13" t="s">
        <v>2649</v>
      </c>
      <c r="O78" s="213">
        <v>34486</v>
      </c>
      <c r="P78" s="13" t="s">
        <v>5344</v>
      </c>
      <c r="Q78" s="13" t="s">
        <v>138</v>
      </c>
      <c r="R78" s="13" t="s">
        <v>204</v>
      </c>
      <c r="S78" s="13"/>
      <c r="T78" s="13"/>
      <c r="U78" s="13" t="s">
        <v>122</v>
      </c>
      <c r="V78" s="13" t="s">
        <v>313</v>
      </c>
      <c r="W78" s="13"/>
      <c r="X78" s="13"/>
      <c r="Y78" s="13" t="s">
        <v>132</v>
      </c>
      <c r="Z78" s="13" t="s">
        <v>217</v>
      </c>
      <c r="AA78" s="210">
        <v>26873</v>
      </c>
      <c r="AB78" s="109">
        <f t="shared" ca="1" si="13"/>
        <v>52</v>
      </c>
      <c r="AC78" s="13" t="s">
        <v>5345</v>
      </c>
      <c r="AD78" s="13" t="s">
        <v>5346</v>
      </c>
      <c r="AE78" s="115" t="s">
        <v>5347</v>
      </c>
      <c r="AF78" s="13"/>
      <c r="AG78" s="13" t="s">
        <v>5348</v>
      </c>
      <c r="AH78" s="117" t="s">
        <v>5349</v>
      </c>
      <c r="AI78" s="115" t="s">
        <v>5350</v>
      </c>
      <c r="AJ78" s="13" t="s">
        <v>4733</v>
      </c>
      <c r="AK78" s="13" t="s">
        <v>5351</v>
      </c>
      <c r="AL78" s="13" t="s">
        <v>5352</v>
      </c>
      <c r="AM78" s="13" t="s">
        <v>5353</v>
      </c>
      <c r="AN78" s="13"/>
      <c r="AO78" s="13"/>
      <c r="AP78" s="13"/>
      <c r="AQ78" s="13"/>
      <c r="AR78" s="13"/>
      <c r="AS78" s="13"/>
      <c r="AT78" s="86">
        <f t="shared" si="14"/>
        <v>2</v>
      </c>
      <c r="AU78" s="13" t="str">
        <f t="shared" si="15"/>
        <v>K/2</v>
      </c>
      <c r="AV78" s="110" t="s">
        <v>5354</v>
      </c>
      <c r="AW78" s="112" t="s">
        <v>161</v>
      </c>
      <c r="AX78" s="13" t="s">
        <v>349</v>
      </c>
      <c r="AY78" s="13" t="s">
        <v>2730</v>
      </c>
      <c r="AZ78" s="13" t="s">
        <v>5355</v>
      </c>
      <c r="BA78" s="13"/>
      <c r="BB78" s="13" t="s">
        <v>349</v>
      </c>
      <c r="BC78" s="13" t="s">
        <v>2730</v>
      </c>
      <c r="BD78" s="13" t="s">
        <v>5355</v>
      </c>
      <c r="BE78" s="13"/>
      <c r="BF78" s="213">
        <v>46966</v>
      </c>
      <c r="BG78" s="213" t="s">
        <v>5332</v>
      </c>
      <c r="BH78" s="13"/>
      <c r="BI78" s="13"/>
      <c r="BJ78" s="13">
        <v>39</v>
      </c>
      <c r="BK78" s="111">
        <v>44294</v>
      </c>
      <c r="BL78" s="111">
        <v>44322</v>
      </c>
      <c r="BM78" s="87">
        <v>44585</v>
      </c>
      <c r="BN78" s="87"/>
      <c r="BZ78" s="210">
        <v>45135</v>
      </c>
      <c r="CA78" s="86" t="s">
        <v>5004</v>
      </c>
      <c r="CC78" s="175"/>
      <c r="CD78" s="86" t="s">
        <v>5296</v>
      </c>
      <c r="CE78" s="86" t="e">
        <f>VLOOKUP(C78,[1]Sertifikasi!$B$4:$I$19,8,0)</f>
        <v>#N/A</v>
      </c>
    </row>
    <row r="79" spans="1:83" ht="11.25" customHeight="1" x14ac:dyDescent="0.2">
      <c r="B79" s="13">
        <v>76</v>
      </c>
      <c r="C79" s="13" t="s">
        <v>5356</v>
      </c>
      <c r="D79" s="109">
        <v>999800152</v>
      </c>
      <c r="E79" s="110">
        <v>1440001100194</v>
      </c>
      <c r="F79" s="197"/>
      <c r="G79" s="112" t="s">
        <v>204</v>
      </c>
      <c r="H79" s="13" t="s">
        <v>217</v>
      </c>
      <c r="I79" s="210">
        <v>43987</v>
      </c>
      <c r="J79" s="112">
        <f t="shared" si="10"/>
        <v>3</v>
      </c>
      <c r="K79" s="13">
        <f t="shared" si="11"/>
        <v>1</v>
      </c>
      <c r="L79" s="210"/>
      <c r="M79" s="13" t="str">
        <f t="shared" si="12"/>
        <v>Organik</v>
      </c>
      <c r="N79" s="13" t="s">
        <v>2649</v>
      </c>
      <c r="O79" s="213">
        <v>36312</v>
      </c>
      <c r="P79" s="13" t="s">
        <v>139</v>
      </c>
      <c r="Q79" s="13" t="s">
        <v>139</v>
      </c>
      <c r="R79" s="13" t="s">
        <v>204</v>
      </c>
      <c r="S79" s="13"/>
      <c r="T79" s="13"/>
      <c r="U79" s="13" t="s">
        <v>121</v>
      </c>
      <c r="V79" s="13" t="s">
        <v>313</v>
      </c>
      <c r="W79" s="13"/>
      <c r="X79" s="13"/>
      <c r="Y79" s="13" t="s">
        <v>132</v>
      </c>
      <c r="Z79" s="13" t="s">
        <v>315</v>
      </c>
      <c r="AA79" s="210">
        <v>26069</v>
      </c>
      <c r="AB79" s="109">
        <f t="shared" ca="1" si="13"/>
        <v>54</v>
      </c>
      <c r="AC79" s="13" t="s">
        <v>5357</v>
      </c>
      <c r="AD79" s="13" t="s">
        <v>5358</v>
      </c>
      <c r="AE79" s="115" t="s">
        <v>5359</v>
      </c>
      <c r="AF79" s="13"/>
      <c r="AG79" s="13" t="s">
        <v>5360</v>
      </c>
      <c r="AH79" s="117" t="s">
        <v>5361</v>
      </c>
      <c r="AI79" s="115" t="s">
        <v>5362</v>
      </c>
      <c r="AJ79" s="13" t="s">
        <v>4733</v>
      </c>
      <c r="AK79" s="13" t="s">
        <v>5363</v>
      </c>
      <c r="AL79" s="13" t="s">
        <v>5364</v>
      </c>
      <c r="AM79" s="13" t="s">
        <v>5365</v>
      </c>
      <c r="AN79" s="13"/>
      <c r="AO79" s="13"/>
      <c r="AP79" s="13"/>
      <c r="AQ79" s="13"/>
      <c r="AR79" s="13"/>
      <c r="AS79" s="13"/>
      <c r="AT79" s="86">
        <f t="shared" si="14"/>
        <v>2</v>
      </c>
      <c r="AU79" s="13" t="str">
        <f t="shared" si="15"/>
        <v>K/2</v>
      </c>
      <c r="AV79" s="110" t="s">
        <v>5366</v>
      </c>
      <c r="AW79" s="112" t="s">
        <v>161</v>
      </c>
      <c r="AX79" s="13" t="s">
        <v>349</v>
      </c>
      <c r="AY79" s="13" t="s">
        <v>2730</v>
      </c>
      <c r="AZ79" s="13" t="s">
        <v>5367</v>
      </c>
      <c r="BA79" s="13"/>
      <c r="BB79" s="13" t="s">
        <v>349</v>
      </c>
      <c r="BC79" s="13" t="s">
        <v>2730</v>
      </c>
      <c r="BD79" s="13" t="s">
        <v>5367</v>
      </c>
      <c r="BE79" s="13"/>
      <c r="BF79" s="213">
        <v>46174</v>
      </c>
      <c r="BG79" s="213">
        <v>46539</v>
      </c>
      <c r="BH79" s="13"/>
      <c r="BI79" s="13"/>
      <c r="BJ79" s="13">
        <v>41</v>
      </c>
      <c r="BK79" s="111">
        <v>44294</v>
      </c>
      <c r="BL79" s="111">
        <v>44322</v>
      </c>
      <c r="BM79" s="87">
        <v>44585</v>
      </c>
      <c r="BN79" s="87"/>
      <c r="BZ79" s="210">
        <v>45135</v>
      </c>
      <c r="CA79" s="86" t="s">
        <v>5004</v>
      </c>
      <c r="CC79" s="175"/>
      <c r="CD79" s="86" t="s">
        <v>3602</v>
      </c>
      <c r="CE79" s="86" t="e">
        <f>VLOOKUP(C79,[1]Sertifikasi!$B$4:$I$19,8,0)</f>
        <v>#N/A</v>
      </c>
    </row>
    <row r="80" spans="1:83" ht="11.25" customHeight="1" x14ac:dyDescent="0.2">
      <c r="B80" s="13">
        <v>77</v>
      </c>
      <c r="C80" s="13" t="s">
        <v>5368</v>
      </c>
      <c r="D80" s="109">
        <v>999400090</v>
      </c>
      <c r="E80" s="110">
        <v>1440001094058</v>
      </c>
      <c r="F80" s="197"/>
      <c r="G80" s="112" t="s">
        <v>204</v>
      </c>
      <c r="H80" s="13" t="s">
        <v>217</v>
      </c>
      <c r="I80" s="210">
        <v>43987</v>
      </c>
      <c r="J80" s="112">
        <f t="shared" si="10"/>
        <v>3</v>
      </c>
      <c r="K80" s="13">
        <f t="shared" si="11"/>
        <v>1</v>
      </c>
      <c r="L80" s="210"/>
      <c r="M80" s="13" t="str">
        <f t="shared" si="12"/>
        <v>Organik</v>
      </c>
      <c r="N80" s="13" t="s">
        <v>2649</v>
      </c>
      <c r="O80" s="213">
        <v>34608</v>
      </c>
      <c r="P80" s="13" t="s">
        <v>295</v>
      </c>
      <c r="Q80" s="13" t="s">
        <v>137</v>
      </c>
      <c r="R80" s="13" t="s">
        <v>204</v>
      </c>
      <c r="S80" s="13"/>
      <c r="T80" s="13"/>
      <c r="U80" s="13" t="s">
        <v>144</v>
      </c>
      <c r="V80" s="13" t="s">
        <v>313</v>
      </c>
      <c r="W80" s="13"/>
      <c r="X80" s="13"/>
      <c r="Y80" s="13" t="s">
        <v>132</v>
      </c>
      <c r="Z80" s="13" t="s">
        <v>315</v>
      </c>
      <c r="AA80" s="210">
        <v>25298</v>
      </c>
      <c r="AB80" s="109">
        <f t="shared" ca="1" si="13"/>
        <v>56</v>
      </c>
      <c r="AC80" s="112" t="s">
        <v>5369</v>
      </c>
      <c r="AD80" s="114" t="s">
        <v>5370</v>
      </c>
      <c r="AE80" s="115" t="s">
        <v>5371</v>
      </c>
      <c r="AF80" s="13"/>
      <c r="AG80" s="114" t="s">
        <v>5372</v>
      </c>
      <c r="AH80" s="117" t="s">
        <v>5373</v>
      </c>
      <c r="AI80" s="115" t="s">
        <v>5374</v>
      </c>
      <c r="AJ80" s="13" t="s">
        <v>4733</v>
      </c>
      <c r="AK80" s="13" t="s">
        <v>5375</v>
      </c>
      <c r="AL80" s="13" t="s">
        <v>5376</v>
      </c>
      <c r="AM80" s="13" t="s">
        <v>5377</v>
      </c>
      <c r="AN80" s="13"/>
      <c r="AO80" s="13"/>
      <c r="AP80" s="13"/>
      <c r="AQ80" s="13"/>
      <c r="AR80" s="13"/>
      <c r="AS80" s="13"/>
      <c r="AT80" s="86">
        <f t="shared" si="14"/>
        <v>2</v>
      </c>
      <c r="AU80" s="13" t="str">
        <f t="shared" si="15"/>
        <v>K/2</v>
      </c>
      <c r="AV80" s="110" t="s">
        <v>5378</v>
      </c>
      <c r="AW80" s="112" t="s">
        <v>161</v>
      </c>
      <c r="AX80" s="13" t="s">
        <v>75</v>
      </c>
      <c r="AY80" s="13" t="s">
        <v>91</v>
      </c>
      <c r="AZ80" s="13" t="s">
        <v>5379</v>
      </c>
      <c r="BA80" s="13"/>
      <c r="BB80" s="13" t="s">
        <v>75</v>
      </c>
      <c r="BC80" s="13" t="s">
        <v>91</v>
      </c>
      <c r="BD80" s="13" t="s">
        <v>5379</v>
      </c>
      <c r="BE80" s="13"/>
      <c r="BF80" s="213">
        <v>45413</v>
      </c>
      <c r="BG80" s="213" t="s">
        <v>5380</v>
      </c>
      <c r="BH80" s="13"/>
      <c r="BI80" s="13"/>
      <c r="BJ80" s="13">
        <v>41</v>
      </c>
      <c r="BK80" s="111">
        <v>44293</v>
      </c>
      <c r="BL80" s="111">
        <v>44322</v>
      </c>
      <c r="BM80" s="87">
        <v>44585</v>
      </c>
      <c r="BN80" s="87"/>
      <c r="BZ80" s="210">
        <v>45135</v>
      </c>
      <c r="CA80" s="86" t="s">
        <v>5004</v>
      </c>
      <c r="CC80" s="175"/>
      <c r="CD80" s="86" t="s">
        <v>5296</v>
      </c>
      <c r="CE80" s="86" t="e">
        <f>VLOOKUP(C80,[1]Sertifikasi!$B$4:$I$19,8,0)</f>
        <v>#N/A</v>
      </c>
    </row>
    <row r="81" spans="1:83" ht="11.25" customHeight="1" x14ac:dyDescent="0.2">
      <c r="B81" s="13">
        <v>78</v>
      </c>
      <c r="C81" s="13" t="s">
        <v>5381</v>
      </c>
      <c r="D81" s="109">
        <v>999800012</v>
      </c>
      <c r="E81" s="110">
        <v>1440011135891</v>
      </c>
      <c r="F81" s="197"/>
      <c r="G81" s="112" t="s">
        <v>204</v>
      </c>
      <c r="H81" s="13" t="s">
        <v>217</v>
      </c>
      <c r="I81" s="210">
        <v>43987</v>
      </c>
      <c r="J81" s="112">
        <f t="shared" si="10"/>
        <v>3</v>
      </c>
      <c r="K81" s="13">
        <f t="shared" si="11"/>
        <v>1</v>
      </c>
      <c r="L81" s="210"/>
      <c r="M81" s="13" t="str">
        <f t="shared" si="12"/>
        <v>Organik</v>
      </c>
      <c r="N81" s="13" t="s">
        <v>2649</v>
      </c>
      <c r="O81" s="213">
        <v>36039</v>
      </c>
      <c r="P81" s="13" t="s">
        <v>139</v>
      </c>
      <c r="Q81" s="13" t="s">
        <v>139</v>
      </c>
      <c r="R81" s="13" t="s">
        <v>204</v>
      </c>
      <c r="S81" s="13"/>
      <c r="T81" s="13"/>
      <c r="U81" s="13" t="s">
        <v>144</v>
      </c>
      <c r="V81" s="13" t="s">
        <v>313</v>
      </c>
      <c r="W81" s="13"/>
      <c r="X81" s="13"/>
      <c r="Y81" s="13" t="s">
        <v>132</v>
      </c>
      <c r="Z81" s="13" t="s">
        <v>311</v>
      </c>
      <c r="AA81" s="210">
        <v>26595</v>
      </c>
      <c r="AB81" s="109">
        <f t="shared" ca="1" si="13"/>
        <v>52</v>
      </c>
      <c r="AC81" s="13" t="s">
        <v>5382</v>
      </c>
      <c r="AD81" s="13" t="s">
        <v>5383</v>
      </c>
      <c r="AE81" s="115" t="s">
        <v>5384</v>
      </c>
      <c r="AF81" s="13"/>
      <c r="AG81" s="13" t="s">
        <v>5385</v>
      </c>
      <c r="AH81" s="117" t="s">
        <v>5386</v>
      </c>
      <c r="AI81" s="115" t="s">
        <v>5387</v>
      </c>
      <c r="AJ81" s="13" t="s">
        <v>4733</v>
      </c>
      <c r="AK81" s="13" t="s">
        <v>5388</v>
      </c>
      <c r="AL81" s="13" t="s">
        <v>5389</v>
      </c>
      <c r="AM81" s="13"/>
      <c r="AN81" s="13"/>
      <c r="AO81" s="13"/>
      <c r="AP81" s="13"/>
      <c r="AQ81" s="13"/>
      <c r="AR81" s="13"/>
      <c r="AS81" s="13"/>
      <c r="AT81" s="86">
        <f t="shared" si="14"/>
        <v>1</v>
      </c>
      <c r="AU81" s="13" t="str">
        <f t="shared" si="15"/>
        <v>K/1</v>
      </c>
      <c r="AV81" s="110" t="s">
        <v>5390</v>
      </c>
      <c r="AW81" s="112" t="s">
        <v>161</v>
      </c>
      <c r="AX81" s="13" t="s">
        <v>349</v>
      </c>
      <c r="AY81" s="13" t="s">
        <v>2730</v>
      </c>
      <c r="AZ81" s="13" t="s">
        <v>4966</v>
      </c>
      <c r="BA81" s="13"/>
      <c r="BB81" s="13" t="s">
        <v>349</v>
      </c>
      <c r="BC81" s="13" t="s">
        <v>2730</v>
      </c>
      <c r="BD81" s="13" t="s">
        <v>4966</v>
      </c>
      <c r="BE81" s="13"/>
      <c r="BF81" s="213">
        <v>46692</v>
      </c>
      <c r="BG81" s="213">
        <v>47058</v>
      </c>
      <c r="BH81" s="13"/>
      <c r="BI81" s="13"/>
      <c r="BJ81" s="13">
        <v>41</v>
      </c>
      <c r="BK81" s="111">
        <v>44294</v>
      </c>
      <c r="BL81" s="111">
        <v>44322</v>
      </c>
      <c r="BM81" s="87">
        <v>44587</v>
      </c>
      <c r="BN81" s="87"/>
      <c r="BZ81" s="210">
        <v>45135</v>
      </c>
      <c r="CA81" s="86" t="s">
        <v>5004</v>
      </c>
      <c r="CC81" s="175"/>
      <c r="CD81" s="86" t="s">
        <v>3602</v>
      </c>
      <c r="CE81" s="86" t="e">
        <f>VLOOKUP(C81,[1]Sertifikasi!$B$4:$I$19,8,0)</f>
        <v>#N/A</v>
      </c>
    </row>
    <row r="82" spans="1:83" ht="11.25" customHeight="1" x14ac:dyDescent="0.2">
      <c r="B82" s="13">
        <v>79</v>
      </c>
      <c r="C82" s="13" t="s">
        <v>5391</v>
      </c>
      <c r="D82" s="109">
        <v>991700049</v>
      </c>
      <c r="E82" s="110">
        <v>1410010465169</v>
      </c>
      <c r="F82" s="197"/>
      <c r="G82" s="112" t="s">
        <v>204</v>
      </c>
      <c r="H82" s="13" t="s">
        <v>217</v>
      </c>
      <c r="I82" s="210">
        <v>43987</v>
      </c>
      <c r="J82" s="112">
        <f t="shared" si="10"/>
        <v>3</v>
      </c>
      <c r="K82" s="13">
        <f t="shared" si="11"/>
        <v>1</v>
      </c>
      <c r="L82" s="210"/>
      <c r="M82" s="13" t="str">
        <f t="shared" si="12"/>
        <v>Organik</v>
      </c>
      <c r="N82" s="13" t="s">
        <v>2649</v>
      </c>
      <c r="O82" s="213">
        <v>42917</v>
      </c>
      <c r="P82" s="13" t="s">
        <v>139</v>
      </c>
      <c r="Q82" s="13" t="s">
        <v>139</v>
      </c>
      <c r="R82" s="13"/>
      <c r="S82" s="13"/>
      <c r="T82" s="13"/>
      <c r="U82" s="13" t="s">
        <v>120</v>
      </c>
      <c r="V82" s="13" t="s">
        <v>313</v>
      </c>
      <c r="W82" s="13"/>
      <c r="X82" s="13"/>
      <c r="Y82" s="13" t="s">
        <v>132</v>
      </c>
      <c r="Z82" s="13" t="s">
        <v>3797</v>
      </c>
      <c r="AA82" s="210">
        <v>33699</v>
      </c>
      <c r="AB82" s="109">
        <f t="shared" ca="1" si="13"/>
        <v>33</v>
      </c>
      <c r="AC82" s="13" t="s">
        <v>5392</v>
      </c>
      <c r="AD82" s="13" t="s">
        <v>5393</v>
      </c>
      <c r="AE82" s="115" t="s">
        <v>5394</v>
      </c>
      <c r="AF82" s="13"/>
      <c r="AG82" s="13" t="s">
        <v>5395</v>
      </c>
      <c r="AH82" s="117" t="s">
        <v>5396</v>
      </c>
      <c r="AI82" s="115">
        <v>14033437782</v>
      </c>
      <c r="AJ82" s="13" t="s">
        <v>4733</v>
      </c>
      <c r="AK82" s="13" t="s">
        <v>5397</v>
      </c>
      <c r="AL82" s="13" t="s">
        <v>5398</v>
      </c>
      <c r="AM82" s="13" t="s">
        <v>5399</v>
      </c>
      <c r="AN82" s="13"/>
      <c r="AO82" s="13"/>
      <c r="AP82" s="13"/>
      <c r="AQ82" s="13"/>
      <c r="AR82" s="13"/>
      <c r="AS82" s="13"/>
      <c r="AT82" s="86">
        <f t="shared" si="14"/>
        <v>2</v>
      </c>
      <c r="AU82" s="13" t="str">
        <f t="shared" si="15"/>
        <v>K/2</v>
      </c>
      <c r="AV82" s="110" t="s">
        <v>5400</v>
      </c>
      <c r="AW82" s="112" t="s">
        <v>161</v>
      </c>
      <c r="AX82" s="13" t="s">
        <v>75</v>
      </c>
      <c r="AY82" s="13" t="s">
        <v>87</v>
      </c>
      <c r="AZ82" s="13" t="s">
        <v>5307</v>
      </c>
      <c r="BA82" s="13"/>
      <c r="BB82" s="13" t="s">
        <v>75</v>
      </c>
      <c r="BC82" s="13" t="s">
        <v>87</v>
      </c>
      <c r="BD82" s="13" t="s">
        <v>5307</v>
      </c>
      <c r="BE82" s="13"/>
      <c r="BF82" s="213">
        <v>53813</v>
      </c>
      <c r="BG82" s="213" t="s">
        <v>5401</v>
      </c>
      <c r="BH82" s="13"/>
      <c r="BI82" s="13"/>
      <c r="BJ82" s="13">
        <v>42</v>
      </c>
      <c r="BK82" s="111">
        <v>44294</v>
      </c>
      <c r="BL82" s="111">
        <v>44322</v>
      </c>
      <c r="BM82" s="87">
        <v>44587</v>
      </c>
      <c r="BN82" s="87"/>
      <c r="BZ82" s="210">
        <v>45135</v>
      </c>
      <c r="CA82" s="86" t="s">
        <v>5004</v>
      </c>
      <c r="CC82" s="175"/>
      <c r="CD82" s="86" t="s">
        <v>5296</v>
      </c>
      <c r="CE82" s="86" t="e">
        <f>VLOOKUP(C82,[1]Sertifikasi!$B$4:$I$19,8,0)</f>
        <v>#N/A</v>
      </c>
    </row>
    <row r="83" spans="1:83" ht="11.25" customHeight="1" x14ac:dyDescent="0.2">
      <c r="B83" s="13">
        <v>80</v>
      </c>
      <c r="C83" s="13" t="s">
        <v>5402</v>
      </c>
      <c r="D83" s="109">
        <v>999900027</v>
      </c>
      <c r="E83" s="110">
        <v>1440001094835</v>
      </c>
      <c r="F83" s="197"/>
      <c r="G83" s="112" t="s">
        <v>204</v>
      </c>
      <c r="H83" s="13" t="s">
        <v>217</v>
      </c>
      <c r="I83" s="210">
        <v>43987</v>
      </c>
      <c r="J83" s="112">
        <f t="shared" si="10"/>
        <v>3</v>
      </c>
      <c r="K83" s="13">
        <f t="shared" si="11"/>
        <v>1</v>
      </c>
      <c r="L83" s="210"/>
      <c r="M83" s="13" t="str">
        <f t="shared" si="12"/>
        <v>Organik</v>
      </c>
      <c r="N83" s="13" t="s">
        <v>2649</v>
      </c>
      <c r="O83" s="213">
        <v>36495</v>
      </c>
      <c r="P83" s="13" t="s">
        <v>5344</v>
      </c>
      <c r="Q83" s="13" t="s">
        <v>138</v>
      </c>
      <c r="R83" s="13" t="s">
        <v>204</v>
      </c>
      <c r="S83" s="13"/>
      <c r="T83" s="13"/>
      <c r="U83" s="13" t="s">
        <v>122</v>
      </c>
      <c r="V83" s="13" t="s">
        <v>313</v>
      </c>
      <c r="W83" s="13"/>
      <c r="X83" s="13"/>
      <c r="Y83" s="13" t="s">
        <v>132</v>
      </c>
      <c r="Z83" s="13" t="s">
        <v>217</v>
      </c>
      <c r="AA83" s="210">
        <v>26131</v>
      </c>
      <c r="AB83" s="109">
        <f t="shared" ca="1" si="13"/>
        <v>54</v>
      </c>
      <c r="AC83" s="13" t="s">
        <v>5403</v>
      </c>
      <c r="AD83" s="13" t="s">
        <v>5404</v>
      </c>
      <c r="AE83" s="115" t="s">
        <v>5405</v>
      </c>
      <c r="AF83" s="13"/>
      <c r="AG83" s="13" t="s">
        <v>5406</v>
      </c>
      <c r="AH83" s="117" t="s">
        <v>5407</v>
      </c>
      <c r="AI83" s="115" t="s">
        <v>5408</v>
      </c>
      <c r="AJ83" s="13" t="s">
        <v>4733</v>
      </c>
      <c r="AK83" s="13" t="s">
        <v>3131</v>
      </c>
      <c r="AL83" s="13" t="s">
        <v>5409</v>
      </c>
      <c r="AM83" s="13" t="s">
        <v>5410</v>
      </c>
      <c r="AN83" s="13"/>
      <c r="AO83" s="13"/>
      <c r="AP83" s="13"/>
      <c r="AQ83" s="13"/>
      <c r="AR83" s="13"/>
      <c r="AS83" s="13"/>
      <c r="AT83" s="86">
        <f t="shared" si="14"/>
        <v>2</v>
      </c>
      <c r="AU83" s="13" t="str">
        <f t="shared" si="15"/>
        <v>K/2</v>
      </c>
      <c r="AV83" s="110" t="s">
        <v>5411</v>
      </c>
      <c r="AW83" s="112" t="s">
        <v>161</v>
      </c>
      <c r="AX83" s="13" t="s">
        <v>349</v>
      </c>
      <c r="AY83" s="13" t="s">
        <v>2730</v>
      </c>
      <c r="AZ83" s="13" t="s">
        <v>2731</v>
      </c>
      <c r="BA83" s="13"/>
      <c r="BB83" s="13" t="s">
        <v>349</v>
      </c>
      <c r="BC83" s="13" t="s">
        <v>2730</v>
      </c>
      <c r="BD83" s="13" t="s">
        <v>2731</v>
      </c>
      <c r="BE83" s="13"/>
      <c r="BF83" s="213">
        <v>46235</v>
      </c>
      <c r="BG83" s="213" t="s">
        <v>5412</v>
      </c>
      <c r="BH83" s="13"/>
      <c r="BI83" s="13"/>
      <c r="BJ83" s="13">
        <v>41</v>
      </c>
      <c r="BK83" s="111">
        <v>44294</v>
      </c>
      <c r="BL83" s="111">
        <v>44322</v>
      </c>
      <c r="BM83" s="87"/>
      <c r="BN83" s="87"/>
      <c r="BZ83" s="210">
        <v>45135</v>
      </c>
      <c r="CA83" s="86" t="s">
        <v>5004</v>
      </c>
      <c r="CC83" s="175"/>
      <c r="CD83" s="86" t="s">
        <v>5296</v>
      </c>
      <c r="CE83" s="86" t="e">
        <f>VLOOKUP(C83,[1]Sertifikasi!$B$4:$I$19,8,0)</f>
        <v>#N/A</v>
      </c>
    </row>
    <row r="84" spans="1:83" ht="11.25" customHeight="1" x14ac:dyDescent="0.2">
      <c r="B84" s="13">
        <v>81</v>
      </c>
      <c r="C84" s="13" t="s">
        <v>5413</v>
      </c>
      <c r="D84" s="109">
        <v>999400083</v>
      </c>
      <c r="E84" s="110">
        <v>1440001101002</v>
      </c>
      <c r="F84" s="197"/>
      <c r="G84" s="112" t="s">
        <v>204</v>
      </c>
      <c r="H84" s="13" t="s">
        <v>217</v>
      </c>
      <c r="I84" s="210">
        <v>43987</v>
      </c>
      <c r="J84" s="112">
        <f t="shared" si="10"/>
        <v>3</v>
      </c>
      <c r="K84" s="13">
        <f t="shared" si="11"/>
        <v>1</v>
      </c>
      <c r="L84" s="210"/>
      <c r="M84" s="13" t="str">
        <f t="shared" si="12"/>
        <v>Organik</v>
      </c>
      <c r="N84" s="13" t="s">
        <v>2649</v>
      </c>
      <c r="O84" s="213">
        <v>34486</v>
      </c>
      <c r="P84" s="13" t="s">
        <v>139</v>
      </c>
      <c r="Q84" s="13" t="s">
        <v>139</v>
      </c>
      <c r="R84" s="13" t="s">
        <v>204</v>
      </c>
      <c r="S84" s="13"/>
      <c r="T84" s="13"/>
      <c r="U84" s="13" t="s">
        <v>144</v>
      </c>
      <c r="V84" s="13" t="s">
        <v>313</v>
      </c>
      <c r="W84" s="13"/>
      <c r="X84" s="13"/>
      <c r="Y84" s="13" t="s">
        <v>132</v>
      </c>
      <c r="Z84" s="13" t="s">
        <v>217</v>
      </c>
      <c r="AA84" s="210">
        <v>26269</v>
      </c>
      <c r="AB84" s="109">
        <f t="shared" ca="1" si="13"/>
        <v>53</v>
      </c>
      <c r="AC84" s="13" t="s">
        <v>5414</v>
      </c>
      <c r="AD84" s="13" t="s">
        <v>5415</v>
      </c>
      <c r="AE84" s="115" t="s">
        <v>5416</v>
      </c>
      <c r="AF84" s="13"/>
      <c r="AG84" s="13" t="s">
        <v>5417</v>
      </c>
      <c r="AH84" s="117" t="s">
        <v>5418</v>
      </c>
      <c r="AI84" s="115" t="s">
        <v>5419</v>
      </c>
      <c r="AJ84" s="13" t="s">
        <v>4733</v>
      </c>
      <c r="AK84" s="13" t="s">
        <v>5420</v>
      </c>
      <c r="AL84" s="13" t="s">
        <v>5421</v>
      </c>
      <c r="AM84" s="13" t="s">
        <v>5422</v>
      </c>
      <c r="AN84" s="13"/>
      <c r="AO84" s="13"/>
      <c r="AP84" s="13"/>
      <c r="AQ84" s="13"/>
      <c r="AR84" s="13"/>
      <c r="AS84" s="13"/>
      <c r="AT84" s="86">
        <f t="shared" si="14"/>
        <v>2</v>
      </c>
      <c r="AU84" s="13" t="str">
        <f t="shared" si="15"/>
        <v>K/2</v>
      </c>
      <c r="AV84" s="110" t="s">
        <v>5423</v>
      </c>
      <c r="AW84" s="112" t="s">
        <v>161</v>
      </c>
      <c r="AX84" s="13" t="s">
        <v>349</v>
      </c>
      <c r="AY84" s="13" t="s">
        <v>2730</v>
      </c>
      <c r="AZ84" s="13" t="s">
        <v>5424</v>
      </c>
      <c r="BA84" s="13"/>
      <c r="BB84" s="13" t="s">
        <v>349</v>
      </c>
      <c r="BC84" s="13" t="s">
        <v>2730</v>
      </c>
      <c r="BD84" s="13" t="s">
        <v>5424</v>
      </c>
      <c r="BE84" s="13"/>
      <c r="BF84" s="213">
        <v>46388</v>
      </c>
      <c r="BG84" s="213">
        <v>46753</v>
      </c>
      <c r="BH84" s="13"/>
      <c r="BI84" s="13"/>
      <c r="BJ84" s="13">
        <v>40</v>
      </c>
      <c r="BK84" s="111">
        <v>44293</v>
      </c>
      <c r="BL84" s="111">
        <v>44322</v>
      </c>
      <c r="BM84" s="87">
        <v>44952</v>
      </c>
      <c r="BN84" s="87"/>
      <c r="BZ84" s="210">
        <v>45135</v>
      </c>
      <c r="CA84" s="86" t="s">
        <v>5004</v>
      </c>
      <c r="CC84" s="175"/>
      <c r="CD84" s="86" t="s">
        <v>3602</v>
      </c>
      <c r="CE84" s="86" t="e">
        <f>VLOOKUP(C84,[1]Sertifikasi!$B$4:$I$19,8,0)</f>
        <v>#N/A</v>
      </c>
    </row>
    <row r="85" spans="1:83" ht="11.25" customHeight="1" x14ac:dyDescent="0.2">
      <c r="B85" s="13">
        <v>82</v>
      </c>
      <c r="C85" s="13" t="s">
        <v>5425</v>
      </c>
      <c r="D85" s="109">
        <v>999800040</v>
      </c>
      <c r="E85" s="110">
        <v>1440001095725</v>
      </c>
      <c r="F85" s="197"/>
      <c r="G85" s="112" t="s">
        <v>204</v>
      </c>
      <c r="H85" s="13" t="s">
        <v>217</v>
      </c>
      <c r="I85" s="210">
        <v>43987</v>
      </c>
      <c r="J85" s="112">
        <f t="shared" si="10"/>
        <v>3</v>
      </c>
      <c r="K85" s="13">
        <f t="shared" si="11"/>
        <v>1</v>
      </c>
      <c r="L85" s="210"/>
      <c r="M85" s="13" t="str">
        <f t="shared" si="12"/>
        <v>Organik</v>
      </c>
      <c r="N85" s="13" t="s">
        <v>2649</v>
      </c>
      <c r="O85" s="213">
        <v>35278</v>
      </c>
      <c r="P85" s="13" t="s">
        <v>5344</v>
      </c>
      <c r="Q85" s="13" t="s">
        <v>138</v>
      </c>
      <c r="R85" s="13" t="s">
        <v>204</v>
      </c>
      <c r="S85" s="13"/>
      <c r="T85" s="13"/>
      <c r="U85" s="13" t="s">
        <v>144</v>
      </c>
      <c r="V85" s="13" t="s">
        <v>313</v>
      </c>
      <c r="W85" s="13"/>
      <c r="X85" s="13"/>
      <c r="Y85" s="13" t="s">
        <v>132</v>
      </c>
      <c r="Z85" s="13" t="s">
        <v>217</v>
      </c>
      <c r="AA85" s="210">
        <v>26648</v>
      </c>
      <c r="AB85" s="109">
        <f t="shared" ca="1" si="13"/>
        <v>52</v>
      </c>
      <c r="AC85" s="13" t="s">
        <v>5426</v>
      </c>
      <c r="AD85" s="13" t="s">
        <v>5427</v>
      </c>
      <c r="AE85" s="115" t="s">
        <v>5428</v>
      </c>
      <c r="AF85" s="13"/>
      <c r="AG85" s="13" t="s">
        <v>5429</v>
      </c>
      <c r="AH85" s="117" t="s">
        <v>5430</v>
      </c>
      <c r="AI85" s="115" t="s">
        <v>5431</v>
      </c>
      <c r="AJ85" s="13" t="s">
        <v>4733</v>
      </c>
      <c r="AK85" s="13" t="s">
        <v>5432</v>
      </c>
      <c r="AL85" s="13" t="s">
        <v>5433</v>
      </c>
      <c r="AM85" s="13" t="s">
        <v>5434</v>
      </c>
      <c r="AN85" s="13" t="s">
        <v>5435</v>
      </c>
      <c r="AO85" s="13"/>
      <c r="AP85" s="13"/>
      <c r="AQ85" s="13"/>
      <c r="AR85" s="13"/>
      <c r="AS85" s="13"/>
      <c r="AT85" s="86">
        <f t="shared" si="14"/>
        <v>3</v>
      </c>
      <c r="AU85" s="13" t="str">
        <f t="shared" si="15"/>
        <v>K/3</v>
      </c>
      <c r="AV85" s="110" t="s">
        <v>5436</v>
      </c>
      <c r="AW85" s="112" t="s">
        <v>161</v>
      </c>
      <c r="AX85" s="13" t="s">
        <v>349</v>
      </c>
      <c r="AY85" s="13" t="s">
        <v>5437</v>
      </c>
      <c r="AZ85" s="13" t="s">
        <v>5367</v>
      </c>
      <c r="BA85" s="13"/>
      <c r="BB85" s="13" t="s">
        <v>349</v>
      </c>
      <c r="BC85" s="13" t="s">
        <v>5437</v>
      </c>
      <c r="BD85" s="13" t="s">
        <v>5367</v>
      </c>
      <c r="BE85" s="13"/>
      <c r="BF85" s="213">
        <v>46753</v>
      </c>
      <c r="BG85" s="213">
        <v>47119</v>
      </c>
      <c r="BH85" s="13"/>
      <c r="BI85" s="13"/>
      <c r="BJ85" s="13">
        <v>40</v>
      </c>
      <c r="BK85" s="111">
        <v>44293</v>
      </c>
      <c r="BL85" s="111">
        <v>44322</v>
      </c>
      <c r="BM85" s="87">
        <v>44585</v>
      </c>
      <c r="BN85" s="87"/>
      <c r="BZ85" s="210">
        <v>45135</v>
      </c>
      <c r="CA85" s="86" t="s">
        <v>5004</v>
      </c>
      <c r="CC85" s="175"/>
      <c r="CD85" s="86" t="s">
        <v>5296</v>
      </c>
      <c r="CE85" s="86" t="e">
        <f>VLOOKUP(C85,[1]Sertifikasi!$B$4:$I$19,8,0)</f>
        <v>#N/A</v>
      </c>
    </row>
    <row r="86" spans="1:83" ht="11.25" customHeight="1" x14ac:dyDescent="0.2">
      <c r="B86" s="13">
        <v>83</v>
      </c>
      <c r="C86" s="13" t="s">
        <v>5438</v>
      </c>
      <c r="D86" s="109">
        <v>991700036</v>
      </c>
      <c r="E86" s="110">
        <v>1710000644644</v>
      </c>
      <c r="F86" s="197"/>
      <c r="G86" s="112" t="s">
        <v>204</v>
      </c>
      <c r="H86" s="13" t="s">
        <v>217</v>
      </c>
      <c r="I86" s="210">
        <v>43987</v>
      </c>
      <c r="J86" s="112">
        <f t="shared" si="10"/>
        <v>3</v>
      </c>
      <c r="K86" s="13">
        <f t="shared" si="11"/>
        <v>1</v>
      </c>
      <c r="L86" s="210"/>
      <c r="M86" s="13" t="str">
        <f t="shared" si="12"/>
        <v>Organik</v>
      </c>
      <c r="N86" s="13" t="s">
        <v>2649</v>
      </c>
      <c r="O86" s="213">
        <v>42767</v>
      </c>
      <c r="P86" s="13" t="s">
        <v>139</v>
      </c>
      <c r="Q86" s="13" t="s">
        <v>139</v>
      </c>
      <c r="R86" s="13" t="s">
        <v>204</v>
      </c>
      <c r="S86" s="13"/>
      <c r="T86" s="13"/>
      <c r="U86" s="13" t="s">
        <v>144</v>
      </c>
      <c r="V86" s="13" t="s">
        <v>313</v>
      </c>
      <c r="W86" s="13"/>
      <c r="X86" s="13"/>
      <c r="Y86" s="13" t="s">
        <v>132</v>
      </c>
      <c r="Z86" s="13" t="s">
        <v>432</v>
      </c>
      <c r="AA86" s="210">
        <v>33029</v>
      </c>
      <c r="AB86" s="109">
        <f t="shared" ca="1" si="13"/>
        <v>35</v>
      </c>
      <c r="AC86" s="13" t="s">
        <v>5439</v>
      </c>
      <c r="AD86" s="13" t="s">
        <v>5440</v>
      </c>
      <c r="AE86" s="115" t="s">
        <v>5441</v>
      </c>
      <c r="AF86" s="13"/>
      <c r="AG86" s="13" t="s">
        <v>5442</v>
      </c>
      <c r="AH86" s="117" t="s">
        <v>5443</v>
      </c>
      <c r="AI86" s="115">
        <v>14041228587</v>
      </c>
      <c r="AJ86" s="13" t="s">
        <v>4733</v>
      </c>
      <c r="AK86" s="13" t="s">
        <v>5444</v>
      </c>
      <c r="AL86" s="13" t="s">
        <v>5445</v>
      </c>
      <c r="AM86" s="13"/>
      <c r="AN86" s="13"/>
      <c r="AO86" s="13"/>
      <c r="AP86" s="13"/>
      <c r="AQ86" s="13"/>
      <c r="AR86" s="13"/>
      <c r="AS86" s="13"/>
      <c r="AT86" s="86">
        <f t="shared" si="14"/>
        <v>1</v>
      </c>
      <c r="AU86" s="13" t="str">
        <f t="shared" si="15"/>
        <v>K/1</v>
      </c>
      <c r="AV86" s="110" t="s">
        <v>5446</v>
      </c>
      <c r="AW86" s="112" t="s">
        <v>161</v>
      </c>
      <c r="AX86" s="13" t="s">
        <v>349</v>
      </c>
      <c r="AY86" s="13" t="s">
        <v>2730</v>
      </c>
      <c r="AZ86" s="13" t="s">
        <v>5447</v>
      </c>
      <c r="BA86" s="13"/>
      <c r="BB86" s="13" t="s">
        <v>349</v>
      </c>
      <c r="BC86" s="13" t="s">
        <v>2730</v>
      </c>
      <c r="BD86" s="13" t="s">
        <v>5447</v>
      </c>
      <c r="BE86" s="13"/>
      <c r="BF86" s="213">
        <v>48761</v>
      </c>
      <c r="BG86" s="213">
        <v>49126</v>
      </c>
      <c r="BH86" s="13"/>
      <c r="BI86" s="13"/>
      <c r="BJ86" s="13">
        <v>39</v>
      </c>
      <c r="BK86" s="111">
        <v>44294</v>
      </c>
      <c r="BL86" s="111">
        <v>44322</v>
      </c>
      <c r="BM86" s="87">
        <v>44587</v>
      </c>
      <c r="BN86" s="87"/>
      <c r="BZ86" s="210">
        <v>45135</v>
      </c>
      <c r="CA86" s="86" t="s">
        <v>5004</v>
      </c>
      <c r="CC86" s="175"/>
      <c r="CD86" s="86" t="s">
        <v>3602</v>
      </c>
      <c r="CE86" s="86" t="e">
        <f>VLOOKUP(C86,[1]Sertifikasi!$B$4:$I$19,8,0)</f>
        <v>#N/A</v>
      </c>
    </row>
    <row r="87" spans="1:83" ht="11.25" customHeight="1" x14ac:dyDescent="0.2">
      <c r="B87" s="13">
        <v>84</v>
      </c>
      <c r="C87" s="13" t="s">
        <v>5448</v>
      </c>
      <c r="D87" s="109">
        <v>999800091</v>
      </c>
      <c r="E87" s="110">
        <v>1440001095840</v>
      </c>
      <c r="F87" s="197"/>
      <c r="G87" s="112" t="s">
        <v>204</v>
      </c>
      <c r="H87" s="13" t="s">
        <v>217</v>
      </c>
      <c r="I87" s="210">
        <v>43987</v>
      </c>
      <c r="J87" s="112">
        <f t="shared" si="10"/>
        <v>3</v>
      </c>
      <c r="K87" s="13">
        <f t="shared" si="11"/>
        <v>1</v>
      </c>
      <c r="L87" s="210"/>
      <c r="M87" s="13" t="str">
        <f t="shared" si="12"/>
        <v>Organik</v>
      </c>
      <c r="N87" s="13" t="s">
        <v>2649</v>
      </c>
      <c r="O87" s="213">
        <v>36312</v>
      </c>
      <c r="P87" s="13" t="s">
        <v>139</v>
      </c>
      <c r="Q87" s="13" t="s">
        <v>139</v>
      </c>
      <c r="R87" s="13" t="s">
        <v>204</v>
      </c>
      <c r="S87" s="13"/>
      <c r="T87" s="13"/>
      <c r="U87" s="13" t="s">
        <v>144</v>
      </c>
      <c r="V87" s="13" t="s">
        <v>313</v>
      </c>
      <c r="W87" s="13"/>
      <c r="X87" s="13"/>
      <c r="Y87" s="13" t="s">
        <v>132</v>
      </c>
      <c r="Z87" s="13" t="s">
        <v>432</v>
      </c>
      <c r="AA87" s="210">
        <v>25358</v>
      </c>
      <c r="AB87" s="109">
        <f t="shared" ca="1" si="13"/>
        <v>56</v>
      </c>
      <c r="AC87" s="13" t="s">
        <v>5449</v>
      </c>
      <c r="AD87" s="13" t="s">
        <v>5450</v>
      </c>
      <c r="AE87" s="115" t="s">
        <v>5451</v>
      </c>
      <c r="AF87" s="13"/>
      <c r="AG87" s="13" t="s">
        <v>5452</v>
      </c>
      <c r="AH87" s="117" t="s">
        <v>5453</v>
      </c>
      <c r="AI87" s="115" t="s">
        <v>5454</v>
      </c>
      <c r="AJ87" s="13" t="s">
        <v>4733</v>
      </c>
      <c r="AK87" s="13" t="s">
        <v>471</v>
      </c>
      <c r="AL87" s="13" t="s">
        <v>5455</v>
      </c>
      <c r="AM87" s="13"/>
      <c r="AN87" s="13"/>
      <c r="AO87" s="13"/>
      <c r="AP87" s="13"/>
      <c r="AQ87" s="13"/>
      <c r="AR87" s="13"/>
      <c r="AS87" s="13"/>
      <c r="AT87" s="86">
        <f t="shared" si="14"/>
        <v>1</v>
      </c>
      <c r="AU87" s="13" t="str">
        <f t="shared" si="15"/>
        <v>K/1</v>
      </c>
      <c r="AV87" s="110" t="s">
        <v>5456</v>
      </c>
      <c r="AW87" s="112" t="s">
        <v>161</v>
      </c>
      <c r="AX87" s="13" t="s">
        <v>349</v>
      </c>
      <c r="AY87" s="13" t="s">
        <v>2730</v>
      </c>
      <c r="AZ87" s="13" t="s">
        <v>2751</v>
      </c>
      <c r="BA87" s="13"/>
      <c r="BB87" s="13" t="s">
        <v>349</v>
      </c>
      <c r="BC87" s="13" t="s">
        <v>2730</v>
      </c>
      <c r="BD87" s="13" t="s">
        <v>2751</v>
      </c>
      <c r="BE87" s="13"/>
      <c r="BF87" s="213">
        <v>45474</v>
      </c>
      <c r="BG87" s="213">
        <v>45839</v>
      </c>
      <c r="BH87" s="13"/>
      <c r="BI87" s="13"/>
      <c r="BJ87" s="13">
        <v>39</v>
      </c>
      <c r="BK87" s="111">
        <v>44294</v>
      </c>
      <c r="BL87" s="111">
        <v>44322</v>
      </c>
      <c r="BM87" s="87"/>
      <c r="BN87" s="87"/>
      <c r="BZ87" s="210">
        <v>45135</v>
      </c>
      <c r="CA87" s="86" t="s">
        <v>5004</v>
      </c>
      <c r="CC87" s="175"/>
      <c r="CD87" s="86" t="s">
        <v>3602</v>
      </c>
      <c r="CE87" s="86" t="e">
        <f>VLOOKUP(C87,[1]Sertifikasi!$B$4:$I$19,8,0)</f>
        <v>#N/A</v>
      </c>
    </row>
    <row r="88" spans="1:83" ht="11.25" customHeight="1" x14ac:dyDescent="0.2">
      <c r="B88" s="13">
        <v>85</v>
      </c>
      <c r="C88" s="13" t="s">
        <v>5457</v>
      </c>
      <c r="D88" s="109">
        <v>999800138</v>
      </c>
      <c r="E88" s="110">
        <v>1440001094777</v>
      </c>
      <c r="F88" s="197"/>
      <c r="G88" s="112" t="s">
        <v>204</v>
      </c>
      <c r="H88" s="13" t="s">
        <v>217</v>
      </c>
      <c r="I88" s="210">
        <v>43987</v>
      </c>
      <c r="J88" s="112">
        <f t="shared" si="10"/>
        <v>3</v>
      </c>
      <c r="K88" s="13">
        <f t="shared" si="11"/>
        <v>1</v>
      </c>
      <c r="L88" s="210"/>
      <c r="M88" s="13" t="str">
        <f t="shared" si="12"/>
        <v>Organik</v>
      </c>
      <c r="N88" s="13" t="s">
        <v>2649</v>
      </c>
      <c r="O88" s="213">
        <v>36312</v>
      </c>
      <c r="P88" s="13" t="s">
        <v>139</v>
      </c>
      <c r="Q88" s="13" t="s">
        <v>139</v>
      </c>
      <c r="R88" s="13" t="s">
        <v>204</v>
      </c>
      <c r="S88" s="13"/>
      <c r="T88" s="13"/>
      <c r="U88" s="13" t="s">
        <v>144</v>
      </c>
      <c r="V88" s="13" t="s">
        <v>313</v>
      </c>
      <c r="W88" s="13"/>
      <c r="X88" s="13"/>
      <c r="Y88" s="13" t="s">
        <v>132</v>
      </c>
      <c r="Z88" s="13" t="s">
        <v>217</v>
      </c>
      <c r="AA88" s="210">
        <v>26307</v>
      </c>
      <c r="AB88" s="109">
        <f t="shared" ca="1" si="13"/>
        <v>53</v>
      </c>
      <c r="AC88" s="13" t="s">
        <v>5458</v>
      </c>
      <c r="AD88" s="13" t="s">
        <v>5459</v>
      </c>
      <c r="AE88" s="115" t="s">
        <v>5460</v>
      </c>
      <c r="AF88" s="13"/>
      <c r="AG88" s="13" t="s">
        <v>5461</v>
      </c>
      <c r="AH88" s="117" t="s">
        <v>5462</v>
      </c>
      <c r="AI88" s="115" t="s">
        <v>5463</v>
      </c>
      <c r="AJ88" s="13" t="s">
        <v>4733</v>
      </c>
      <c r="AK88" s="13" t="s">
        <v>5464</v>
      </c>
      <c r="AL88" s="13" t="s">
        <v>5465</v>
      </c>
      <c r="AM88" s="13" t="s">
        <v>5466</v>
      </c>
      <c r="AN88" s="13"/>
      <c r="AO88" s="13"/>
      <c r="AP88" s="13"/>
      <c r="AQ88" s="13"/>
      <c r="AR88" s="13"/>
      <c r="AS88" s="13"/>
      <c r="AT88" s="86">
        <f t="shared" si="14"/>
        <v>2</v>
      </c>
      <c r="AU88" s="13" t="str">
        <f t="shared" si="15"/>
        <v>K/2</v>
      </c>
      <c r="AV88" s="110" t="s">
        <v>5467</v>
      </c>
      <c r="AW88" s="112" t="s">
        <v>161</v>
      </c>
      <c r="AX88" s="13" t="s">
        <v>349</v>
      </c>
      <c r="AY88" s="13" t="s">
        <v>5437</v>
      </c>
      <c r="AZ88" s="13" t="s">
        <v>2716</v>
      </c>
      <c r="BA88" s="13"/>
      <c r="BB88" s="13" t="s">
        <v>349</v>
      </c>
      <c r="BC88" s="13" t="s">
        <v>5437</v>
      </c>
      <c r="BD88" s="13" t="s">
        <v>2716</v>
      </c>
      <c r="BE88" s="13"/>
      <c r="BF88" s="213">
        <v>46419</v>
      </c>
      <c r="BG88" s="213">
        <v>46784</v>
      </c>
      <c r="BH88" s="13"/>
      <c r="BI88" s="13"/>
      <c r="BJ88" s="13">
        <v>39</v>
      </c>
      <c r="BK88" s="111">
        <v>44294</v>
      </c>
      <c r="BL88" s="111">
        <v>44322</v>
      </c>
      <c r="BM88" s="87">
        <v>44585</v>
      </c>
      <c r="BN88" s="87"/>
      <c r="BZ88" s="210">
        <v>45135</v>
      </c>
      <c r="CA88" s="86" t="s">
        <v>5004</v>
      </c>
      <c r="CC88" s="175"/>
      <c r="CD88" s="86" t="s">
        <v>3602</v>
      </c>
      <c r="CE88" s="86" t="e">
        <f>VLOOKUP(C88,[1]Sertifikasi!$B$4:$I$19,8,0)</f>
        <v>#N/A</v>
      </c>
    </row>
    <row r="89" spans="1:83" ht="11.25" customHeight="1" x14ac:dyDescent="0.2">
      <c r="B89" s="13">
        <v>86</v>
      </c>
      <c r="C89" s="13" t="s">
        <v>5468</v>
      </c>
      <c r="D89" s="109">
        <v>999800173</v>
      </c>
      <c r="E89" s="110">
        <v>1440001099164</v>
      </c>
      <c r="F89" s="197"/>
      <c r="G89" s="112" t="s">
        <v>204</v>
      </c>
      <c r="H89" s="13" t="s">
        <v>217</v>
      </c>
      <c r="I89" s="210">
        <v>43987</v>
      </c>
      <c r="J89" s="112">
        <f t="shared" si="10"/>
        <v>3</v>
      </c>
      <c r="K89" s="13">
        <f t="shared" si="11"/>
        <v>1</v>
      </c>
      <c r="L89" s="210"/>
      <c r="M89" s="13" t="str">
        <f t="shared" si="12"/>
        <v>Organik</v>
      </c>
      <c r="N89" s="13" t="s">
        <v>2649</v>
      </c>
      <c r="O89" s="213">
        <v>36312</v>
      </c>
      <c r="P89" s="13" t="s">
        <v>139</v>
      </c>
      <c r="Q89" s="13" t="s">
        <v>139</v>
      </c>
      <c r="R89" s="13" t="s">
        <v>204</v>
      </c>
      <c r="S89" s="13"/>
      <c r="T89" s="13"/>
      <c r="U89" s="13" t="s">
        <v>144</v>
      </c>
      <c r="V89" s="13" t="s">
        <v>313</v>
      </c>
      <c r="W89" s="13" t="s">
        <v>854</v>
      </c>
      <c r="X89" s="13"/>
      <c r="Y89" s="13" t="s">
        <v>132</v>
      </c>
      <c r="Z89" s="13" t="s">
        <v>432</v>
      </c>
      <c r="AA89" s="210">
        <v>26528</v>
      </c>
      <c r="AB89" s="109">
        <f t="shared" ca="1" si="13"/>
        <v>53</v>
      </c>
      <c r="AC89" s="13" t="s">
        <v>5469</v>
      </c>
      <c r="AD89" s="13" t="s">
        <v>5470</v>
      </c>
      <c r="AE89" s="115" t="s">
        <v>5471</v>
      </c>
      <c r="AF89" s="13"/>
      <c r="AG89" s="13" t="s">
        <v>5472</v>
      </c>
      <c r="AH89" s="117" t="s">
        <v>5473</v>
      </c>
      <c r="AI89" s="115" t="s">
        <v>5474</v>
      </c>
      <c r="AJ89" s="13" t="s">
        <v>4733</v>
      </c>
      <c r="AK89" s="13" t="s">
        <v>5475</v>
      </c>
      <c r="AL89" s="13" t="s">
        <v>5476</v>
      </c>
      <c r="AM89" s="13" t="s">
        <v>5477</v>
      </c>
      <c r="AN89" s="13" t="s">
        <v>5478</v>
      </c>
      <c r="AO89" s="13"/>
      <c r="AP89" s="13"/>
      <c r="AQ89" s="13"/>
      <c r="AR89" s="13"/>
      <c r="AS89" s="13"/>
      <c r="AT89" s="86">
        <f t="shared" si="14"/>
        <v>3</v>
      </c>
      <c r="AU89" s="13" t="str">
        <f t="shared" si="15"/>
        <v>K/3</v>
      </c>
      <c r="AV89" s="110" t="s">
        <v>5479</v>
      </c>
      <c r="AW89" s="112" t="s">
        <v>161</v>
      </c>
      <c r="AX89" s="13" t="s">
        <v>349</v>
      </c>
      <c r="AY89" s="13" t="s">
        <v>2730</v>
      </c>
      <c r="AZ89" s="13" t="s">
        <v>2751</v>
      </c>
      <c r="BA89" s="13"/>
      <c r="BB89" s="13" t="s">
        <v>349</v>
      </c>
      <c r="BC89" s="13" t="s">
        <v>2730</v>
      </c>
      <c r="BD89" s="13" t="s">
        <v>2751</v>
      </c>
      <c r="BE89" s="13"/>
      <c r="BF89" s="213">
        <v>46631</v>
      </c>
      <c r="BG89" s="213">
        <v>46997</v>
      </c>
      <c r="BH89" s="13"/>
      <c r="BI89" s="13"/>
      <c r="BJ89" s="13">
        <v>40</v>
      </c>
      <c r="BK89" s="111">
        <v>44293</v>
      </c>
      <c r="BL89" s="111">
        <v>44322</v>
      </c>
      <c r="BM89" s="87">
        <v>44738</v>
      </c>
      <c r="BN89" s="87"/>
      <c r="BZ89" s="210">
        <v>45135</v>
      </c>
      <c r="CA89" s="86" t="s">
        <v>5004</v>
      </c>
      <c r="CC89" s="175"/>
      <c r="CD89" s="86" t="s">
        <v>3602</v>
      </c>
      <c r="CE89" s="86" t="e">
        <f>VLOOKUP(C89,[1]Sertifikasi!$B$4:$I$19,8,0)</f>
        <v>#N/A</v>
      </c>
    </row>
    <row r="90" spans="1:83" ht="11.25" customHeight="1" x14ac:dyDescent="0.2">
      <c r="B90" s="13">
        <v>87</v>
      </c>
      <c r="C90" s="13" t="s">
        <v>5480</v>
      </c>
      <c r="D90" s="109">
        <v>999800044</v>
      </c>
      <c r="E90" s="110">
        <v>1440001095808</v>
      </c>
      <c r="F90" s="197"/>
      <c r="G90" s="112" t="s">
        <v>204</v>
      </c>
      <c r="H90" s="13" t="s">
        <v>217</v>
      </c>
      <c r="I90" s="210">
        <v>43987</v>
      </c>
      <c r="J90" s="112">
        <f t="shared" si="10"/>
        <v>3</v>
      </c>
      <c r="K90" s="13">
        <f t="shared" si="11"/>
        <v>1</v>
      </c>
      <c r="L90" s="210"/>
      <c r="M90" s="13" t="str">
        <f t="shared" si="12"/>
        <v>Organik</v>
      </c>
      <c r="N90" s="13" t="s">
        <v>2649</v>
      </c>
      <c r="O90" s="213">
        <v>36039</v>
      </c>
      <c r="P90" s="13" t="s">
        <v>5344</v>
      </c>
      <c r="Q90" s="13" t="s">
        <v>138</v>
      </c>
      <c r="R90" s="13" t="s">
        <v>204</v>
      </c>
      <c r="S90" s="13"/>
      <c r="T90" s="13"/>
      <c r="U90" s="13" t="s">
        <v>144</v>
      </c>
      <c r="V90" s="13" t="s">
        <v>313</v>
      </c>
      <c r="W90" s="13"/>
      <c r="X90" s="13"/>
      <c r="Y90" s="13" t="s">
        <v>132</v>
      </c>
      <c r="Z90" s="13" t="s">
        <v>217</v>
      </c>
      <c r="AA90" s="210">
        <v>26722</v>
      </c>
      <c r="AB90" s="109">
        <f t="shared" ca="1" si="13"/>
        <v>52</v>
      </c>
      <c r="AC90" s="13" t="s">
        <v>5481</v>
      </c>
      <c r="AD90" s="13" t="s">
        <v>5482</v>
      </c>
      <c r="AE90" s="115" t="s">
        <v>5483</v>
      </c>
      <c r="AF90" s="13"/>
      <c r="AG90" s="13" t="s">
        <v>5484</v>
      </c>
      <c r="AH90" s="117" t="s">
        <v>5485</v>
      </c>
      <c r="AI90" s="115" t="s">
        <v>5486</v>
      </c>
      <c r="AJ90" s="13" t="s">
        <v>4733</v>
      </c>
      <c r="AK90" s="13" t="s">
        <v>5487</v>
      </c>
      <c r="AL90" s="13" t="s">
        <v>5488</v>
      </c>
      <c r="AM90" s="13" t="s">
        <v>5489</v>
      </c>
      <c r="AN90" s="13"/>
      <c r="AO90" s="13"/>
      <c r="AP90" s="13"/>
      <c r="AQ90" s="13"/>
      <c r="AR90" s="13"/>
      <c r="AS90" s="13"/>
      <c r="AT90" s="86">
        <f t="shared" si="14"/>
        <v>2</v>
      </c>
      <c r="AU90" s="13" t="str">
        <f t="shared" si="15"/>
        <v>K/2</v>
      </c>
      <c r="AV90" s="110" t="s">
        <v>5490</v>
      </c>
      <c r="AW90" s="112" t="s">
        <v>161</v>
      </c>
      <c r="AX90" s="13" t="s">
        <v>349</v>
      </c>
      <c r="AY90" s="13" t="s">
        <v>5437</v>
      </c>
      <c r="AZ90" s="13" t="s">
        <v>2716</v>
      </c>
      <c r="BA90" s="13"/>
      <c r="BB90" s="13" t="s">
        <v>349</v>
      </c>
      <c r="BC90" s="13" t="s">
        <v>5437</v>
      </c>
      <c r="BD90" s="13" t="s">
        <v>2716</v>
      </c>
      <c r="BE90" s="13"/>
      <c r="BF90" s="213">
        <v>46813</v>
      </c>
      <c r="BG90" s="213">
        <v>47178</v>
      </c>
      <c r="BH90" s="13"/>
      <c r="BI90" s="13"/>
      <c r="BJ90" s="13">
        <v>39</v>
      </c>
      <c r="BK90" s="111">
        <v>44294</v>
      </c>
      <c r="BL90" s="111">
        <v>44322</v>
      </c>
      <c r="BM90" s="87">
        <v>44585</v>
      </c>
      <c r="BN90" s="87"/>
      <c r="BZ90" s="210">
        <v>45135</v>
      </c>
      <c r="CA90" s="86" t="s">
        <v>5004</v>
      </c>
      <c r="CC90" s="175"/>
      <c r="CD90" s="86" t="s">
        <v>5296</v>
      </c>
      <c r="CE90" s="86" t="e">
        <f>VLOOKUP(C90,[1]Sertifikasi!$B$4:$I$19,8,0)</f>
        <v>#N/A</v>
      </c>
    </row>
    <row r="91" spans="1:83" ht="11.25" customHeight="1" x14ac:dyDescent="0.2">
      <c r="B91" s="13">
        <v>88</v>
      </c>
      <c r="C91" s="13" t="s">
        <v>5491</v>
      </c>
      <c r="D91" s="109">
        <v>999800093</v>
      </c>
      <c r="E91" s="110">
        <v>1440011135289</v>
      </c>
      <c r="F91" s="197"/>
      <c r="G91" s="112" t="s">
        <v>204</v>
      </c>
      <c r="H91" s="13" t="s">
        <v>217</v>
      </c>
      <c r="I91" s="210">
        <v>43987</v>
      </c>
      <c r="J91" s="112">
        <f t="shared" si="10"/>
        <v>3</v>
      </c>
      <c r="K91" s="13">
        <f t="shared" si="11"/>
        <v>1</v>
      </c>
      <c r="L91" s="210"/>
      <c r="M91" s="13" t="str">
        <f t="shared" si="12"/>
        <v>Organik</v>
      </c>
      <c r="N91" s="13" t="s">
        <v>2649</v>
      </c>
      <c r="O91" s="213">
        <v>36312</v>
      </c>
      <c r="P91" s="13" t="s">
        <v>139</v>
      </c>
      <c r="Q91" s="13" t="s">
        <v>139</v>
      </c>
      <c r="R91" s="13" t="s">
        <v>204</v>
      </c>
      <c r="S91" s="13"/>
      <c r="T91" s="13"/>
      <c r="U91" s="13" t="s">
        <v>144</v>
      </c>
      <c r="V91" s="13" t="s">
        <v>313</v>
      </c>
      <c r="W91" s="13"/>
      <c r="X91" s="13"/>
      <c r="Y91" s="13" t="s">
        <v>132</v>
      </c>
      <c r="Z91" s="13" t="s">
        <v>1511</v>
      </c>
      <c r="AA91" s="210">
        <v>25994</v>
      </c>
      <c r="AB91" s="109">
        <f t="shared" ca="1" si="13"/>
        <v>54</v>
      </c>
      <c r="AC91" s="13" t="s">
        <v>5492</v>
      </c>
      <c r="AD91" s="13" t="s">
        <v>5493</v>
      </c>
      <c r="AE91" s="115" t="s">
        <v>5494</v>
      </c>
      <c r="AF91" s="13"/>
      <c r="AG91" s="13" t="s">
        <v>5495</v>
      </c>
      <c r="AH91" s="117" t="s">
        <v>5496</v>
      </c>
      <c r="AI91" s="115" t="s">
        <v>5497</v>
      </c>
      <c r="AJ91" s="13" t="s">
        <v>4733</v>
      </c>
      <c r="AK91" s="13" t="s">
        <v>5498</v>
      </c>
      <c r="AL91" s="13" t="s">
        <v>5499</v>
      </c>
      <c r="AM91" s="13" t="s">
        <v>5500</v>
      </c>
      <c r="AN91" s="13"/>
      <c r="AO91" s="13"/>
      <c r="AP91" s="13"/>
      <c r="AQ91" s="13"/>
      <c r="AR91" s="13"/>
      <c r="AS91" s="13"/>
      <c r="AT91" s="86">
        <f t="shared" si="14"/>
        <v>2</v>
      </c>
      <c r="AU91" s="13" t="str">
        <f t="shared" si="15"/>
        <v>K/2</v>
      </c>
      <c r="AV91" s="110" t="s">
        <v>5501</v>
      </c>
      <c r="AW91" s="112" t="s">
        <v>161</v>
      </c>
      <c r="AX91" s="13" t="s">
        <v>349</v>
      </c>
      <c r="AY91" s="13" t="s">
        <v>2730</v>
      </c>
      <c r="AZ91" s="13" t="s">
        <v>5502</v>
      </c>
      <c r="BA91" s="13"/>
      <c r="BB91" s="13" t="s">
        <v>349</v>
      </c>
      <c r="BC91" s="13" t="s">
        <v>2730</v>
      </c>
      <c r="BD91" s="13" t="s">
        <v>5502</v>
      </c>
      <c r="BE91" s="13"/>
      <c r="BF91" s="213">
        <v>46113</v>
      </c>
      <c r="BG91" s="213">
        <v>46478</v>
      </c>
      <c r="BH91" s="13"/>
      <c r="BI91" s="13"/>
      <c r="BJ91" s="13">
        <v>39</v>
      </c>
      <c r="BK91" s="111">
        <v>44294</v>
      </c>
      <c r="BL91" s="111">
        <v>44322</v>
      </c>
      <c r="BM91" s="87">
        <v>44587</v>
      </c>
      <c r="BN91" s="87"/>
      <c r="BZ91" s="210">
        <v>45135</v>
      </c>
      <c r="CA91" s="86" t="s">
        <v>5004</v>
      </c>
      <c r="CC91" s="175"/>
      <c r="CD91" s="86" t="s">
        <v>3602</v>
      </c>
      <c r="CE91" s="86" t="e">
        <f>VLOOKUP(C91,[1]Sertifikasi!$B$4:$I$19,8,0)</f>
        <v>#N/A</v>
      </c>
    </row>
    <row r="92" spans="1:83" ht="11.25" customHeight="1" x14ac:dyDescent="0.2">
      <c r="B92" s="13">
        <v>89</v>
      </c>
      <c r="C92" s="13" t="s">
        <v>5503</v>
      </c>
      <c r="D92" s="109">
        <v>999800080</v>
      </c>
      <c r="E92" s="110">
        <v>1440011136121</v>
      </c>
      <c r="F92" s="197"/>
      <c r="G92" s="112" t="s">
        <v>204</v>
      </c>
      <c r="H92" s="13" t="s">
        <v>217</v>
      </c>
      <c r="I92" s="210">
        <v>43987</v>
      </c>
      <c r="J92" s="112">
        <f t="shared" si="10"/>
        <v>3</v>
      </c>
      <c r="K92" s="13">
        <f t="shared" si="11"/>
        <v>1</v>
      </c>
      <c r="L92" s="210"/>
      <c r="M92" s="13" t="str">
        <f t="shared" si="12"/>
        <v>Organik</v>
      </c>
      <c r="N92" s="13" t="s">
        <v>2649</v>
      </c>
      <c r="O92" s="213">
        <v>36312</v>
      </c>
      <c r="P92" s="13" t="s">
        <v>5344</v>
      </c>
      <c r="Q92" s="13" t="s">
        <v>138</v>
      </c>
      <c r="R92" s="13" t="s">
        <v>204</v>
      </c>
      <c r="S92" s="13"/>
      <c r="T92" s="13"/>
      <c r="U92" s="13" t="s">
        <v>144</v>
      </c>
      <c r="V92" s="13" t="s">
        <v>313</v>
      </c>
      <c r="W92" s="13"/>
      <c r="X92" s="13"/>
      <c r="Y92" s="13" t="s">
        <v>132</v>
      </c>
      <c r="Z92" s="13" t="s">
        <v>217</v>
      </c>
      <c r="AA92" s="210">
        <v>25425</v>
      </c>
      <c r="AB92" s="109">
        <f t="shared" ca="1" si="13"/>
        <v>56</v>
      </c>
      <c r="AC92" s="13" t="s">
        <v>5504</v>
      </c>
      <c r="AD92" s="13" t="s">
        <v>5505</v>
      </c>
      <c r="AE92" s="115" t="s">
        <v>5506</v>
      </c>
      <c r="AF92" s="13"/>
      <c r="AG92" s="13" t="s">
        <v>5507</v>
      </c>
      <c r="AH92" s="117" t="s">
        <v>5508</v>
      </c>
      <c r="AI92" s="115" t="s">
        <v>5509</v>
      </c>
      <c r="AJ92" s="13" t="s">
        <v>4733</v>
      </c>
      <c r="AK92" s="13" t="s">
        <v>5510</v>
      </c>
      <c r="AL92" s="13" t="s">
        <v>5511</v>
      </c>
      <c r="AM92" s="13" t="s">
        <v>5512</v>
      </c>
      <c r="AN92" s="13"/>
      <c r="AO92" s="13"/>
      <c r="AP92" s="13"/>
      <c r="AQ92" s="13"/>
      <c r="AR92" s="13"/>
      <c r="AS92" s="13"/>
      <c r="AT92" s="86">
        <f t="shared" si="14"/>
        <v>2</v>
      </c>
      <c r="AU92" s="13" t="str">
        <f t="shared" si="15"/>
        <v>K/2</v>
      </c>
      <c r="AV92" s="110" t="s">
        <v>5513</v>
      </c>
      <c r="AW92" s="112" t="s">
        <v>161</v>
      </c>
      <c r="AX92" s="13" t="s">
        <v>349</v>
      </c>
      <c r="AY92" s="13" t="s">
        <v>2730</v>
      </c>
      <c r="AZ92" s="13" t="s">
        <v>5355</v>
      </c>
      <c r="BA92" s="13"/>
      <c r="BB92" s="13" t="s">
        <v>349</v>
      </c>
      <c r="BC92" s="13" t="s">
        <v>2730</v>
      </c>
      <c r="BD92" s="13" t="s">
        <v>5355</v>
      </c>
      <c r="BE92" s="13"/>
      <c r="BF92" s="213">
        <v>45536</v>
      </c>
      <c r="BG92" s="213">
        <v>45901</v>
      </c>
      <c r="BH92" s="13"/>
      <c r="BI92" s="13"/>
      <c r="BJ92" s="13">
        <v>41</v>
      </c>
      <c r="BK92" s="111">
        <v>44294</v>
      </c>
      <c r="BL92" s="111">
        <v>44322</v>
      </c>
      <c r="BM92" s="87"/>
      <c r="BN92" s="87"/>
      <c r="BZ92" s="210">
        <v>45135</v>
      </c>
      <c r="CA92" s="86" t="s">
        <v>5004</v>
      </c>
      <c r="CC92" s="175"/>
      <c r="CD92" s="86" t="s">
        <v>3602</v>
      </c>
      <c r="CE92" s="86" t="e">
        <f>VLOOKUP(C92,[1]Sertifikasi!$B$4:$I$19,8,0)</f>
        <v>#N/A</v>
      </c>
    </row>
    <row r="93" spans="1:83" ht="11.25" customHeight="1" x14ac:dyDescent="0.2">
      <c r="B93" s="13">
        <v>90</v>
      </c>
      <c r="C93" s="13" t="s">
        <v>5514</v>
      </c>
      <c r="D93" s="109">
        <v>999800045</v>
      </c>
      <c r="E93" s="110">
        <v>1440011136113</v>
      </c>
      <c r="F93" s="197"/>
      <c r="G93" s="112" t="s">
        <v>204</v>
      </c>
      <c r="H93" s="13" t="s">
        <v>217</v>
      </c>
      <c r="I93" s="210">
        <v>43987</v>
      </c>
      <c r="J93" s="112">
        <f t="shared" si="10"/>
        <v>3</v>
      </c>
      <c r="K93" s="13">
        <f t="shared" si="11"/>
        <v>1</v>
      </c>
      <c r="L93" s="210"/>
      <c r="M93" s="13" t="str">
        <f t="shared" si="12"/>
        <v>Organik</v>
      </c>
      <c r="N93" s="13" t="s">
        <v>2649</v>
      </c>
      <c r="O93" s="213">
        <v>36039</v>
      </c>
      <c r="P93" s="13" t="s">
        <v>139</v>
      </c>
      <c r="Q93" s="13" t="s">
        <v>139</v>
      </c>
      <c r="R93" s="13" t="s">
        <v>204</v>
      </c>
      <c r="S93" s="13"/>
      <c r="T93" s="13"/>
      <c r="U93" s="13" t="s">
        <v>144</v>
      </c>
      <c r="V93" s="13" t="s">
        <v>313</v>
      </c>
      <c r="W93" s="13"/>
      <c r="X93" s="13"/>
      <c r="Y93" s="13" t="s">
        <v>132</v>
      </c>
      <c r="Z93" s="13" t="s">
        <v>217</v>
      </c>
      <c r="AA93" s="210">
        <v>25499</v>
      </c>
      <c r="AB93" s="109">
        <f t="shared" ca="1" si="13"/>
        <v>55</v>
      </c>
      <c r="AC93" s="13" t="s">
        <v>5515</v>
      </c>
      <c r="AD93" s="13" t="s">
        <v>5516</v>
      </c>
      <c r="AE93" s="115" t="s">
        <v>5517</v>
      </c>
      <c r="AF93" s="13"/>
      <c r="AG93" s="13" t="s">
        <v>5518</v>
      </c>
      <c r="AH93" s="117" t="s">
        <v>5519</v>
      </c>
      <c r="AI93" s="115" t="s">
        <v>5520</v>
      </c>
      <c r="AJ93" s="13" t="s">
        <v>4733</v>
      </c>
      <c r="AK93" s="13" t="s">
        <v>5521</v>
      </c>
      <c r="AL93" s="13" t="s">
        <v>5522</v>
      </c>
      <c r="AM93" s="13" t="s">
        <v>4110</v>
      </c>
      <c r="AN93" s="13"/>
      <c r="AO93" s="13"/>
      <c r="AP93" s="13" t="s">
        <v>2852</v>
      </c>
      <c r="AQ93" s="13" t="s">
        <v>2853</v>
      </c>
      <c r="AR93" s="13"/>
      <c r="AS93" s="13"/>
      <c r="AT93" s="86">
        <f t="shared" si="14"/>
        <v>2</v>
      </c>
      <c r="AU93" s="13" t="str">
        <f t="shared" si="15"/>
        <v>K/2</v>
      </c>
      <c r="AV93" s="110" t="s">
        <v>5523</v>
      </c>
      <c r="AW93" s="112" t="s">
        <v>161</v>
      </c>
      <c r="AX93" s="13" t="s">
        <v>349</v>
      </c>
      <c r="AY93" s="13" t="s">
        <v>2730</v>
      </c>
      <c r="AZ93" s="13" t="s">
        <v>5524</v>
      </c>
      <c r="BA93" s="13"/>
      <c r="BB93" s="13" t="s">
        <v>349</v>
      </c>
      <c r="BC93" s="13" t="s">
        <v>2730</v>
      </c>
      <c r="BD93" s="13" t="s">
        <v>5524</v>
      </c>
      <c r="BE93" s="13"/>
      <c r="BF93" s="213">
        <v>45597</v>
      </c>
      <c r="BG93" s="213">
        <v>45962</v>
      </c>
      <c r="BH93" s="13"/>
      <c r="BI93" s="13"/>
      <c r="BJ93" s="13">
        <v>40</v>
      </c>
      <c r="BK93" s="111">
        <v>44294</v>
      </c>
      <c r="BL93" s="111">
        <v>44322</v>
      </c>
      <c r="BM93" s="87">
        <v>44587</v>
      </c>
      <c r="BN93" s="87"/>
      <c r="BZ93" s="210">
        <v>45135</v>
      </c>
      <c r="CA93" s="86" t="s">
        <v>5004</v>
      </c>
      <c r="CC93" s="175"/>
      <c r="CD93" s="86" t="s">
        <v>3602</v>
      </c>
      <c r="CE93" s="86" t="e">
        <f>VLOOKUP(C93,[1]Sertifikasi!$B$4:$I$19,8,0)</f>
        <v>#N/A</v>
      </c>
    </row>
    <row r="94" spans="1:83" ht="11.25" customHeight="1" x14ac:dyDescent="0.2">
      <c r="A94" s="13"/>
      <c r="B94" s="13">
        <v>91</v>
      </c>
      <c r="C94" s="13" t="s">
        <v>3178</v>
      </c>
      <c r="D94" s="109">
        <v>999900089</v>
      </c>
      <c r="E94" s="110">
        <v>1440001095873</v>
      </c>
      <c r="F94" s="197"/>
      <c r="G94" s="112" t="s">
        <v>204</v>
      </c>
      <c r="H94" s="13" t="s">
        <v>217</v>
      </c>
      <c r="I94" s="210">
        <v>43987</v>
      </c>
      <c r="J94" s="112">
        <f t="shared" si="10"/>
        <v>3</v>
      </c>
      <c r="K94" s="13">
        <f t="shared" si="11"/>
        <v>1</v>
      </c>
      <c r="L94" s="210"/>
      <c r="M94" s="13" t="str">
        <f t="shared" si="12"/>
        <v>Organik</v>
      </c>
      <c r="N94" s="13" t="s">
        <v>2649</v>
      </c>
      <c r="O94" s="213">
        <v>36495</v>
      </c>
      <c r="P94" s="13" t="s">
        <v>139</v>
      </c>
      <c r="Q94" s="13" t="s">
        <v>139</v>
      </c>
      <c r="R94" s="13" t="s">
        <v>204</v>
      </c>
      <c r="S94" s="13"/>
      <c r="T94" s="13"/>
      <c r="U94" s="13" t="s">
        <v>144</v>
      </c>
      <c r="V94" s="13" t="s">
        <v>313</v>
      </c>
      <c r="W94" s="13"/>
      <c r="X94" s="13"/>
      <c r="Y94" s="13" t="s">
        <v>132</v>
      </c>
      <c r="Z94" s="13" t="s">
        <v>217</v>
      </c>
      <c r="AA94" s="210">
        <v>25636</v>
      </c>
      <c r="AB94" s="109">
        <f t="shared" ca="1" si="13"/>
        <v>55</v>
      </c>
      <c r="AC94" s="13" t="s">
        <v>5525</v>
      </c>
      <c r="AD94" s="13" t="s">
        <v>5526</v>
      </c>
      <c r="AE94" s="115" t="s">
        <v>5527</v>
      </c>
      <c r="AF94" s="13"/>
      <c r="AG94" s="13" t="s">
        <v>5528</v>
      </c>
      <c r="AH94" s="117" t="s">
        <v>5529</v>
      </c>
      <c r="AI94" s="115" t="s">
        <v>5530</v>
      </c>
      <c r="AJ94" s="13" t="s">
        <v>4733</v>
      </c>
      <c r="AK94" s="13" t="s">
        <v>1939</v>
      </c>
      <c r="AL94" s="13" t="s">
        <v>5531</v>
      </c>
      <c r="AM94" s="13"/>
      <c r="AN94" s="13"/>
      <c r="AO94" s="13"/>
      <c r="AP94" s="13"/>
      <c r="AQ94" s="13"/>
      <c r="AR94" s="13"/>
      <c r="AS94" s="13"/>
      <c r="AT94" s="86">
        <f t="shared" si="14"/>
        <v>1</v>
      </c>
      <c r="AU94" s="13" t="str">
        <f t="shared" si="15"/>
        <v>K/1</v>
      </c>
      <c r="AV94" s="110" t="s">
        <v>5532</v>
      </c>
      <c r="AW94" s="112" t="s">
        <v>161</v>
      </c>
      <c r="AX94" s="13" t="s">
        <v>349</v>
      </c>
      <c r="AY94" s="13" t="s">
        <v>2730</v>
      </c>
      <c r="AZ94" s="13" t="s">
        <v>5533</v>
      </c>
      <c r="BA94" s="13"/>
      <c r="BB94" s="13" t="s">
        <v>349</v>
      </c>
      <c r="BC94" s="13" t="s">
        <v>2730</v>
      </c>
      <c r="BD94" s="13" t="s">
        <v>5533</v>
      </c>
      <c r="BE94" s="13"/>
      <c r="BF94" s="213">
        <v>45748</v>
      </c>
      <c r="BG94" s="213">
        <v>46113</v>
      </c>
      <c r="BH94" s="13"/>
      <c r="BI94" s="13"/>
      <c r="BJ94" s="13">
        <v>41</v>
      </c>
      <c r="BK94" s="111">
        <v>44294</v>
      </c>
      <c r="BL94" s="111">
        <v>44322</v>
      </c>
      <c r="BM94" s="87">
        <v>44587</v>
      </c>
      <c r="BN94" s="87"/>
      <c r="BZ94" s="210">
        <v>45135</v>
      </c>
      <c r="CA94" s="86" t="s">
        <v>5004</v>
      </c>
      <c r="CC94" s="175"/>
      <c r="CD94" s="86" t="s">
        <v>3602</v>
      </c>
    </row>
    <row r="95" spans="1:83" ht="11.25" customHeight="1" x14ac:dyDescent="0.2">
      <c r="B95" s="13">
        <v>92</v>
      </c>
      <c r="C95" s="13" t="s">
        <v>5534</v>
      </c>
      <c r="D95" s="109">
        <v>991700006</v>
      </c>
      <c r="E95" s="110">
        <v>1710000376700</v>
      </c>
      <c r="F95" s="197"/>
      <c r="G95" s="112" t="s">
        <v>204</v>
      </c>
      <c r="H95" s="13" t="s">
        <v>217</v>
      </c>
      <c r="I95" s="210">
        <v>43987</v>
      </c>
      <c r="J95" s="112">
        <f t="shared" si="10"/>
        <v>3</v>
      </c>
      <c r="K95" s="13">
        <f t="shared" si="11"/>
        <v>1</v>
      </c>
      <c r="L95" s="210"/>
      <c r="M95" s="13" t="str">
        <f t="shared" si="12"/>
        <v>Organik</v>
      </c>
      <c r="N95" s="13" t="s">
        <v>2649</v>
      </c>
      <c r="O95" s="213">
        <v>42767</v>
      </c>
      <c r="P95" s="13" t="s">
        <v>139</v>
      </c>
      <c r="Q95" s="13" t="s">
        <v>139</v>
      </c>
      <c r="R95" s="13" t="s">
        <v>204</v>
      </c>
      <c r="S95" s="13"/>
      <c r="T95" s="13"/>
      <c r="U95" s="13" t="s">
        <v>144</v>
      </c>
      <c r="V95" s="13" t="s">
        <v>313</v>
      </c>
      <c r="W95" s="13" t="s">
        <v>173</v>
      </c>
      <c r="X95" s="13"/>
      <c r="Y95" s="13" t="s">
        <v>132</v>
      </c>
      <c r="Z95" s="13" t="s">
        <v>217</v>
      </c>
      <c r="AA95" s="210">
        <v>32932</v>
      </c>
      <c r="AB95" s="109">
        <f t="shared" ca="1" si="13"/>
        <v>35</v>
      </c>
      <c r="AC95" s="13" t="s">
        <v>5535</v>
      </c>
      <c r="AD95" s="13" t="s">
        <v>5536</v>
      </c>
      <c r="AE95" s="115" t="s">
        <v>5537</v>
      </c>
      <c r="AF95" s="13"/>
      <c r="AG95" s="13" t="s">
        <v>5538</v>
      </c>
      <c r="AH95" s="117" t="s">
        <v>5539</v>
      </c>
      <c r="AI95" s="115">
        <v>14018490160</v>
      </c>
      <c r="AJ95" s="13" t="s">
        <v>4733</v>
      </c>
      <c r="AK95" s="13" t="s">
        <v>5540</v>
      </c>
      <c r="AL95" s="13" t="s">
        <v>5541</v>
      </c>
      <c r="AM95" s="13" t="s">
        <v>5542</v>
      </c>
      <c r="AN95" s="13"/>
      <c r="AO95" s="13"/>
      <c r="AP95" s="13"/>
      <c r="AQ95" s="13"/>
      <c r="AR95" s="13"/>
      <c r="AS95" s="13"/>
      <c r="AT95" s="86">
        <f t="shared" si="14"/>
        <v>2</v>
      </c>
      <c r="AU95" s="13" t="str">
        <f t="shared" si="15"/>
        <v>K/2</v>
      </c>
      <c r="AV95" s="110" t="s">
        <v>5543</v>
      </c>
      <c r="AW95" s="112" t="s">
        <v>161</v>
      </c>
      <c r="AX95" s="13" t="s">
        <v>349</v>
      </c>
      <c r="AY95" s="13" t="s">
        <v>91</v>
      </c>
      <c r="AZ95" s="13" t="s">
        <v>5544</v>
      </c>
      <c r="BA95" s="13"/>
      <c r="BB95" s="13" t="s">
        <v>349</v>
      </c>
      <c r="BC95" s="13" t="s">
        <v>91</v>
      </c>
      <c r="BD95" s="13" t="s">
        <v>5544</v>
      </c>
      <c r="BE95" s="13"/>
      <c r="BF95" s="213">
        <v>48639</v>
      </c>
      <c r="BG95" s="213">
        <v>49004</v>
      </c>
      <c r="BH95" s="13"/>
      <c r="BI95" s="13"/>
      <c r="BJ95" s="13">
        <v>41</v>
      </c>
      <c r="BK95" s="111">
        <v>44293</v>
      </c>
      <c r="BL95" s="111">
        <v>44322</v>
      </c>
      <c r="BM95" s="87">
        <v>44587</v>
      </c>
      <c r="BN95" s="87"/>
      <c r="BZ95" s="210">
        <v>45135</v>
      </c>
      <c r="CA95" s="86" t="s">
        <v>5004</v>
      </c>
      <c r="CC95" s="175"/>
      <c r="CD95" s="86" t="s">
        <v>3602</v>
      </c>
      <c r="CE95" s="86" t="e">
        <f>VLOOKUP(C95,[1]Sertifikasi!$B$4:$I$19,8,0)</f>
        <v>#N/A</v>
      </c>
    </row>
    <row r="96" spans="1:83" ht="11.25" customHeight="1" x14ac:dyDescent="0.2">
      <c r="B96" s="13">
        <v>93</v>
      </c>
      <c r="C96" s="13" t="s">
        <v>5545</v>
      </c>
      <c r="D96" s="109">
        <v>991700011</v>
      </c>
      <c r="E96" s="110">
        <v>1710000670748</v>
      </c>
      <c r="F96" s="197"/>
      <c r="G96" s="112" t="s">
        <v>204</v>
      </c>
      <c r="H96" s="13" t="s">
        <v>217</v>
      </c>
      <c r="I96" s="210">
        <v>43987</v>
      </c>
      <c r="J96" s="112">
        <f t="shared" si="10"/>
        <v>3</v>
      </c>
      <c r="K96" s="13">
        <f t="shared" si="11"/>
        <v>1</v>
      </c>
      <c r="L96" s="210"/>
      <c r="M96" s="13" t="str">
        <f t="shared" si="12"/>
        <v>Organik</v>
      </c>
      <c r="N96" s="13" t="s">
        <v>2649</v>
      </c>
      <c r="O96" s="213">
        <v>42767</v>
      </c>
      <c r="P96" s="13" t="s">
        <v>139</v>
      </c>
      <c r="Q96" s="13" t="s">
        <v>139</v>
      </c>
      <c r="R96" s="13" t="s">
        <v>204</v>
      </c>
      <c r="S96" s="13"/>
      <c r="T96" s="13"/>
      <c r="U96" s="13" t="s">
        <v>144</v>
      </c>
      <c r="V96" s="13" t="s">
        <v>313</v>
      </c>
      <c r="W96" s="13" t="s">
        <v>854</v>
      </c>
      <c r="X96" s="13"/>
      <c r="Y96" s="13" t="s">
        <v>132</v>
      </c>
      <c r="Z96" s="13" t="s">
        <v>315</v>
      </c>
      <c r="AA96" s="210">
        <v>33650</v>
      </c>
      <c r="AB96" s="109">
        <f t="shared" ca="1" si="13"/>
        <v>33</v>
      </c>
      <c r="AC96" s="13" t="s">
        <v>5546</v>
      </c>
      <c r="AD96" s="13" t="s">
        <v>5547</v>
      </c>
      <c r="AE96" s="190" t="s">
        <v>5548</v>
      </c>
      <c r="AF96" s="13"/>
      <c r="AG96" s="13" t="s">
        <v>5549</v>
      </c>
      <c r="AH96" s="117" t="s">
        <v>5550</v>
      </c>
      <c r="AI96" s="115">
        <v>15010078663</v>
      </c>
      <c r="AJ96" s="13" t="s">
        <v>4733</v>
      </c>
      <c r="AK96" s="13" t="s">
        <v>5551</v>
      </c>
      <c r="AL96" s="13" t="s">
        <v>5552</v>
      </c>
      <c r="AM96" s="13"/>
      <c r="AN96" s="13"/>
      <c r="AO96" s="13"/>
      <c r="AP96" s="13"/>
      <c r="AQ96" s="13"/>
      <c r="AR96" s="13"/>
      <c r="AS96" s="13"/>
      <c r="AT96" s="86">
        <f t="shared" si="14"/>
        <v>1</v>
      </c>
      <c r="AU96" s="13" t="str">
        <f t="shared" si="15"/>
        <v>K/1</v>
      </c>
      <c r="AV96" s="110" t="s">
        <v>5553</v>
      </c>
      <c r="AW96" s="112" t="s">
        <v>161</v>
      </c>
      <c r="AX96" s="13" t="s">
        <v>349</v>
      </c>
      <c r="AY96" s="13" t="s">
        <v>91</v>
      </c>
      <c r="AZ96" s="13" t="s">
        <v>5554</v>
      </c>
      <c r="BA96" s="13"/>
      <c r="BB96" s="13" t="s">
        <v>349</v>
      </c>
      <c r="BC96" s="13" t="s">
        <v>91</v>
      </c>
      <c r="BD96" s="13" t="s">
        <v>5554</v>
      </c>
      <c r="BE96" s="13"/>
      <c r="BF96" s="213">
        <v>49369</v>
      </c>
      <c r="BG96" s="213">
        <v>49735</v>
      </c>
      <c r="BH96" s="13"/>
      <c r="BI96" s="13"/>
      <c r="BJ96" s="13">
        <v>40</v>
      </c>
      <c r="BK96" s="111">
        <v>44294</v>
      </c>
      <c r="BL96" s="111">
        <v>44322</v>
      </c>
      <c r="BM96" s="87"/>
      <c r="BN96" s="87"/>
      <c r="BZ96" s="210">
        <v>45135</v>
      </c>
      <c r="CA96" s="86" t="s">
        <v>5004</v>
      </c>
      <c r="CC96" s="175"/>
      <c r="CD96" s="86" t="s">
        <v>3602</v>
      </c>
      <c r="CE96" s="86" t="e">
        <f>VLOOKUP(C96,[1]Sertifikasi!$B$4:$I$19,8,0)</f>
        <v>#N/A</v>
      </c>
    </row>
    <row r="97" spans="1:84" ht="11.25" customHeight="1" x14ac:dyDescent="0.2">
      <c r="B97" s="13">
        <v>94</v>
      </c>
      <c r="C97" s="13" t="s">
        <v>1640</v>
      </c>
      <c r="D97" s="109">
        <v>999400065</v>
      </c>
      <c r="E97" s="110">
        <v>1440001097309</v>
      </c>
      <c r="F97" s="197"/>
      <c r="G97" s="112" t="s">
        <v>204</v>
      </c>
      <c r="H97" s="13" t="s">
        <v>217</v>
      </c>
      <c r="I97" s="210">
        <v>43987</v>
      </c>
      <c r="J97" s="112">
        <f t="shared" si="10"/>
        <v>3</v>
      </c>
      <c r="K97" s="13">
        <f t="shared" si="11"/>
        <v>1</v>
      </c>
      <c r="L97" s="210"/>
      <c r="M97" s="13" t="str">
        <f t="shared" si="12"/>
        <v>Organik</v>
      </c>
      <c r="N97" s="13" t="s">
        <v>2649</v>
      </c>
      <c r="O97" s="213">
        <v>34486</v>
      </c>
      <c r="P97" s="13" t="s">
        <v>139</v>
      </c>
      <c r="Q97" s="13" t="s">
        <v>139</v>
      </c>
      <c r="R97" s="13" t="s">
        <v>204</v>
      </c>
      <c r="S97" s="13"/>
      <c r="T97" s="13"/>
      <c r="U97" s="13" t="s">
        <v>144</v>
      </c>
      <c r="V97" s="13" t="s">
        <v>313</v>
      </c>
      <c r="W97" s="13"/>
      <c r="X97" s="13"/>
      <c r="Y97" s="13" t="s">
        <v>132</v>
      </c>
      <c r="Z97" s="13" t="s">
        <v>217</v>
      </c>
      <c r="AA97" s="210">
        <v>26298</v>
      </c>
      <c r="AB97" s="109">
        <f t="shared" ca="1" si="13"/>
        <v>53</v>
      </c>
      <c r="AC97" s="13" t="s">
        <v>5555</v>
      </c>
      <c r="AD97" s="13" t="s">
        <v>5556</v>
      </c>
      <c r="AE97" s="115">
        <v>8174131977</v>
      </c>
      <c r="AF97" s="13"/>
      <c r="AG97" s="204" t="s">
        <v>5557</v>
      </c>
      <c r="AH97" s="117" t="s">
        <v>5558</v>
      </c>
      <c r="AI97" s="115" t="s">
        <v>5559</v>
      </c>
      <c r="AJ97" s="13" t="s">
        <v>4733</v>
      </c>
      <c r="AK97" s="13" t="s">
        <v>5560</v>
      </c>
      <c r="AL97" s="13" t="s">
        <v>5561</v>
      </c>
      <c r="AM97" s="13"/>
      <c r="AN97" s="13"/>
      <c r="AO97" s="13"/>
      <c r="AP97" s="13"/>
      <c r="AQ97" s="13"/>
      <c r="AR97" s="13"/>
      <c r="AS97" s="13"/>
      <c r="AT97" s="86">
        <f t="shared" si="14"/>
        <v>1</v>
      </c>
      <c r="AU97" s="13" t="str">
        <f t="shared" si="15"/>
        <v>K/1</v>
      </c>
      <c r="AV97" s="110" t="s">
        <v>5562</v>
      </c>
      <c r="AW97" s="112" t="s">
        <v>161</v>
      </c>
      <c r="AX97" s="13" t="s">
        <v>349</v>
      </c>
      <c r="AY97" s="13" t="s">
        <v>2730</v>
      </c>
      <c r="AZ97" s="13" t="s">
        <v>4966</v>
      </c>
      <c r="BA97" s="13"/>
      <c r="BB97" s="13" t="s">
        <v>349</v>
      </c>
      <c r="BC97" s="13" t="s">
        <v>2730</v>
      </c>
      <c r="BD97" s="13" t="s">
        <v>4966</v>
      </c>
      <c r="BE97" s="13"/>
      <c r="BF97" s="213">
        <v>46388</v>
      </c>
      <c r="BG97" s="213">
        <v>46753</v>
      </c>
      <c r="BH97" s="13"/>
      <c r="BI97" s="13"/>
      <c r="BJ97" s="13">
        <v>42</v>
      </c>
      <c r="BK97" s="111">
        <v>44294</v>
      </c>
      <c r="BL97" s="111">
        <v>44322</v>
      </c>
      <c r="BM97" s="87">
        <v>44322</v>
      </c>
      <c r="BN97" s="87"/>
      <c r="BZ97" s="210">
        <v>45135</v>
      </c>
      <c r="CA97" s="86" t="s">
        <v>5004</v>
      </c>
      <c r="CC97" s="175"/>
      <c r="CD97" s="86" t="s">
        <v>3602</v>
      </c>
      <c r="CE97" s="86" t="e">
        <f>VLOOKUP(C97,[1]Sertifikasi!$B$4:$I$19,8,0)</f>
        <v>#N/A</v>
      </c>
    </row>
    <row r="98" spans="1:84" ht="11.25" customHeight="1" x14ac:dyDescent="0.2">
      <c r="B98" s="13">
        <v>95</v>
      </c>
      <c r="C98" s="13" t="s">
        <v>649</v>
      </c>
      <c r="D98" s="109">
        <v>999600047</v>
      </c>
      <c r="E98" s="110">
        <v>1440001099032</v>
      </c>
      <c r="F98" s="197"/>
      <c r="G98" s="112" t="s">
        <v>204</v>
      </c>
      <c r="H98" s="13" t="s">
        <v>217</v>
      </c>
      <c r="I98" s="210">
        <v>43987</v>
      </c>
      <c r="J98" s="112">
        <f t="shared" si="10"/>
        <v>3</v>
      </c>
      <c r="K98" s="13">
        <f t="shared" si="11"/>
        <v>1</v>
      </c>
      <c r="L98" s="210"/>
      <c r="M98" s="13" t="str">
        <f t="shared" si="12"/>
        <v>Organik</v>
      </c>
      <c r="N98" s="13" t="s">
        <v>2649</v>
      </c>
      <c r="O98" s="213">
        <v>35278</v>
      </c>
      <c r="P98" s="13" t="s">
        <v>139</v>
      </c>
      <c r="Q98" s="13" t="s">
        <v>139</v>
      </c>
      <c r="R98" s="13" t="s">
        <v>204</v>
      </c>
      <c r="S98" s="13"/>
      <c r="T98" s="13"/>
      <c r="U98" s="13" t="s">
        <v>144</v>
      </c>
      <c r="V98" s="13" t="s">
        <v>313</v>
      </c>
      <c r="W98" s="13"/>
      <c r="X98" s="13"/>
      <c r="Y98" s="13" t="s">
        <v>132</v>
      </c>
      <c r="Z98" s="13" t="s">
        <v>217</v>
      </c>
      <c r="AA98" s="210">
        <v>25389</v>
      </c>
      <c r="AB98" s="109">
        <f t="shared" ca="1" si="13"/>
        <v>56</v>
      </c>
      <c r="AC98" s="13" t="s">
        <v>5563</v>
      </c>
      <c r="AD98" s="13" t="s">
        <v>5564</v>
      </c>
      <c r="AE98" s="115" t="s">
        <v>5565</v>
      </c>
      <c r="AF98" s="13"/>
      <c r="AG98" s="13" t="s">
        <v>5566</v>
      </c>
      <c r="AH98" s="117" t="s">
        <v>5567</v>
      </c>
      <c r="AI98" s="115" t="s">
        <v>5568</v>
      </c>
      <c r="AJ98" s="13" t="s">
        <v>4733</v>
      </c>
      <c r="AK98" s="13" t="s">
        <v>5569</v>
      </c>
      <c r="AL98" s="13" t="s">
        <v>5570</v>
      </c>
      <c r="AM98" s="13"/>
      <c r="AN98" s="13"/>
      <c r="AO98" s="13"/>
      <c r="AP98" s="13"/>
      <c r="AQ98" s="13"/>
      <c r="AR98" s="13"/>
      <c r="AS98" s="13"/>
      <c r="AT98" s="86">
        <f t="shared" si="14"/>
        <v>1</v>
      </c>
      <c r="AU98" s="13" t="str">
        <f t="shared" si="15"/>
        <v>K/1</v>
      </c>
      <c r="AV98" s="110" t="s">
        <v>5571</v>
      </c>
      <c r="AW98" s="112" t="s">
        <v>161</v>
      </c>
      <c r="AX98" s="13" t="s">
        <v>349</v>
      </c>
      <c r="AY98" s="13" t="s">
        <v>5572</v>
      </c>
      <c r="AZ98" s="13" t="s">
        <v>2716</v>
      </c>
      <c r="BA98" s="13"/>
      <c r="BB98" s="13" t="s">
        <v>349</v>
      </c>
      <c r="BC98" s="13" t="s">
        <v>5572</v>
      </c>
      <c r="BD98" s="13" t="s">
        <v>2716</v>
      </c>
      <c r="BE98" s="13"/>
      <c r="BF98" s="213">
        <v>45505</v>
      </c>
      <c r="BG98" s="213" t="s">
        <v>5573</v>
      </c>
      <c r="BH98" s="13"/>
      <c r="BI98" s="13"/>
      <c r="BJ98" s="13">
        <v>42</v>
      </c>
      <c r="BK98" s="111">
        <v>44293</v>
      </c>
      <c r="BL98" s="111">
        <v>44322</v>
      </c>
      <c r="BM98" s="87">
        <v>44585</v>
      </c>
      <c r="BN98" s="87"/>
      <c r="BZ98" s="210">
        <v>45135</v>
      </c>
      <c r="CA98" s="86" t="s">
        <v>5004</v>
      </c>
      <c r="CC98" s="175"/>
      <c r="CD98" s="86" t="s">
        <v>3602</v>
      </c>
      <c r="CE98" s="86" t="e">
        <f>VLOOKUP(C98,[1]Sertifikasi!$B$4:$I$19,8,0)</f>
        <v>#N/A</v>
      </c>
    </row>
    <row r="99" spans="1:84" ht="11.25" customHeight="1" x14ac:dyDescent="0.2">
      <c r="B99" s="13">
        <v>96</v>
      </c>
      <c r="C99" s="13" t="s">
        <v>5574</v>
      </c>
      <c r="D99" s="109">
        <v>999900061</v>
      </c>
      <c r="E99" s="110">
        <v>1440001097192</v>
      </c>
      <c r="F99" s="197"/>
      <c r="G99" s="112" t="s">
        <v>204</v>
      </c>
      <c r="H99" s="13" t="s">
        <v>217</v>
      </c>
      <c r="I99" s="210">
        <v>43987</v>
      </c>
      <c r="J99" s="112">
        <f t="shared" si="10"/>
        <v>3</v>
      </c>
      <c r="K99" s="13">
        <f t="shared" si="11"/>
        <v>1</v>
      </c>
      <c r="L99" s="210"/>
      <c r="M99" s="13" t="str">
        <f t="shared" si="12"/>
        <v>Organik</v>
      </c>
      <c r="N99" s="13" t="s">
        <v>2649</v>
      </c>
      <c r="O99" s="213">
        <v>36495</v>
      </c>
      <c r="P99" s="13" t="s">
        <v>139</v>
      </c>
      <c r="Q99" s="13" t="s">
        <v>139</v>
      </c>
      <c r="R99" s="13" t="s">
        <v>204</v>
      </c>
      <c r="S99" s="13"/>
      <c r="T99" s="13"/>
      <c r="U99" s="13" t="s">
        <v>144</v>
      </c>
      <c r="V99" s="13" t="s">
        <v>313</v>
      </c>
      <c r="W99" s="13" t="s">
        <v>173</v>
      </c>
      <c r="X99" s="13"/>
      <c r="Y99" s="13" t="s">
        <v>132</v>
      </c>
      <c r="Z99" s="13" t="s">
        <v>217</v>
      </c>
      <c r="AA99" s="210">
        <v>26455</v>
      </c>
      <c r="AB99" s="109">
        <f t="shared" ca="1" si="13"/>
        <v>53</v>
      </c>
      <c r="AC99" s="13" t="s">
        <v>5575</v>
      </c>
      <c r="AD99" s="13" t="s">
        <v>5576</v>
      </c>
      <c r="AE99" s="115">
        <v>85348874488</v>
      </c>
      <c r="AF99" s="13"/>
      <c r="AG99" s="13" t="s">
        <v>5577</v>
      </c>
      <c r="AH99" s="117" t="s">
        <v>5578</v>
      </c>
      <c r="AI99" s="115" t="s">
        <v>5579</v>
      </c>
      <c r="AJ99" s="13" t="s">
        <v>4733</v>
      </c>
      <c r="AK99" s="13" t="s">
        <v>5580</v>
      </c>
      <c r="AL99" s="13" t="s">
        <v>5581</v>
      </c>
      <c r="AM99" s="13" t="s">
        <v>5582</v>
      </c>
      <c r="AN99" s="13" t="s">
        <v>5583</v>
      </c>
      <c r="AO99" s="13"/>
      <c r="AP99" s="13"/>
      <c r="AQ99" s="13"/>
      <c r="AR99" s="13"/>
      <c r="AS99" s="13"/>
      <c r="AT99" s="86">
        <f t="shared" si="14"/>
        <v>3</v>
      </c>
      <c r="AU99" s="13" t="str">
        <f t="shared" si="15"/>
        <v>K/3</v>
      </c>
      <c r="AV99" s="110" t="s">
        <v>5584</v>
      </c>
      <c r="AW99" s="112" t="s">
        <v>161</v>
      </c>
      <c r="AX99" s="13" t="s">
        <v>349</v>
      </c>
      <c r="AY99" s="13" t="s">
        <v>2730</v>
      </c>
      <c r="AZ99" s="13" t="s">
        <v>4966</v>
      </c>
      <c r="BA99" s="13"/>
      <c r="BB99" s="13" t="s">
        <v>349</v>
      </c>
      <c r="BC99" s="13" t="s">
        <v>2730</v>
      </c>
      <c r="BD99" s="13" t="s">
        <v>4966</v>
      </c>
      <c r="BE99" s="13"/>
      <c r="BF99" s="213">
        <v>46569</v>
      </c>
      <c r="BG99" s="213">
        <v>46935</v>
      </c>
      <c r="BH99" s="13"/>
      <c r="BI99" s="13"/>
      <c r="BK99" s="111">
        <v>44293</v>
      </c>
      <c r="BL99" s="111">
        <v>44322</v>
      </c>
      <c r="BM99" s="87">
        <v>44587</v>
      </c>
      <c r="BN99" s="87"/>
      <c r="BZ99" s="210">
        <v>45135</v>
      </c>
      <c r="CA99" s="86" t="s">
        <v>5004</v>
      </c>
      <c r="CC99" s="175"/>
      <c r="CD99" s="86" t="s">
        <v>3602</v>
      </c>
      <c r="CE99" s="86" t="e">
        <f>VLOOKUP(C99,[1]Sertifikasi!$B$4:$I$19,8,0)</f>
        <v>#N/A</v>
      </c>
    </row>
    <row r="100" spans="1:84" ht="11.25" customHeight="1" x14ac:dyDescent="0.2">
      <c r="B100" s="13">
        <v>97</v>
      </c>
      <c r="C100" s="13" t="s">
        <v>5585</v>
      </c>
      <c r="D100" s="109">
        <v>992000012</v>
      </c>
      <c r="E100" s="110">
        <v>1710005716819</v>
      </c>
      <c r="F100" s="197"/>
      <c r="G100" s="112" t="s">
        <v>204</v>
      </c>
      <c r="H100" s="13" t="s">
        <v>217</v>
      </c>
      <c r="I100" s="210">
        <v>44044</v>
      </c>
      <c r="J100" s="112">
        <f t="shared" ref="J100:J126" si="16">DATEDIF(I100,BZ100,"y")</f>
        <v>2</v>
      </c>
      <c r="K100" s="13">
        <f t="shared" ref="K100:K126" si="17">DATEDIF(I100,BZ100,"yM")</f>
        <v>11</v>
      </c>
      <c r="L100" s="210"/>
      <c r="M100" s="13" t="str">
        <f t="shared" ref="M100:M105" si="18">IF(LEFT(D100,2)="97","Tetap",IF(LEFT(D100,2)="75","Capeg",IF(LEFT(D100,2)="64","PKWT",IF(LEFT(D100,2)="99","Organik","Resign"))))</f>
        <v>Organik</v>
      </c>
      <c r="N100" s="13"/>
      <c r="O100" s="213">
        <v>43994</v>
      </c>
      <c r="P100" s="13" t="s">
        <v>139</v>
      </c>
      <c r="Q100" s="13" t="s">
        <v>139</v>
      </c>
      <c r="R100" s="13" t="s">
        <v>204</v>
      </c>
      <c r="S100" s="13"/>
      <c r="T100" s="13"/>
      <c r="U100" s="13" t="s">
        <v>144</v>
      </c>
      <c r="V100" s="13" t="s">
        <v>313</v>
      </c>
      <c r="W100" s="13"/>
      <c r="X100" s="13"/>
      <c r="Y100" s="13" t="s">
        <v>132</v>
      </c>
      <c r="Z100" s="13" t="s">
        <v>5586</v>
      </c>
      <c r="AA100" s="210">
        <v>34604</v>
      </c>
      <c r="AB100" s="109">
        <f t="shared" ref="AB100:AB108" ca="1" si="19">DATEDIF(AA100,$C$2,"y")</f>
        <v>31</v>
      </c>
      <c r="AC100" s="13" t="s">
        <v>5587</v>
      </c>
      <c r="AD100" s="13" t="s">
        <v>5588</v>
      </c>
      <c r="AE100" s="115" t="s">
        <v>5589</v>
      </c>
      <c r="AF100" s="13"/>
      <c r="AG100" s="13" t="s">
        <v>5590</v>
      </c>
      <c r="AH100" s="117" t="s">
        <v>5591</v>
      </c>
      <c r="AI100" s="115">
        <v>19061542619</v>
      </c>
      <c r="AJ100" s="13" t="s">
        <v>4733</v>
      </c>
      <c r="AK100" s="13"/>
      <c r="AL100" s="13"/>
      <c r="AM100" s="13"/>
      <c r="AN100" s="13"/>
      <c r="AO100" s="13"/>
      <c r="AP100" s="13"/>
      <c r="AQ100" s="13"/>
      <c r="AR100" s="13"/>
      <c r="AS100" s="13"/>
      <c r="AT100" s="86">
        <f t="shared" si="14"/>
        <v>0</v>
      </c>
      <c r="AU100" s="13" t="str">
        <f t="shared" si="15"/>
        <v>K/0</v>
      </c>
      <c r="AV100" s="110">
        <v>920607181735000</v>
      </c>
      <c r="AW100" s="112" t="s">
        <v>162</v>
      </c>
      <c r="AX100" s="13" t="s">
        <v>75</v>
      </c>
      <c r="AY100" s="13" t="s">
        <v>106</v>
      </c>
      <c r="AZ100" s="13" t="s">
        <v>81</v>
      </c>
      <c r="BA100" s="13"/>
      <c r="BB100" s="13" t="s">
        <v>75</v>
      </c>
      <c r="BC100" s="13" t="s">
        <v>106</v>
      </c>
      <c r="BD100" s="13" t="s">
        <v>81</v>
      </c>
      <c r="BE100" s="13"/>
      <c r="BF100" s="213"/>
      <c r="BG100" s="213"/>
      <c r="BH100" s="13"/>
      <c r="BI100" s="13"/>
      <c r="BJ100" s="13">
        <v>40</v>
      </c>
      <c r="BK100" s="111">
        <v>44308</v>
      </c>
      <c r="BL100" s="111">
        <v>44322</v>
      </c>
      <c r="BM100" s="87">
        <v>44585</v>
      </c>
      <c r="BN100" s="87"/>
      <c r="BZ100" s="210">
        <v>45135</v>
      </c>
      <c r="CA100" s="86" t="s">
        <v>5004</v>
      </c>
      <c r="CC100" s="175"/>
      <c r="CD100" s="86" t="s">
        <v>3602</v>
      </c>
      <c r="CE100" s="86" t="e">
        <f>VLOOKUP(C100,[1]Sertifikasi!$B$4:$I$19,8,0)</f>
        <v>#N/A</v>
      </c>
    </row>
    <row r="101" spans="1:84" ht="11.25" customHeight="1" x14ac:dyDescent="0.2">
      <c r="B101" s="13">
        <v>98</v>
      </c>
      <c r="C101" s="13" t="s">
        <v>5592</v>
      </c>
      <c r="D101" s="109">
        <v>991200023</v>
      </c>
      <c r="E101" s="110">
        <v>1440013134173</v>
      </c>
      <c r="F101" s="197"/>
      <c r="G101" s="112" t="s">
        <v>204</v>
      </c>
      <c r="H101" s="13" t="s">
        <v>217</v>
      </c>
      <c r="I101" s="210">
        <v>44319</v>
      </c>
      <c r="J101" s="112">
        <f t="shared" si="16"/>
        <v>2</v>
      </c>
      <c r="K101" s="13">
        <f t="shared" si="17"/>
        <v>2</v>
      </c>
      <c r="L101" s="210"/>
      <c r="M101" s="13" t="str">
        <f t="shared" si="18"/>
        <v>Organik</v>
      </c>
      <c r="N101" s="13" t="s">
        <v>5593</v>
      </c>
      <c r="O101" s="213">
        <v>41030</v>
      </c>
      <c r="P101" s="13" t="s">
        <v>295</v>
      </c>
      <c r="Q101" s="13" t="s">
        <v>137</v>
      </c>
      <c r="R101" s="13" t="s">
        <v>4711</v>
      </c>
      <c r="S101" s="13"/>
      <c r="T101" s="13" t="s">
        <v>50</v>
      </c>
      <c r="U101" s="13" t="s">
        <v>50</v>
      </c>
      <c r="V101" s="13" t="s">
        <v>1064</v>
      </c>
      <c r="W101" s="13"/>
      <c r="X101" s="13"/>
      <c r="Y101" s="13" t="s">
        <v>133</v>
      </c>
      <c r="Z101" s="13" t="s">
        <v>217</v>
      </c>
      <c r="AA101" s="210">
        <v>30305</v>
      </c>
      <c r="AB101" s="109">
        <f t="shared" ca="1" si="19"/>
        <v>42</v>
      </c>
      <c r="AC101" s="13" t="s">
        <v>5594</v>
      </c>
      <c r="AD101" s="13" t="s">
        <v>5595</v>
      </c>
      <c r="AE101" s="115" t="s">
        <v>5596</v>
      </c>
      <c r="AF101" s="13"/>
      <c r="AG101" s="13" t="s">
        <v>5597</v>
      </c>
      <c r="AH101" s="203" t="s">
        <v>5598</v>
      </c>
      <c r="AI101" s="115">
        <v>12003661308</v>
      </c>
      <c r="AJ101" s="13" t="s">
        <v>4733</v>
      </c>
      <c r="AK101" s="13" t="s">
        <v>5599</v>
      </c>
      <c r="AL101" s="13" t="s">
        <v>5600</v>
      </c>
      <c r="AM101" s="13" t="s">
        <v>5601</v>
      </c>
      <c r="AN101" s="13" t="s">
        <v>5602</v>
      </c>
      <c r="AO101" s="13"/>
      <c r="AP101" s="13"/>
      <c r="AQ101" s="13"/>
      <c r="AR101" s="13"/>
      <c r="AS101" s="13"/>
      <c r="AT101" s="86">
        <f t="shared" si="14"/>
        <v>3</v>
      </c>
      <c r="AU101" s="13" t="str">
        <f t="shared" si="15"/>
        <v>K/3</v>
      </c>
      <c r="AV101" s="110">
        <v>449162742621000</v>
      </c>
      <c r="AW101" s="112" t="s">
        <v>161</v>
      </c>
      <c r="AX101" s="13" t="s">
        <v>75</v>
      </c>
      <c r="AY101" s="13" t="s">
        <v>1925</v>
      </c>
      <c r="AZ101" s="13"/>
      <c r="BA101" s="13"/>
      <c r="BB101" s="13" t="s">
        <v>75</v>
      </c>
      <c r="BC101" s="13" t="s">
        <v>1925</v>
      </c>
      <c r="BD101" s="13"/>
      <c r="BE101" s="13"/>
      <c r="BF101" s="213"/>
      <c r="BG101" s="213"/>
      <c r="BH101" s="13"/>
      <c r="BI101" s="13"/>
      <c r="BJ101" s="13"/>
      <c r="BK101" s="111">
        <v>44293</v>
      </c>
      <c r="BL101" s="111">
        <v>44322</v>
      </c>
      <c r="BM101" s="87">
        <v>44587</v>
      </c>
      <c r="BN101" s="87"/>
      <c r="BZ101" s="210">
        <v>45135</v>
      </c>
      <c r="CA101" s="86" t="s">
        <v>5004</v>
      </c>
      <c r="CC101" s="175"/>
      <c r="CD101" s="86" t="s">
        <v>5296</v>
      </c>
      <c r="CE101" s="86" t="e">
        <f>VLOOKUP(C101,[1]Sertifikasi!$B$4:$I$19,8,0)</f>
        <v>#N/A</v>
      </c>
    </row>
    <row r="102" spans="1:84" ht="11.25" customHeight="1" x14ac:dyDescent="0.2">
      <c r="B102" s="13">
        <v>99</v>
      </c>
      <c r="C102" s="13" t="s">
        <v>5603</v>
      </c>
      <c r="D102" s="109">
        <v>642301179</v>
      </c>
      <c r="E102" s="110">
        <v>1710012921980</v>
      </c>
      <c r="F102" s="115"/>
      <c r="G102" s="13" t="s">
        <v>217</v>
      </c>
      <c r="H102" s="13" t="s">
        <v>217</v>
      </c>
      <c r="I102" s="210">
        <v>44931</v>
      </c>
      <c r="J102" s="112">
        <f t="shared" si="16"/>
        <v>0</v>
      </c>
      <c r="K102" s="13">
        <f t="shared" si="17"/>
        <v>7</v>
      </c>
      <c r="L102" s="210"/>
      <c r="M102" s="13" t="str">
        <f t="shared" si="18"/>
        <v>PKWT</v>
      </c>
      <c r="N102" s="13"/>
      <c r="O102" s="210">
        <v>45291</v>
      </c>
      <c r="P102" s="111"/>
      <c r="Q102" s="13" t="s">
        <v>141</v>
      </c>
      <c r="R102" s="13" t="s">
        <v>24</v>
      </c>
      <c r="S102" s="13" t="s">
        <v>204</v>
      </c>
      <c r="T102" s="13" t="s">
        <v>5235</v>
      </c>
      <c r="U102" s="13" t="s">
        <v>121</v>
      </c>
      <c r="V102" s="13" t="s">
        <v>313</v>
      </c>
      <c r="W102" s="86" t="s">
        <v>445</v>
      </c>
      <c r="X102" s="13"/>
      <c r="Y102" s="13" t="s">
        <v>133</v>
      </c>
      <c r="Z102" s="13" t="s">
        <v>217</v>
      </c>
      <c r="AA102" s="210">
        <v>36731</v>
      </c>
      <c r="AB102" s="109">
        <f t="shared" ca="1" si="19"/>
        <v>25</v>
      </c>
      <c r="AC102" s="13" t="s">
        <v>5604</v>
      </c>
      <c r="AD102" s="13" t="s">
        <v>5605</v>
      </c>
      <c r="AE102" s="115" t="s">
        <v>5606</v>
      </c>
      <c r="AF102" s="13"/>
      <c r="AG102" s="115" t="s">
        <v>5607</v>
      </c>
      <c r="AH102" s="115" t="s">
        <v>4985</v>
      </c>
      <c r="AI102" s="115">
        <v>23009096597</v>
      </c>
      <c r="AJ102" s="13" t="s">
        <v>4716</v>
      </c>
      <c r="AL102" s="13"/>
      <c r="AM102" s="13"/>
      <c r="AN102" s="13"/>
      <c r="AO102" s="13"/>
      <c r="AP102" s="13"/>
      <c r="AQ102" s="13"/>
      <c r="AR102" s="13"/>
      <c r="AS102" s="13"/>
      <c r="AT102" s="13">
        <v>0</v>
      </c>
      <c r="AU102" s="13" t="s">
        <v>5078</v>
      </c>
      <c r="AV102" s="13"/>
      <c r="AW102" s="13" t="s">
        <v>161</v>
      </c>
      <c r="AX102" s="13" t="s">
        <v>70</v>
      </c>
      <c r="AY102" s="13" t="s">
        <v>3475</v>
      </c>
      <c r="AZ102" s="13" t="s">
        <v>100</v>
      </c>
      <c r="BA102" s="13"/>
      <c r="BB102" s="13" t="s">
        <v>70</v>
      </c>
      <c r="BC102" s="13" t="s">
        <v>3475</v>
      </c>
      <c r="BD102" s="13" t="s">
        <v>100</v>
      </c>
      <c r="BE102" s="13"/>
      <c r="BG102" s="210"/>
      <c r="BH102" s="13"/>
      <c r="BI102" s="13"/>
      <c r="BJ102" s="13">
        <v>38</v>
      </c>
      <c r="BL102" s="13"/>
      <c r="BM102" s="13"/>
      <c r="BN102" s="13"/>
      <c r="BO102" s="174"/>
      <c r="BP102" s="174"/>
      <c r="BQ102" s="13"/>
      <c r="BR102" s="13"/>
      <c r="BS102" s="174"/>
      <c r="BT102" s="174"/>
      <c r="BU102" s="13"/>
      <c r="BV102" s="13"/>
      <c r="BW102" s="111"/>
      <c r="BX102" s="111"/>
      <c r="BZ102" s="212">
        <v>45152</v>
      </c>
      <c r="CA102" s="86" t="s">
        <v>4734</v>
      </c>
      <c r="CB102" s="86" t="s">
        <v>4735</v>
      </c>
      <c r="CC102" s="175"/>
      <c r="CE102" s="86" t="e">
        <f>VLOOKUP(C102,[1]Sertifikasi!$B$4:$I$19,8,0)</f>
        <v>#N/A</v>
      </c>
    </row>
    <row r="103" spans="1:84" ht="11.25" customHeight="1" x14ac:dyDescent="0.2">
      <c r="B103" s="13">
        <v>100</v>
      </c>
      <c r="C103" s="13" t="s">
        <v>5608</v>
      </c>
      <c r="D103" s="109">
        <v>642201173</v>
      </c>
      <c r="E103" s="110">
        <v>1320019390278</v>
      </c>
      <c r="F103" s="197"/>
      <c r="G103" s="13" t="s">
        <v>217</v>
      </c>
      <c r="H103" s="13" t="s">
        <v>217</v>
      </c>
      <c r="I103" s="210">
        <v>44702</v>
      </c>
      <c r="J103" s="112">
        <f t="shared" si="16"/>
        <v>1</v>
      </c>
      <c r="K103" s="13">
        <f t="shared" si="17"/>
        <v>2</v>
      </c>
      <c r="L103" s="210"/>
      <c r="M103" s="13" t="str">
        <f t="shared" si="18"/>
        <v>PKWT</v>
      </c>
      <c r="N103" s="13"/>
      <c r="O103" s="210">
        <v>45434</v>
      </c>
      <c r="Q103" s="13" t="s">
        <v>141</v>
      </c>
      <c r="R103" s="13" t="s">
        <v>217</v>
      </c>
      <c r="S103" s="13" t="s">
        <v>420</v>
      </c>
      <c r="T103" s="86" t="s">
        <v>122</v>
      </c>
      <c r="U103" s="86" t="s">
        <v>122</v>
      </c>
      <c r="V103" s="86" t="s">
        <v>313</v>
      </c>
      <c r="X103" s="13"/>
      <c r="Y103" s="13" t="s">
        <v>314</v>
      </c>
      <c r="Z103" s="13" t="s">
        <v>22</v>
      </c>
      <c r="AA103" s="210">
        <v>34852</v>
      </c>
      <c r="AB103" s="109">
        <f t="shared" ca="1" si="19"/>
        <v>30</v>
      </c>
      <c r="AC103" s="13" t="s">
        <v>5609</v>
      </c>
      <c r="AD103" s="13" t="s">
        <v>5610</v>
      </c>
      <c r="AE103" s="115" t="s">
        <v>5611</v>
      </c>
      <c r="AG103" s="205" t="s">
        <v>5612</v>
      </c>
      <c r="AH103" s="117" t="s">
        <v>5613</v>
      </c>
      <c r="AI103" s="110">
        <v>22063660801</v>
      </c>
      <c r="AJ103" s="13" t="s">
        <v>4733</v>
      </c>
      <c r="AK103" s="13"/>
      <c r="AM103" s="13"/>
      <c r="AN103" s="13"/>
      <c r="AO103" s="13"/>
      <c r="AP103" s="13"/>
      <c r="AQ103" s="13"/>
      <c r="AR103" s="13"/>
      <c r="AS103" s="13"/>
      <c r="AT103" s="13">
        <f>COUNTA(AM103:AP103)</f>
        <v>0</v>
      </c>
      <c r="AU103" s="13" t="str">
        <f>IF(AJ103="Menikah","K","TK")&amp;"/"&amp;AT103</f>
        <v>K/0</v>
      </c>
      <c r="AV103" s="112"/>
      <c r="AW103" s="13" t="s">
        <v>161</v>
      </c>
      <c r="AX103" s="13" t="s">
        <v>75</v>
      </c>
      <c r="AY103" s="13" t="s">
        <v>91</v>
      </c>
      <c r="AZ103" s="13" t="s">
        <v>5253</v>
      </c>
      <c r="BA103" s="13"/>
      <c r="BB103" s="13" t="s">
        <v>75</v>
      </c>
      <c r="BC103" s="13" t="s">
        <v>91</v>
      </c>
      <c r="BD103" s="13" t="s">
        <v>5253</v>
      </c>
      <c r="BE103" s="13"/>
      <c r="BF103" s="210"/>
      <c r="BH103" s="111"/>
      <c r="BI103" s="13"/>
      <c r="BJ103" s="13">
        <v>42</v>
      </c>
      <c r="BL103" s="111"/>
      <c r="BM103" s="111"/>
      <c r="BN103" s="87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210">
        <v>45152</v>
      </c>
      <c r="CA103" s="86" t="s">
        <v>4734</v>
      </c>
      <c r="CB103" s="86" t="s">
        <v>4735</v>
      </c>
      <c r="CC103" s="175"/>
      <c r="CE103" s="86" t="e">
        <f>VLOOKUP(C103,[1]Sertifikasi!$B$4:$I$19,8,0)</f>
        <v>#N/A</v>
      </c>
    </row>
    <row r="104" spans="1:84" ht="11.25" customHeight="1" x14ac:dyDescent="0.2">
      <c r="B104" s="13">
        <v>101</v>
      </c>
      <c r="C104" s="13" t="s">
        <v>5614</v>
      </c>
      <c r="D104" s="109">
        <v>642301194</v>
      </c>
      <c r="E104" s="110">
        <v>1710012919547</v>
      </c>
      <c r="F104" s="115"/>
      <c r="G104" s="13" t="s">
        <v>217</v>
      </c>
      <c r="H104" s="13" t="s">
        <v>217</v>
      </c>
      <c r="I104" s="210">
        <v>44931</v>
      </c>
      <c r="J104" s="112">
        <f t="shared" si="16"/>
        <v>0</v>
      </c>
      <c r="K104" s="13">
        <f t="shared" si="17"/>
        <v>7</v>
      </c>
      <c r="L104" s="210"/>
      <c r="M104" s="13" t="str">
        <f t="shared" si="18"/>
        <v>PKWT</v>
      </c>
      <c r="N104" s="13"/>
      <c r="O104" s="210">
        <v>45291</v>
      </c>
      <c r="P104" s="111"/>
      <c r="Q104" s="13" t="s">
        <v>141</v>
      </c>
      <c r="R104" s="13" t="s">
        <v>217</v>
      </c>
      <c r="S104" s="13" t="s">
        <v>1115</v>
      </c>
      <c r="T104" s="13" t="s">
        <v>118</v>
      </c>
      <c r="U104" s="13" t="s">
        <v>120</v>
      </c>
      <c r="V104" s="13" t="s">
        <v>313</v>
      </c>
      <c r="W104" s="86" t="s">
        <v>462</v>
      </c>
      <c r="X104" s="13"/>
      <c r="Y104" s="13" t="s">
        <v>314</v>
      </c>
      <c r="Z104" s="13" t="s">
        <v>1779</v>
      </c>
      <c r="AA104" s="210">
        <v>36958</v>
      </c>
      <c r="AB104" s="109">
        <f t="shared" ca="1" si="19"/>
        <v>24</v>
      </c>
      <c r="AC104" s="13" t="s">
        <v>5615</v>
      </c>
      <c r="AD104" s="13" t="s">
        <v>5616</v>
      </c>
      <c r="AE104" s="115" t="s">
        <v>5617</v>
      </c>
      <c r="AF104" s="13"/>
      <c r="AG104" s="115" t="s">
        <v>5618</v>
      </c>
      <c r="AH104" s="115" t="s">
        <v>5619</v>
      </c>
      <c r="AI104" s="115">
        <v>23009096738</v>
      </c>
      <c r="AJ104" s="13" t="s">
        <v>4716</v>
      </c>
      <c r="AL104" s="13"/>
      <c r="AM104" s="13"/>
      <c r="AN104" s="13"/>
      <c r="AO104" s="13"/>
      <c r="AP104" s="13"/>
      <c r="AQ104" s="13"/>
      <c r="AR104" s="13"/>
      <c r="AS104" s="13"/>
      <c r="AT104" s="13">
        <v>0</v>
      </c>
      <c r="AU104" s="13" t="s">
        <v>5078</v>
      </c>
      <c r="AV104" s="13"/>
      <c r="AW104" s="13" t="s">
        <v>161</v>
      </c>
      <c r="AX104" s="13" t="s">
        <v>70</v>
      </c>
      <c r="AY104" s="13" t="s">
        <v>99</v>
      </c>
      <c r="AZ104" s="13" t="s">
        <v>100</v>
      </c>
      <c r="BA104" s="13"/>
      <c r="BB104" s="13" t="s">
        <v>70</v>
      </c>
      <c r="BC104" s="13" t="s">
        <v>99</v>
      </c>
      <c r="BD104" s="13" t="s">
        <v>100</v>
      </c>
      <c r="BE104" s="13"/>
      <c r="BG104" s="210"/>
      <c r="BH104" s="13"/>
      <c r="BI104" s="13"/>
      <c r="BJ104" s="13">
        <v>42</v>
      </c>
      <c r="BL104" s="13"/>
      <c r="BM104" s="13"/>
      <c r="BN104" s="13"/>
      <c r="BO104" s="174"/>
      <c r="BP104" s="174"/>
      <c r="BQ104" s="13"/>
      <c r="BR104" s="13"/>
      <c r="BS104" s="174"/>
      <c r="BT104" s="174"/>
      <c r="BU104" s="13"/>
      <c r="BV104" s="13"/>
      <c r="BW104" s="111"/>
      <c r="BX104" s="111"/>
      <c r="BZ104" s="212">
        <v>45162</v>
      </c>
      <c r="CA104" s="86" t="s">
        <v>4734</v>
      </c>
      <c r="CB104" s="86" t="s">
        <v>4735</v>
      </c>
      <c r="CC104" s="175"/>
      <c r="CE104" s="86" t="e">
        <f>VLOOKUP(C104,[1]Sertifikasi!$B$4:$I$19,8,0)</f>
        <v>#N/A</v>
      </c>
    </row>
    <row r="105" spans="1:84" ht="11.25" customHeight="1" x14ac:dyDescent="0.2">
      <c r="A105" s="13"/>
      <c r="B105" s="13">
        <v>102</v>
      </c>
      <c r="C105" s="13" t="s">
        <v>5620</v>
      </c>
      <c r="D105" s="13">
        <v>642111124</v>
      </c>
      <c r="E105" s="110">
        <v>1670004460522</v>
      </c>
      <c r="F105" s="112"/>
      <c r="G105" s="115" t="s">
        <v>24</v>
      </c>
      <c r="H105" s="13" t="s">
        <v>24</v>
      </c>
      <c r="I105" s="210">
        <v>44529</v>
      </c>
      <c r="J105" s="112">
        <f t="shared" si="16"/>
        <v>1</v>
      </c>
      <c r="K105" s="13">
        <f t="shared" si="17"/>
        <v>9</v>
      </c>
      <c r="L105" s="210"/>
      <c r="M105" s="13" t="str">
        <f t="shared" si="18"/>
        <v>PKWT</v>
      </c>
      <c r="N105" s="13"/>
      <c r="O105" s="210">
        <v>45169</v>
      </c>
      <c r="P105" s="111"/>
      <c r="Q105" s="111" t="s">
        <v>141</v>
      </c>
      <c r="R105" s="13" t="s">
        <v>24</v>
      </c>
      <c r="S105" s="13" t="s">
        <v>204</v>
      </c>
      <c r="T105" s="13" t="s">
        <v>5260</v>
      </c>
      <c r="U105" s="13" t="s">
        <v>121</v>
      </c>
      <c r="V105" s="13" t="s">
        <v>313</v>
      </c>
      <c r="W105" s="86" t="s">
        <v>1218</v>
      </c>
      <c r="X105" s="13"/>
      <c r="Y105" s="13" t="s">
        <v>314</v>
      </c>
      <c r="Z105" s="13" t="s">
        <v>27</v>
      </c>
      <c r="AA105" s="210">
        <v>21367</v>
      </c>
      <c r="AB105" s="109">
        <f t="shared" ca="1" si="19"/>
        <v>67</v>
      </c>
      <c r="AC105" s="111" t="s">
        <v>5621</v>
      </c>
      <c r="AD105" s="13" t="s">
        <v>5622</v>
      </c>
      <c r="AE105" s="115" t="s">
        <v>5623</v>
      </c>
      <c r="AG105" s="13" t="s">
        <v>5624</v>
      </c>
      <c r="AH105" s="115" t="s">
        <v>5625</v>
      </c>
      <c r="AI105" s="115">
        <v>21098326594</v>
      </c>
      <c r="AJ105" s="13" t="s">
        <v>4733</v>
      </c>
      <c r="AK105" s="13" t="s">
        <v>5626</v>
      </c>
      <c r="AM105" s="13"/>
      <c r="AN105" s="13"/>
      <c r="AO105" s="13"/>
      <c r="AP105" s="13"/>
      <c r="AQ105" s="13"/>
      <c r="AR105" s="13"/>
      <c r="AS105" s="13"/>
      <c r="AT105" s="13">
        <v>0</v>
      </c>
      <c r="AU105" s="13" t="s">
        <v>5627</v>
      </c>
      <c r="AV105" s="13"/>
      <c r="AW105" s="13" t="s">
        <v>161</v>
      </c>
      <c r="AX105" s="13" t="s">
        <v>349</v>
      </c>
      <c r="AY105" s="13" t="s">
        <v>91</v>
      </c>
      <c r="AZ105" s="13" t="s">
        <v>5628</v>
      </c>
      <c r="BA105" s="13">
        <v>1980</v>
      </c>
      <c r="BB105" s="13" t="s">
        <v>349</v>
      </c>
      <c r="BC105" s="13" t="s">
        <v>91</v>
      </c>
      <c r="BD105" s="13" t="s">
        <v>5628</v>
      </c>
      <c r="BE105" s="13">
        <v>1980</v>
      </c>
      <c r="BF105" s="210"/>
      <c r="BH105" s="13"/>
      <c r="BI105" s="13"/>
      <c r="BJ105" s="13">
        <v>43</v>
      </c>
      <c r="BL105" s="13"/>
      <c r="BM105" s="13"/>
      <c r="BN105" s="13"/>
      <c r="BO105" s="13"/>
      <c r="BP105" s="174"/>
      <c r="BQ105" s="174"/>
      <c r="BR105" s="13"/>
      <c r="BS105" s="13"/>
      <c r="BT105" s="174"/>
      <c r="BU105" s="174"/>
      <c r="BV105" s="13"/>
      <c r="BW105" s="13"/>
      <c r="BX105" s="111"/>
      <c r="BY105" s="111"/>
      <c r="BZ105" s="212">
        <v>45169</v>
      </c>
      <c r="CA105" s="87" t="s">
        <v>4727</v>
      </c>
      <c r="CB105" s="87"/>
      <c r="CC105" s="175"/>
      <c r="CE105" s="13"/>
      <c r="CF105" s="13"/>
    </row>
    <row r="106" spans="1:84" ht="11.25" customHeight="1" x14ac:dyDescent="0.2">
      <c r="B106" s="13">
        <v>103</v>
      </c>
      <c r="C106" s="13" t="s">
        <v>5629</v>
      </c>
      <c r="D106" s="109">
        <v>642301197</v>
      </c>
      <c r="E106" s="110"/>
      <c r="F106" s="115">
        <v>7222439571</v>
      </c>
      <c r="G106" s="13" t="s">
        <v>24</v>
      </c>
      <c r="H106" s="13" t="s">
        <v>24</v>
      </c>
      <c r="I106" s="210">
        <v>44956</v>
      </c>
      <c r="J106" s="112">
        <f t="shared" si="16"/>
        <v>0</v>
      </c>
      <c r="K106" s="13">
        <f t="shared" si="17"/>
        <v>8</v>
      </c>
      <c r="L106" s="210"/>
      <c r="M106" s="13" t="s">
        <v>14</v>
      </c>
      <c r="N106" s="13"/>
      <c r="O106" s="210">
        <v>45199</v>
      </c>
      <c r="P106" s="111"/>
      <c r="Q106" s="13" t="s">
        <v>141</v>
      </c>
      <c r="R106" s="13" t="s">
        <v>24</v>
      </c>
      <c r="S106" s="13" t="s">
        <v>204</v>
      </c>
      <c r="T106" s="13" t="s">
        <v>5260</v>
      </c>
      <c r="U106" s="13" t="s">
        <v>121</v>
      </c>
      <c r="V106" s="13" t="s">
        <v>313</v>
      </c>
      <c r="W106" s="86" t="s">
        <v>1218</v>
      </c>
      <c r="X106" s="13"/>
      <c r="Y106" s="13" t="s">
        <v>314</v>
      </c>
      <c r="Z106" s="111" t="s">
        <v>24</v>
      </c>
      <c r="AA106" s="210">
        <v>21492</v>
      </c>
      <c r="AB106" s="109">
        <f t="shared" ca="1" si="19"/>
        <v>66</v>
      </c>
      <c r="AC106" s="13" t="s">
        <v>5630</v>
      </c>
      <c r="AD106" s="13" t="s">
        <v>5631</v>
      </c>
      <c r="AE106" s="115" t="s">
        <v>5632</v>
      </c>
      <c r="AG106" s="13"/>
      <c r="AH106" s="115" t="s">
        <v>5633</v>
      </c>
      <c r="AI106" s="115"/>
      <c r="AJ106" s="13" t="s">
        <v>4733</v>
      </c>
      <c r="AK106" s="13" t="s">
        <v>5634</v>
      </c>
      <c r="AL106" s="13"/>
      <c r="AM106" s="13"/>
      <c r="AN106" s="13"/>
      <c r="AO106" s="13"/>
      <c r="AQ106" s="13"/>
      <c r="AR106" s="13"/>
      <c r="AS106" s="13"/>
      <c r="AT106" s="13">
        <v>0</v>
      </c>
      <c r="AU106" s="13" t="s">
        <v>5627</v>
      </c>
      <c r="AV106" s="13">
        <v>490983251425000</v>
      </c>
      <c r="AW106" s="13" t="s">
        <v>161</v>
      </c>
      <c r="AX106" s="13" t="s">
        <v>349</v>
      </c>
      <c r="AY106" s="13" t="s">
        <v>91</v>
      </c>
      <c r="AZ106" s="13" t="s">
        <v>5635</v>
      </c>
      <c r="BA106" s="13">
        <v>1979</v>
      </c>
      <c r="BB106" s="13" t="s">
        <v>349</v>
      </c>
      <c r="BC106" s="13" t="s">
        <v>91</v>
      </c>
      <c r="BD106" s="13" t="s">
        <v>5635</v>
      </c>
      <c r="BE106" s="13">
        <v>1979</v>
      </c>
      <c r="BG106" s="210"/>
      <c r="BH106" s="13"/>
      <c r="BI106" s="13"/>
      <c r="BJ106" s="13">
        <v>40</v>
      </c>
      <c r="BL106" s="13"/>
      <c r="BM106" s="13"/>
      <c r="BN106" s="13"/>
      <c r="BO106" s="174"/>
      <c r="BP106" s="174"/>
      <c r="BQ106" s="13"/>
      <c r="BR106" s="13"/>
      <c r="BS106" s="174"/>
      <c r="BT106" s="174"/>
      <c r="BU106" s="13"/>
      <c r="BV106" s="13"/>
      <c r="BW106" s="111"/>
      <c r="BX106" s="111"/>
      <c r="BZ106" s="212">
        <v>45199</v>
      </c>
      <c r="CA106" s="86" t="s">
        <v>4727</v>
      </c>
      <c r="CC106" s="175"/>
      <c r="CE106" s="86" t="e">
        <f>VLOOKUP(C106,[1]Sertifikasi!$B$4:$I$19,8,0)</f>
        <v>#N/A</v>
      </c>
    </row>
    <row r="107" spans="1:84" ht="11.25" customHeight="1" x14ac:dyDescent="0.2">
      <c r="B107" s="13">
        <v>104</v>
      </c>
      <c r="C107" s="13" t="s">
        <v>4299</v>
      </c>
      <c r="D107" s="109">
        <v>642111122</v>
      </c>
      <c r="E107" s="110">
        <v>1220007712865</v>
      </c>
      <c r="F107" s="115">
        <v>7183168015</v>
      </c>
      <c r="G107" s="13" t="s">
        <v>24</v>
      </c>
      <c r="H107" s="13" t="s">
        <v>24</v>
      </c>
      <c r="I107" s="210">
        <v>44529</v>
      </c>
      <c r="J107" s="112">
        <f t="shared" si="16"/>
        <v>1</v>
      </c>
      <c r="K107" s="13">
        <f t="shared" si="17"/>
        <v>10</v>
      </c>
      <c r="L107" s="210"/>
      <c r="M107" s="13" t="s">
        <v>14</v>
      </c>
      <c r="N107" s="13"/>
      <c r="O107" s="210">
        <v>45199</v>
      </c>
      <c r="P107" s="111"/>
      <c r="Q107" s="13" t="s">
        <v>141</v>
      </c>
      <c r="R107" s="13" t="s">
        <v>24</v>
      </c>
      <c r="S107" s="13" t="s">
        <v>204</v>
      </c>
      <c r="T107" s="13" t="s">
        <v>5260</v>
      </c>
      <c r="U107" s="13" t="s">
        <v>121</v>
      </c>
      <c r="V107" s="13" t="s">
        <v>313</v>
      </c>
      <c r="W107" s="86" t="s">
        <v>1218</v>
      </c>
      <c r="X107" s="13"/>
      <c r="Y107" s="13" t="s">
        <v>314</v>
      </c>
      <c r="Z107" s="111" t="s">
        <v>24</v>
      </c>
      <c r="AA107" s="210">
        <v>21655</v>
      </c>
      <c r="AB107" s="109">
        <f t="shared" ca="1" si="19"/>
        <v>66</v>
      </c>
      <c r="AC107" s="13" t="s">
        <v>4300</v>
      </c>
      <c r="AD107" s="13" t="s">
        <v>4301</v>
      </c>
      <c r="AE107" s="115" t="s">
        <v>4302</v>
      </c>
      <c r="AG107" s="13"/>
      <c r="AH107" s="115" t="s">
        <v>5636</v>
      </c>
      <c r="AI107" s="115">
        <v>22017333794</v>
      </c>
      <c r="AJ107" s="13" t="s">
        <v>4733</v>
      </c>
      <c r="AK107" s="13" t="s">
        <v>4305</v>
      </c>
      <c r="AL107" s="13" t="s">
        <v>4306</v>
      </c>
      <c r="AM107" s="13"/>
      <c r="AN107" s="13"/>
      <c r="AO107" s="13"/>
      <c r="AQ107" s="13"/>
      <c r="AR107" s="13"/>
      <c r="AS107" s="13"/>
      <c r="AT107" s="13">
        <v>1</v>
      </c>
      <c r="AU107" s="13" t="s">
        <v>5637</v>
      </c>
      <c r="AV107" s="13"/>
      <c r="AW107" s="13" t="s">
        <v>161</v>
      </c>
      <c r="AX107" s="13" t="s">
        <v>307</v>
      </c>
      <c r="AY107" s="13" t="s">
        <v>544</v>
      </c>
      <c r="AZ107" s="13" t="s">
        <v>4307</v>
      </c>
      <c r="BA107" s="13">
        <v>1979</v>
      </c>
      <c r="BB107" s="13" t="s">
        <v>307</v>
      </c>
      <c r="BC107" s="13" t="s">
        <v>544</v>
      </c>
      <c r="BD107" s="13" t="s">
        <v>4307</v>
      </c>
      <c r="BE107" s="13">
        <v>1979</v>
      </c>
      <c r="BG107" s="210"/>
      <c r="BH107" s="13"/>
      <c r="BI107" s="13"/>
      <c r="BJ107" s="13">
        <v>42</v>
      </c>
      <c r="BL107" s="13"/>
      <c r="BM107" s="13"/>
      <c r="BN107" s="13"/>
      <c r="BO107" s="174"/>
      <c r="BP107" s="174"/>
      <c r="BQ107" s="13"/>
      <c r="BR107" s="13"/>
      <c r="BS107" s="174"/>
      <c r="BT107" s="174"/>
      <c r="BU107" s="13"/>
      <c r="BV107" s="13"/>
      <c r="BW107" s="111"/>
      <c r="BX107" s="111"/>
      <c r="BZ107" s="212">
        <v>45199</v>
      </c>
      <c r="CA107" s="86" t="s">
        <v>4727</v>
      </c>
      <c r="CC107" s="175"/>
      <c r="CE107" s="86" t="e">
        <f>VLOOKUP(C107,[1]Sertifikasi!$B$4:$I$19,8,0)</f>
        <v>#N/A</v>
      </c>
    </row>
    <row r="108" spans="1:84" ht="11.25" customHeight="1" x14ac:dyDescent="0.2">
      <c r="B108" s="13">
        <v>105</v>
      </c>
      <c r="C108" s="13" t="s">
        <v>5638</v>
      </c>
      <c r="D108" s="109">
        <v>642301120</v>
      </c>
      <c r="E108" s="110">
        <v>1710013731735</v>
      </c>
      <c r="F108" s="197"/>
      <c r="G108" s="13" t="s">
        <v>217</v>
      </c>
      <c r="H108" s="13" t="s">
        <v>24</v>
      </c>
      <c r="I108" s="210">
        <v>45084</v>
      </c>
      <c r="J108" s="112">
        <f t="shared" si="16"/>
        <v>0</v>
      </c>
      <c r="K108" s="13">
        <f t="shared" si="17"/>
        <v>3</v>
      </c>
      <c r="L108" s="210"/>
      <c r="M108" s="13" t="s">
        <v>14</v>
      </c>
      <c r="N108" s="13"/>
      <c r="O108" s="210">
        <v>45449</v>
      </c>
      <c r="P108" s="13"/>
      <c r="Q108" s="13" t="s">
        <v>141</v>
      </c>
      <c r="R108" s="13" t="s">
        <v>24</v>
      </c>
      <c r="S108" s="13" t="s">
        <v>443</v>
      </c>
      <c r="T108" s="86" t="s">
        <v>52</v>
      </c>
      <c r="U108" s="13" t="s">
        <v>121</v>
      </c>
      <c r="V108" s="13" t="s">
        <v>313</v>
      </c>
      <c r="X108" s="13"/>
      <c r="Y108" s="13" t="s">
        <v>314</v>
      </c>
      <c r="Z108" s="13" t="s">
        <v>432</v>
      </c>
      <c r="AA108" s="210">
        <v>36959</v>
      </c>
      <c r="AB108" s="109">
        <f t="shared" ca="1" si="19"/>
        <v>24</v>
      </c>
      <c r="AC108" s="13" t="s">
        <v>5639</v>
      </c>
      <c r="AD108" s="13" t="s">
        <v>5640</v>
      </c>
      <c r="AE108" s="115" t="s">
        <v>5641</v>
      </c>
      <c r="AF108" s="109"/>
      <c r="AG108" s="115"/>
      <c r="AH108" s="110"/>
      <c r="AI108" s="186"/>
      <c r="AJ108" s="13" t="s">
        <v>4716</v>
      </c>
      <c r="AK108" s="13"/>
      <c r="AL108" s="13"/>
      <c r="AM108" s="13"/>
      <c r="AN108" s="13"/>
      <c r="AO108" s="13" t="s">
        <v>5642</v>
      </c>
      <c r="AP108" s="13" t="s">
        <v>5643</v>
      </c>
      <c r="AQ108" s="13"/>
      <c r="AR108" s="13"/>
      <c r="AT108" s="13">
        <v>0</v>
      </c>
      <c r="AU108" s="13" t="str">
        <f>IF(AJ108="Menikah","K","TK")&amp;"/"&amp;AT108</f>
        <v>TK/0</v>
      </c>
      <c r="AW108" s="13" t="s">
        <v>161</v>
      </c>
      <c r="AX108" s="13" t="s">
        <v>307</v>
      </c>
      <c r="AY108" s="13" t="s">
        <v>308</v>
      </c>
      <c r="AZ108" s="13"/>
      <c r="BA108" s="13"/>
      <c r="BB108" s="13" t="s">
        <v>307</v>
      </c>
      <c r="BC108" s="13" t="s">
        <v>308</v>
      </c>
      <c r="BD108" s="13"/>
      <c r="BE108" s="13"/>
      <c r="BF108" s="210"/>
      <c r="BG108" s="210"/>
      <c r="BH108" s="13"/>
      <c r="BI108" s="13"/>
      <c r="BJ108" s="13">
        <v>43</v>
      </c>
      <c r="BK108" s="111"/>
      <c r="BL108" s="111"/>
      <c r="BM108" s="206"/>
      <c r="BZ108" s="212">
        <v>45199</v>
      </c>
      <c r="CA108" s="86" t="s">
        <v>4734</v>
      </c>
      <c r="CB108" s="86" t="s">
        <v>4735</v>
      </c>
      <c r="CC108" s="175"/>
      <c r="CE108" s="86" t="e">
        <f>VLOOKUP(C108,[1]Sertifikasi!$B$4:$I$19,8,0)</f>
        <v>#N/A</v>
      </c>
    </row>
    <row r="109" spans="1:84" ht="11.25" customHeight="1" x14ac:dyDescent="0.2">
      <c r="B109" s="13">
        <v>106</v>
      </c>
      <c r="C109" s="13" t="s">
        <v>5644</v>
      </c>
      <c r="D109" s="109">
        <v>642307124</v>
      </c>
      <c r="E109" s="110"/>
      <c r="G109" s="13" t="s">
        <v>217</v>
      </c>
      <c r="H109" s="13" t="s">
        <v>23</v>
      </c>
      <c r="I109" s="210">
        <v>45199</v>
      </c>
      <c r="J109" s="112">
        <f t="shared" si="16"/>
        <v>0</v>
      </c>
      <c r="K109" s="13">
        <f t="shared" si="17"/>
        <v>0</v>
      </c>
      <c r="L109" s="210"/>
      <c r="M109" s="13" t="str">
        <f>IF(LEFT(D109,2)="99","Organik",IF(LEFT(D109,2)="97","Tetap",IF(LEFT(D109,2)="75","Capeg",IF(LEFT(D109,2)="64","PKWT","Resign"))))</f>
        <v>PKWT</v>
      </c>
      <c r="N109" s="13"/>
      <c r="O109" s="213">
        <v>45291</v>
      </c>
      <c r="P109" s="13"/>
      <c r="Q109" s="13" t="s">
        <v>141</v>
      </c>
      <c r="R109" s="13" t="s">
        <v>312</v>
      </c>
      <c r="S109" s="13" t="s">
        <v>24</v>
      </c>
      <c r="T109" s="13" t="s">
        <v>204</v>
      </c>
      <c r="U109" s="13" t="s">
        <v>175</v>
      </c>
      <c r="V109" s="13" t="s">
        <v>121</v>
      </c>
      <c r="W109" s="13" t="s">
        <v>313</v>
      </c>
      <c r="X109" s="13"/>
      <c r="Y109" s="13" t="s">
        <v>314</v>
      </c>
      <c r="Z109" s="13" t="s">
        <v>23</v>
      </c>
      <c r="AA109" s="210">
        <v>36220</v>
      </c>
      <c r="AB109" s="197">
        <v>24</v>
      </c>
      <c r="AC109" s="13"/>
      <c r="AD109" s="150" t="s">
        <v>5645</v>
      </c>
      <c r="AE109" s="115"/>
      <c r="AF109" s="13"/>
      <c r="AG109" s="13" t="s">
        <v>5646</v>
      </c>
      <c r="AH109" s="117"/>
      <c r="AI109" s="115"/>
      <c r="AJ109" s="13" t="s">
        <v>4716</v>
      </c>
      <c r="AK109" s="13"/>
      <c r="AL109" s="13"/>
      <c r="AM109" s="13"/>
      <c r="AN109" s="13"/>
      <c r="AO109" s="13"/>
      <c r="AP109" s="13"/>
      <c r="AQ109" s="13"/>
      <c r="AR109" s="13"/>
      <c r="AS109" s="13"/>
      <c r="AT109" s="13">
        <v>0</v>
      </c>
      <c r="AU109" s="13" t="s">
        <v>5078</v>
      </c>
      <c r="AV109" s="115"/>
      <c r="AW109" s="13" t="s">
        <v>161</v>
      </c>
      <c r="AX109" s="13" t="s">
        <v>70</v>
      </c>
      <c r="AY109" s="13" t="s">
        <v>99</v>
      </c>
      <c r="AZ109" s="13" t="s">
        <v>100</v>
      </c>
      <c r="BA109" s="13"/>
      <c r="BB109" s="13" t="s">
        <v>70</v>
      </c>
      <c r="BC109" s="13" t="s">
        <v>99</v>
      </c>
      <c r="BD109" s="13" t="s">
        <v>100</v>
      </c>
      <c r="BE109" s="13"/>
      <c r="BF109" s="213"/>
      <c r="BG109" s="213"/>
      <c r="BH109" s="13"/>
      <c r="BI109" s="13"/>
      <c r="BJ109" s="13"/>
      <c r="BK109" s="111"/>
      <c r="BL109" s="111"/>
      <c r="BM109" s="111"/>
      <c r="BN109" s="111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Z109" s="212">
        <v>45199</v>
      </c>
      <c r="CA109" s="86" t="s">
        <v>4734</v>
      </c>
      <c r="CC109" s="175"/>
      <c r="CE109" s="86" t="e">
        <f>VLOOKUP(C109,[1]Sertifikasi!$B$4:$I$19,8,0)</f>
        <v>#N/A</v>
      </c>
    </row>
    <row r="110" spans="1:84" ht="11.25" customHeight="1" x14ac:dyDescent="0.2">
      <c r="A110" s="13"/>
      <c r="B110" s="13">
        <v>107</v>
      </c>
      <c r="C110" s="13" t="s">
        <v>5647</v>
      </c>
      <c r="D110" s="109">
        <v>642201142</v>
      </c>
      <c r="E110" s="110">
        <v>1710011622753</v>
      </c>
      <c r="F110" s="197"/>
      <c r="G110" s="13" t="s">
        <v>24</v>
      </c>
      <c r="H110" s="13" t="s">
        <v>24</v>
      </c>
      <c r="I110" s="210">
        <v>44578</v>
      </c>
      <c r="J110" s="112">
        <f t="shared" si="16"/>
        <v>1</v>
      </c>
      <c r="K110" s="13">
        <f t="shared" si="17"/>
        <v>8</v>
      </c>
      <c r="L110" s="210"/>
      <c r="M110" s="13" t="s">
        <v>14</v>
      </c>
      <c r="N110" s="13"/>
      <c r="O110" s="210">
        <v>45291</v>
      </c>
      <c r="Q110" s="13" t="s">
        <v>141</v>
      </c>
      <c r="R110" s="13" t="s">
        <v>24</v>
      </c>
      <c r="S110" s="13" t="s">
        <v>443</v>
      </c>
      <c r="T110" s="86" t="s">
        <v>52</v>
      </c>
      <c r="U110" s="86" t="s">
        <v>121</v>
      </c>
      <c r="V110" s="86" t="s">
        <v>313</v>
      </c>
      <c r="X110" s="13"/>
      <c r="Y110" s="13" t="s">
        <v>314</v>
      </c>
      <c r="Z110" s="13" t="s">
        <v>5648</v>
      </c>
      <c r="AA110" s="210">
        <v>37183</v>
      </c>
      <c r="AB110" s="109">
        <f ca="1">DATEDIF(AA110,$C$2,"y")</f>
        <v>23</v>
      </c>
      <c r="AC110" s="13" t="s">
        <v>5649</v>
      </c>
      <c r="AD110" s="13" t="s">
        <v>5650</v>
      </c>
      <c r="AE110" s="115" t="s">
        <v>5651</v>
      </c>
      <c r="AF110" s="109"/>
      <c r="AG110" s="115" t="s">
        <v>5652</v>
      </c>
      <c r="AH110" s="117" t="s">
        <v>5653</v>
      </c>
      <c r="AI110" s="110">
        <v>22017333752</v>
      </c>
      <c r="AJ110" s="13" t="s">
        <v>4716</v>
      </c>
      <c r="AK110" s="13"/>
      <c r="AL110" s="13"/>
      <c r="AM110" s="13"/>
      <c r="AN110" s="13"/>
      <c r="AO110" s="13"/>
      <c r="AP110" s="13"/>
      <c r="AQ110" s="13"/>
      <c r="AR110" s="13"/>
      <c r="AS110" s="13"/>
      <c r="AT110" s="13">
        <f>COUNTA(AL110:AO110)</f>
        <v>0</v>
      </c>
      <c r="AU110" s="13" t="str">
        <f>IF(AJ110="Menikah","K","TK")&amp;"/"&amp;AT110</f>
        <v>TK/0</v>
      </c>
      <c r="AW110" s="13" t="s">
        <v>161</v>
      </c>
      <c r="AX110" s="13" t="s">
        <v>349</v>
      </c>
      <c r="AY110" s="13" t="s">
        <v>515</v>
      </c>
      <c r="AZ110" s="13" t="s">
        <v>5654</v>
      </c>
      <c r="BA110" s="13"/>
      <c r="BB110" s="13" t="s">
        <v>349</v>
      </c>
      <c r="BC110" s="13" t="s">
        <v>515</v>
      </c>
      <c r="BD110" s="13" t="s">
        <v>5654</v>
      </c>
      <c r="BG110" s="210"/>
      <c r="BH110" s="111"/>
      <c r="BI110" s="13"/>
      <c r="BJ110" s="13">
        <v>43</v>
      </c>
      <c r="BK110" s="111"/>
      <c r="BL110" s="111"/>
      <c r="BM110" s="87">
        <v>44887</v>
      </c>
      <c r="BN110" s="13"/>
      <c r="BO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212">
        <v>45199</v>
      </c>
      <c r="CA110" s="86" t="s">
        <v>4734</v>
      </c>
      <c r="CB110" s="86" t="s">
        <v>4735</v>
      </c>
      <c r="CC110" s="175"/>
    </row>
    <row r="111" spans="1:84" ht="11.25" customHeight="1" x14ac:dyDescent="0.2">
      <c r="B111" s="13">
        <v>108</v>
      </c>
      <c r="C111" s="13" t="s">
        <v>5655</v>
      </c>
      <c r="D111" s="109">
        <v>991900020</v>
      </c>
      <c r="E111" s="110">
        <v>1710004774199</v>
      </c>
      <c r="F111" s="110">
        <v>7173607851</v>
      </c>
      <c r="G111" s="112" t="s">
        <v>204</v>
      </c>
      <c r="H111" s="13" t="s">
        <v>217</v>
      </c>
      <c r="I111" s="210">
        <v>43987</v>
      </c>
      <c r="J111" s="112">
        <f t="shared" si="16"/>
        <v>3</v>
      </c>
      <c r="K111" s="13">
        <f t="shared" si="17"/>
        <v>6</v>
      </c>
      <c r="L111" s="210"/>
      <c r="M111" s="13" t="str">
        <f t="shared" ref="M111:M127" si="20">IF(LEFT(D111,2)="99","Organik",IF(LEFT(D111,2)="97","Tetap",IF(LEFT(D111,2)="75","Capeg",IF(LEFT(D111,2)="64","PKWT","Resign"))))</f>
        <v>Organik</v>
      </c>
      <c r="N111" s="13" t="s">
        <v>2649</v>
      </c>
      <c r="O111" s="213">
        <v>43556</v>
      </c>
      <c r="P111" s="13" t="s">
        <v>139</v>
      </c>
      <c r="Q111" s="13" t="s">
        <v>139</v>
      </c>
      <c r="R111" s="13" t="s">
        <v>5656</v>
      </c>
      <c r="S111" s="13" t="s">
        <v>187</v>
      </c>
      <c r="T111" s="13" t="s">
        <v>59</v>
      </c>
      <c r="U111" s="13" t="s">
        <v>59</v>
      </c>
      <c r="V111" s="13" t="s">
        <v>59</v>
      </c>
      <c r="W111" s="13" t="s">
        <v>298</v>
      </c>
      <c r="X111" s="13"/>
      <c r="Y111" s="13" t="s">
        <v>133</v>
      </c>
      <c r="Z111" s="13" t="s">
        <v>5148</v>
      </c>
      <c r="AA111" s="210">
        <v>33971</v>
      </c>
      <c r="AB111" s="197">
        <f ca="1">DATEDIF(AA111,Database!$E$3,"y")</f>
        <v>32</v>
      </c>
      <c r="AC111" s="13" t="s">
        <v>5657</v>
      </c>
      <c r="AD111" s="150" t="s">
        <v>5658</v>
      </c>
      <c r="AE111" s="115" t="s">
        <v>5659</v>
      </c>
      <c r="AF111" s="13"/>
      <c r="AG111" s="13" t="s">
        <v>5660</v>
      </c>
      <c r="AH111" s="117" t="s">
        <v>5661</v>
      </c>
      <c r="AI111" s="115" t="s">
        <v>5662</v>
      </c>
      <c r="AJ111" s="13" t="s">
        <v>4716</v>
      </c>
      <c r="AK111" s="13"/>
      <c r="AL111" s="13"/>
      <c r="AM111" s="13"/>
      <c r="AN111" s="13"/>
      <c r="AO111" s="13"/>
      <c r="AP111" s="13"/>
      <c r="AQ111" s="13"/>
      <c r="AR111" s="13"/>
      <c r="AS111" s="13"/>
      <c r="AT111" s="13">
        <f>COUNTA(AL111:AO111)</f>
        <v>0</v>
      </c>
      <c r="AU111" s="13" t="str">
        <f>IF(AJ111="Menikah","K","TK")&amp;"/"&amp;AT111</f>
        <v>TK/0</v>
      </c>
      <c r="AV111" s="110" t="s">
        <v>5663</v>
      </c>
      <c r="AW111" s="112" t="s">
        <v>161</v>
      </c>
      <c r="AX111" s="13" t="s">
        <v>75</v>
      </c>
      <c r="AY111" s="13" t="s">
        <v>106</v>
      </c>
      <c r="AZ111" s="13" t="s">
        <v>81</v>
      </c>
      <c r="BA111" s="13"/>
      <c r="BB111" s="13" t="s">
        <v>75</v>
      </c>
      <c r="BC111" s="13" t="s">
        <v>106</v>
      </c>
      <c r="BD111" s="13" t="s">
        <v>81</v>
      </c>
      <c r="BE111" s="13"/>
      <c r="BF111" s="213">
        <v>54089</v>
      </c>
      <c r="BG111" s="213">
        <v>54455</v>
      </c>
      <c r="BH111" s="13"/>
      <c r="BI111" s="13"/>
      <c r="BJ111" s="13"/>
      <c r="BK111" s="111">
        <v>44294</v>
      </c>
      <c r="BL111" s="111">
        <v>44322</v>
      </c>
      <c r="BM111" s="111">
        <v>44585</v>
      </c>
      <c r="BN111" s="111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212">
        <v>45274</v>
      </c>
      <c r="CA111" s="86" t="s">
        <v>5004</v>
      </c>
      <c r="CC111" s="175"/>
      <c r="CD111" s="86" t="s">
        <v>5664</v>
      </c>
      <c r="CE111" s="86" t="e">
        <f>VLOOKUP(C111,[1]Sertifikasi!$B$4:$I$19,8,0)</f>
        <v>#N/A</v>
      </c>
    </row>
    <row r="112" spans="1:84" ht="11.25" customHeight="1" x14ac:dyDescent="0.2">
      <c r="A112" s="13"/>
      <c r="B112" s="13">
        <v>109</v>
      </c>
      <c r="C112" s="193" t="s">
        <v>5665</v>
      </c>
      <c r="D112" s="109">
        <v>971700013</v>
      </c>
      <c r="E112" s="110">
        <v>1710003919746</v>
      </c>
      <c r="F112" s="110">
        <v>7177633377</v>
      </c>
      <c r="G112" s="112" t="s">
        <v>217</v>
      </c>
      <c r="H112" s="13" t="s">
        <v>217</v>
      </c>
      <c r="I112" s="210">
        <v>42471</v>
      </c>
      <c r="J112" s="112">
        <f t="shared" si="16"/>
        <v>7</v>
      </c>
      <c r="K112" s="13">
        <f t="shared" si="17"/>
        <v>8</v>
      </c>
      <c r="L112" s="210"/>
      <c r="M112" s="13" t="str">
        <f t="shared" si="20"/>
        <v>Tetap</v>
      </c>
      <c r="N112" s="13" t="s">
        <v>593</v>
      </c>
      <c r="O112" s="213">
        <v>42767</v>
      </c>
      <c r="P112" s="111"/>
      <c r="Q112" s="13" t="s">
        <v>139</v>
      </c>
      <c r="R112" s="13" t="s">
        <v>5656</v>
      </c>
      <c r="S112" s="13" t="s">
        <v>187</v>
      </c>
      <c r="T112" s="13" t="s">
        <v>5666</v>
      </c>
      <c r="U112" s="13" t="s">
        <v>50</v>
      </c>
      <c r="V112" s="13" t="s">
        <v>50</v>
      </c>
      <c r="W112" s="13" t="s">
        <v>1064</v>
      </c>
      <c r="X112" s="13"/>
      <c r="Y112" s="13" t="s">
        <v>133</v>
      </c>
      <c r="Z112" s="13" t="s">
        <v>5667</v>
      </c>
      <c r="AA112" s="210">
        <v>30424</v>
      </c>
      <c r="AB112" s="197">
        <f ca="1">DATEDIF(AA112,Database!$E$3,"y")</f>
        <v>42</v>
      </c>
      <c r="AC112" s="13" t="s">
        <v>5668</v>
      </c>
      <c r="AD112" s="13" t="s">
        <v>5669</v>
      </c>
      <c r="AE112" s="110" t="s">
        <v>5670</v>
      </c>
      <c r="AF112" s="13"/>
      <c r="AG112" s="191" t="s">
        <v>5671</v>
      </c>
      <c r="AH112" s="117" t="s">
        <v>5672</v>
      </c>
      <c r="AI112" s="115" t="s">
        <v>5673</v>
      </c>
      <c r="AJ112" s="13" t="s">
        <v>4733</v>
      </c>
      <c r="AK112" s="13" t="s">
        <v>5674</v>
      </c>
      <c r="AL112" s="13"/>
      <c r="AM112" s="13"/>
      <c r="AN112" s="13"/>
      <c r="AO112" s="13"/>
      <c r="AP112" s="13"/>
      <c r="AQ112" s="13"/>
      <c r="AR112" s="13"/>
      <c r="AS112" s="13"/>
      <c r="AT112" s="13">
        <f>COUNTA(AL112:AO112)</f>
        <v>0</v>
      </c>
      <c r="AU112" s="13" t="str">
        <f>IF(AJ112="Menikah","K","TK")&amp;"/"&amp;AT112</f>
        <v>K/0</v>
      </c>
      <c r="AV112" s="115">
        <v>862733763646000</v>
      </c>
      <c r="AW112" s="112" t="s">
        <v>161</v>
      </c>
      <c r="AX112" s="13" t="s">
        <v>70</v>
      </c>
      <c r="AY112" s="13" t="s">
        <v>83</v>
      </c>
      <c r="AZ112" s="13" t="s">
        <v>5675</v>
      </c>
      <c r="BA112" s="13">
        <v>2004</v>
      </c>
      <c r="BB112" s="13" t="s">
        <v>70</v>
      </c>
      <c r="BC112" s="13" t="s">
        <v>83</v>
      </c>
      <c r="BD112" s="13" t="s">
        <v>5675</v>
      </c>
      <c r="BE112" s="13">
        <v>2004</v>
      </c>
      <c r="BF112" s="213">
        <v>50437</v>
      </c>
      <c r="BG112" s="213">
        <v>50802</v>
      </c>
      <c r="BH112" s="118"/>
      <c r="BI112" s="13"/>
      <c r="BJ112" s="13"/>
      <c r="BK112" s="111"/>
      <c r="BL112" s="111">
        <v>44503</v>
      </c>
      <c r="BM112" s="111"/>
      <c r="BN112" s="111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210">
        <v>45293</v>
      </c>
      <c r="CA112" s="86" t="s">
        <v>4734</v>
      </c>
      <c r="CB112" s="86" t="s">
        <v>5788</v>
      </c>
      <c r="CC112" s="175"/>
      <c r="CD112" s="86" t="s">
        <v>5676</v>
      </c>
    </row>
    <row r="113" spans="1:84" ht="11.25" customHeight="1" x14ac:dyDescent="0.2">
      <c r="A113" s="13"/>
      <c r="B113" s="13">
        <v>110</v>
      </c>
      <c r="C113" s="13" t="s">
        <v>5677</v>
      </c>
      <c r="D113" s="109">
        <v>642201140</v>
      </c>
      <c r="E113" s="110">
        <v>1710004890615</v>
      </c>
      <c r="F113" s="110"/>
      <c r="G113" s="13" t="s">
        <v>217</v>
      </c>
      <c r="H113" s="13" t="s">
        <v>217</v>
      </c>
      <c r="I113" s="210">
        <v>44579</v>
      </c>
      <c r="J113" s="112">
        <f t="shared" si="16"/>
        <v>2</v>
      </c>
      <c r="K113" s="13">
        <f t="shared" si="17"/>
        <v>0</v>
      </c>
      <c r="L113" s="210"/>
      <c r="M113" s="13" t="str">
        <f t="shared" si="20"/>
        <v>PKWT</v>
      </c>
      <c r="N113" s="13"/>
      <c r="O113" s="213">
        <v>45657</v>
      </c>
      <c r="P113" s="13"/>
      <c r="Q113" s="13" t="s">
        <v>141</v>
      </c>
      <c r="R113" s="13" t="s">
        <v>312</v>
      </c>
      <c r="S113" s="13" t="s">
        <v>24</v>
      </c>
      <c r="T113" s="13" t="s">
        <v>443</v>
      </c>
      <c r="U113" s="13" t="s">
        <v>52</v>
      </c>
      <c r="V113" s="13" t="s">
        <v>121</v>
      </c>
      <c r="W113" s="13" t="s">
        <v>313</v>
      </c>
      <c r="X113" s="13" t="s">
        <v>5678</v>
      </c>
      <c r="Y113" s="13" t="s">
        <v>314</v>
      </c>
      <c r="Z113" s="13" t="s">
        <v>217</v>
      </c>
      <c r="AA113" s="210">
        <v>34834</v>
      </c>
      <c r="AB113" s="197">
        <f ca="1">DATEDIF(AA113,Database!$E$3,"y")</f>
        <v>30</v>
      </c>
      <c r="AC113" s="114" t="s">
        <v>5679</v>
      </c>
      <c r="AD113" s="13" t="s">
        <v>5680</v>
      </c>
      <c r="AE113" s="110" t="s">
        <v>5681</v>
      </c>
      <c r="AF113" s="13"/>
      <c r="AG113" s="13" t="s">
        <v>5682</v>
      </c>
      <c r="AH113" s="117" t="s">
        <v>5683</v>
      </c>
      <c r="AI113" s="115">
        <v>22017333778</v>
      </c>
      <c r="AJ113" s="13" t="s">
        <v>4716</v>
      </c>
      <c r="AK113" s="13"/>
      <c r="AL113" s="13"/>
      <c r="AM113" s="13"/>
      <c r="AN113" s="13"/>
      <c r="AO113" s="13"/>
      <c r="AP113" s="13"/>
      <c r="AQ113" s="13"/>
      <c r="AR113" s="13"/>
      <c r="AS113" s="13"/>
      <c r="AT113" s="13">
        <v>0</v>
      </c>
      <c r="AU113" s="13" t="s">
        <v>5078</v>
      </c>
      <c r="AV113" s="115"/>
      <c r="AW113" s="13" t="s">
        <v>161</v>
      </c>
      <c r="AX113" s="13" t="s">
        <v>349</v>
      </c>
      <c r="AY113" s="13" t="s">
        <v>91</v>
      </c>
      <c r="AZ113" s="13" t="s">
        <v>1631</v>
      </c>
      <c r="BA113" s="13">
        <v>2014</v>
      </c>
      <c r="BB113" s="13" t="s">
        <v>349</v>
      </c>
      <c r="BC113" s="13" t="s">
        <v>91</v>
      </c>
      <c r="BD113" s="13" t="s">
        <v>1631</v>
      </c>
      <c r="BE113" s="13">
        <v>2014</v>
      </c>
      <c r="BF113" s="213"/>
      <c r="BG113" s="213"/>
      <c r="BH113" s="13"/>
      <c r="BI113" s="13"/>
      <c r="BJ113" s="13">
        <v>43</v>
      </c>
      <c r="BK113" s="111"/>
      <c r="BL113" s="111"/>
      <c r="BM113" s="111">
        <v>44648</v>
      </c>
      <c r="BN113" s="111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210">
        <v>45309</v>
      </c>
      <c r="CA113" s="86" t="s">
        <v>4734</v>
      </c>
      <c r="CB113" s="86" t="s">
        <v>4735</v>
      </c>
      <c r="CC113" s="175">
        <v>10180104</v>
      </c>
      <c r="CD113" s="86" t="s">
        <v>5684</v>
      </c>
    </row>
    <row r="114" spans="1:84" ht="11.25" customHeight="1" x14ac:dyDescent="0.2">
      <c r="B114" s="13">
        <v>111</v>
      </c>
      <c r="C114" s="13" t="s">
        <v>5685</v>
      </c>
      <c r="D114" s="109">
        <v>991700039</v>
      </c>
      <c r="E114" s="110">
        <v>1710000416662</v>
      </c>
      <c r="F114" s="110">
        <v>7184022197</v>
      </c>
      <c r="G114" s="112" t="s">
        <v>204</v>
      </c>
      <c r="H114" s="13" t="s">
        <v>217</v>
      </c>
      <c r="I114" s="210">
        <v>43987</v>
      </c>
      <c r="J114" s="112">
        <f t="shared" si="16"/>
        <v>3</v>
      </c>
      <c r="K114" s="13">
        <f t="shared" si="17"/>
        <v>7</v>
      </c>
      <c r="L114" s="210"/>
      <c r="M114" s="13" t="str">
        <f t="shared" si="20"/>
        <v>Organik</v>
      </c>
      <c r="N114" s="13" t="s">
        <v>2649</v>
      </c>
      <c r="O114" s="213">
        <v>42767</v>
      </c>
      <c r="P114" s="13" t="s">
        <v>139</v>
      </c>
      <c r="Q114" s="13" t="s">
        <v>139</v>
      </c>
      <c r="R114" s="13" t="s">
        <v>5656</v>
      </c>
      <c r="S114" s="13" t="s">
        <v>187</v>
      </c>
      <c r="T114" s="13" t="s">
        <v>65</v>
      </c>
      <c r="U114" s="13" t="s">
        <v>65</v>
      </c>
      <c r="V114" s="13" t="s">
        <v>121</v>
      </c>
      <c r="W114" s="13" t="s">
        <v>313</v>
      </c>
      <c r="X114" s="13"/>
      <c r="Y114" s="13" t="s">
        <v>132</v>
      </c>
      <c r="Z114" s="13" t="s">
        <v>217</v>
      </c>
      <c r="AA114" s="210">
        <v>32270</v>
      </c>
      <c r="AB114" s="197">
        <f ca="1">DATEDIF(AA114,Database!$E$3,"y")</f>
        <v>37</v>
      </c>
      <c r="AC114" s="114" t="s">
        <v>5686</v>
      </c>
      <c r="AD114" s="13" t="s">
        <v>5687</v>
      </c>
      <c r="AE114" s="110" t="s">
        <v>5688</v>
      </c>
      <c r="AF114" s="13"/>
      <c r="AG114" s="205" t="s">
        <v>5689</v>
      </c>
      <c r="AH114" s="117" t="s">
        <v>5690</v>
      </c>
      <c r="AI114" s="110">
        <v>12007010353</v>
      </c>
      <c r="AJ114" s="13" t="s">
        <v>4733</v>
      </c>
      <c r="AK114" s="13" t="s">
        <v>5691</v>
      </c>
      <c r="AL114" s="13" t="s">
        <v>5692</v>
      </c>
      <c r="AM114" s="13" t="s">
        <v>5693</v>
      </c>
      <c r="AO114" s="13"/>
      <c r="AP114" s="13"/>
      <c r="AQ114" s="13"/>
      <c r="AR114" s="13"/>
      <c r="AS114" s="13"/>
      <c r="AT114" s="13">
        <f>COUNTA(AL114:AP114)</f>
        <v>2</v>
      </c>
      <c r="AU114" s="13" t="str">
        <f>IF(AJ114="Menikah","K","TK")&amp;"/"&amp;AT114</f>
        <v>K/2</v>
      </c>
      <c r="AV114" s="110" t="s">
        <v>5694</v>
      </c>
      <c r="AW114" s="112" t="s">
        <v>161</v>
      </c>
      <c r="AX114" s="13" t="s">
        <v>349</v>
      </c>
      <c r="AY114" s="13" t="s">
        <v>87</v>
      </c>
      <c r="AZ114" s="13" t="s">
        <v>4350</v>
      </c>
      <c r="BA114" s="13">
        <v>2006</v>
      </c>
      <c r="BB114" s="13" t="s">
        <v>349</v>
      </c>
      <c r="BC114" s="13" t="s">
        <v>87</v>
      </c>
      <c r="BD114" s="13" t="s">
        <v>4350</v>
      </c>
      <c r="BE114" s="13">
        <v>2006</v>
      </c>
      <c r="BF114" s="213">
        <v>48000</v>
      </c>
      <c r="BG114" s="213">
        <v>48366</v>
      </c>
      <c r="BJ114" s="13">
        <v>40</v>
      </c>
      <c r="BK114" s="111">
        <v>44294</v>
      </c>
      <c r="BL114" s="111">
        <v>44322</v>
      </c>
      <c r="BM114" s="111">
        <v>44672</v>
      </c>
      <c r="BP114" s="111"/>
      <c r="BQ114" s="13"/>
      <c r="BR114" s="13"/>
      <c r="BS114" s="13"/>
      <c r="BT114" s="13"/>
      <c r="BU114" s="13"/>
      <c r="BV114" s="13"/>
      <c r="BW114" s="13"/>
      <c r="BX114" s="13"/>
      <c r="BY114" s="13"/>
      <c r="BZ114" s="210">
        <v>45317</v>
      </c>
      <c r="CA114" s="13" t="s">
        <v>5004</v>
      </c>
      <c r="CB114" s="13"/>
      <c r="CC114" s="119"/>
      <c r="CD114" s="13" t="s">
        <v>5695</v>
      </c>
      <c r="CE114" s="86" t="e">
        <f>VLOOKUP(C114,[1]Sertifikasi!$B$4:$I$19,8,0)</f>
        <v>#N/A</v>
      </c>
    </row>
    <row r="115" spans="1:84" ht="11.25" customHeight="1" x14ac:dyDescent="0.2">
      <c r="B115" s="13">
        <v>112</v>
      </c>
      <c r="C115" s="13" t="s">
        <v>5696</v>
      </c>
      <c r="D115" s="109">
        <v>642307131</v>
      </c>
      <c r="E115" s="110">
        <v>1560021556891</v>
      </c>
      <c r="F115" s="110"/>
      <c r="G115" s="13" t="s">
        <v>217</v>
      </c>
      <c r="H115" s="13" t="s">
        <v>3477</v>
      </c>
      <c r="I115" s="210">
        <v>45204</v>
      </c>
      <c r="J115" s="112">
        <f t="shared" si="16"/>
        <v>0</v>
      </c>
      <c r="K115" s="13">
        <f t="shared" si="17"/>
        <v>4</v>
      </c>
      <c r="L115" s="210"/>
      <c r="M115" s="13" t="str">
        <f t="shared" si="20"/>
        <v>PKWT</v>
      </c>
      <c r="N115" s="13"/>
      <c r="O115" s="213">
        <v>45657</v>
      </c>
      <c r="P115" s="13"/>
      <c r="Q115" s="13" t="s">
        <v>141</v>
      </c>
      <c r="R115" s="13" t="s">
        <v>312</v>
      </c>
      <c r="S115" s="13" t="s">
        <v>24</v>
      </c>
      <c r="T115" s="13" t="s">
        <v>204</v>
      </c>
      <c r="U115" s="13" t="s">
        <v>175</v>
      </c>
      <c r="V115" s="13" t="s">
        <v>121</v>
      </c>
      <c r="W115" s="13" t="s">
        <v>313</v>
      </c>
      <c r="X115" s="13" t="s">
        <v>462</v>
      </c>
      <c r="Y115" s="13" t="s">
        <v>314</v>
      </c>
      <c r="Z115" s="13" t="s">
        <v>3477</v>
      </c>
      <c r="AA115" s="210">
        <v>37257</v>
      </c>
      <c r="AB115" s="197">
        <f ca="1">DATEDIF(AA115,Database!$E$3,"y")</f>
        <v>23</v>
      </c>
      <c r="AC115" s="114" t="s">
        <v>5697</v>
      </c>
      <c r="AD115" s="13" t="s">
        <v>5698</v>
      </c>
      <c r="AE115" s="110" t="s">
        <v>5699</v>
      </c>
      <c r="AF115" s="13"/>
      <c r="AG115" s="13" t="s">
        <v>5700</v>
      </c>
      <c r="AH115" s="117" t="s">
        <v>5701</v>
      </c>
      <c r="AI115" s="115">
        <v>23156731327</v>
      </c>
      <c r="AJ115" s="13" t="s">
        <v>4716</v>
      </c>
      <c r="AK115" s="13"/>
      <c r="AL115" s="13"/>
      <c r="AM115" s="13"/>
      <c r="AN115" s="13"/>
      <c r="AO115" s="13"/>
      <c r="AP115" s="13"/>
      <c r="AQ115" s="13"/>
      <c r="AR115" s="13"/>
      <c r="AS115" s="13"/>
      <c r="AU115" s="13">
        <v>0</v>
      </c>
      <c r="AV115" s="13" t="s">
        <v>5078</v>
      </c>
      <c r="AW115" s="13" t="s">
        <v>161</v>
      </c>
      <c r="AX115" s="13" t="s">
        <v>70</v>
      </c>
      <c r="AY115" s="13" t="s">
        <v>99</v>
      </c>
      <c r="AZ115" s="13" t="s">
        <v>100</v>
      </c>
      <c r="BA115" s="13">
        <v>2023</v>
      </c>
      <c r="BB115" s="13" t="s">
        <v>70</v>
      </c>
      <c r="BC115" s="13" t="s">
        <v>99</v>
      </c>
      <c r="BD115" s="13" t="s">
        <v>100</v>
      </c>
      <c r="BE115" s="13">
        <v>2023</v>
      </c>
      <c r="BF115" s="213"/>
      <c r="BH115" s="116"/>
      <c r="BI115" s="13"/>
      <c r="BJ115" s="13"/>
      <c r="BK115" s="13"/>
      <c r="BL115" s="111"/>
      <c r="BM115" s="111"/>
      <c r="BN115" s="111"/>
      <c r="BO115" s="111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210">
        <v>45330</v>
      </c>
      <c r="CA115" s="13" t="s">
        <v>4734</v>
      </c>
      <c r="CB115" s="86" t="s">
        <v>4735</v>
      </c>
      <c r="CC115" s="175">
        <v>11616913</v>
      </c>
      <c r="CD115" s="86" t="s">
        <v>5702</v>
      </c>
      <c r="CE115" s="86" t="e">
        <f>VLOOKUP(C115,[1]Sertifikasi!$B$4:$I$19,8,0)</f>
        <v>#N/A</v>
      </c>
    </row>
    <row r="116" spans="1:84" ht="11.25" customHeight="1" x14ac:dyDescent="0.2">
      <c r="B116" s="13">
        <v>113</v>
      </c>
      <c r="C116" s="86" t="s">
        <v>5703</v>
      </c>
      <c r="D116" s="109">
        <v>991800001</v>
      </c>
      <c r="E116" s="110">
        <v>1710003190264</v>
      </c>
      <c r="F116" s="110"/>
      <c r="G116" s="112" t="s">
        <v>204</v>
      </c>
      <c r="H116" s="13" t="s">
        <v>217</v>
      </c>
      <c r="I116" s="213">
        <v>44714</v>
      </c>
      <c r="J116" s="112">
        <f t="shared" si="16"/>
        <v>1</v>
      </c>
      <c r="K116" s="13">
        <f t="shared" si="17"/>
        <v>8</v>
      </c>
      <c r="L116" s="210"/>
      <c r="M116" s="13" t="str">
        <f t="shared" si="20"/>
        <v>Organik</v>
      </c>
      <c r="N116" s="13"/>
      <c r="O116" s="213">
        <v>44714</v>
      </c>
      <c r="P116" s="13" t="s">
        <v>139</v>
      </c>
      <c r="Q116" s="13" t="s">
        <v>137</v>
      </c>
      <c r="R116" s="13" t="s">
        <v>5656</v>
      </c>
      <c r="S116" s="13" t="s">
        <v>187</v>
      </c>
      <c r="T116" s="13" t="s">
        <v>73</v>
      </c>
      <c r="U116" s="13" t="s">
        <v>73</v>
      </c>
      <c r="V116" s="13" t="s">
        <v>122</v>
      </c>
      <c r="W116" s="13" t="s">
        <v>313</v>
      </c>
      <c r="X116" s="13"/>
      <c r="Y116" s="13" t="s">
        <v>132</v>
      </c>
      <c r="Z116" s="13" t="s">
        <v>2377</v>
      </c>
      <c r="AA116" s="210">
        <v>32077</v>
      </c>
      <c r="AB116" s="197">
        <f ca="1">DATEDIF(AA116,Database!$E$3,"y")</f>
        <v>37</v>
      </c>
      <c r="AC116" s="114" t="s">
        <v>5704</v>
      </c>
      <c r="AD116" s="13" t="s">
        <v>5705</v>
      </c>
      <c r="AE116" s="110" t="s">
        <v>5706</v>
      </c>
      <c r="AF116" s="13"/>
      <c r="AG116" s="13" t="s">
        <v>5707</v>
      </c>
      <c r="AH116" s="117" t="s">
        <v>5708</v>
      </c>
      <c r="AI116" s="110">
        <v>16053405961</v>
      </c>
      <c r="AJ116" s="13" t="s">
        <v>4733</v>
      </c>
      <c r="AK116" s="13" t="s">
        <v>5709</v>
      </c>
      <c r="AL116" s="13" t="s">
        <v>5710</v>
      </c>
      <c r="AM116" s="13"/>
      <c r="AN116" s="13"/>
      <c r="AO116" s="13"/>
      <c r="AP116" s="13"/>
      <c r="AQ116" s="13"/>
      <c r="AR116" s="13"/>
      <c r="AS116" s="13"/>
      <c r="AT116" s="13">
        <f>COUNTA(AL116:AO116)</f>
        <v>1</v>
      </c>
      <c r="AU116" s="13" t="str">
        <f t="shared" ref="AU116:AU127" si="21">IF(AJ116="Menikah","K","TK")&amp;"/"&amp;AT116</f>
        <v>K/1</v>
      </c>
      <c r="AV116" s="115" t="s">
        <v>5711</v>
      </c>
      <c r="AW116" s="112" t="s">
        <v>161</v>
      </c>
      <c r="AX116" s="13" t="s">
        <v>75</v>
      </c>
      <c r="AY116" s="13" t="s">
        <v>106</v>
      </c>
      <c r="AZ116" s="13" t="s">
        <v>4986</v>
      </c>
      <c r="BA116" s="13">
        <v>2013</v>
      </c>
      <c r="BB116" s="13" t="s">
        <v>75</v>
      </c>
      <c r="BC116" s="13" t="s">
        <v>106</v>
      </c>
      <c r="BD116" s="13" t="s">
        <v>4986</v>
      </c>
      <c r="BE116" s="13">
        <v>2013</v>
      </c>
      <c r="BF116" s="213"/>
      <c r="BG116" s="213"/>
      <c r="BH116" s="13"/>
      <c r="BI116" s="13"/>
      <c r="BJ116" s="13"/>
      <c r="BK116" s="111"/>
      <c r="BL116" s="111"/>
      <c r="BM116" s="111">
        <v>44581</v>
      </c>
      <c r="BN116" s="111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210">
        <v>45337</v>
      </c>
      <c r="CA116" s="86" t="s">
        <v>5004</v>
      </c>
      <c r="CC116" s="175"/>
      <c r="CD116" s="86" t="s">
        <v>5712</v>
      </c>
      <c r="CE116" s="86" t="e">
        <f>VLOOKUP(C116,[1]Sertifikasi!$B$4:$I$19,8,0)</f>
        <v>#N/A</v>
      </c>
    </row>
    <row r="117" spans="1:84" ht="11.25" customHeight="1" x14ac:dyDescent="0.2">
      <c r="B117" s="13">
        <v>114</v>
      </c>
      <c r="C117" s="13" t="s">
        <v>5713</v>
      </c>
      <c r="D117" s="109">
        <v>999200040</v>
      </c>
      <c r="E117" s="110">
        <v>1440001095121</v>
      </c>
      <c r="F117" s="110"/>
      <c r="G117" s="112" t="s">
        <v>204</v>
      </c>
      <c r="H117" s="13" t="s">
        <v>217</v>
      </c>
      <c r="I117" s="210">
        <v>43312</v>
      </c>
      <c r="J117" s="112">
        <f t="shared" si="16"/>
        <v>5</v>
      </c>
      <c r="K117" s="13">
        <f t="shared" si="17"/>
        <v>6</v>
      </c>
      <c r="L117" s="210"/>
      <c r="M117" s="13" t="str">
        <f t="shared" si="20"/>
        <v>Organik</v>
      </c>
      <c r="N117" s="13" t="s">
        <v>2649</v>
      </c>
      <c r="O117" s="213">
        <v>33909</v>
      </c>
      <c r="P117" s="13" t="s">
        <v>139</v>
      </c>
      <c r="Q117" s="13" t="s">
        <v>138</v>
      </c>
      <c r="R117" s="13" t="s">
        <v>5656</v>
      </c>
      <c r="S117" s="13" t="s">
        <v>187</v>
      </c>
      <c r="T117" s="13" t="s">
        <v>54</v>
      </c>
      <c r="U117" s="13" t="s">
        <v>54</v>
      </c>
      <c r="V117" s="13" t="s">
        <v>120</v>
      </c>
      <c r="W117" s="13" t="s">
        <v>313</v>
      </c>
      <c r="X117" s="13"/>
      <c r="Y117" s="13" t="s">
        <v>132</v>
      </c>
      <c r="Z117" s="13" t="s">
        <v>217</v>
      </c>
      <c r="AA117" s="210">
        <v>26235</v>
      </c>
      <c r="AB117" s="112">
        <f ca="1">DATEDIF(AA117,Database!$E$3,"y")</f>
        <v>53</v>
      </c>
      <c r="AC117" s="114" t="s">
        <v>5714</v>
      </c>
      <c r="AD117" s="13" t="s">
        <v>5715</v>
      </c>
      <c r="AE117" s="110" t="s">
        <v>5716</v>
      </c>
      <c r="AF117" s="115"/>
      <c r="AG117" s="13" t="s">
        <v>5717</v>
      </c>
      <c r="AH117" s="114" t="s">
        <v>5718</v>
      </c>
      <c r="AI117" s="110" t="s">
        <v>5719</v>
      </c>
      <c r="AJ117" s="86" t="s">
        <v>4733</v>
      </c>
      <c r="AK117" s="13" t="s">
        <v>5720</v>
      </c>
      <c r="AL117" s="13" t="s">
        <v>5721</v>
      </c>
      <c r="AM117" s="13" t="s">
        <v>5722</v>
      </c>
      <c r="AN117" s="13" t="s">
        <v>5723</v>
      </c>
      <c r="AQ117" s="13" t="s">
        <v>306</v>
      </c>
      <c r="AR117" s="13" t="s">
        <v>306</v>
      </c>
      <c r="AS117" s="13" t="s">
        <v>306</v>
      </c>
      <c r="AT117" s="13">
        <f>COUNTA(AL117:AQ117)</f>
        <v>4</v>
      </c>
      <c r="AU117" s="13" t="str">
        <f t="shared" si="21"/>
        <v>K/4</v>
      </c>
      <c r="AV117" s="110">
        <v>478300011621000</v>
      </c>
      <c r="AW117" s="112" t="s">
        <v>161</v>
      </c>
      <c r="AX117" s="13" t="s">
        <v>349</v>
      </c>
      <c r="AY117" s="13" t="s">
        <v>91</v>
      </c>
      <c r="AZ117" s="13" t="s">
        <v>4966</v>
      </c>
      <c r="BA117" s="13">
        <v>1991</v>
      </c>
      <c r="BB117" s="13" t="s">
        <v>349</v>
      </c>
      <c r="BC117" s="13" t="s">
        <v>91</v>
      </c>
      <c r="BD117" s="13" t="s">
        <v>4966</v>
      </c>
      <c r="BE117" s="13">
        <v>1991</v>
      </c>
      <c r="BF117" s="213">
        <v>46327</v>
      </c>
      <c r="BG117" s="213">
        <v>46692</v>
      </c>
      <c r="BJ117" s="13">
        <v>39</v>
      </c>
      <c r="BK117" s="111">
        <v>44294</v>
      </c>
      <c r="BL117" s="111">
        <v>44322</v>
      </c>
      <c r="BM117" s="111">
        <v>44585</v>
      </c>
      <c r="BQ117" s="111"/>
      <c r="BR117" s="13"/>
      <c r="BS117" s="13"/>
      <c r="BT117" s="13"/>
      <c r="BU117" s="13"/>
      <c r="BV117" s="13"/>
      <c r="BW117" s="13"/>
      <c r="BX117" s="13"/>
      <c r="BY117" s="13"/>
      <c r="BZ117" s="210">
        <v>45351</v>
      </c>
      <c r="CA117" s="13" t="s">
        <v>5004</v>
      </c>
      <c r="CB117" s="13"/>
      <c r="CC117" s="13"/>
      <c r="CD117" s="86" t="s">
        <v>5724</v>
      </c>
      <c r="CE117" s="86" t="e">
        <f>VLOOKUP(C117,[1]Sertifikasi!$B$4:$I$19,8,0)</f>
        <v>#N/A</v>
      </c>
    </row>
    <row r="118" spans="1:84" ht="11.25" customHeight="1" x14ac:dyDescent="0.2">
      <c r="A118" s="13"/>
      <c r="B118" s="13">
        <v>115</v>
      </c>
      <c r="C118" s="13" t="s">
        <v>5725</v>
      </c>
      <c r="D118" s="109">
        <v>642401190</v>
      </c>
      <c r="E118" s="110">
        <v>1710013612307</v>
      </c>
      <c r="F118" s="115"/>
      <c r="G118" s="13" t="s">
        <v>217</v>
      </c>
      <c r="H118" s="13" t="s">
        <v>217</v>
      </c>
      <c r="I118" s="210">
        <v>45292</v>
      </c>
      <c r="J118" s="112">
        <f t="shared" si="16"/>
        <v>0</v>
      </c>
      <c r="K118" s="13">
        <f t="shared" si="17"/>
        <v>2</v>
      </c>
      <c r="L118" s="210"/>
      <c r="M118" s="13" t="str">
        <f t="shared" si="20"/>
        <v>PKWT</v>
      </c>
      <c r="N118" s="13"/>
      <c r="O118" s="213">
        <v>45657</v>
      </c>
      <c r="P118" s="13"/>
      <c r="Q118" s="117" t="s">
        <v>139</v>
      </c>
      <c r="R118" s="13" t="s">
        <v>312</v>
      </c>
      <c r="S118" s="13" t="s">
        <v>204</v>
      </c>
      <c r="T118" s="13" t="s">
        <v>178</v>
      </c>
      <c r="U118" s="13" t="s">
        <v>5726</v>
      </c>
      <c r="V118" s="13" t="s">
        <v>121</v>
      </c>
      <c r="W118" s="13" t="s">
        <v>313</v>
      </c>
      <c r="X118" s="13"/>
      <c r="Y118" s="13" t="s">
        <v>314</v>
      </c>
      <c r="Z118" s="13" t="s">
        <v>217</v>
      </c>
      <c r="AA118" s="210">
        <v>37397</v>
      </c>
      <c r="AB118" s="109">
        <f ca="1">DATEDIF(AA118,Database!$E$3,"y")</f>
        <v>23</v>
      </c>
      <c r="AC118" s="114" t="s">
        <v>5727</v>
      </c>
      <c r="AD118" s="13" t="s">
        <v>5728</v>
      </c>
      <c r="AE118" s="110" t="s">
        <v>5729</v>
      </c>
      <c r="AF118" s="13"/>
      <c r="AG118" s="13" t="s">
        <v>5730</v>
      </c>
      <c r="AH118" s="117" t="s">
        <v>5731</v>
      </c>
      <c r="AI118" s="110">
        <v>24009885450</v>
      </c>
      <c r="AJ118" s="13" t="s">
        <v>4716</v>
      </c>
      <c r="AK118" s="13"/>
      <c r="AL118" s="13"/>
      <c r="AM118" s="13"/>
      <c r="AN118" s="13"/>
      <c r="AO118" s="13"/>
      <c r="AP118" s="13"/>
      <c r="AQ118" s="13"/>
      <c r="AR118" s="13"/>
      <c r="AS118" s="13"/>
      <c r="AT118" s="13">
        <f>COUNTA(AL118:AO118)</f>
        <v>0</v>
      </c>
      <c r="AU118" s="13" t="str">
        <f t="shared" si="21"/>
        <v>TK/0</v>
      </c>
      <c r="AW118" s="13" t="s">
        <v>161</v>
      </c>
      <c r="AX118" s="13" t="s">
        <v>349</v>
      </c>
      <c r="AY118" s="13" t="s">
        <v>119</v>
      </c>
      <c r="AZ118" s="13" t="s">
        <v>790</v>
      </c>
      <c r="BA118" s="13">
        <v>2020</v>
      </c>
      <c r="BB118" s="13" t="s">
        <v>349</v>
      </c>
      <c r="BC118" s="13" t="s">
        <v>119</v>
      </c>
      <c r="BD118" s="13" t="s">
        <v>790</v>
      </c>
      <c r="BE118" s="13">
        <v>2020</v>
      </c>
      <c r="BF118" s="210"/>
      <c r="BG118" s="210"/>
      <c r="BH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210">
        <v>45356</v>
      </c>
      <c r="CA118" s="86" t="s">
        <v>4718</v>
      </c>
      <c r="CB118" s="86" t="s">
        <v>4735</v>
      </c>
      <c r="CC118" s="175"/>
      <c r="CD118" s="86" t="s">
        <v>5732</v>
      </c>
    </row>
    <row r="119" spans="1:84" ht="11.25" customHeight="1" x14ac:dyDescent="0.2">
      <c r="A119" s="13"/>
      <c r="B119" s="13">
        <v>116</v>
      </c>
      <c r="C119" s="13" t="s">
        <v>5733</v>
      </c>
      <c r="D119" s="109">
        <v>642002076</v>
      </c>
      <c r="E119" s="110">
        <v>1710004013655</v>
      </c>
      <c r="F119" s="110"/>
      <c r="G119" s="13" t="s">
        <v>24</v>
      </c>
      <c r="H119" s="13" t="s">
        <v>24</v>
      </c>
      <c r="I119" s="210">
        <v>45376</v>
      </c>
      <c r="J119" s="112">
        <f t="shared" si="16"/>
        <v>0</v>
      </c>
      <c r="K119" s="13">
        <f t="shared" si="17"/>
        <v>0</v>
      </c>
      <c r="L119" s="210"/>
      <c r="M119" s="13" t="str">
        <f t="shared" si="20"/>
        <v>PKWT</v>
      </c>
      <c r="N119" s="13"/>
      <c r="O119" s="213">
        <v>45657</v>
      </c>
      <c r="P119" s="13"/>
      <c r="Q119" s="13" t="s">
        <v>141</v>
      </c>
      <c r="R119" s="13" t="s">
        <v>312</v>
      </c>
      <c r="S119" s="13" t="s">
        <v>31</v>
      </c>
      <c r="T119" s="13" t="s">
        <v>204</v>
      </c>
      <c r="U119" s="13" t="s">
        <v>171</v>
      </c>
      <c r="V119" s="13" t="s">
        <v>313</v>
      </c>
      <c r="Y119" s="13" t="s">
        <v>314</v>
      </c>
      <c r="Z119" s="13" t="s">
        <v>311</v>
      </c>
      <c r="AA119" s="210">
        <v>34693</v>
      </c>
      <c r="AB119" s="197">
        <f ca="1">DATEDIF(AA119,Database!$E$3,"y")</f>
        <v>30</v>
      </c>
      <c r="AC119" s="114" t="s">
        <v>5734</v>
      </c>
      <c r="AD119" s="13" t="s">
        <v>5735</v>
      </c>
      <c r="AE119" s="110" t="s">
        <v>5736</v>
      </c>
      <c r="AF119" s="115"/>
      <c r="AG119" s="204" t="s">
        <v>5737</v>
      </c>
      <c r="AH119" s="114" t="s">
        <v>5738</v>
      </c>
      <c r="AI119" s="110">
        <v>20024319756</v>
      </c>
      <c r="AJ119" s="13" t="s">
        <v>4716</v>
      </c>
      <c r="AK119" s="13"/>
      <c r="AL119" s="13"/>
      <c r="AM119" s="13"/>
      <c r="AQ119" s="13"/>
      <c r="AR119" s="13"/>
      <c r="AS119" s="13"/>
      <c r="AT119" s="13">
        <f>COUNTA(AL119:AR119)</f>
        <v>0</v>
      </c>
      <c r="AU119" s="13" t="str">
        <f t="shared" si="21"/>
        <v>TK/0</v>
      </c>
      <c r="AV119" s="13"/>
      <c r="AW119" s="13" t="s">
        <v>161</v>
      </c>
      <c r="AX119" s="13" t="s">
        <v>349</v>
      </c>
      <c r="AY119" s="13" t="s">
        <v>515</v>
      </c>
      <c r="AZ119" s="13" t="s">
        <v>663</v>
      </c>
      <c r="BA119" s="13">
        <v>2014</v>
      </c>
      <c r="BB119" s="13" t="s">
        <v>349</v>
      </c>
      <c r="BC119" s="13" t="s">
        <v>515</v>
      </c>
      <c r="BD119" s="13" t="s">
        <v>663</v>
      </c>
      <c r="BE119" s="13">
        <v>2014</v>
      </c>
      <c r="BI119" s="116"/>
      <c r="BJ119" s="13">
        <v>43</v>
      </c>
      <c r="BK119" s="111"/>
      <c r="BL119" s="111"/>
      <c r="BM119" s="111">
        <v>44776</v>
      </c>
      <c r="BR119" s="111"/>
      <c r="BS119" s="13"/>
      <c r="BT119" s="13"/>
      <c r="BU119" s="13"/>
      <c r="BV119" s="13"/>
      <c r="BW119" s="13"/>
      <c r="BX119" s="13"/>
      <c r="BY119" s="13"/>
      <c r="BZ119" s="210">
        <v>45376</v>
      </c>
      <c r="CA119" s="13" t="s">
        <v>4718</v>
      </c>
      <c r="CB119" s="13" t="s">
        <v>4735</v>
      </c>
      <c r="CC119" s="119"/>
      <c r="CD119" s="86" t="s">
        <v>5739</v>
      </c>
    </row>
    <row r="120" spans="1:84" ht="11.25" customHeight="1" x14ac:dyDescent="0.2">
      <c r="B120" s="13">
        <v>117</v>
      </c>
      <c r="C120" s="13" t="s">
        <v>5740</v>
      </c>
      <c r="D120" s="109">
        <v>999300024</v>
      </c>
      <c r="E120" s="110">
        <v>1440001092979</v>
      </c>
      <c r="F120" s="110"/>
      <c r="G120" s="13" t="s">
        <v>204</v>
      </c>
      <c r="H120" s="13" t="s">
        <v>217</v>
      </c>
      <c r="I120" s="210">
        <v>43987</v>
      </c>
      <c r="J120" s="112">
        <f t="shared" si="16"/>
        <v>3</v>
      </c>
      <c r="K120" s="13">
        <f t="shared" si="17"/>
        <v>9</v>
      </c>
      <c r="L120" s="210"/>
      <c r="M120" s="13" t="str">
        <f t="shared" si="20"/>
        <v>Organik</v>
      </c>
      <c r="N120" s="13" t="s">
        <v>294</v>
      </c>
      <c r="O120" s="213">
        <v>34213</v>
      </c>
      <c r="Q120" s="13" t="s">
        <v>4259</v>
      </c>
      <c r="R120" s="13" t="s">
        <v>11</v>
      </c>
      <c r="S120" s="13" t="s">
        <v>5656</v>
      </c>
      <c r="T120" s="13" t="s">
        <v>187</v>
      </c>
      <c r="U120" s="13" t="s">
        <v>298</v>
      </c>
      <c r="V120" s="13" t="s">
        <v>48</v>
      </c>
      <c r="W120" s="13" t="s">
        <v>298</v>
      </c>
      <c r="X120" s="13" t="s">
        <v>298</v>
      </c>
      <c r="Y120" s="13" t="s">
        <v>132</v>
      </c>
      <c r="Z120" s="13" t="s">
        <v>1511</v>
      </c>
      <c r="AA120" s="210">
        <v>25143</v>
      </c>
      <c r="AB120" s="112">
        <f ca="1">DATEDIF(AA120,Database!$E$3,"y")</f>
        <v>56</v>
      </c>
      <c r="AC120" s="114" t="s">
        <v>5741</v>
      </c>
      <c r="AD120" s="13" t="s">
        <v>5742</v>
      </c>
      <c r="AE120" s="110" t="s">
        <v>5743</v>
      </c>
      <c r="AF120" s="115"/>
      <c r="AG120" s="13" t="s">
        <v>5744</v>
      </c>
      <c r="AH120" s="207" t="s">
        <v>5745</v>
      </c>
      <c r="AI120" s="110" t="s">
        <v>5746</v>
      </c>
      <c r="AJ120" s="86" t="s">
        <v>4733</v>
      </c>
      <c r="AK120" s="13" t="s">
        <v>5747</v>
      </c>
      <c r="AL120" s="13" t="s">
        <v>3824</v>
      </c>
      <c r="AM120" s="13" t="s">
        <v>306</v>
      </c>
      <c r="AN120" s="13" t="s">
        <v>306</v>
      </c>
      <c r="AQ120" s="13" t="s">
        <v>306</v>
      </c>
      <c r="AR120" s="13" t="s">
        <v>306</v>
      </c>
      <c r="AS120" s="13" t="s">
        <v>306</v>
      </c>
      <c r="AT120" s="13">
        <f>COUNTA(AL120:AQ120)</f>
        <v>4</v>
      </c>
      <c r="AU120" s="13" t="str">
        <f t="shared" si="21"/>
        <v>K/4</v>
      </c>
      <c r="AV120" s="110">
        <v>86818572621000</v>
      </c>
      <c r="AW120" s="13" t="s">
        <v>161</v>
      </c>
      <c r="AX120" s="13" t="s">
        <v>109</v>
      </c>
      <c r="AY120" s="13" t="s">
        <v>91</v>
      </c>
      <c r="AZ120" s="13" t="s">
        <v>81</v>
      </c>
      <c r="BA120" s="13">
        <v>2017</v>
      </c>
      <c r="BB120" s="13" t="s">
        <v>109</v>
      </c>
      <c r="BC120" s="13" t="s">
        <v>91</v>
      </c>
      <c r="BD120" s="13" t="s">
        <v>4064</v>
      </c>
      <c r="BE120" s="13">
        <v>2017</v>
      </c>
      <c r="BF120" s="213">
        <v>45261</v>
      </c>
      <c r="BG120" s="213">
        <v>45627</v>
      </c>
      <c r="BK120" s="13"/>
      <c r="BL120" s="13"/>
      <c r="BM120" s="13"/>
      <c r="BN120" s="111"/>
      <c r="BO120" s="111"/>
      <c r="BP120" s="111"/>
      <c r="BQ120" s="111"/>
      <c r="BR120" s="13"/>
      <c r="BS120" s="13"/>
      <c r="BT120" s="13"/>
      <c r="BU120" s="13"/>
      <c r="BV120" s="13"/>
      <c r="BW120" s="13"/>
      <c r="BX120" s="13"/>
      <c r="BY120" s="13"/>
      <c r="BZ120" s="210">
        <v>45376</v>
      </c>
      <c r="CA120" s="13" t="s">
        <v>4832</v>
      </c>
      <c r="CB120" s="13"/>
      <c r="CC120" s="13"/>
      <c r="CD120" s="86" t="s">
        <v>4258</v>
      </c>
      <c r="CE120" s="86" t="e">
        <f>VLOOKUP(C120,[1]Sertifikasi!$B$4:$I$19,8,0)</f>
        <v>#N/A</v>
      </c>
    </row>
    <row r="121" spans="1:84" ht="11.25" customHeight="1" x14ac:dyDescent="0.2">
      <c r="B121" s="13">
        <v>118</v>
      </c>
      <c r="C121" s="13" t="s">
        <v>5748</v>
      </c>
      <c r="D121" s="109">
        <v>999600007</v>
      </c>
      <c r="E121" s="110">
        <v>1440001094207</v>
      </c>
      <c r="F121" s="110">
        <v>7054282367</v>
      </c>
      <c r="G121" s="112" t="s">
        <v>204</v>
      </c>
      <c r="H121" s="13" t="s">
        <v>315</v>
      </c>
      <c r="I121" s="210">
        <v>45090</v>
      </c>
      <c r="J121" s="112">
        <f t="shared" si="16"/>
        <v>0</v>
      </c>
      <c r="K121" s="13">
        <f t="shared" si="17"/>
        <v>9</v>
      </c>
      <c r="L121" s="210"/>
      <c r="M121" s="13" t="str">
        <f t="shared" si="20"/>
        <v>Organik</v>
      </c>
      <c r="N121" s="13" t="s">
        <v>2685</v>
      </c>
      <c r="O121" s="213">
        <v>35034</v>
      </c>
      <c r="Q121" s="13"/>
      <c r="R121" s="13" t="s">
        <v>11</v>
      </c>
      <c r="S121" s="13" t="s">
        <v>5656</v>
      </c>
      <c r="T121" s="13" t="s">
        <v>187</v>
      </c>
      <c r="U121" s="13" t="s">
        <v>1064</v>
      </c>
      <c r="V121" s="13" t="s">
        <v>48</v>
      </c>
      <c r="W121" s="13" t="s">
        <v>1064</v>
      </c>
      <c r="X121" s="13" t="s">
        <v>1064</v>
      </c>
      <c r="Y121" s="13" t="s">
        <v>132</v>
      </c>
      <c r="Z121" s="13" t="s">
        <v>315</v>
      </c>
      <c r="AA121" s="210">
        <v>25808</v>
      </c>
      <c r="AB121" s="112">
        <f ca="1">DATEDIF(AA121,Database!$E$3,"y")</f>
        <v>55</v>
      </c>
      <c r="AC121" s="114" t="s">
        <v>5749</v>
      </c>
      <c r="AD121" s="13" t="s">
        <v>5750</v>
      </c>
      <c r="AE121" s="110" t="s">
        <v>5751</v>
      </c>
      <c r="AF121" s="115"/>
      <c r="AG121" s="191" t="s">
        <v>5752</v>
      </c>
      <c r="AH121" s="114" t="s">
        <v>5753</v>
      </c>
      <c r="AI121" s="110" t="s">
        <v>5754</v>
      </c>
      <c r="AJ121" s="86" t="s">
        <v>4733</v>
      </c>
      <c r="AK121" s="13" t="s">
        <v>5755</v>
      </c>
      <c r="AL121" s="13" t="s">
        <v>306</v>
      </c>
      <c r="AM121" s="13" t="s">
        <v>306</v>
      </c>
      <c r="AN121" s="13" t="s">
        <v>306</v>
      </c>
      <c r="AQ121" s="13" t="s">
        <v>306</v>
      </c>
      <c r="AR121" s="13" t="s">
        <v>306</v>
      </c>
      <c r="AS121" s="13" t="s">
        <v>306</v>
      </c>
      <c r="AT121" s="13">
        <f>COUNTA(AL121:AQ121)</f>
        <v>4</v>
      </c>
      <c r="AU121" s="13" t="str">
        <f t="shared" si="21"/>
        <v>K/4</v>
      </c>
      <c r="AV121" s="110"/>
      <c r="AW121" s="13" t="s">
        <v>161</v>
      </c>
      <c r="AX121" s="13" t="s">
        <v>75</v>
      </c>
      <c r="AY121" s="13" t="s">
        <v>87</v>
      </c>
      <c r="AZ121" s="13" t="s">
        <v>1902</v>
      </c>
      <c r="BA121" s="13"/>
      <c r="BB121" s="13" t="s">
        <v>75</v>
      </c>
      <c r="BC121" s="13" t="s">
        <v>87</v>
      </c>
      <c r="BD121" s="13" t="s">
        <v>1902</v>
      </c>
      <c r="BE121" s="13"/>
      <c r="BF121" s="213">
        <v>46266</v>
      </c>
      <c r="BG121" s="213"/>
      <c r="BK121" s="13"/>
      <c r="BL121" s="13"/>
      <c r="BM121" s="13"/>
      <c r="BN121" s="111"/>
      <c r="BO121" s="111"/>
      <c r="BP121" s="111"/>
      <c r="BQ121" s="111"/>
      <c r="BR121" s="13"/>
      <c r="BS121" s="13"/>
      <c r="BT121" s="13"/>
      <c r="BU121" s="13"/>
      <c r="BV121" s="13"/>
      <c r="BW121" s="13"/>
      <c r="BX121" s="13"/>
      <c r="BY121" s="13"/>
      <c r="BZ121" s="210">
        <v>45376</v>
      </c>
      <c r="CA121" s="13" t="s">
        <v>5004</v>
      </c>
      <c r="CB121" s="13"/>
      <c r="CC121" s="13"/>
      <c r="CD121" s="86" t="s">
        <v>4258</v>
      </c>
      <c r="CE121" s="86" t="e">
        <f>VLOOKUP(C121,[1]Sertifikasi!$B$4:$I$19,8,0)</f>
        <v>#N/A</v>
      </c>
    </row>
    <row r="122" spans="1:84" ht="11.25" customHeight="1" x14ac:dyDescent="0.2">
      <c r="A122" s="13"/>
      <c r="B122" s="13">
        <v>119</v>
      </c>
      <c r="C122" s="13" t="s">
        <v>5756</v>
      </c>
      <c r="D122" s="109">
        <v>642401179</v>
      </c>
      <c r="E122" s="110">
        <v>1780006281667</v>
      </c>
      <c r="F122" s="115"/>
      <c r="G122" s="13" t="s">
        <v>217</v>
      </c>
      <c r="H122" s="13" t="s">
        <v>217</v>
      </c>
      <c r="I122" s="210">
        <v>45292</v>
      </c>
      <c r="J122" s="112">
        <f t="shared" si="16"/>
        <v>0</v>
      </c>
      <c r="K122" s="13">
        <f t="shared" si="17"/>
        <v>3</v>
      </c>
      <c r="L122" s="210">
        <v>45292</v>
      </c>
      <c r="M122" s="13" t="str">
        <f t="shared" si="20"/>
        <v>PKWT</v>
      </c>
      <c r="N122" s="13"/>
      <c r="O122" s="213">
        <v>45657</v>
      </c>
      <c r="P122" s="13"/>
      <c r="Q122" s="117" t="s">
        <v>139</v>
      </c>
      <c r="R122" s="13" t="s">
        <v>312</v>
      </c>
      <c r="S122" s="13" t="s">
        <v>23</v>
      </c>
      <c r="T122" s="13" t="s">
        <v>204</v>
      </c>
      <c r="U122" s="13" t="s">
        <v>51</v>
      </c>
      <c r="V122" s="13" t="s">
        <v>121</v>
      </c>
      <c r="W122" s="13" t="s">
        <v>313</v>
      </c>
      <c r="X122" s="13"/>
      <c r="Y122" s="13" t="s">
        <v>314</v>
      </c>
      <c r="Z122" s="13" t="s">
        <v>1915</v>
      </c>
      <c r="AA122" s="210">
        <v>37505</v>
      </c>
      <c r="AB122" s="13">
        <f ca="1">DATEDIF(AA122,Database!$E$3,"y")</f>
        <v>23</v>
      </c>
      <c r="AC122" s="114" t="s">
        <v>5757</v>
      </c>
      <c r="AD122" s="13" t="s">
        <v>5758</v>
      </c>
      <c r="AE122" s="110" t="s">
        <v>5759</v>
      </c>
      <c r="AF122" s="115"/>
      <c r="AG122" s="13" t="s">
        <v>5760</v>
      </c>
      <c r="AH122" s="114" t="s">
        <v>5761</v>
      </c>
      <c r="AI122" s="110">
        <v>24009885633</v>
      </c>
      <c r="AJ122" s="86" t="s">
        <v>4716</v>
      </c>
      <c r="AK122" s="13" t="s">
        <v>306</v>
      </c>
      <c r="AL122" s="13" t="s">
        <v>306</v>
      </c>
      <c r="AM122" s="13" t="s">
        <v>306</v>
      </c>
      <c r="AN122" s="13" t="s">
        <v>306</v>
      </c>
      <c r="AQ122" s="13" t="s">
        <v>306</v>
      </c>
      <c r="AR122" s="13" t="s">
        <v>306</v>
      </c>
      <c r="AS122" s="13" t="s">
        <v>306</v>
      </c>
      <c r="AT122" s="13">
        <f>COUNTA(AL122:AQ122)</f>
        <v>4</v>
      </c>
      <c r="AU122" s="13" t="str">
        <f t="shared" si="21"/>
        <v>TK/4</v>
      </c>
      <c r="AV122" s="112"/>
      <c r="AW122" s="13" t="s">
        <v>161</v>
      </c>
      <c r="AX122" s="13" t="s">
        <v>349</v>
      </c>
      <c r="AY122" s="13" t="s">
        <v>515</v>
      </c>
      <c r="AZ122" s="13" t="s">
        <v>5762</v>
      </c>
      <c r="BA122" s="13">
        <v>2021</v>
      </c>
      <c r="BB122" s="13" t="s">
        <v>349</v>
      </c>
      <c r="BC122" s="13" t="s">
        <v>515</v>
      </c>
      <c r="BD122" s="13" t="s">
        <v>5762</v>
      </c>
      <c r="BE122" s="13">
        <v>2021</v>
      </c>
      <c r="BF122" s="210"/>
      <c r="BG122" s="210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210">
        <v>45406</v>
      </c>
      <c r="CA122" s="13" t="s">
        <v>4718</v>
      </c>
      <c r="CB122" s="13" t="s">
        <v>4735</v>
      </c>
      <c r="CC122" s="13"/>
      <c r="CD122" s="86" t="s">
        <v>5763</v>
      </c>
    </row>
    <row r="123" spans="1:84" ht="11.25" customHeight="1" x14ac:dyDescent="0.2">
      <c r="B123" s="13">
        <v>120</v>
      </c>
      <c r="C123" s="13" t="s">
        <v>5764</v>
      </c>
      <c r="D123" s="109">
        <v>999700007</v>
      </c>
      <c r="E123" s="110">
        <v>1440001095410</v>
      </c>
      <c r="F123" s="110"/>
      <c r="G123" s="112" t="s">
        <v>204</v>
      </c>
      <c r="H123" s="13" t="s">
        <v>217</v>
      </c>
      <c r="I123" s="210">
        <v>43987</v>
      </c>
      <c r="J123" s="112">
        <f t="shared" si="16"/>
        <v>3</v>
      </c>
      <c r="K123" s="13">
        <f t="shared" si="17"/>
        <v>10</v>
      </c>
      <c r="L123" s="210"/>
      <c r="M123" s="13" t="str">
        <f t="shared" si="20"/>
        <v>Organik</v>
      </c>
      <c r="N123" s="13" t="s">
        <v>2685</v>
      </c>
      <c r="O123" s="213">
        <v>35856</v>
      </c>
      <c r="Q123" s="13" t="s">
        <v>2686</v>
      </c>
      <c r="R123" s="13" t="s">
        <v>142</v>
      </c>
      <c r="S123" s="13" t="s">
        <v>5656</v>
      </c>
      <c r="T123" s="13" t="s">
        <v>187</v>
      </c>
      <c r="U123" s="13" t="s">
        <v>104</v>
      </c>
      <c r="V123" s="13" t="s">
        <v>104</v>
      </c>
      <c r="W123" s="13" t="s">
        <v>104</v>
      </c>
      <c r="X123" s="13" t="s">
        <v>1064</v>
      </c>
      <c r="Y123" s="13" t="s">
        <v>132</v>
      </c>
      <c r="Z123" s="13" t="s">
        <v>217</v>
      </c>
      <c r="AA123" s="210">
        <v>25312</v>
      </c>
      <c r="AB123" s="112">
        <f ca="1">DATEDIF(AA123,Database!$E$3,"y")</f>
        <v>56</v>
      </c>
      <c r="AC123" s="114" t="s">
        <v>5765</v>
      </c>
      <c r="AD123" s="13" t="s">
        <v>5766</v>
      </c>
      <c r="AE123" s="110" t="s">
        <v>5767</v>
      </c>
      <c r="AF123" s="115"/>
      <c r="AG123" s="13" t="s">
        <v>5768</v>
      </c>
      <c r="AH123" s="114" t="s">
        <v>5769</v>
      </c>
      <c r="AI123" s="110" t="s">
        <v>5770</v>
      </c>
      <c r="AJ123" s="86" t="s">
        <v>4733</v>
      </c>
      <c r="AK123" s="13" t="s">
        <v>5771</v>
      </c>
      <c r="AL123" s="13" t="s">
        <v>5772</v>
      </c>
      <c r="AM123" s="13" t="s">
        <v>5773</v>
      </c>
      <c r="AN123" s="13" t="s">
        <v>5773</v>
      </c>
      <c r="AQ123" s="13" t="s">
        <v>306</v>
      </c>
      <c r="AR123" s="13" t="s">
        <v>306</v>
      </c>
      <c r="AS123" s="13" t="s">
        <v>306</v>
      </c>
      <c r="AT123" s="13">
        <f>COUNTA(AL123:AQ123)</f>
        <v>4</v>
      </c>
      <c r="AU123" s="13" t="str">
        <f t="shared" si="21"/>
        <v>K/4</v>
      </c>
      <c r="AV123" s="110" t="s">
        <v>5774</v>
      </c>
      <c r="AW123" s="112" t="s">
        <v>161</v>
      </c>
      <c r="AX123" s="13" t="s">
        <v>109</v>
      </c>
      <c r="AY123" s="13" t="s">
        <v>5775</v>
      </c>
      <c r="AZ123" s="13" t="s">
        <v>1902</v>
      </c>
      <c r="BA123" s="13"/>
      <c r="BB123" s="13" t="s">
        <v>109</v>
      </c>
      <c r="BC123" s="13" t="s">
        <v>5775</v>
      </c>
      <c r="BD123" s="13" t="s">
        <v>1902</v>
      </c>
      <c r="BE123" s="13"/>
      <c r="BF123" s="213">
        <v>45413</v>
      </c>
      <c r="BG123" s="213" t="s">
        <v>5380</v>
      </c>
      <c r="BJ123" s="13"/>
      <c r="BK123" s="111">
        <v>44294</v>
      </c>
      <c r="BL123" s="111">
        <v>44322</v>
      </c>
      <c r="BM123" s="111">
        <v>44585</v>
      </c>
      <c r="BQ123" s="111"/>
      <c r="BR123" s="13"/>
      <c r="BS123" s="13"/>
      <c r="BT123" s="13"/>
      <c r="BU123" s="13"/>
      <c r="BV123" s="13"/>
      <c r="BW123" s="13"/>
      <c r="BX123" s="13"/>
      <c r="BY123" s="13"/>
      <c r="BZ123" s="210">
        <v>45412</v>
      </c>
      <c r="CA123" s="13" t="s">
        <v>4832</v>
      </c>
      <c r="CB123" s="13"/>
      <c r="CC123" s="13"/>
      <c r="CD123" s="86" t="s">
        <v>5776</v>
      </c>
      <c r="CE123" s="86" t="e">
        <f>VLOOKUP(C123,[1]Sertifikasi!$B$4:$I$19,8,0)</f>
        <v>#N/A</v>
      </c>
    </row>
    <row r="124" spans="1:84" ht="11.25" customHeight="1" x14ac:dyDescent="0.2">
      <c r="A124" s="13"/>
      <c r="B124" s="13">
        <v>121</v>
      </c>
      <c r="C124" s="13" t="s">
        <v>5777</v>
      </c>
      <c r="D124" s="109">
        <v>642002081</v>
      </c>
      <c r="E124" s="110">
        <v>1710006361219</v>
      </c>
      <c r="F124" s="110"/>
      <c r="G124" s="13" t="s">
        <v>30</v>
      </c>
      <c r="H124" s="13" t="s">
        <v>30</v>
      </c>
      <c r="I124" s="210">
        <v>45353</v>
      </c>
      <c r="J124" s="112">
        <f t="shared" si="16"/>
        <v>0</v>
      </c>
      <c r="K124" s="13">
        <f t="shared" si="17"/>
        <v>2</v>
      </c>
      <c r="L124" s="210">
        <v>45353</v>
      </c>
      <c r="M124" s="13" t="str">
        <f t="shared" si="20"/>
        <v>PKWT</v>
      </c>
      <c r="N124" s="13"/>
      <c r="O124" s="213">
        <v>45657</v>
      </c>
      <c r="P124" s="13"/>
      <c r="Q124" s="13" t="s">
        <v>141</v>
      </c>
      <c r="R124" s="13" t="s">
        <v>312</v>
      </c>
      <c r="S124" s="13" t="s">
        <v>25</v>
      </c>
      <c r="T124" s="13" t="s">
        <v>443</v>
      </c>
      <c r="U124" s="13" t="s">
        <v>57</v>
      </c>
      <c r="V124" s="13" t="s">
        <v>122</v>
      </c>
      <c r="W124" s="13" t="s">
        <v>313</v>
      </c>
      <c r="X124" s="13"/>
      <c r="Y124" s="13" t="s">
        <v>314</v>
      </c>
      <c r="Z124" s="13" t="s">
        <v>5778</v>
      </c>
      <c r="AA124" s="210">
        <v>34138</v>
      </c>
      <c r="AB124" s="112">
        <f ca="1">DATEDIF(AA124,Database!$E$3,"y")</f>
        <v>32</v>
      </c>
      <c r="AC124" s="114" t="s">
        <v>5779</v>
      </c>
      <c r="AD124" s="13" t="s">
        <v>5780</v>
      </c>
      <c r="AE124" s="110" t="s">
        <v>5781</v>
      </c>
      <c r="AF124" s="115"/>
      <c r="AG124" s="13" t="s">
        <v>5782</v>
      </c>
      <c r="AH124" s="114" t="s">
        <v>5783</v>
      </c>
      <c r="AI124" s="110">
        <v>20024319830</v>
      </c>
      <c r="AJ124" s="86" t="s">
        <v>4733</v>
      </c>
      <c r="AK124" s="13" t="s">
        <v>2181</v>
      </c>
      <c r="AL124" s="13" t="s">
        <v>5784</v>
      </c>
      <c r="AM124" s="13" t="s">
        <v>306</v>
      </c>
      <c r="AN124" s="13" t="s">
        <v>306</v>
      </c>
      <c r="AO124" s="13" t="s">
        <v>306</v>
      </c>
      <c r="AP124" s="13" t="s">
        <v>2852</v>
      </c>
      <c r="AQ124" s="13" t="s">
        <v>4540</v>
      </c>
      <c r="AR124" s="13" t="s">
        <v>5785</v>
      </c>
      <c r="AS124" s="13" t="s">
        <v>5786</v>
      </c>
      <c r="AT124" s="13">
        <f>COUNTA(AL124:AO124)</f>
        <v>4</v>
      </c>
      <c r="AU124" s="13" t="str">
        <f t="shared" si="21"/>
        <v>K/4</v>
      </c>
      <c r="AV124" s="86" t="s">
        <v>5787</v>
      </c>
      <c r="AW124" s="13" t="s">
        <v>161</v>
      </c>
      <c r="AX124" s="13" t="s">
        <v>349</v>
      </c>
      <c r="AY124" s="13" t="s">
        <v>515</v>
      </c>
      <c r="AZ124" s="13" t="s">
        <v>2601</v>
      </c>
      <c r="BA124" s="13">
        <v>2012</v>
      </c>
      <c r="BB124" s="13" t="s">
        <v>349</v>
      </c>
      <c r="BC124" s="13" t="s">
        <v>515</v>
      </c>
      <c r="BD124" s="13" t="s">
        <v>2601</v>
      </c>
      <c r="BE124" s="13">
        <v>2012</v>
      </c>
      <c r="BF124" s="213"/>
      <c r="BG124" s="213"/>
      <c r="BH124" s="13" t="s">
        <v>351</v>
      </c>
      <c r="BI124" s="13" t="s">
        <v>351</v>
      </c>
      <c r="BJ124" s="13">
        <v>42</v>
      </c>
      <c r="BK124" s="111"/>
      <c r="BL124" s="111"/>
      <c r="BM124" s="111"/>
      <c r="BN124" s="111"/>
      <c r="BO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210">
        <v>45414</v>
      </c>
      <c r="CA124" s="13" t="s">
        <v>4734</v>
      </c>
      <c r="CB124" s="86" t="s">
        <v>5788</v>
      </c>
      <c r="CC124" s="175" t="s">
        <v>5789</v>
      </c>
      <c r="CD124" s="86" t="s">
        <v>5790</v>
      </c>
    </row>
    <row r="125" spans="1:84" ht="11.25" customHeight="1" x14ac:dyDescent="0.2">
      <c r="B125" s="13">
        <v>122</v>
      </c>
      <c r="C125" s="13" t="s">
        <v>5791</v>
      </c>
      <c r="D125" s="109">
        <v>642307129</v>
      </c>
      <c r="E125" s="110">
        <v>1560021497823</v>
      </c>
      <c r="F125" s="110"/>
      <c r="G125" s="13" t="s">
        <v>217</v>
      </c>
      <c r="H125" s="13" t="s">
        <v>31</v>
      </c>
      <c r="I125" s="210">
        <v>45204</v>
      </c>
      <c r="J125" s="112">
        <f t="shared" si="16"/>
        <v>0</v>
      </c>
      <c r="K125" s="13">
        <f t="shared" si="17"/>
        <v>6</v>
      </c>
      <c r="L125" s="210"/>
      <c r="M125" s="13" t="str">
        <f t="shared" si="20"/>
        <v>PKWT</v>
      </c>
      <c r="N125" s="13"/>
      <c r="O125" s="213">
        <v>45657</v>
      </c>
      <c r="P125" s="13"/>
      <c r="Q125" s="13" t="s">
        <v>141</v>
      </c>
      <c r="R125" s="13" t="s">
        <v>312</v>
      </c>
      <c r="S125" s="13" t="s">
        <v>24</v>
      </c>
      <c r="T125" s="13" t="s">
        <v>204</v>
      </c>
      <c r="U125" s="13" t="s">
        <v>175</v>
      </c>
      <c r="V125" s="13" t="s">
        <v>121</v>
      </c>
      <c r="W125" s="13" t="s">
        <v>313</v>
      </c>
      <c r="X125" s="13" t="s">
        <v>462</v>
      </c>
      <c r="Y125" s="13" t="s">
        <v>314</v>
      </c>
      <c r="Z125" s="13" t="s">
        <v>31</v>
      </c>
      <c r="AA125" s="210">
        <v>37125</v>
      </c>
      <c r="AB125" s="112">
        <f>DATEDIF(AA125,[2]Database!$D$3,"y")</f>
        <v>23</v>
      </c>
      <c r="AC125" s="114" t="s">
        <v>5792</v>
      </c>
      <c r="AD125" s="13" t="s">
        <v>5793</v>
      </c>
      <c r="AE125" s="110" t="s">
        <v>5794</v>
      </c>
      <c r="AF125" s="115"/>
      <c r="AG125" s="13" t="s">
        <v>5795</v>
      </c>
      <c r="AH125" s="114" t="s">
        <v>5796</v>
      </c>
      <c r="AI125" s="110">
        <v>23156731244</v>
      </c>
      <c r="AJ125" s="86" t="s">
        <v>4716</v>
      </c>
      <c r="AK125" s="13" t="s">
        <v>306</v>
      </c>
      <c r="AL125" s="13" t="s">
        <v>306</v>
      </c>
      <c r="AM125" s="13" t="s">
        <v>306</v>
      </c>
      <c r="AN125" s="13" t="s">
        <v>306</v>
      </c>
      <c r="AQ125" s="13" t="s">
        <v>306</v>
      </c>
      <c r="AR125" s="13" t="s">
        <v>306</v>
      </c>
      <c r="AS125" s="13" t="s">
        <v>306</v>
      </c>
      <c r="AT125" s="13">
        <f>COUNTA(AL125:AQ125)</f>
        <v>4</v>
      </c>
      <c r="AU125" s="13" t="str">
        <f t="shared" si="21"/>
        <v>TK/4</v>
      </c>
      <c r="AV125" s="110"/>
      <c r="AW125" s="13" t="s">
        <v>161</v>
      </c>
      <c r="AX125" s="13" t="s">
        <v>70</v>
      </c>
      <c r="AY125" s="13" t="s">
        <v>99</v>
      </c>
      <c r="AZ125" s="13" t="s">
        <v>100</v>
      </c>
      <c r="BA125" s="13">
        <v>2023</v>
      </c>
      <c r="BB125" s="13" t="s">
        <v>70</v>
      </c>
      <c r="BC125" s="13" t="s">
        <v>99</v>
      </c>
      <c r="BD125" s="13" t="s">
        <v>100</v>
      </c>
      <c r="BE125" s="13">
        <v>2023</v>
      </c>
      <c r="BF125" s="213"/>
      <c r="BG125" s="213"/>
      <c r="BK125" s="13"/>
      <c r="BL125" s="13"/>
      <c r="BM125" s="13"/>
      <c r="BN125" s="111"/>
      <c r="BO125" s="111"/>
      <c r="BP125" s="111"/>
      <c r="BQ125" s="111"/>
      <c r="BR125" s="13"/>
      <c r="BS125" s="13"/>
      <c r="BT125" s="13"/>
      <c r="BU125" s="13"/>
      <c r="BV125" s="13"/>
      <c r="BW125" s="13"/>
      <c r="BX125" s="13"/>
      <c r="BY125" s="13"/>
      <c r="BZ125" s="210">
        <v>45414</v>
      </c>
      <c r="CA125" s="13" t="s">
        <v>4734</v>
      </c>
      <c r="CB125" s="13" t="s">
        <v>4735</v>
      </c>
      <c r="CC125" s="119">
        <v>8668902</v>
      </c>
      <c r="CD125" s="86" t="s">
        <v>5797</v>
      </c>
      <c r="CE125" s="86" t="e">
        <f>VLOOKUP(C125,[1]Sertifikasi!$B$4:$I$19,8,0)</f>
        <v>#N/A</v>
      </c>
    </row>
    <row r="126" spans="1:84" ht="11.25" customHeight="1" x14ac:dyDescent="0.2">
      <c r="A126" s="13"/>
      <c r="B126" s="13">
        <v>123</v>
      </c>
      <c r="C126" s="208" t="s">
        <v>5798</v>
      </c>
      <c r="D126" s="109">
        <v>642002077</v>
      </c>
      <c r="E126" s="110">
        <v>1710006361292</v>
      </c>
      <c r="F126" s="110"/>
      <c r="G126" s="13" t="s">
        <v>24</v>
      </c>
      <c r="H126" s="13" t="s">
        <v>24</v>
      </c>
      <c r="I126" s="210">
        <v>43885</v>
      </c>
      <c r="J126" s="112">
        <f t="shared" si="16"/>
        <v>4</v>
      </c>
      <c r="K126" s="13">
        <f t="shared" si="17"/>
        <v>4</v>
      </c>
      <c r="L126" s="210"/>
      <c r="M126" s="13" t="str">
        <f t="shared" si="20"/>
        <v>PKWT</v>
      </c>
      <c r="N126" s="13"/>
      <c r="O126" s="213">
        <v>45657</v>
      </c>
      <c r="P126" s="13"/>
      <c r="Q126" s="13" t="s">
        <v>141</v>
      </c>
      <c r="R126" s="13" t="s">
        <v>312</v>
      </c>
      <c r="S126" s="13" t="s">
        <v>24</v>
      </c>
      <c r="T126" s="13" t="s">
        <v>204</v>
      </c>
      <c r="U126" s="13" t="s">
        <v>56</v>
      </c>
      <c r="V126" s="13" t="s">
        <v>121</v>
      </c>
      <c r="W126" s="13" t="s">
        <v>313</v>
      </c>
      <c r="Y126" s="13" t="s">
        <v>314</v>
      </c>
      <c r="Z126" s="13" t="s">
        <v>667</v>
      </c>
      <c r="AA126" s="210">
        <v>35720</v>
      </c>
      <c r="AB126" s="112">
        <f>DATEDIF(AA126,[2]Database!$D$3,"y")</f>
        <v>26</v>
      </c>
      <c r="AC126" s="114" t="s">
        <v>5799</v>
      </c>
      <c r="AD126" s="13" t="s">
        <v>5800</v>
      </c>
      <c r="AE126" s="110" t="s">
        <v>5801</v>
      </c>
      <c r="AF126" s="115"/>
      <c r="AG126" s="204" t="s">
        <v>5802</v>
      </c>
      <c r="AH126" s="114" t="s">
        <v>5803</v>
      </c>
      <c r="AI126" s="110">
        <v>20024319780</v>
      </c>
      <c r="AJ126" s="86" t="s">
        <v>4716</v>
      </c>
      <c r="AK126" s="13"/>
      <c r="AL126" s="13"/>
      <c r="AM126" s="13"/>
      <c r="AN126" s="13"/>
      <c r="AO126" s="13"/>
      <c r="AP126" s="13" t="s">
        <v>5804</v>
      </c>
      <c r="AQ126" s="13" t="s">
        <v>5805</v>
      </c>
      <c r="AR126" s="13" t="s">
        <v>306</v>
      </c>
      <c r="AS126" s="13" t="s">
        <v>306</v>
      </c>
      <c r="AT126" s="13">
        <f>COUNTA(AL126:AO126)</f>
        <v>0</v>
      </c>
      <c r="AU126" s="13" t="str">
        <f t="shared" si="21"/>
        <v>TK/0</v>
      </c>
      <c r="AV126" s="86" t="s">
        <v>5806</v>
      </c>
      <c r="AW126" s="13" t="s">
        <v>161</v>
      </c>
      <c r="AX126" s="13" t="s">
        <v>349</v>
      </c>
      <c r="AY126" s="13" t="s">
        <v>515</v>
      </c>
      <c r="AZ126" s="13" t="s">
        <v>2470</v>
      </c>
      <c r="BA126" s="13">
        <v>2018</v>
      </c>
      <c r="BB126" s="13" t="s">
        <v>349</v>
      </c>
      <c r="BC126" s="13" t="s">
        <v>515</v>
      </c>
      <c r="BD126" s="13" t="s">
        <v>2470</v>
      </c>
      <c r="BE126" s="13">
        <v>2018</v>
      </c>
      <c r="BF126" s="213"/>
      <c r="BG126" s="213"/>
      <c r="BH126" s="13"/>
      <c r="BI126" s="13"/>
      <c r="BJ126" s="13">
        <v>42</v>
      </c>
      <c r="BK126" s="111"/>
      <c r="BL126" s="111"/>
      <c r="BM126" s="111"/>
      <c r="BN126" s="111"/>
      <c r="BO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210">
        <v>45471</v>
      </c>
      <c r="CA126" s="13" t="s">
        <v>4734</v>
      </c>
      <c r="CB126" s="86" t="s">
        <v>4735</v>
      </c>
      <c r="CC126" s="175">
        <v>4982000</v>
      </c>
      <c r="CD126" s="86" t="s">
        <v>5807</v>
      </c>
    </row>
    <row r="127" spans="1:84" ht="11.25" customHeight="1" x14ac:dyDescent="0.2">
      <c r="B127" s="13">
        <v>124</v>
      </c>
      <c r="C127" s="115" t="s">
        <v>5808</v>
      </c>
      <c r="D127" s="109">
        <v>642307122</v>
      </c>
      <c r="E127" s="110">
        <v>1710014237518</v>
      </c>
      <c r="F127" s="110"/>
      <c r="G127" s="13" t="s">
        <v>217</v>
      </c>
      <c r="H127" s="13" t="s">
        <v>31</v>
      </c>
      <c r="I127" s="210">
        <v>45174</v>
      </c>
      <c r="J127" s="13">
        <f>DATEDIF(I127,[2]Database!$D$3,"y")</f>
        <v>1</v>
      </c>
      <c r="K127" s="13">
        <f>DATEDIF(I127,[2]Database!$D$3,"ym")</f>
        <v>1</v>
      </c>
      <c r="L127" s="210"/>
      <c r="M127" s="13" t="str">
        <f t="shared" si="20"/>
        <v>PKWT</v>
      </c>
      <c r="N127" s="13" t="s">
        <v>187</v>
      </c>
      <c r="O127" s="213">
        <v>45539</v>
      </c>
      <c r="P127" s="13"/>
      <c r="Q127" s="13" t="s">
        <v>206</v>
      </c>
      <c r="R127" s="13" t="s">
        <v>312</v>
      </c>
      <c r="S127" s="13" t="s">
        <v>24</v>
      </c>
      <c r="T127" s="13" t="s">
        <v>204</v>
      </c>
      <c r="U127" s="13" t="s">
        <v>706</v>
      </c>
      <c r="V127" s="13" t="s">
        <v>121</v>
      </c>
      <c r="W127" s="13" t="s">
        <v>313</v>
      </c>
      <c r="X127" s="13" t="s">
        <v>462</v>
      </c>
      <c r="Y127" s="13" t="s">
        <v>314</v>
      </c>
      <c r="Z127" s="13" t="s">
        <v>31</v>
      </c>
      <c r="AA127" s="210">
        <v>36264</v>
      </c>
      <c r="AB127" s="112">
        <f>DATEDIF(AA127,[2]Database!$D$3,"y")</f>
        <v>25</v>
      </c>
      <c r="AC127" s="114" t="s">
        <v>5809</v>
      </c>
      <c r="AD127" s="13" t="s">
        <v>5810</v>
      </c>
      <c r="AE127" s="110">
        <v>82139989874</v>
      </c>
      <c r="AF127" s="115"/>
      <c r="AG127" s="13" t="s">
        <v>5811</v>
      </c>
      <c r="AH127" s="114" t="s">
        <v>5812</v>
      </c>
      <c r="AI127" s="110">
        <v>23138647583</v>
      </c>
      <c r="AJ127" s="13" t="s">
        <v>4716</v>
      </c>
      <c r="AK127" s="13"/>
      <c r="AL127" s="13"/>
      <c r="AN127" s="13"/>
      <c r="AO127" s="13"/>
      <c r="AP127" s="13"/>
      <c r="AR127" s="13" t="s">
        <v>306</v>
      </c>
      <c r="AS127" s="13" t="s">
        <v>306</v>
      </c>
      <c r="AT127" s="13">
        <f>COUNTA(AL127:AP127)</f>
        <v>0</v>
      </c>
      <c r="AU127" s="13" t="str">
        <f t="shared" si="21"/>
        <v>TK/0</v>
      </c>
      <c r="AV127" s="13"/>
      <c r="AW127" s="13" t="s">
        <v>161</v>
      </c>
      <c r="AX127" s="13" t="s">
        <v>70</v>
      </c>
      <c r="AY127" s="13" t="s">
        <v>99</v>
      </c>
      <c r="AZ127" s="13" t="s">
        <v>100</v>
      </c>
      <c r="BA127" s="13">
        <v>2020</v>
      </c>
      <c r="BB127" s="13" t="s">
        <v>70</v>
      </c>
      <c r="BC127" s="13" t="s">
        <v>99</v>
      </c>
      <c r="BD127" s="13" t="s">
        <v>100</v>
      </c>
      <c r="BE127" s="13">
        <v>2020</v>
      </c>
      <c r="BH127" s="116"/>
      <c r="BJ127" s="116"/>
      <c r="BK127" s="13"/>
      <c r="BL127" s="13"/>
      <c r="BM127" s="13"/>
      <c r="BN127" s="111"/>
      <c r="BO127" s="111"/>
      <c r="BP127" s="111"/>
      <c r="BQ127" s="111"/>
      <c r="BR127" s="13"/>
      <c r="BS127" s="13"/>
      <c r="BT127" s="13"/>
      <c r="BU127" s="13"/>
      <c r="BV127" s="13"/>
      <c r="BW127" s="13"/>
      <c r="BX127" s="13"/>
      <c r="BY127" s="13"/>
      <c r="BZ127" s="210">
        <v>45446</v>
      </c>
      <c r="CA127" s="13" t="s">
        <v>4734</v>
      </c>
      <c r="CB127" s="13" t="s">
        <v>5788</v>
      </c>
      <c r="CC127" s="13"/>
      <c r="CD127" s="86" t="s">
        <v>5813</v>
      </c>
    </row>
    <row r="128" spans="1:84" ht="11.25" customHeight="1" x14ac:dyDescent="0.2">
      <c r="A128" s="13"/>
      <c r="B128" s="13">
        <v>125</v>
      </c>
      <c r="C128" s="115" t="s">
        <v>5814</v>
      </c>
      <c r="D128" s="109">
        <v>642401175</v>
      </c>
      <c r="E128" s="110">
        <v>1710014828019</v>
      </c>
      <c r="F128" s="117"/>
      <c r="G128" s="13" t="s">
        <v>217</v>
      </c>
      <c r="H128" s="13" t="s">
        <v>217</v>
      </c>
      <c r="I128" s="210">
        <v>45292</v>
      </c>
      <c r="J128" s="13">
        <v>0</v>
      </c>
      <c r="K128" s="13">
        <v>7</v>
      </c>
      <c r="L128" s="210">
        <v>45535</v>
      </c>
      <c r="M128" s="13" t="s">
        <v>14</v>
      </c>
      <c r="N128" s="13" t="s">
        <v>187</v>
      </c>
      <c r="O128" s="213">
        <v>45657</v>
      </c>
      <c r="P128" s="13"/>
      <c r="Q128" s="13" t="s">
        <v>206</v>
      </c>
      <c r="R128" s="13" t="s">
        <v>312</v>
      </c>
      <c r="S128" s="13" t="s">
        <v>33</v>
      </c>
      <c r="T128" s="13" t="s">
        <v>204</v>
      </c>
      <c r="U128" s="13" t="s">
        <v>37</v>
      </c>
      <c r="V128" s="13" t="s">
        <v>121</v>
      </c>
      <c r="W128" s="13" t="s">
        <v>313</v>
      </c>
      <c r="X128" s="13"/>
      <c r="Y128" s="13" t="s">
        <v>314</v>
      </c>
      <c r="Z128" s="13" t="s">
        <v>217</v>
      </c>
      <c r="AA128" s="210">
        <v>36975</v>
      </c>
      <c r="AB128" s="13">
        <v>23</v>
      </c>
      <c r="AC128" s="114" t="s">
        <v>5815</v>
      </c>
      <c r="AD128" s="13" t="s">
        <v>5816</v>
      </c>
      <c r="AE128" s="117" t="s">
        <v>5817</v>
      </c>
      <c r="AF128" s="115"/>
      <c r="AG128" s="13" t="s">
        <v>5818</v>
      </c>
      <c r="AH128" s="114" t="s">
        <v>5819</v>
      </c>
      <c r="AI128" s="114">
        <v>24009885625</v>
      </c>
      <c r="AJ128" s="13" t="s">
        <v>4716</v>
      </c>
      <c r="AL128" s="13"/>
      <c r="AM128" s="13"/>
      <c r="AN128" s="13"/>
      <c r="AO128" s="13"/>
      <c r="AP128" s="13"/>
      <c r="AQ128" s="13" t="s">
        <v>306</v>
      </c>
      <c r="AR128" s="13" t="s">
        <v>306</v>
      </c>
      <c r="AS128" s="13" t="s">
        <v>306</v>
      </c>
      <c r="AT128" s="13">
        <v>0</v>
      </c>
      <c r="AU128" s="13" t="s">
        <v>5078</v>
      </c>
      <c r="AW128" s="13" t="s">
        <v>161</v>
      </c>
      <c r="AX128" s="13" t="s">
        <v>156</v>
      </c>
      <c r="AY128" s="13" t="s">
        <v>3884</v>
      </c>
      <c r="AZ128" s="13" t="s">
        <v>72</v>
      </c>
      <c r="BA128" s="13">
        <v>2023</v>
      </c>
      <c r="BB128" s="13" t="s">
        <v>156</v>
      </c>
      <c r="BC128" s="13" t="s">
        <v>3884</v>
      </c>
      <c r="BD128" s="13" t="s">
        <v>72</v>
      </c>
      <c r="BE128" s="13">
        <v>2023</v>
      </c>
      <c r="BF128" s="210"/>
      <c r="BG128" s="210"/>
      <c r="BH128" s="13"/>
      <c r="BI128" s="13"/>
      <c r="BJ128" s="13"/>
      <c r="BK128" s="13"/>
      <c r="BL128" s="13"/>
      <c r="BM128" s="13"/>
      <c r="BN128" s="13"/>
      <c r="BO128" s="13"/>
      <c r="BP128" s="13"/>
      <c r="BT128" s="13"/>
      <c r="BU128" s="13"/>
      <c r="BV128" s="13"/>
      <c r="BW128" s="13"/>
      <c r="BX128" s="13"/>
      <c r="BY128" s="13"/>
      <c r="BZ128" s="210">
        <v>45535</v>
      </c>
      <c r="CA128" s="13" t="s">
        <v>4734</v>
      </c>
      <c r="CB128" s="13" t="s">
        <v>4735</v>
      </c>
      <c r="CC128" s="119">
        <v>1090122</v>
      </c>
      <c r="CD128" s="86" t="s">
        <v>5820</v>
      </c>
      <c r="CE128" s="13"/>
      <c r="CF128" s="13"/>
    </row>
    <row r="129" spans="1:85" ht="11.25" customHeight="1" x14ac:dyDescent="0.2">
      <c r="A129" s="13"/>
      <c r="B129" s="13">
        <v>126</v>
      </c>
      <c r="C129" s="115" t="s">
        <v>5821</v>
      </c>
      <c r="D129" s="109">
        <v>642002072</v>
      </c>
      <c r="E129" s="110">
        <v>1710006288685</v>
      </c>
      <c r="F129" s="117"/>
      <c r="G129" s="112" t="s">
        <v>24</v>
      </c>
      <c r="H129" s="13" t="s">
        <v>24</v>
      </c>
      <c r="I129" s="210">
        <v>43832</v>
      </c>
      <c r="J129" s="13">
        <v>4</v>
      </c>
      <c r="K129" s="13">
        <v>8</v>
      </c>
      <c r="L129" s="210">
        <v>45553</v>
      </c>
      <c r="M129" s="13" t="s">
        <v>14</v>
      </c>
      <c r="N129" s="13" t="s">
        <v>5822</v>
      </c>
      <c r="O129" s="213">
        <v>45657</v>
      </c>
      <c r="P129" s="111"/>
      <c r="Q129" s="13" t="s">
        <v>206</v>
      </c>
      <c r="R129" s="13" t="s">
        <v>296</v>
      </c>
      <c r="S129" s="13" t="s">
        <v>24</v>
      </c>
      <c r="T129" s="13" t="s">
        <v>443</v>
      </c>
      <c r="U129" s="13" t="s">
        <v>444</v>
      </c>
      <c r="V129" s="13" t="s">
        <v>121</v>
      </c>
      <c r="W129" s="13" t="s">
        <v>313</v>
      </c>
      <c r="X129" s="13"/>
      <c r="Y129" s="13" t="s">
        <v>132</v>
      </c>
      <c r="Z129" s="13" t="s">
        <v>5823</v>
      </c>
      <c r="AA129" s="210">
        <v>35285</v>
      </c>
      <c r="AB129" s="112">
        <v>28</v>
      </c>
      <c r="AC129" s="114" t="s">
        <v>5824</v>
      </c>
      <c r="AD129" s="13" t="s">
        <v>5825</v>
      </c>
      <c r="AE129" s="117" t="s">
        <v>5826</v>
      </c>
      <c r="AF129" s="115"/>
      <c r="AG129" s="191" t="s">
        <v>5827</v>
      </c>
      <c r="AH129" s="114" t="s">
        <v>5828</v>
      </c>
      <c r="AI129" s="114" t="s">
        <v>5829</v>
      </c>
      <c r="AJ129" s="13" t="s">
        <v>4733</v>
      </c>
      <c r="AK129" s="13" t="s">
        <v>5830</v>
      </c>
      <c r="AL129" s="13" t="s">
        <v>5831</v>
      </c>
      <c r="AM129" s="13"/>
      <c r="AN129" s="13"/>
      <c r="AO129" s="13"/>
      <c r="AP129" s="13" t="s">
        <v>337</v>
      </c>
      <c r="AQ129" s="13" t="s">
        <v>5832</v>
      </c>
      <c r="AR129" s="13" t="s">
        <v>5833</v>
      </c>
      <c r="AS129" s="13" t="s">
        <v>5834</v>
      </c>
      <c r="AT129" s="13">
        <v>1</v>
      </c>
      <c r="AU129" s="13" t="s">
        <v>5637</v>
      </c>
      <c r="AV129" s="13" t="s">
        <v>5835</v>
      </c>
      <c r="AW129" s="112" t="s">
        <v>161</v>
      </c>
      <c r="AX129" s="13" t="s">
        <v>75</v>
      </c>
      <c r="AY129" s="13" t="s">
        <v>1925</v>
      </c>
      <c r="AZ129" s="13" t="s">
        <v>5836</v>
      </c>
      <c r="BA129" s="13">
        <v>2019</v>
      </c>
      <c r="BB129" s="13" t="s">
        <v>75</v>
      </c>
      <c r="BC129" s="13" t="s">
        <v>1925</v>
      </c>
      <c r="BD129" s="13" t="s">
        <v>5836</v>
      </c>
      <c r="BE129" s="13">
        <v>2019</v>
      </c>
      <c r="BF129" s="213"/>
      <c r="BG129" s="213"/>
      <c r="BH129" s="13"/>
      <c r="BI129" s="13"/>
      <c r="BJ129" s="13"/>
      <c r="BK129" s="111"/>
      <c r="BL129" s="111"/>
      <c r="BM129" s="111">
        <v>44621</v>
      </c>
      <c r="BN129" s="111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Z129" s="210">
        <v>45553</v>
      </c>
      <c r="CA129" s="13" t="s">
        <v>4734</v>
      </c>
      <c r="CB129" s="13" t="s">
        <v>5788</v>
      </c>
      <c r="CC129" s="13"/>
      <c r="CD129" s="86" t="s">
        <v>6793</v>
      </c>
    </row>
    <row r="130" spans="1:85" ht="11.25" customHeight="1" x14ac:dyDescent="0.2">
      <c r="A130" s="13"/>
      <c r="B130" s="13">
        <v>127</v>
      </c>
      <c r="C130" s="86" t="s">
        <v>5837</v>
      </c>
      <c r="D130" s="13">
        <v>642409206</v>
      </c>
      <c r="E130" s="120"/>
      <c r="F130" s="114"/>
      <c r="G130" s="13" t="s">
        <v>217</v>
      </c>
      <c r="H130" s="13"/>
      <c r="I130" s="210">
        <v>45566</v>
      </c>
      <c r="J130" s="13">
        <v>0</v>
      </c>
      <c r="K130" s="13">
        <v>0</v>
      </c>
      <c r="L130" s="210">
        <v>45566</v>
      </c>
      <c r="M130" s="13" t="s">
        <v>14</v>
      </c>
      <c r="N130" s="13" t="s">
        <v>187</v>
      </c>
      <c r="O130" s="210"/>
      <c r="P130" s="13"/>
      <c r="Q130" s="13" t="s">
        <v>206</v>
      </c>
      <c r="R130" s="13" t="s">
        <v>312</v>
      </c>
      <c r="S130" s="13"/>
      <c r="T130" s="13"/>
      <c r="U130" s="13"/>
      <c r="V130" s="13" t="s">
        <v>121</v>
      </c>
      <c r="W130" s="13" t="s">
        <v>313</v>
      </c>
      <c r="X130" s="88"/>
      <c r="Y130" s="13" t="s">
        <v>314</v>
      </c>
      <c r="Z130" s="13" t="s">
        <v>1779</v>
      </c>
      <c r="AA130" s="210"/>
      <c r="AB130" s="13">
        <v>124</v>
      </c>
      <c r="AC130" s="114" t="s">
        <v>5838</v>
      </c>
      <c r="AD130" s="13" t="s">
        <v>5839</v>
      </c>
      <c r="AE130" s="114" t="s">
        <v>5840</v>
      </c>
      <c r="AF130" s="13" t="s">
        <v>5840</v>
      </c>
      <c r="AG130" s="114"/>
      <c r="AH130" s="13"/>
      <c r="AI130" s="114"/>
      <c r="AJ130" s="114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>
        <v>0</v>
      </c>
      <c r="AU130" s="13" t="s">
        <v>5078</v>
      </c>
      <c r="AV130" s="13"/>
      <c r="AW130" s="13" t="s">
        <v>161</v>
      </c>
      <c r="AZ130" s="13"/>
      <c r="BA130" s="13"/>
      <c r="BB130" s="13"/>
      <c r="BC130" s="13"/>
      <c r="BD130" s="13"/>
      <c r="BE130" s="13"/>
      <c r="BF130" s="210"/>
      <c r="BG130" s="210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Z130" s="210">
        <v>45566</v>
      </c>
      <c r="CA130" s="13" t="s">
        <v>6820</v>
      </c>
      <c r="CB130" s="13" t="s">
        <v>4735</v>
      </c>
      <c r="CC130" s="13"/>
      <c r="CD130" s="13"/>
      <c r="CE130" s="13"/>
    </row>
    <row r="131" spans="1:85" ht="11.25" customHeight="1" x14ac:dyDescent="0.2">
      <c r="A131" s="13"/>
      <c r="B131" s="13">
        <v>128</v>
      </c>
      <c r="C131" s="115" t="s">
        <v>5841</v>
      </c>
      <c r="D131" s="109">
        <v>641812210</v>
      </c>
      <c r="E131" s="110">
        <v>1710004984236</v>
      </c>
      <c r="F131" s="117"/>
      <c r="G131" s="13" t="s">
        <v>217</v>
      </c>
      <c r="H131" s="13" t="s">
        <v>217</v>
      </c>
      <c r="I131" s="210">
        <v>43451</v>
      </c>
      <c r="J131" s="13">
        <v>5</v>
      </c>
      <c r="K131" s="13">
        <v>9</v>
      </c>
      <c r="L131" s="210">
        <v>45596</v>
      </c>
      <c r="M131" s="13" t="s">
        <v>14</v>
      </c>
      <c r="N131" s="13" t="s">
        <v>187</v>
      </c>
      <c r="O131" s="213">
        <v>45657</v>
      </c>
      <c r="P131" s="13"/>
      <c r="Q131" s="13" t="s">
        <v>206</v>
      </c>
      <c r="R131" s="13" t="s">
        <v>312</v>
      </c>
      <c r="S131" s="13" t="s">
        <v>31</v>
      </c>
      <c r="T131" s="13" t="s">
        <v>204</v>
      </c>
      <c r="U131" s="13" t="s">
        <v>40</v>
      </c>
      <c r="V131" s="13" t="s">
        <v>121</v>
      </c>
      <c r="W131" s="13" t="s">
        <v>313</v>
      </c>
      <c r="X131" s="13" t="s">
        <v>337</v>
      </c>
      <c r="Y131" s="13" t="s">
        <v>314</v>
      </c>
      <c r="Z131" s="13" t="s">
        <v>217</v>
      </c>
      <c r="AA131" s="210">
        <v>36637</v>
      </c>
      <c r="AB131" s="112">
        <v>24</v>
      </c>
      <c r="AC131" s="114" t="s">
        <v>5842</v>
      </c>
      <c r="AD131" s="13" t="s">
        <v>5843</v>
      </c>
      <c r="AE131" s="117" t="s">
        <v>5844</v>
      </c>
      <c r="AF131" s="115"/>
      <c r="AG131" s="117" t="s">
        <v>5845</v>
      </c>
      <c r="AH131" s="13" t="s">
        <v>5846</v>
      </c>
      <c r="AI131" s="114">
        <v>18115425045</v>
      </c>
      <c r="AJ131" s="114" t="s">
        <v>4716</v>
      </c>
      <c r="AK131" s="13"/>
      <c r="AL131" s="13"/>
      <c r="AM131" s="13"/>
      <c r="AN131" s="13"/>
      <c r="AO131" s="13"/>
      <c r="AP131" s="13" t="s">
        <v>306</v>
      </c>
      <c r="AQ131" s="13" t="s">
        <v>306</v>
      </c>
      <c r="AR131" s="13" t="s">
        <v>306</v>
      </c>
      <c r="AS131" s="13" t="s">
        <v>306</v>
      </c>
      <c r="AT131" s="13">
        <v>0</v>
      </c>
      <c r="AU131" s="13" t="s">
        <v>5078</v>
      </c>
      <c r="AV131" s="13"/>
      <c r="AW131" s="110" t="s">
        <v>161</v>
      </c>
      <c r="AX131" s="13" t="s">
        <v>349</v>
      </c>
      <c r="AY131" s="13" t="s">
        <v>91</v>
      </c>
      <c r="AZ131" s="13" t="s">
        <v>4350</v>
      </c>
      <c r="BA131" s="13">
        <v>2018</v>
      </c>
      <c r="BB131" s="13" t="s">
        <v>349</v>
      </c>
      <c r="BC131" s="13" t="s">
        <v>91</v>
      </c>
      <c r="BD131" s="13" t="s">
        <v>4350</v>
      </c>
      <c r="BE131" s="13">
        <v>2018</v>
      </c>
      <c r="BF131" s="210"/>
      <c r="BG131" s="213"/>
      <c r="BH131" s="116" t="s">
        <v>351</v>
      </c>
      <c r="BI131" s="13">
        <v>30</v>
      </c>
      <c r="BJ131" s="13">
        <v>41</v>
      </c>
      <c r="BK131" s="13"/>
      <c r="BL131" s="111"/>
      <c r="BM131" s="111"/>
      <c r="BN131" s="111"/>
      <c r="BO131" s="111"/>
      <c r="BP131" s="13"/>
      <c r="BQ131" s="13"/>
      <c r="BR131" s="13"/>
      <c r="BS131" s="13"/>
      <c r="BT131" s="13"/>
      <c r="BU131" s="13"/>
      <c r="BV131" s="13"/>
      <c r="BW131" s="13"/>
      <c r="BX131" s="13"/>
      <c r="BZ131" s="210">
        <v>45566</v>
      </c>
      <c r="CA131" s="13" t="s">
        <v>4734</v>
      </c>
      <c r="CB131" s="13" t="s">
        <v>5788</v>
      </c>
      <c r="CC131" s="13"/>
      <c r="CD131" s="86" t="s">
        <v>6791</v>
      </c>
      <c r="CE131" s="13"/>
    </row>
    <row r="132" spans="1:85" ht="11.25" customHeight="1" x14ac:dyDescent="0.2">
      <c r="A132" s="13"/>
      <c r="B132" s="13">
        <v>129</v>
      </c>
      <c r="C132" s="86" t="s">
        <v>5847</v>
      </c>
      <c r="D132" s="13">
        <v>642409219</v>
      </c>
      <c r="E132" s="120"/>
      <c r="F132" s="114"/>
      <c r="G132" s="13" t="s">
        <v>217</v>
      </c>
      <c r="H132" s="13" t="s">
        <v>311</v>
      </c>
      <c r="I132" s="210">
        <v>45566</v>
      </c>
      <c r="J132" s="13">
        <v>0</v>
      </c>
      <c r="K132" s="13">
        <v>0</v>
      </c>
      <c r="L132" s="210">
        <v>45567</v>
      </c>
      <c r="M132" s="13" t="s">
        <v>14</v>
      </c>
      <c r="N132" s="13" t="s">
        <v>187</v>
      </c>
      <c r="O132" s="210"/>
      <c r="P132" s="13"/>
      <c r="Q132" s="13" t="s">
        <v>206</v>
      </c>
      <c r="R132" s="13" t="s">
        <v>312</v>
      </c>
      <c r="S132" s="13"/>
      <c r="T132" s="13"/>
      <c r="U132" s="13"/>
      <c r="V132" s="13" t="s">
        <v>121</v>
      </c>
      <c r="W132" s="13" t="s">
        <v>313</v>
      </c>
      <c r="X132" s="88"/>
      <c r="Y132" s="13" t="s">
        <v>314</v>
      </c>
      <c r="Z132" s="13" t="s">
        <v>311</v>
      </c>
      <c r="AA132" s="210">
        <v>32869</v>
      </c>
      <c r="AB132" s="13">
        <v>34</v>
      </c>
      <c r="AC132" s="114" t="s">
        <v>5848</v>
      </c>
      <c r="AD132" s="115" t="s">
        <v>5849</v>
      </c>
      <c r="AE132" s="114" t="s">
        <v>5850</v>
      </c>
      <c r="AF132" s="13" t="s">
        <v>5850</v>
      </c>
      <c r="AG132" s="114" t="s">
        <v>5851</v>
      </c>
      <c r="AH132" s="13"/>
      <c r="AI132" s="114"/>
      <c r="AJ132" s="114" t="s">
        <v>4716</v>
      </c>
      <c r="AK132" s="13" t="s">
        <v>5852</v>
      </c>
      <c r="AL132" s="13" t="s">
        <v>5853</v>
      </c>
      <c r="AM132" s="13" t="s">
        <v>5854</v>
      </c>
      <c r="AN132" s="13"/>
      <c r="AO132" s="13"/>
      <c r="AP132" s="13" t="s">
        <v>5855</v>
      </c>
      <c r="AQ132" s="13" t="s">
        <v>2292</v>
      </c>
      <c r="AR132" s="13" t="s">
        <v>5856</v>
      </c>
      <c r="AS132" s="13" t="s">
        <v>5857</v>
      </c>
      <c r="AT132" s="13">
        <v>2</v>
      </c>
      <c r="AU132" s="13" t="s">
        <v>5002</v>
      </c>
      <c r="AV132" s="13"/>
      <c r="AW132" s="13" t="s">
        <v>161</v>
      </c>
      <c r="AX132" s="86" t="s">
        <v>349</v>
      </c>
      <c r="AY132" s="86" t="s">
        <v>5858</v>
      </c>
      <c r="AZ132" s="13" t="s">
        <v>5859</v>
      </c>
      <c r="BA132" s="13">
        <v>2008</v>
      </c>
      <c r="BB132" s="13" t="s">
        <v>349</v>
      </c>
      <c r="BC132" s="13" t="s">
        <v>4339</v>
      </c>
      <c r="BD132" s="13" t="s">
        <v>5859</v>
      </c>
      <c r="BE132" s="13">
        <v>2008</v>
      </c>
      <c r="BF132" s="210"/>
      <c r="BG132" s="210"/>
      <c r="BH132" s="13" t="s">
        <v>5860</v>
      </c>
      <c r="BI132" s="13" t="s">
        <v>5861</v>
      </c>
      <c r="BJ132" s="13">
        <v>42</v>
      </c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Z132" s="210">
        <v>45567</v>
      </c>
      <c r="CA132" s="13" t="s">
        <v>6820</v>
      </c>
      <c r="CB132" s="13" t="s">
        <v>4735</v>
      </c>
      <c r="CC132" s="13"/>
      <c r="CD132" s="13"/>
      <c r="CE132" s="13"/>
    </row>
    <row r="133" spans="1:85" ht="11.25" customHeight="1" x14ac:dyDescent="0.2">
      <c r="A133" s="13"/>
      <c r="B133" s="13">
        <v>130</v>
      </c>
      <c r="C133" s="86" t="s">
        <v>5862</v>
      </c>
      <c r="D133" s="13">
        <v>642409223</v>
      </c>
      <c r="E133" s="120"/>
      <c r="F133" s="114"/>
      <c r="G133" s="13" t="s">
        <v>217</v>
      </c>
      <c r="H133" s="13" t="s">
        <v>311</v>
      </c>
      <c r="I133" s="210">
        <v>45566</v>
      </c>
      <c r="J133" s="13">
        <v>0</v>
      </c>
      <c r="K133" s="13">
        <v>0</v>
      </c>
      <c r="L133" s="210">
        <v>45567</v>
      </c>
      <c r="M133" s="13" t="s">
        <v>14</v>
      </c>
      <c r="N133" s="13" t="s">
        <v>187</v>
      </c>
      <c r="O133" s="210"/>
      <c r="P133" s="13"/>
      <c r="Q133" s="13" t="s">
        <v>206</v>
      </c>
      <c r="R133" s="13" t="s">
        <v>312</v>
      </c>
      <c r="S133" s="13"/>
      <c r="T133" s="13"/>
      <c r="U133" s="13"/>
      <c r="V133" s="13" t="s">
        <v>121</v>
      </c>
      <c r="W133" s="13" t="s">
        <v>313</v>
      </c>
      <c r="X133" s="88"/>
      <c r="Y133" s="13" t="s">
        <v>314</v>
      </c>
      <c r="Z133" s="13" t="s">
        <v>311</v>
      </c>
      <c r="AA133" s="210">
        <v>35465</v>
      </c>
      <c r="AB133" s="13">
        <v>27</v>
      </c>
      <c r="AC133" s="114" t="s">
        <v>5863</v>
      </c>
      <c r="AD133" s="13" t="s">
        <v>5864</v>
      </c>
      <c r="AE133" s="114" t="s">
        <v>5865</v>
      </c>
      <c r="AF133" s="13" t="s">
        <v>5865</v>
      </c>
      <c r="AG133" s="114" t="s">
        <v>5866</v>
      </c>
      <c r="AH133" s="13"/>
      <c r="AI133" s="114"/>
      <c r="AJ133" s="114" t="s">
        <v>4716</v>
      </c>
      <c r="AK133" s="13"/>
      <c r="AL133" s="13"/>
      <c r="AM133" s="13"/>
      <c r="AN133" s="13"/>
      <c r="AO133" s="13"/>
      <c r="AP133" s="13" t="s">
        <v>5867</v>
      </c>
      <c r="AQ133" s="13" t="s">
        <v>5868</v>
      </c>
      <c r="AR133" s="13"/>
      <c r="AS133" s="13"/>
      <c r="AT133" s="13">
        <v>0</v>
      </c>
      <c r="AU133" s="13" t="s">
        <v>5078</v>
      </c>
      <c r="AV133" s="13"/>
      <c r="AW133" s="13" t="s">
        <v>161</v>
      </c>
      <c r="AX133" s="86" t="s">
        <v>349</v>
      </c>
      <c r="AY133" s="86" t="s">
        <v>5869</v>
      </c>
      <c r="AZ133" s="13" t="s">
        <v>5870</v>
      </c>
      <c r="BA133" s="13">
        <v>2015</v>
      </c>
      <c r="BB133" s="13" t="s">
        <v>349</v>
      </c>
      <c r="BC133" s="13" t="s">
        <v>5869</v>
      </c>
      <c r="BD133" s="13" t="s">
        <v>5870</v>
      </c>
      <c r="BE133" s="13">
        <v>2015</v>
      </c>
      <c r="BF133" s="210"/>
      <c r="BG133" s="210"/>
      <c r="BH133" s="13" t="s">
        <v>339</v>
      </c>
      <c r="BI133" s="13" t="s">
        <v>339</v>
      </c>
      <c r="BJ133" s="13">
        <v>43</v>
      </c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Z133" s="210">
        <v>45567</v>
      </c>
      <c r="CA133" s="13" t="s">
        <v>6820</v>
      </c>
      <c r="CB133" s="13" t="s">
        <v>4735</v>
      </c>
      <c r="CC133" s="13"/>
      <c r="CD133" s="13"/>
      <c r="CE133" s="13"/>
    </row>
    <row r="134" spans="1:85" ht="11.25" customHeight="1" x14ac:dyDescent="0.2">
      <c r="A134" s="13"/>
      <c r="B134" s="13">
        <v>131</v>
      </c>
      <c r="C134" s="115" t="s">
        <v>5871</v>
      </c>
      <c r="D134" s="109">
        <v>641907239</v>
      </c>
      <c r="E134" s="110">
        <v>1710005657666</v>
      </c>
      <c r="F134" s="117"/>
      <c r="G134" s="13" t="s">
        <v>217</v>
      </c>
      <c r="H134" s="13" t="s">
        <v>25</v>
      </c>
      <c r="I134" s="210">
        <v>43647</v>
      </c>
      <c r="J134" s="13">
        <f ca="1">DATEDIF(I134,Database!$E$3,"y")</f>
        <v>6</v>
      </c>
      <c r="K134" s="13">
        <f ca="1">DATEDIF(I134,Database!$E$3,"ym")</f>
        <v>2</v>
      </c>
      <c r="L134" s="210">
        <v>45590</v>
      </c>
      <c r="M134" s="13" t="str">
        <f>IF(LEFT(D134,2)="99","Organik",IF(LEFT(D134,2)="97","Tetap",IF(LEFT(D134,2)="75","Capeg",IF(LEFT(D134,2)="64","PKWT","Resign"))))</f>
        <v>PKWT</v>
      </c>
      <c r="N134" s="13" t="s">
        <v>187</v>
      </c>
      <c r="O134" s="213">
        <v>45473</v>
      </c>
      <c r="P134" s="13"/>
      <c r="Q134" s="13" t="s">
        <v>206</v>
      </c>
      <c r="R134" s="13" t="s">
        <v>312</v>
      </c>
      <c r="S134" s="13" t="s">
        <v>25</v>
      </c>
      <c r="T134" s="13" t="s">
        <v>443</v>
      </c>
      <c r="U134" s="13" t="s">
        <v>748</v>
      </c>
      <c r="V134" s="13" t="s">
        <v>122</v>
      </c>
      <c r="W134" s="13" t="s">
        <v>313</v>
      </c>
      <c r="X134" s="13" t="s">
        <v>445</v>
      </c>
      <c r="Y134" s="13" t="s">
        <v>314</v>
      </c>
      <c r="Z134" s="13" t="s">
        <v>25</v>
      </c>
      <c r="AA134" s="210">
        <v>35823</v>
      </c>
      <c r="AB134" s="112">
        <f ca="1">DATEDIF(AA134,Database!$E$3,"y")</f>
        <v>27</v>
      </c>
      <c r="AC134" s="114" t="s">
        <v>5872</v>
      </c>
      <c r="AD134" s="13" t="s">
        <v>5873</v>
      </c>
      <c r="AE134" s="117" t="s">
        <v>5874</v>
      </c>
      <c r="AF134" s="115"/>
      <c r="AG134" s="13" t="s">
        <v>5875</v>
      </c>
      <c r="AH134" s="114" t="s">
        <v>5876</v>
      </c>
      <c r="AI134" s="114">
        <v>19047643952</v>
      </c>
      <c r="AJ134" s="114" t="s">
        <v>4716</v>
      </c>
      <c r="AL134" s="13"/>
      <c r="AM134" s="13"/>
      <c r="AN134" s="13"/>
      <c r="AO134" s="13"/>
      <c r="AP134" s="13"/>
      <c r="AQ134" s="13" t="s">
        <v>5877</v>
      </c>
      <c r="AR134" s="13" t="s">
        <v>5878</v>
      </c>
      <c r="AS134" s="13" t="s">
        <v>306</v>
      </c>
      <c r="AT134" s="13">
        <f>COUNTA(AM134:AP134)</f>
        <v>0</v>
      </c>
      <c r="AU134" s="13" t="str">
        <f t="shared" ref="AU134:AU141" si="22">IF(AJ134="Menikah","K","TK")&amp;"/"&amp;AT134</f>
        <v>TK/0</v>
      </c>
      <c r="AV134" s="13" t="s">
        <v>5879</v>
      </c>
      <c r="AW134" s="13" t="s">
        <v>161</v>
      </c>
      <c r="AX134" s="13" t="s">
        <v>70</v>
      </c>
      <c r="AY134" s="13" t="s">
        <v>87</v>
      </c>
      <c r="AZ134" s="13" t="s">
        <v>2237</v>
      </c>
      <c r="BA134" s="13">
        <v>2018</v>
      </c>
      <c r="BB134" s="13" t="s">
        <v>70</v>
      </c>
      <c r="BC134" s="13" t="s">
        <v>87</v>
      </c>
      <c r="BD134" s="13" t="s">
        <v>2237</v>
      </c>
      <c r="BE134" s="13">
        <v>2018</v>
      </c>
      <c r="BH134" s="13" t="s">
        <v>339</v>
      </c>
      <c r="BI134" s="13">
        <v>33</v>
      </c>
      <c r="BJ134" s="13">
        <v>43</v>
      </c>
      <c r="BM134" s="111"/>
      <c r="BN134" s="111"/>
      <c r="BO134" s="111">
        <v>44671</v>
      </c>
      <c r="BP134" s="111"/>
      <c r="BQ134" s="13"/>
      <c r="BR134" s="13"/>
      <c r="BS134" s="13"/>
      <c r="BT134" s="13"/>
      <c r="BU134" s="13"/>
      <c r="BV134" s="13"/>
      <c r="BW134" s="13"/>
      <c r="BX134" s="13"/>
      <c r="BY134" s="13"/>
      <c r="BZ134" s="210">
        <v>45590</v>
      </c>
      <c r="CA134" s="86" t="s">
        <v>4734</v>
      </c>
      <c r="CB134" s="86" t="s">
        <v>5788</v>
      </c>
      <c r="CC134" s="13"/>
      <c r="CD134" s="86" t="s">
        <v>6792</v>
      </c>
      <c r="CE134" s="13" t="str">
        <f>VLOOKUP(C134,[1]Sertifikasi!$B$4:$I$19,8,0)</f>
        <v>Pembinaan Dan Sertifikasi Calon Ahli K3 Umum</v>
      </c>
    </row>
    <row r="135" spans="1:85" ht="11.25" customHeight="1" x14ac:dyDescent="0.2">
      <c r="A135" s="13"/>
      <c r="B135" s="13">
        <v>132</v>
      </c>
      <c r="C135" s="114" t="s">
        <v>5880</v>
      </c>
      <c r="D135" s="13">
        <v>642409237</v>
      </c>
      <c r="E135" s="114"/>
      <c r="F135" s="114"/>
      <c r="G135" s="13" t="s">
        <v>217</v>
      </c>
      <c r="H135" s="13" t="s">
        <v>217</v>
      </c>
      <c r="I135" s="210"/>
      <c r="J135" s="13">
        <v>0</v>
      </c>
      <c r="K135" s="13">
        <v>0</v>
      </c>
      <c r="L135" s="210"/>
      <c r="M135" s="13" t="s">
        <v>14</v>
      </c>
      <c r="N135" s="13" t="s">
        <v>187</v>
      </c>
      <c r="O135" s="210">
        <v>45657</v>
      </c>
      <c r="P135" s="13"/>
      <c r="Q135" s="13" t="s">
        <v>206</v>
      </c>
      <c r="R135" s="13" t="s">
        <v>312</v>
      </c>
      <c r="T135" s="13"/>
      <c r="U135" s="13"/>
      <c r="V135" s="13" t="s">
        <v>121</v>
      </c>
      <c r="W135" s="13" t="s">
        <v>313</v>
      </c>
      <c r="Y135" s="13" t="s">
        <v>132</v>
      </c>
      <c r="Z135" s="13" t="s">
        <v>217</v>
      </c>
      <c r="AA135" s="210">
        <v>35899</v>
      </c>
      <c r="AB135" s="13">
        <f ca="1">DATEDIF(AA135,Database!$E$3,"y")</f>
        <v>27</v>
      </c>
      <c r="AC135" s="114" t="s">
        <v>5881</v>
      </c>
      <c r="AD135" s="13" t="s">
        <v>5882</v>
      </c>
      <c r="AE135" s="114" t="s">
        <v>5883</v>
      </c>
      <c r="AG135" s="13" t="s">
        <v>5884</v>
      </c>
      <c r="AH135" s="114"/>
      <c r="AI135" s="114"/>
      <c r="AJ135" s="114" t="s">
        <v>4716</v>
      </c>
      <c r="AK135" s="13"/>
      <c r="AO135" s="13"/>
      <c r="AP135" s="13"/>
      <c r="AQ135" s="13"/>
      <c r="AR135" s="13" t="s">
        <v>6794</v>
      </c>
      <c r="AS135" s="13" t="s">
        <v>6795</v>
      </c>
      <c r="AT135" s="13">
        <f>COUNTA(AO135:AQ135)</f>
        <v>0</v>
      </c>
      <c r="AU135" s="13" t="str">
        <f t="shared" si="22"/>
        <v>TK/0</v>
      </c>
      <c r="AV135" s="13"/>
      <c r="AW135" s="13" t="s">
        <v>161</v>
      </c>
      <c r="AX135" s="150" t="s">
        <v>349</v>
      </c>
      <c r="AY135" s="13" t="s">
        <v>4502</v>
      </c>
      <c r="AZ135" s="13" t="s">
        <v>6749</v>
      </c>
      <c r="BA135" s="13">
        <v>2017</v>
      </c>
      <c r="BB135" s="13" t="s">
        <v>349</v>
      </c>
      <c r="BC135" s="13" t="s">
        <v>4502</v>
      </c>
      <c r="BD135" s="13" t="s">
        <v>6749</v>
      </c>
      <c r="BE135" s="13">
        <v>2017</v>
      </c>
      <c r="BH135" s="13" t="s">
        <v>351</v>
      </c>
      <c r="BI135" s="13" t="s">
        <v>351</v>
      </c>
      <c r="BJ135" s="13"/>
      <c r="BK135" s="13"/>
      <c r="BN135" s="13">
        <v>43</v>
      </c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210">
        <v>45567</v>
      </c>
      <c r="CA135" s="13" t="s">
        <v>6820</v>
      </c>
      <c r="CB135" s="13" t="s">
        <v>4735</v>
      </c>
      <c r="CC135" s="13"/>
      <c r="CD135" s="13"/>
      <c r="CE135" s="13"/>
      <c r="CF135" s="13"/>
      <c r="CG135" s="13"/>
    </row>
    <row r="136" spans="1:85" ht="11.25" customHeight="1" x14ac:dyDescent="0.2">
      <c r="A136" s="13"/>
      <c r="B136" s="13">
        <v>133</v>
      </c>
      <c r="C136" s="115" t="s">
        <v>5885</v>
      </c>
      <c r="D136" s="109">
        <v>642301199</v>
      </c>
      <c r="E136" s="110">
        <v>1710010685264</v>
      </c>
      <c r="F136" s="117"/>
      <c r="G136" s="13" t="s">
        <v>217</v>
      </c>
      <c r="H136" s="13" t="s">
        <v>311</v>
      </c>
      <c r="I136" s="210">
        <v>45048</v>
      </c>
      <c r="J136" s="13">
        <f ca="1">DATEDIF(I136,Database!$E$3,"y")</f>
        <v>2</v>
      </c>
      <c r="K136" s="13">
        <f ca="1">DATEDIF(I136,Database!$E$3,"ym")</f>
        <v>4</v>
      </c>
      <c r="M136" s="13" t="str">
        <f t="shared" ref="M136:M141" si="23">IF(LEFT(D136,2)="99","Organik",IF(LEFT(D136,2)="97","Tetap",IF(LEFT(D136,2)="75","Capeg",IF(LEFT(D136,2)="64","PKWT","Resign"))))</f>
        <v>PKWT</v>
      </c>
      <c r="N136" s="13" t="s">
        <v>187</v>
      </c>
      <c r="O136" s="210">
        <v>45413</v>
      </c>
      <c r="P136" s="13"/>
      <c r="Q136" s="13" t="s">
        <v>139</v>
      </c>
      <c r="R136" s="13" t="s">
        <v>296</v>
      </c>
      <c r="S136" s="13" t="s">
        <v>187</v>
      </c>
      <c r="T136" s="13" t="s">
        <v>115</v>
      </c>
      <c r="U136" s="13" t="s">
        <v>115</v>
      </c>
      <c r="V136" s="13" t="s">
        <v>115</v>
      </c>
      <c r="W136" s="13" t="s">
        <v>313</v>
      </c>
      <c r="X136" s="13"/>
      <c r="Y136" s="13" t="s">
        <v>133</v>
      </c>
      <c r="Z136" s="13" t="s">
        <v>311</v>
      </c>
      <c r="AA136" s="210">
        <v>36955</v>
      </c>
      <c r="AB136" s="112">
        <f ca="1">DATEDIF(AA136,Database!$E$3,"y")</f>
        <v>24</v>
      </c>
      <c r="AC136" s="114" t="s">
        <v>5886</v>
      </c>
      <c r="AD136" s="13" t="s">
        <v>5887</v>
      </c>
      <c r="AE136" s="117" t="s">
        <v>5888</v>
      </c>
      <c r="AF136" s="117" t="s">
        <v>5888</v>
      </c>
      <c r="AG136" s="13" t="s">
        <v>5889</v>
      </c>
      <c r="AH136" s="114" t="s">
        <v>5890</v>
      </c>
      <c r="AI136" s="114">
        <v>23065663736</v>
      </c>
      <c r="AJ136" s="114" t="s">
        <v>4716</v>
      </c>
      <c r="AK136" s="13"/>
      <c r="AO136" s="13"/>
      <c r="AP136" s="13"/>
      <c r="AQ136" s="13"/>
      <c r="AR136" s="13"/>
      <c r="AS136" s="13" t="s">
        <v>306</v>
      </c>
      <c r="AT136" s="13">
        <f>COUNTA(AO136:AR136)</f>
        <v>0</v>
      </c>
      <c r="AU136" s="13" t="str">
        <f t="shared" si="22"/>
        <v>TK/0</v>
      </c>
      <c r="AV136" s="13" t="s">
        <v>306</v>
      </c>
      <c r="AW136" s="13" t="s">
        <v>161</v>
      </c>
      <c r="AX136" s="13" t="s">
        <v>70</v>
      </c>
      <c r="AY136" s="13" t="s">
        <v>5891</v>
      </c>
      <c r="AZ136" s="13" t="s">
        <v>5892</v>
      </c>
      <c r="BA136" s="13">
        <v>2021</v>
      </c>
      <c r="BB136" s="13" t="s">
        <v>70</v>
      </c>
      <c r="BC136" s="13" t="s">
        <v>5891</v>
      </c>
      <c r="BD136" s="13" t="s">
        <v>5892</v>
      </c>
      <c r="BE136" s="13">
        <v>2021</v>
      </c>
      <c r="BH136" s="13" t="s">
        <v>360</v>
      </c>
      <c r="BI136" s="13"/>
      <c r="BJ136" s="116"/>
      <c r="BK136" s="116"/>
      <c r="BN136" s="13"/>
      <c r="BO136" s="111"/>
      <c r="BP136" s="111"/>
      <c r="BQ136" s="111"/>
      <c r="BR136" s="111"/>
      <c r="BS136" s="13"/>
      <c r="BT136" s="13"/>
      <c r="BU136" s="13"/>
      <c r="BV136" s="13"/>
      <c r="BW136" s="13"/>
      <c r="BX136" s="13"/>
      <c r="BY136" s="13"/>
      <c r="BZ136" s="212">
        <v>45547</v>
      </c>
      <c r="CA136" s="13" t="s">
        <v>4718</v>
      </c>
      <c r="CB136" s="13" t="s">
        <v>4735</v>
      </c>
      <c r="CC136" s="13"/>
      <c r="CD136" s="13" t="s">
        <v>6789</v>
      </c>
      <c r="CE136" s="13"/>
      <c r="CF136" s="13"/>
      <c r="CG136" s="13"/>
    </row>
    <row r="137" spans="1:85" ht="11.25" customHeight="1" x14ac:dyDescent="0.2">
      <c r="B137" s="13">
        <v>134</v>
      </c>
      <c r="C137" s="86" t="s">
        <v>3795</v>
      </c>
      <c r="D137" s="109">
        <v>642312145</v>
      </c>
      <c r="E137" s="110">
        <v>1710014832243</v>
      </c>
      <c r="F137" s="117"/>
      <c r="G137" s="13" t="s">
        <v>217</v>
      </c>
      <c r="H137" s="13" t="s">
        <v>3796</v>
      </c>
      <c r="I137" s="210">
        <v>45280</v>
      </c>
      <c r="J137" s="13">
        <f ca="1">DATEDIF(I137,Database!$E$3,"y")</f>
        <v>1</v>
      </c>
      <c r="K137" s="13">
        <f ca="1">DATEDIF(I137,Database!$E$3,"ym")</f>
        <v>9</v>
      </c>
      <c r="M137" s="13" t="str">
        <f t="shared" si="23"/>
        <v>PKWT</v>
      </c>
      <c r="N137" s="13" t="s">
        <v>187</v>
      </c>
      <c r="O137" s="213">
        <v>45838</v>
      </c>
      <c r="P137" s="13"/>
      <c r="Q137" s="117" t="s">
        <v>139</v>
      </c>
      <c r="R137" s="13" t="s">
        <v>296</v>
      </c>
      <c r="S137" s="13" t="s">
        <v>187</v>
      </c>
      <c r="T137" s="13" t="s">
        <v>1115</v>
      </c>
      <c r="U137" s="13" t="s">
        <v>119</v>
      </c>
      <c r="V137" s="13" t="s">
        <v>120</v>
      </c>
      <c r="W137" s="13" t="s">
        <v>313</v>
      </c>
      <c r="X137" s="13"/>
      <c r="Y137" s="13" t="s">
        <v>314</v>
      </c>
      <c r="Z137" s="13" t="s">
        <v>3797</v>
      </c>
      <c r="AA137" s="210">
        <v>35817</v>
      </c>
      <c r="AB137" s="112">
        <f ca="1">DATEDIF(AA137,Database!$E$3,"y")</f>
        <v>27</v>
      </c>
      <c r="AC137" s="114" t="s">
        <v>3798</v>
      </c>
      <c r="AD137" s="13" t="s">
        <v>3799</v>
      </c>
      <c r="AE137" s="117" t="s">
        <v>3800</v>
      </c>
      <c r="AG137" s="13" t="s">
        <v>3801</v>
      </c>
      <c r="AH137" s="114" t="s">
        <v>3802</v>
      </c>
      <c r="AI137" s="114">
        <v>24009885161</v>
      </c>
      <c r="AJ137" s="114" t="s">
        <v>4716</v>
      </c>
      <c r="AK137" s="13"/>
      <c r="AL137" s="114"/>
      <c r="AM137" s="13"/>
      <c r="AN137" s="13"/>
      <c r="AO137" s="13"/>
      <c r="AP137" s="13"/>
      <c r="AQ137" s="13"/>
      <c r="AR137" s="13" t="s">
        <v>306</v>
      </c>
      <c r="AS137" s="13" t="s">
        <v>306</v>
      </c>
      <c r="AT137" s="13">
        <f>COUNTA(AL137:AO137)</f>
        <v>0</v>
      </c>
      <c r="AU137" s="13" t="str">
        <f t="shared" si="22"/>
        <v>TK/0</v>
      </c>
      <c r="AV137" s="13"/>
      <c r="AW137" s="13" t="s">
        <v>161</v>
      </c>
      <c r="AX137" s="13" t="s">
        <v>75</v>
      </c>
      <c r="AY137" s="13" t="s">
        <v>87</v>
      </c>
      <c r="AZ137" s="13" t="s">
        <v>3794</v>
      </c>
      <c r="BA137" s="13">
        <v>2020</v>
      </c>
      <c r="BB137" s="13" t="s">
        <v>75</v>
      </c>
      <c r="BC137" s="13" t="s">
        <v>87</v>
      </c>
      <c r="BD137" s="13" t="s">
        <v>3794</v>
      </c>
      <c r="BE137" s="13">
        <v>2020</v>
      </c>
      <c r="BZ137" s="212">
        <v>45626</v>
      </c>
      <c r="CA137" s="86" t="s">
        <v>4734</v>
      </c>
      <c r="CB137" s="86" t="s">
        <v>4735</v>
      </c>
      <c r="CC137" s="209">
        <v>2142030</v>
      </c>
      <c r="CD137" s="86" t="s">
        <v>6788</v>
      </c>
    </row>
    <row r="138" spans="1:85" ht="11.25" customHeight="1" x14ac:dyDescent="0.2">
      <c r="B138" s="13">
        <v>135</v>
      </c>
      <c r="C138" s="86" t="s">
        <v>6785</v>
      </c>
      <c r="D138" s="109">
        <v>642401171</v>
      </c>
      <c r="E138" s="110">
        <v>1380023679991</v>
      </c>
      <c r="F138" s="117"/>
      <c r="G138" s="13" t="s">
        <v>217</v>
      </c>
      <c r="H138" s="13" t="s">
        <v>27</v>
      </c>
      <c r="I138" s="210">
        <v>45292</v>
      </c>
      <c r="J138" s="13">
        <f ca="1">DATEDIF(I138,Database!$E$3,"y")</f>
        <v>1</v>
      </c>
      <c r="K138" s="13">
        <f ca="1">DATEDIF(I138,Database!$E$3,"ym")</f>
        <v>8</v>
      </c>
      <c r="M138" s="13" t="str">
        <f t="shared" si="23"/>
        <v>PKWT</v>
      </c>
      <c r="N138" s="13" t="s">
        <v>187</v>
      </c>
      <c r="O138" s="213">
        <v>45657</v>
      </c>
      <c r="P138" s="13"/>
      <c r="Q138" s="13" t="s">
        <v>206</v>
      </c>
      <c r="R138" s="13" t="s">
        <v>312</v>
      </c>
      <c r="S138" s="13" t="s">
        <v>204</v>
      </c>
      <c r="T138" s="13" t="s">
        <v>204</v>
      </c>
      <c r="U138" s="13" t="s">
        <v>1426</v>
      </c>
      <c r="V138" s="13" t="s">
        <v>121</v>
      </c>
      <c r="W138" s="13" t="s">
        <v>313</v>
      </c>
      <c r="X138" s="13"/>
      <c r="Y138" s="13" t="s">
        <v>314</v>
      </c>
      <c r="Z138" s="13" t="s">
        <v>577</v>
      </c>
      <c r="AA138" s="210">
        <v>36716</v>
      </c>
      <c r="AB138" s="112">
        <f ca="1">DATEDIF(AA138,Database!$E$3,"y")</f>
        <v>25</v>
      </c>
      <c r="AC138" s="114" t="s">
        <v>3963</v>
      </c>
      <c r="AD138" s="13" t="s">
        <v>3964</v>
      </c>
      <c r="AE138" s="117" t="s">
        <v>3965</v>
      </c>
      <c r="AG138" s="13" t="s">
        <v>3966</v>
      </c>
      <c r="AH138" s="114" t="s">
        <v>3967</v>
      </c>
      <c r="AI138" s="114">
        <v>24009885203</v>
      </c>
      <c r="AJ138" s="114" t="s">
        <v>4716</v>
      </c>
      <c r="AK138" s="13"/>
      <c r="AL138" s="114"/>
      <c r="AM138" s="13"/>
      <c r="AN138" s="13"/>
      <c r="AO138" s="13"/>
      <c r="AP138" s="13"/>
      <c r="AQ138" s="13"/>
      <c r="AR138" s="13" t="s">
        <v>306</v>
      </c>
      <c r="AS138" s="13" t="s">
        <v>306</v>
      </c>
      <c r="AT138" s="13">
        <f>COUNTA(AL138:AO138)</f>
        <v>0</v>
      </c>
      <c r="AU138" s="13" t="str">
        <f t="shared" si="22"/>
        <v>TK/0</v>
      </c>
      <c r="AV138" s="13"/>
      <c r="AW138" s="13" t="s">
        <v>161</v>
      </c>
      <c r="AX138" s="13" t="s">
        <v>156</v>
      </c>
      <c r="AY138" s="13" t="s">
        <v>3884</v>
      </c>
      <c r="AZ138" s="13" t="s">
        <v>72</v>
      </c>
      <c r="BA138" s="13">
        <v>2023</v>
      </c>
      <c r="BB138" s="13" t="s">
        <v>156</v>
      </c>
      <c r="BC138" s="13" t="s">
        <v>3884</v>
      </c>
      <c r="BD138" s="13" t="s">
        <v>72</v>
      </c>
      <c r="BE138" s="13">
        <v>2023</v>
      </c>
      <c r="BZ138" s="212">
        <v>45629</v>
      </c>
      <c r="CA138" s="86" t="s">
        <v>4734</v>
      </c>
      <c r="CB138" s="86" t="s">
        <v>5788</v>
      </c>
      <c r="CD138" s="86" t="s">
        <v>6787</v>
      </c>
    </row>
    <row r="139" spans="1:85" ht="10.199999999999999" x14ac:dyDescent="0.2">
      <c r="B139" s="13">
        <v>136</v>
      </c>
      <c r="C139" s="86" t="s">
        <v>6786</v>
      </c>
      <c r="D139" s="109">
        <v>642307123</v>
      </c>
      <c r="E139" s="110">
        <v>1420019772127</v>
      </c>
      <c r="F139" s="117"/>
      <c r="G139" s="13" t="s">
        <v>217</v>
      </c>
      <c r="H139" s="13" t="s">
        <v>602</v>
      </c>
      <c r="I139" s="210">
        <v>45174</v>
      </c>
      <c r="J139" s="13">
        <f ca="1">DATEDIF(I139,Database!$E$3,"y")</f>
        <v>2</v>
      </c>
      <c r="K139" s="13">
        <f ca="1">DATEDIF(I139,Database!$E$3,"ym")</f>
        <v>0</v>
      </c>
      <c r="M139" s="13" t="str">
        <f t="shared" si="23"/>
        <v>PKWT</v>
      </c>
      <c r="N139" s="13" t="s">
        <v>187</v>
      </c>
      <c r="O139" s="213">
        <v>45539</v>
      </c>
      <c r="P139" s="13"/>
      <c r="Q139" s="13" t="s">
        <v>206</v>
      </c>
      <c r="R139" s="13" t="s">
        <v>312</v>
      </c>
      <c r="S139" s="13" t="s">
        <v>24</v>
      </c>
      <c r="T139" s="13" t="s">
        <v>204</v>
      </c>
      <c r="U139" s="13" t="s">
        <v>706</v>
      </c>
      <c r="V139" s="13" t="s">
        <v>121</v>
      </c>
      <c r="W139" s="13" t="s">
        <v>313</v>
      </c>
      <c r="X139" s="13" t="s">
        <v>462</v>
      </c>
      <c r="Y139" s="13" t="s">
        <v>314</v>
      </c>
      <c r="Z139" s="13" t="s">
        <v>3477</v>
      </c>
      <c r="AA139" s="210">
        <v>36263</v>
      </c>
      <c r="AB139" s="112">
        <f ca="1">DATEDIF(AA139,Database!$E$3,"y")</f>
        <v>26</v>
      </c>
      <c r="AC139" s="114" t="s">
        <v>3630</v>
      </c>
      <c r="AD139" s="13" t="s">
        <v>3631</v>
      </c>
      <c r="AE139" s="117">
        <v>6287855355533</v>
      </c>
      <c r="AG139" s="13" t="s">
        <v>3632</v>
      </c>
      <c r="AH139" s="114" t="s">
        <v>3633</v>
      </c>
      <c r="AI139" s="114" t="s">
        <v>3634</v>
      </c>
      <c r="AJ139" s="114" t="s">
        <v>4716</v>
      </c>
      <c r="AK139" s="13"/>
      <c r="AL139" s="114"/>
      <c r="AM139" s="13"/>
      <c r="AN139" s="13"/>
      <c r="AO139" s="13"/>
      <c r="AP139" s="13"/>
      <c r="AQ139" s="13"/>
      <c r="AR139" s="13" t="s">
        <v>306</v>
      </c>
      <c r="AS139" s="13" t="s">
        <v>306</v>
      </c>
      <c r="AT139" s="13">
        <f>COUNTA(AL139:AO139)</f>
        <v>0</v>
      </c>
      <c r="AU139" s="13" t="str">
        <f t="shared" si="22"/>
        <v>TK/0</v>
      </c>
      <c r="AV139" s="13"/>
      <c r="AW139" s="13" t="s">
        <v>161</v>
      </c>
      <c r="AX139" s="13" t="s">
        <v>70</v>
      </c>
      <c r="AY139" s="13" t="s">
        <v>99</v>
      </c>
      <c r="AZ139" s="13" t="s">
        <v>100</v>
      </c>
      <c r="BA139" s="13">
        <v>2021</v>
      </c>
      <c r="BB139" s="13" t="s">
        <v>70</v>
      </c>
      <c r="BC139" s="13" t="s">
        <v>99</v>
      </c>
      <c r="BD139" s="13" t="s">
        <v>100</v>
      </c>
      <c r="BE139" s="13">
        <v>2021</v>
      </c>
      <c r="BP139" s="87"/>
      <c r="BZ139" s="212">
        <v>45555</v>
      </c>
      <c r="CA139" s="86" t="s">
        <v>4734</v>
      </c>
      <c r="CB139" s="86" t="s">
        <v>4735</v>
      </c>
      <c r="CD139" s="86" t="s">
        <v>6790</v>
      </c>
    </row>
    <row r="140" spans="1:85" ht="11.25" customHeight="1" x14ac:dyDescent="0.2">
      <c r="A140" s="13"/>
      <c r="B140" s="13">
        <v>137</v>
      </c>
      <c r="C140" s="110" t="s">
        <v>3412</v>
      </c>
      <c r="D140" s="109">
        <v>642201172</v>
      </c>
      <c r="E140" s="110">
        <v>1710011477919</v>
      </c>
      <c r="F140" s="117"/>
      <c r="G140" s="13" t="s">
        <v>217</v>
      </c>
      <c r="H140" s="13" t="s">
        <v>217</v>
      </c>
      <c r="I140" s="210">
        <v>44702</v>
      </c>
      <c r="J140" s="13">
        <f ca="1">DATEDIF(I140,Database!$E$3,"y")</f>
        <v>3</v>
      </c>
      <c r="K140" s="13">
        <f ca="1">DATEDIF(I140,Database!$E$3,"ym")</f>
        <v>4</v>
      </c>
      <c r="L140" s="210">
        <v>45642</v>
      </c>
      <c r="M140" s="13" t="str">
        <f t="shared" si="23"/>
        <v>PKWT</v>
      </c>
      <c r="N140" s="13" t="s">
        <v>187</v>
      </c>
      <c r="O140" s="213">
        <v>45799</v>
      </c>
      <c r="P140" s="13"/>
      <c r="Q140" s="13" t="s">
        <v>206</v>
      </c>
      <c r="R140" s="13" t="s">
        <v>312</v>
      </c>
      <c r="S140" s="13" t="s">
        <v>49</v>
      </c>
      <c r="T140" s="13" t="s">
        <v>3413</v>
      </c>
      <c r="U140" s="13" t="s">
        <v>119</v>
      </c>
      <c r="V140" s="13" t="s">
        <v>121</v>
      </c>
      <c r="W140" s="13" t="s">
        <v>313</v>
      </c>
      <c r="X140" s="13"/>
      <c r="Y140" s="13" t="s">
        <v>314</v>
      </c>
      <c r="Z140" s="13" t="s">
        <v>217</v>
      </c>
      <c r="AA140" s="210">
        <v>36602</v>
      </c>
      <c r="AB140" s="13">
        <f ca="1">DATEDIF(AA140,Database!$E$3,"y")</f>
        <v>25</v>
      </c>
      <c r="AC140" s="114" t="s">
        <v>3414</v>
      </c>
      <c r="AD140" s="13" t="s">
        <v>3415</v>
      </c>
      <c r="AE140" s="117" t="s">
        <v>3416</v>
      </c>
      <c r="AF140" s="117"/>
      <c r="AG140" s="13" t="s">
        <v>3417</v>
      </c>
      <c r="AH140" s="114" t="s">
        <v>3418</v>
      </c>
      <c r="AI140" s="114">
        <v>22063660793</v>
      </c>
      <c r="AJ140" s="13" t="s">
        <v>4716</v>
      </c>
      <c r="AK140" s="13"/>
      <c r="AL140" s="13"/>
      <c r="AM140" s="13"/>
      <c r="AN140" s="13"/>
      <c r="AO140" s="13"/>
      <c r="AP140" s="13" t="s">
        <v>1346</v>
      </c>
      <c r="AQ140" s="13" t="s">
        <v>3419</v>
      </c>
      <c r="AR140" s="13" t="s">
        <v>306</v>
      </c>
      <c r="AS140" s="13" t="s">
        <v>306</v>
      </c>
      <c r="AT140" s="13">
        <f>COUNTA(AL140:AO140)</f>
        <v>0</v>
      </c>
      <c r="AU140" s="13" t="str">
        <f t="shared" si="22"/>
        <v>TK/0</v>
      </c>
      <c r="AV140" s="13" t="s">
        <v>3420</v>
      </c>
      <c r="AW140" s="13" t="s">
        <v>161</v>
      </c>
      <c r="AX140" s="13" t="s">
        <v>70</v>
      </c>
      <c r="AY140" s="13" t="s">
        <v>515</v>
      </c>
      <c r="AZ140" s="13" t="s">
        <v>72</v>
      </c>
      <c r="BA140" s="13">
        <v>2021</v>
      </c>
      <c r="BB140" s="13" t="s">
        <v>70</v>
      </c>
      <c r="BC140" s="13" t="s">
        <v>515</v>
      </c>
      <c r="BD140" s="13" t="s">
        <v>72</v>
      </c>
      <c r="BE140" s="13">
        <v>2021</v>
      </c>
      <c r="BF140" s="213"/>
      <c r="BG140" s="213"/>
      <c r="BH140" s="116"/>
      <c r="BI140" s="13"/>
      <c r="BJ140" s="13"/>
      <c r="BK140" s="13">
        <v>41</v>
      </c>
      <c r="BL140" s="111"/>
      <c r="BM140" s="111"/>
      <c r="BN140" s="111"/>
      <c r="BO140" s="111"/>
      <c r="BP140" s="13"/>
      <c r="BQ140" s="13"/>
      <c r="BR140" s="13"/>
      <c r="BS140" s="13" t="s">
        <v>3421</v>
      </c>
      <c r="BT140" s="13"/>
      <c r="BU140" s="13"/>
      <c r="BV140" s="13"/>
      <c r="BW140" s="13"/>
      <c r="BX140" s="13"/>
      <c r="BY140" s="13"/>
      <c r="BZ140" s="292">
        <v>45639</v>
      </c>
      <c r="CA140" s="86" t="s">
        <v>4734</v>
      </c>
      <c r="CB140" s="13" t="s">
        <v>4735</v>
      </c>
      <c r="CC140" s="13"/>
      <c r="CD140" s="13"/>
      <c r="CE140" s="13"/>
    </row>
    <row r="141" spans="1:85" ht="11.25" customHeight="1" x14ac:dyDescent="0.2">
      <c r="A141" s="13"/>
      <c r="B141" s="13">
        <v>138</v>
      </c>
      <c r="C141" s="110" t="s">
        <v>3564</v>
      </c>
      <c r="D141" s="109">
        <v>642301189</v>
      </c>
      <c r="E141" s="110">
        <v>1800012245256</v>
      </c>
      <c r="F141" s="117"/>
      <c r="G141" s="13" t="s">
        <v>217</v>
      </c>
      <c r="H141" s="13" t="s">
        <v>1904</v>
      </c>
      <c r="I141" s="210">
        <v>44931</v>
      </c>
      <c r="J141" s="13">
        <f ca="1">DATEDIF(I141,Database!$E$3,"y")</f>
        <v>2</v>
      </c>
      <c r="K141" s="13">
        <f ca="1">DATEDIF(I141,Database!$E$3,"ym")</f>
        <v>8</v>
      </c>
      <c r="L141" s="210">
        <v>45642</v>
      </c>
      <c r="M141" s="13" t="str">
        <f t="shared" si="23"/>
        <v>PKWT</v>
      </c>
      <c r="N141" s="13" t="s">
        <v>187</v>
      </c>
      <c r="O141" s="213">
        <v>45657</v>
      </c>
      <c r="P141" s="13"/>
      <c r="Q141" s="13" t="s">
        <v>206</v>
      </c>
      <c r="R141" s="13" t="s">
        <v>312</v>
      </c>
      <c r="S141" s="13" t="s">
        <v>24</v>
      </c>
      <c r="T141" s="13" t="s">
        <v>204</v>
      </c>
      <c r="U141" s="13" t="s">
        <v>706</v>
      </c>
      <c r="V141" s="13" t="s">
        <v>121</v>
      </c>
      <c r="W141" s="13" t="s">
        <v>313</v>
      </c>
      <c r="X141" s="13" t="s">
        <v>462</v>
      </c>
      <c r="Y141" s="13" t="s">
        <v>314</v>
      </c>
      <c r="Z141" s="13" t="s">
        <v>1904</v>
      </c>
      <c r="AA141" s="210">
        <v>37086</v>
      </c>
      <c r="AB141" s="13">
        <f ca="1">DATEDIF(AA141,Database!$E$3,"y")</f>
        <v>24</v>
      </c>
      <c r="AC141" s="114" t="s">
        <v>3565</v>
      </c>
      <c r="AD141" s="13" t="s">
        <v>3566</v>
      </c>
      <c r="AE141" s="117" t="s">
        <v>3567</v>
      </c>
      <c r="AF141" s="117"/>
      <c r="AG141" s="13" t="s">
        <v>3568</v>
      </c>
      <c r="AH141" s="114" t="s">
        <v>3569</v>
      </c>
      <c r="AI141" s="114">
        <v>23009096662</v>
      </c>
      <c r="AJ141" s="13" t="s">
        <v>4716</v>
      </c>
      <c r="AK141" s="13"/>
      <c r="AL141" s="13"/>
      <c r="AM141" s="13"/>
      <c r="AN141" s="13"/>
      <c r="AO141" s="13"/>
      <c r="AP141" s="13" t="s">
        <v>306</v>
      </c>
      <c r="AQ141" s="13" t="s">
        <v>306</v>
      </c>
      <c r="AR141" s="13" t="s">
        <v>306</v>
      </c>
      <c r="AS141" s="13" t="s">
        <v>306</v>
      </c>
      <c r="AT141" s="13">
        <f>COUNTA(AL141:AO141)</f>
        <v>0</v>
      </c>
      <c r="AU141" s="13" t="str">
        <f t="shared" si="22"/>
        <v>TK/0</v>
      </c>
      <c r="AV141" s="13"/>
      <c r="AW141" s="13" t="s">
        <v>161</v>
      </c>
      <c r="AX141" s="13" t="s">
        <v>70</v>
      </c>
      <c r="AY141" s="13" t="s">
        <v>99</v>
      </c>
      <c r="AZ141" s="13" t="s">
        <v>100</v>
      </c>
      <c r="BA141" s="13">
        <v>2022</v>
      </c>
      <c r="BB141" s="13" t="s">
        <v>70</v>
      </c>
      <c r="BC141" s="13" t="s">
        <v>99</v>
      </c>
      <c r="BD141" s="13" t="s">
        <v>100</v>
      </c>
      <c r="BE141" s="13">
        <v>2022</v>
      </c>
      <c r="BF141" s="213"/>
      <c r="BG141" s="213"/>
      <c r="BH141" s="116"/>
      <c r="BI141" s="13"/>
      <c r="BJ141" s="13"/>
      <c r="BK141" s="13">
        <v>44</v>
      </c>
      <c r="BL141" s="111"/>
      <c r="BM141" s="111"/>
      <c r="BN141" s="111">
        <v>44596</v>
      </c>
      <c r="BO141" s="111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292">
        <v>45638</v>
      </c>
      <c r="CA141" s="86" t="s">
        <v>4734</v>
      </c>
      <c r="CB141" s="13" t="s">
        <v>4735</v>
      </c>
      <c r="CC141" s="13"/>
      <c r="CD141" s="13"/>
    </row>
    <row r="142" spans="1:85" ht="10.199999999999999" x14ac:dyDescent="0.2">
      <c r="B142" s="13">
        <v>139</v>
      </c>
      <c r="C142" s="86" t="s">
        <v>2512</v>
      </c>
      <c r="D142" s="86">
        <v>641907250</v>
      </c>
      <c r="E142" s="198">
        <v>1710005657716</v>
      </c>
      <c r="G142" s="86" t="s">
        <v>21</v>
      </c>
      <c r="H142" s="86" t="s">
        <v>21</v>
      </c>
      <c r="I142" s="212">
        <v>43647</v>
      </c>
      <c r="J142" s="13">
        <f ca="1">DATEDIF(I142,Database!$E$3,"y")</f>
        <v>6</v>
      </c>
      <c r="K142" s="13">
        <f ca="1">DATEDIF(I142,Database!$E$3,"ym")</f>
        <v>2</v>
      </c>
      <c r="M142" s="86" t="s">
        <v>187</v>
      </c>
      <c r="O142" s="212">
        <v>45657</v>
      </c>
      <c r="Q142" s="87" t="s">
        <v>206</v>
      </c>
      <c r="R142" s="86" t="s">
        <v>312</v>
      </c>
      <c r="S142" s="86" t="s">
        <v>25</v>
      </c>
      <c r="T142" s="86" t="s">
        <v>443</v>
      </c>
      <c r="U142" s="86" t="s">
        <v>748</v>
      </c>
      <c r="V142" s="86" t="s">
        <v>122</v>
      </c>
      <c r="W142" s="86" t="s">
        <v>313</v>
      </c>
      <c r="Y142" s="212" t="s">
        <v>314</v>
      </c>
      <c r="Z142" s="86" t="s">
        <v>2513</v>
      </c>
      <c r="AA142" s="212">
        <v>35837</v>
      </c>
      <c r="AB142" s="86">
        <v>26</v>
      </c>
      <c r="AC142" s="86" t="s">
        <v>2514</v>
      </c>
      <c r="AD142" s="86" t="s">
        <v>2515</v>
      </c>
      <c r="AE142" s="86" t="s">
        <v>2516</v>
      </c>
      <c r="AG142" s="86" t="s">
        <v>2517</v>
      </c>
      <c r="AH142" s="86" t="s">
        <v>2518</v>
      </c>
      <c r="AI142" s="186">
        <v>19047643945</v>
      </c>
      <c r="AJ142" s="86" t="s">
        <v>4733</v>
      </c>
      <c r="AK142" s="86" t="s">
        <v>2519</v>
      </c>
      <c r="AL142" s="86" t="s">
        <v>2520</v>
      </c>
      <c r="AP142" s="86" t="s">
        <v>306</v>
      </c>
      <c r="AQ142" s="86" t="s">
        <v>306</v>
      </c>
      <c r="AR142" s="86" t="s">
        <v>306</v>
      </c>
      <c r="AS142" s="86" t="s">
        <v>306</v>
      </c>
      <c r="AT142" s="86">
        <v>1</v>
      </c>
      <c r="AU142" s="86" t="s">
        <v>5637</v>
      </c>
      <c r="AW142" s="86" t="s">
        <v>161</v>
      </c>
      <c r="AX142" s="86" t="s">
        <v>349</v>
      </c>
      <c r="AY142" s="86" t="s">
        <v>515</v>
      </c>
      <c r="AZ142" s="86" t="s">
        <v>2521</v>
      </c>
      <c r="BA142" s="86">
        <v>2016</v>
      </c>
      <c r="BB142" s="86" t="s">
        <v>475</v>
      </c>
      <c r="BC142" s="86" t="s">
        <v>515</v>
      </c>
      <c r="BD142" s="86" t="s">
        <v>2521</v>
      </c>
      <c r="BE142" s="86">
        <v>2016</v>
      </c>
      <c r="BH142" s="86" t="s">
        <v>351</v>
      </c>
      <c r="BI142" s="86">
        <v>29</v>
      </c>
      <c r="BJ142" s="86">
        <v>40</v>
      </c>
      <c r="BL142" s="87">
        <v>44590</v>
      </c>
      <c r="BZ142" s="293">
        <v>45657</v>
      </c>
      <c r="CA142" s="86" t="s">
        <v>4734</v>
      </c>
      <c r="CB142" s="86" t="s">
        <v>5788</v>
      </c>
    </row>
    <row r="143" spans="1:85" ht="10.199999999999999" x14ac:dyDescent="0.2">
      <c r="B143" s="13">
        <v>140</v>
      </c>
      <c r="C143" s="86" t="s">
        <v>2051</v>
      </c>
      <c r="D143" s="86">
        <v>641810195</v>
      </c>
      <c r="E143" s="198">
        <v>1710004811033</v>
      </c>
      <c r="G143" s="86" t="s">
        <v>25</v>
      </c>
      <c r="H143" s="86" t="s">
        <v>25</v>
      </c>
      <c r="I143" s="212">
        <v>43395</v>
      </c>
      <c r="J143" s="13">
        <f ca="1">DATEDIF(I143,Database!$E$3,"y")</f>
        <v>6</v>
      </c>
      <c r="K143" s="13">
        <f ca="1">DATEDIF(I143,Database!$E$3,"ym")</f>
        <v>11</v>
      </c>
      <c r="M143" s="86" t="s">
        <v>187</v>
      </c>
      <c r="O143" s="212">
        <v>45586</v>
      </c>
      <c r="Q143" s="87" t="s">
        <v>206</v>
      </c>
      <c r="R143" s="86" t="s">
        <v>312</v>
      </c>
      <c r="S143" s="86" t="s">
        <v>25</v>
      </c>
      <c r="T143" s="86" t="s">
        <v>443</v>
      </c>
      <c r="U143" s="86" t="s">
        <v>748</v>
      </c>
      <c r="V143" s="86" t="s">
        <v>122</v>
      </c>
      <c r="W143" s="86" t="s">
        <v>313</v>
      </c>
      <c r="Y143" s="212" t="s">
        <v>314</v>
      </c>
      <c r="Z143" s="86" t="s">
        <v>25</v>
      </c>
      <c r="AA143" s="212">
        <v>36586</v>
      </c>
      <c r="AB143" s="86">
        <v>24</v>
      </c>
      <c r="AC143" s="86" t="s">
        <v>2052</v>
      </c>
      <c r="AD143" s="86" t="s">
        <v>2053</v>
      </c>
      <c r="AE143" s="86" t="s">
        <v>2054</v>
      </c>
      <c r="AG143" s="86" t="s">
        <v>2055</v>
      </c>
      <c r="AH143" s="86" t="s">
        <v>2056</v>
      </c>
      <c r="AI143" s="186">
        <v>18099947600</v>
      </c>
      <c r="AJ143" s="86" t="s">
        <v>4716</v>
      </c>
      <c r="AP143" s="86" t="s">
        <v>2057</v>
      </c>
      <c r="AQ143" s="86" t="s">
        <v>2058</v>
      </c>
      <c r="AR143" s="86" t="s">
        <v>306</v>
      </c>
      <c r="AS143" s="86" t="s">
        <v>306</v>
      </c>
      <c r="AT143" s="86">
        <v>0</v>
      </c>
      <c r="AU143" s="86" t="s">
        <v>5078</v>
      </c>
      <c r="AV143" s="86" t="s">
        <v>2059</v>
      </c>
      <c r="AW143" s="86" t="s">
        <v>161</v>
      </c>
      <c r="AX143" s="86" t="s">
        <v>349</v>
      </c>
      <c r="AY143" s="86" t="s">
        <v>4502</v>
      </c>
      <c r="AZ143" s="86" t="s">
        <v>1855</v>
      </c>
      <c r="BA143" s="86">
        <v>2018</v>
      </c>
      <c r="BB143" s="86" t="s">
        <v>475</v>
      </c>
      <c r="BC143" s="86" t="s">
        <v>4502</v>
      </c>
      <c r="BD143" s="86" t="s">
        <v>1855</v>
      </c>
      <c r="BE143" s="86">
        <v>2018</v>
      </c>
      <c r="BH143" s="86" t="s">
        <v>351</v>
      </c>
      <c r="BI143" s="86">
        <v>31</v>
      </c>
      <c r="BJ143" s="86">
        <v>41</v>
      </c>
      <c r="BL143" s="87"/>
      <c r="BZ143" s="293">
        <v>45648</v>
      </c>
      <c r="CA143" s="86" t="s">
        <v>4734</v>
      </c>
      <c r="CB143" s="86" t="s">
        <v>4735</v>
      </c>
    </row>
    <row r="144" spans="1:85" ht="10.199999999999999" x14ac:dyDescent="0.2">
      <c r="B144" s="13">
        <v>141</v>
      </c>
      <c r="C144" s="86" t="s">
        <v>1843</v>
      </c>
      <c r="D144" s="86">
        <v>641808176</v>
      </c>
      <c r="E144" s="198">
        <v>1130012942250</v>
      </c>
      <c r="G144" s="86" t="s">
        <v>25</v>
      </c>
      <c r="H144" s="86" t="s">
        <v>25</v>
      </c>
      <c r="I144" s="212">
        <v>43325</v>
      </c>
      <c r="J144" s="13">
        <f ca="1">DATEDIF(I144,Database!$E$3,"y")</f>
        <v>7</v>
      </c>
      <c r="K144" s="13">
        <f ca="1">DATEDIF(I144,Database!$E$3,"ym")</f>
        <v>1</v>
      </c>
      <c r="M144" s="86" t="s">
        <v>187</v>
      </c>
      <c r="O144" s="212">
        <v>45515</v>
      </c>
      <c r="Q144" s="87" t="s">
        <v>206</v>
      </c>
      <c r="R144" s="86" t="s">
        <v>312</v>
      </c>
      <c r="S144" s="86" t="s">
        <v>29</v>
      </c>
      <c r="T144" s="86" t="s">
        <v>204</v>
      </c>
      <c r="U144" s="86" t="s">
        <v>41</v>
      </c>
      <c r="V144" s="86" t="s">
        <v>122</v>
      </c>
      <c r="W144" s="86" t="s">
        <v>313</v>
      </c>
      <c r="Y144" s="212" t="s">
        <v>314</v>
      </c>
      <c r="Z144" s="86" t="s">
        <v>25</v>
      </c>
      <c r="AA144" s="212">
        <v>29619</v>
      </c>
      <c r="AB144" s="86">
        <v>43</v>
      </c>
      <c r="AC144" s="86" t="s">
        <v>1844</v>
      </c>
      <c r="AD144" s="86" t="s">
        <v>1845</v>
      </c>
      <c r="AE144" s="86" t="s">
        <v>1846</v>
      </c>
      <c r="AG144" s="86" t="s">
        <v>1847</v>
      </c>
      <c r="AH144" s="86" t="s">
        <v>1848</v>
      </c>
      <c r="AI144" s="186">
        <v>10024668435</v>
      </c>
      <c r="AJ144" s="86" t="s">
        <v>4733</v>
      </c>
      <c r="AK144" s="86" t="s">
        <v>1849</v>
      </c>
      <c r="AL144" s="86" t="s">
        <v>1850</v>
      </c>
      <c r="AM144" s="86" t="s">
        <v>1851</v>
      </c>
      <c r="AN144" s="86" t="s">
        <v>1852</v>
      </c>
      <c r="AO144" s="86" t="s">
        <v>1853</v>
      </c>
      <c r="AP144" s="86" t="s">
        <v>306</v>
      </c>
      <c r="AQ144" s="86" t="s">
        <v>306</v>
      </c>
      <c r="AR144" s="86" t="s">
        <v>306</v>
      </c>
      <c r="AS144" s="86" t="s">
        <v>306</v>
      </c>
      <c r="AT144" s="86">
        <v>4</v>
      </c>
      <c r="AU144" s="86" t="s">
        <v>6900</v>
      </c>
      <c r="AW144" s="86" t="s">
        <v>161</v>
      </c>
      <c r="AX144" s="86" t="s">
        <v>349</v>
      </c>
      <c r="AY144" s="86" t="s">
        <v>1854</v>
      </c>
      <c r="AZ144" s="86" t="s">
        <v>1855</v>
      </c>
      <c r="BA144" s="86">
        <v>1999</v>
      </c>
      <c r="BB144" s="86" t="s">
        <v>475</v>
      </c>
      <c r="BC144" s="86" t="s">
        <v>1854</v>
      </c>
      <c r="BD144" s="86" t="s">
        <v>1855</v>
      </c>
      <c r="BE144" s="86">
        <v>1999</v>
      </c>
      <c r="BH144" s="86" t="s">
        <v>351</v>
      </c>
      <c r="BI144" s="86">
        <v>33</v>
      </c>
      <c r="BJ144" s="86">
        <v>41</v>
      </c>
      <c r="BL144" s="87"/>
      <c r="BM144" s="86">
        <v>44776</v>
      </c>
      <c r="BZ144" s="293">
        <v>45657</v>
      </c>
      <c r="CA144" s="86" t="s">
        <v>4734</v>
      </c>
      <c r="CB144" s="86" t="s">
        <v>5788</v>
      </c>
    </row>
    <row r="145" spans="1:85" ht="10.199999999999999" x14ac:dyDescent="0.2">
      <c r="B145" s="13">
        <v>142</v>
      </c>
      <c r="C145" s="86" t="s">
        <v>3611</v>
      </c>
      <c r="D145" s="86">
        <v>991100007</v>
      </c>
      <c r="E145" s="86" t="s">
        <v>3612</v>
      </c>
      <c r="G145" s="86" t="s">
        <v>204</v>
      </c>
      <c r="H145" s="86" t="s">
        <v>217</v>
      </c>
      <c r="I145" s="212">
        <v>45156</v>
      </c>
      <c r="J145" s="13">
        <f ca="1">DATEDIF(I145,Database!$E$3,"y")</f>
        <v>2</v>
      </c>
      <c r="K145" s="13">
        <f ca="1">DATEDIF(I145,Database!$E$3,"ym")</f>
        <v>1</v>
      </c>
      <c r="M145" s="86" t="s">
        <v>204</v>
      </c>
      <c r="N145" s="86" t="s">
        <v>3613</v>
      </c>
      <c r="O145" s="212">
        <v>45156</v>
      </c>
      <c r="P145" s="86" t="s">
        <v>295</v>
      </c>
      <c r="Q145" s="87" t="s">
        <v>137</v>
      </c>
      <c r="R145" s="86" t="s">
        <v>296</v>
      </c>
      <c r="S145" s="86" t="s">
        <v>187</v>
      </c>
      <c r="T145" s="86" t="s">
        <v>50</v>
      </c>
      <c r="U145" s="86" t="s">
        <v>50</v>
      </c>
      <c r="V145" s="86" t="s">
        <v>50</v>
      </c>
      <c r="W145" s="86" t="s">
        <v>1064</v>
      </c>
      <c r="Y145" s="212" t="s">
        <v>133</v>
      </c>
      <c r="Z145" s="86" t="s">
        <v>3614</v>
      </c>
      <c r="AA145" s="212">
        <v>30643</v>
      </c>
      <c r="AB145" s="86">
        <v>41</v>
      </c>
      <c r="AC145" s="86" t="s">
        <v>3615</v>
      </c>
      <c r="AD145" s="86" t="s">
        <v>3616</v>
      </c>
      <c r="AE145" s="86" t="s">
        <v>3617</v>
      </c>
      <c r="AG145" s="86" t="s">
        <v>3618</v>
      </c>
      <c r="AH145" s="86" t="s">
        <v>3619</v>
      </c>
      <c r="AI145" s="186">
        <v>10027333151</v>
      </c>
      <c r="AJ145" s="86" t="s">
        <v>4733</v>
      </c>
      <c r="AK145" s="86" t="s">
        <v>3620</v>
      </c>
      <c r="AP145" s="86" t="s">
        <v>306</v>
      </c>
      <c r="AQ145" s="86" t="s">
        <v>306</v>
      </c>
      <c r="AR145" s="86" t="s">
        <v>306</v>
      </c>
      <c r="AS145" s="86" t="s">
        <v>306</v>
      </c>
      <c r="AT145" s="86">
        <v>0</v>
      </c>
      <c r="AU145" s="86" t="s">
        <v>5627</v>
      </c>
      <c r="AV145" s="86" t="s">
        <v>3621</v>
      </c>
      <c r="AW145" s="86" t="s">
        <v>161</v>
      </c>
      <c r="AX145" s="86" t="s">
        <v>75</v>
      </c>
      <c r="AY145" s="86" t="s">
        <v>3622</v>
      </c>
      <c r="AZ145" s="86" t="s">
        <v>81</v>
      </c>
      <c r="BB145" s="86" t="s">
        <v>75</v>
      </c>
      <c r="BC145" s="86" t="s">
        <v>3622</v>
      </c>
      <c r="BD145" s="86" t="s">
        <v>81</v>
      </c>
      <c r="BF145" s="212">
        <v>50679</v>
      </c>
      <c r="BG145" s="212">
        <v>51044</v>
      </c>
      <c r="BL145" s="87"/>
      <c r="BZ145" s="293">
        <v>45674</v>
      </c>
      <c r="CA145" s="86" t="s">
        <v>5004</v>
      </c>
      <c r="CB145" s="86" t="s">
        <v>5788</v>
      </c>
    </row>
    <row r="146" spans="1:85" ht="11.25" customHeight="1" x14ac:dyDescent="0.2">
      <c r="A146" s="13"/>
      <c r="B146" s="13">
        <v>143</v>
      </c>
      <c r="C146" s="110" t="s">
        <v>86</v>
      </c>
      <c r="D146" s="109">
        <v>991000017</v>
      </c>
      <c r="E146" s="110">
        <v>1440010312798</v>
      </c>
      <c r="F146" s="117"/>
      <c r="G146" s="112" t="s">
        <v>204</v>
      </c>
      <c r="H146" s="13" t="s">
        <v>217</v>
      </c>
      <c r="I146" s="118">
        <v>43987</v>
      </c>
      <c r="J146" s="13">
        <f ca="1">DATEDIF(I146,Database!$E$3,"y")</f>
        <v>5</v>
      </c>
      <c r="K146" s="13">
        <f ca="1">DATEDIF(I146,Database!$E$3,"ym")</f>
        <v>3</v>
      </c>
      <c r="L146" s="13" t="str">
        <f>IF(LEFT(D146,2)="99","ORGANIK INKA",IF(LEFT(D146,2)="97","ORGANIK IMSS",IF(LEFT(D146,2)="75","Capeg",IF(LEFT(D146,2)="64","PKWT","Resign"))))</f>
        <v>ORGANIK INKA</v>
      </c>
      <c r="M146" s="13" t="s">
        <v>204</v>
      </c>
      <c r="N146" s="13" t="s">
        <v>2649</v>
      </c>
      <c r="O146" s="213">
        <v>40210</v>
      </c>
      <c r="P146" s="13" t="s">
        <v>139</v>
      </c>
      <c r="Q146" s="13" t="s">
        <v>137</v>
      </c>
      <c r="R146" s="13" t="s">
        <v>296</v>
      </c>
      <c r="S146" s="13" t="s">
        <v>187</v>
      </c>
      <c r="T146" s="13" t="s">
        <v>59</v>
      </c>
      <c r="U146" s="13" t="s">
        <v>59</v>
      </c>
      <c r="V146" s="13" t="s">
        <v>59</v>
      </c>
      <c r="W146" s="13" t="s">
        <v>298</v>
      </c>
      <c r="Y146" s="13" t="s">
        <v>132</v>
      </c>
      <c r="Z146" s="13" t="s">
        <v>1160</v>
      </c>
      <c r="AA146" s="210">
        <v>31035</v>
      </c>
      <c r="AB146" s="86">
        <v>41</v>
      </c>
      <c r="AC146" s="114" t="s">
        <v>2650</v>
      </c>
      <c r="AD146" s="13" t="s">
        <v>2651</v>
      </c>
      <c r="AE146" s="117" t="s">
        <v>2652</v>
      </c>
      <c r="AF146" s="117"/>
      <c r="AG146" s="13" t="s">
        <v>2653</v>
      </c>
      <c r="AH146" s="114" t="s">
        <v>2654</v>
      </c>
      <c r="AI146" s="114">
        <v>7006607605</v>
      </c>
      <c r="AJ146" s="13" t="s">
        <v>4733</v>
      </c>
      <c r="AK146" s="13" t="s">
        <v>2655</v>
      </c>
      <c r="AL146" s="13" t="s">
        <v>2656</v>
      </c>
      <c r="AM146" s="13" t="s">
        <v>2657</v>
      </c>
      <c r="AN146" s="13" t="s">
        <v>2658</v>
      </c>
      <c r="AO146" s="13"/>
      <c r="AP146" s="13" t="s">
        <v>306</v>
      </c>
      <c r="AS146" s="13" t="s">
        <v>306</v>
      </c>
      <c r="AT146" s="13">
        <f>COUNTA(AL146:AO146)</f>
        <v>3</v>
      </c>
      <c r="AU146" s="13" t="str">
        <f>IF(AJ146="Menikah","K","TK")&amp;"/"&amp;AT146</f>
        <v>K/3</v>
      </c>
      <c r="AV146" s="110" t="s">
        <v>2659</v>
      </c>
      <c r="AW146" s="112" t="s">
        <v>161</v>
      </c>
      <c r="AX146" s="13" t="s">
        <v>75</v>
      </c>
      <c r="AY146" s="13" t="s">
        <v>87</v>
      </c>
      <c r="AZ146" s="13" t="s">
        <v>81</v>
      </c>
      <c r="BA146" s="13">
        <v>2007</v>
      </c>
      <c r="BB146" s="13" t="s">
        <v>75</v>
      </c>
      <c r="BC146" s="13" t="s">
        <v>87</v>
      </c>
      <c r="BD146" s="13" t="s">
        <v>81</v>
      </c>
      <c r="BE146" s="13">
        <v>2007</v>
      </c>
      <c r="BF146" s="116">
        <v>51136</v>
      </c>
      <c r="BG146" s="86"/>
      <c r="BK146" s="116">
        <v>51502</v>
      </c>
      <c r="BL146" s="13"/>
      <c r="BM146" s="13"/>
      <c r="BN146" s="13"/>
      <c r="BO146" s="111">
        <v>44294</v>
      </c>
      <c r="BP146" s="111">
        <v>44322</v>
      </c>
      <c r="BQ146" s="111">
        <v>44585</v>
      </c>
      <c r="BR146" s="111"/>
      <c r="BS146" s="13"/>
      <c r="BT146" s="13"/>
      <c r="BU146" s="13"/>
      <c r="BV146" s="13"/>
      <c r="BW146" s="13"/>
      <c r="BX146" s="13"/>
      <c r="BY146" s="13"/>
      <c r="BZ146" s="210">
        <v>45657</v>
      </c>
      <c r="CA146" s="13" t="s">
        <v>4734</v>
      </c>
      <c r="CB146" s="13" t="s">
        <v>5788</v>
      </c>
      <c r="CC146" s="13"/>
      <c r="CD146" s="13"/>
      <c r="CE146" s="13"/>
      <c r="CF146" s="13"/>
      <c r="CG146" s="13"/>
    </row>
    <row r="147" spans="1:85" ht="15.75" customHeight="1" x14ac:dyDescent="0.2">
      <c r="B147" s="319">
        <v>316</v>
      </c>
      <c r="C147" s="309" t="s">
        <v>3848</v>
      </c>
      <c r="D147" s="310">
        <v>642401153</v>
      </c>
      <c r="E147" s="309">
        <v>1420020955075</v>
      </c>
      <c r="F147" s="311"/>
      <c r="G147" s="308" t="s">
        <v>217</v>
      </c>
      <c r="H147" s="308" t="s">
        <v>217</v>
      </c>
      <c r="I147" s="317">
        <v>45292</v>
      </c>
      <c r="J147" s="13">
        <f ca="1">DATEDIF(I147,Database!$E$3,"y")</f>
        <v>1</v>
      </c>
      <c r="K147" s="13">
        <f ca="1">DATEDIF(I147,Database!$E$3,"ym")</f>
        <v>8</v>
      </c>
      <c r="L147" s="308" t="str">
        <f>IF(LEFT(D147,2)="99","ORGANIK INKA",IF(LEFT(D147,2)="97","ORGANIK IMSS",IF(LEFT(D147,2)="75","Capeg",IF(LEFT(D147,2)="64","PKWT","Resign"))))</f>
        <v>PKWT</v>
      </c>
      <c r="M147" s="308" t="s">
        <v>187</v>
      </c>
      <c r="N147" s="308"/>
      <c r="O147" s="316">
        <v>45657</v>
      </c>
      <c r="P147" s="308"/>
      <c r="Q147" s="308" t="s">
        <v>206</v>
      </c>
      <c r="R147" s="308" t="s">
        <v>312</v>
      </c>
      <c r="S147" s="308" t="s">
        <v>204</v>
      </c>
      <c r="T147" s="308" t="s">
        <v>204</v>
      </c>
      <c r="U147" s="308" t="s">
        <v>1426</v>
      </c>
      <c r="V147" s="308" t="s">
        <v>121</v>
      </c>
      <c r="W147" s="308" t="s">
        <v>313</v>
      </c>
      <c r="X147" s="308"/>
      <c r="Y147" s="308" t="s">
        <v>314</v>
      </c>
      <c r="Z147" s="308" t="s">
        <v>217</v>
      </c>
      <c r="AA147" s="313">
        <v>37509</v>
      </c>
      <c r="AB147" s="308" t="e">
        <f>DATEDIF(AA147,$E$3,"y")</f>
        <v>#VALUE!</v>
      </c>
      <c r="AC147" s="314" t="s">
        <v>3849</v>
      </c>
      <c r="AD147" s="308" t="s">
        <v>3850</v>
      </c>
      <c r="AE147" s="311" t="s">
        <v>3851</v>
      </c>
      <c r="AF147" s="311"/>
      <c r="AG147" s="311"/>
      <c r="AH147" s="308" t="s">
        <v>3852</v>
      </c>
      <c r="AI147" s="314" t="s">
        <v>3853</v>
      </c>
      <c r="AJ147" s="314">
        <v>24009885419</v>
      </c>
      <c r="AK147" s="308" t="s">
        <v>4716</v>
      </c>
      <c r="AL147" s="308"/>
      <c r="AM147" s="308"/>
      <c r="AN147" s="308"/>
      <c r="AO147" s="308"/>
      <c r="AP147" s="308"/>
      <c r="AQ147" s="308" t="s">
        <v>306</v>
      </c>
      <c r="AR147" s="308" t="s">
        <v>306</v>
      </c>
      <c r="AS147" s="308" t="s">
        <v>306</v>
      </c>
      <c r="AT147" s="308">
        <f>COUNTA(AM147:AP147)</f>
        <v>0</v>
      </c>
      <c r="AU147" s="308" t="str">
        <f>IF(AK147="Menikah","K","TK")&amp;"/"&amp;AT147</f>
        <v>TK/0</v>
      </c>
      <c r="AV147" s="312"/>
      <c r="AW147" s="308" t="s">
        <v>161</v>
      </c>
      <c r="AX147" s="308" t="s">
        <v>349</v>
      </c>
      <c r="AY147" s="308" t="s">
        <v>515</v>
      </c>
      <c r="AZ147" s="308" t="s">
        <v>516</v>
      </c>
      <c r="BA147" s="308">
        <v>2021</v>
      </c>
      <c r="BB147" s="308" t="s">
        <v>349</v>
      </c>
      <c r="BC147" s="308" t="s">
        <v>515</v>
      </c>
      <c r="BD147" s="308" t="s">
        <v>516</v>
      </c>
      <c r="BE147" s="308">
        <v>2021</v>
      </c>
      <c r="BF147" s="308"/>
      <c r="BG147" s="308"/>
      <c r="BH147" s="308"/>
      <c r="BI147" s="308"/>
      <c r="BJ147" s="308"/>
      <c r="BK147" s="308"/>
      <c r="BL147" s="308"/>
      <c r="BM147" s="308"/>
      <c r="BN147" s="308"/>
      <c r="BO147" s="308"/>
      <c r="BP147" s="308"/>
      <c r="BQ147" s="308"/>
      <c r="BR147" s="308"/>
      <c r="BS147" s="308"/>
      <c r="BT147" s="308"/>
      <c r="BU147" s="308"/>
      <c r="BV147" s="308"/>
      <c r="BW147" s="308"/>
      <c r="BX147" s="308"/>
      <c r="BY147" s="308"/>
      <c r="BZ147" s="320"/>
    </row>
    <row r="148" spans="1:85" ht="15.75" customHeight="1" x14ac:dyDescent="0.2">
      <c r="B148" s="319">
        <v>367</v>
      </c>
      <c r="C148" s="309" t="s">
        <v>4223</v>
      </c>
      <c r="D148" s="310">
        <v>642402193</v>
      </c>
      <c r="E148" s="309"/>
      <c r="F148" s="311">
        <v>7266298158</v>
      </c>
      <c r="G148" s="308" t="s">
        <v>31</v>
      </c>
      <c r="H148" s="308" t="s">
        <v>31</v>
      </c>
      <c r="I148" s="317">
        <v>45342</v>
      </c>
      <c r="J148" s="13">
        <f ca="1">DATEDIF(I148,Database!$E$3,"y")</f>
        <v>1</v>
      </c>
      <c r="K148" s="13">
        <f ca="1">DATEDIF(I148,Database!$E$3,"ym")</f>
        <v>7</v>
      </c>
      <c r="L148" s="308" t="str">
        <f>IF(LEFT(D148,2)="99","ORGANIK INKA",IF(LEFT(D148,2)="97","ORGANIK IMSS",IF(LEFT(D148,2)="75","Capeg",IF(LEFT(D148,2)="64","PKWT","Resign"))))</f>
        <v>PKWT</v>
      </c>
      <c r="M148" s="308" t="s">
        <v>187</v>
      </c>
      <c r="N148" s="308"/>
      <c r="O148" s="316">
        <v>45657</v>
      </c>
      <c r="P148" s="308"/>
      <c r="Q148" s="308" t="s">
        <v>206</v>
      </c>
      <c r="R148" s="308" t="s">
        <v>312</v>
      </c>
      <c r="S148" s="308" t="s">
        <v>31</v>
      </c>
      <c r="T148" s="308" t="s">
        <v>204</v>
      </c>
      <c r="U148" s="308" t="s">
        <v>639</v>
      </c>
      <c r="V148" s="308" t="s">
        <v>122</v>
      </c>
      <c r="W148" s="308" t="s">
        <v>313</v>
      </c>
      <c r="X148" s="308"/>
      <c r="Y148" s="308" t="s">
        <v>314</v>
      </c>
      <c r="Z148" s="308" t="s">
        <v>31</v>
      </c>
      <c r="AA148" s="313">
        <v>37022</v>
      </c>
      <c r="AB148" s="308" t="e">
        <f>DATEDIF(AA148,$E$3,"y")</f>
        <v>#VALUE!</v>
      </c>
      <c r="AC148" s="314" t="s">
        <v>4224</v>
      </c>
      <c r="AD148" s="308" t="s">
        <v>4225</v>
      </c>
      <c r="AE148" s="311" t="s">
        <v>4226</v>
      </c>
      <c r="AF148" s="311" t="s">
        <v>4226</v>
      </c>
      <c r="AG148" s="311"/>
      <c r="AH148" s="315" t="s">
        <v>4227</v>
      </c>
      <c r="AI148" s="314" t="s">
        <v>4228</v>
      </c>
      <c r="AJ148" s="314">
        <v>24036556298</v>
      </c>
      <c r="AK148" s="308" t="s">
        <v>4716</v>
      </c>
      <c r="AL148" s="308"/>
      <c r="AM148" s="308"/>
      <c r="AN148" s="308"/>
      <c r="AO148" s="308"/>
      <c r="AP148" s="308"/>
      <c r="AQ148" s="308" t="s">
        <v>4229</v>
      </c>
      <c r="AR148" s="308" t="s">
        <v>4230</v>
      </c>
      <c r="AS148" s="308" t="s">
        <v>306</v>
      </c>
      <c r="AT148" s="308">
        <f>COUNTA(AM148:AP148)</f>
        <v>0</v>
      </c>
      <c r="AU148" s="308" t="str">
        <f>IF(AK148="Menikah","K","TK")&amp;"/"&amp;AT148</f>
        <v>TK/0</v>
      </c>
      <c r="AV148" s="312" t="s">
        <v>4231</v>
      </c>
      <c r="AW148" s="308" t="s">
        <v>161</v>
      </c>
      <c r="AX148" s="308" t="s">
        <v>349</v>
      </c>
      <c r="AY148" s="308" t="s">
        <v>6778</v>
      </c>
      <c r="AZ148" s="308" t="s">
        <v>1804</v>
      </c>
      <c r="BA148" s="308">
        <v>2019</v>
      </c>
      <c r="BB148" s="308" t="s">
        <v>349</v>
      </c>
      <c r="BC148" s="308" t="s">
        <v>6778</v>
      </c>
      <c r="BD148" s="308" t="s">
        <v>1804</v>
      </c>
      <c r="BE148" s="308">
        <v>2019</v>
      </c>
      <c r="BF148" s="308"/>
      <c r="BG148" s="308"/>
      <c r="BH148" s="308" t="s">
        <v>369</v>
      </c>
      <c r="BI148" s="308" t="s">
        <v>369</v>
      </c>
      <c r="BJ148" s="308">
        <v>47</v>
      </c>
      <c r="BK148" s="308"/>
      <c r="BL148" s="308"/>
      <c r="BM148" s="308"/>
      <c r="BN148" s="308"/>
      <c r="BO148" s="308"/>
      <c r="BP148" s="308"/>
      <c r="BQ148" s="308"/>
      <c r="BR148" s="308"/>
      <c r="BS148" s="308"/>
      <c r="BT148" s="308"/>
      <c r="BU148" s="308"/>
      <c r="BV148" s="308"/>
      <c r="BW148" s="308"/>
      <c r="BX148" s="308"/>
      <c r="BY148" s="308"/>
      <c r="BZ148" s="320"/>
    </row>
    <row r="149" spans="1:85" ht="15.75" customHeight="1" x14ac:dyDescent="0.2"/>
    <row r="150" spans="1:85" ht="11.25" customHeight="1" x14ac:dyDescent="0.2"/>
    <row r="151" spans="1:85" ht="11.25" customHeight="1" x14ac:dyDescent="0.2"/>
    <row r="152" spans="1:85" ht="11.25" customHeight="1" x14ac:dyDescent="0.2"/>
    <row r="153" spans="1:85" ht="11.25" customHeight="1" x14ac:dyDescent="0.2"/>
    <row r="154" spans="1:85" ht="11.25" customHeight="1" x14ac:dyDescent="0.2"/>
    <row r="155" spans="1:85" ht="11.25" customHeight="1" x14ac:dyDescent="0.2"/>
    <row r="156" spans="1:85" ht="11.25" customHeight="1" x14ac:dyDescent="0.2"/>
    <row r="157" spans="1:85" ht="11.25" customHeight="1" x14ac:dyDescent="0.2"/>
    <row r="158" spans="1:85" ht="11.25" customHeight="1" x14ac:dyDescent="0.2"/>
    <row r="159" spans="1:85" ht="11.25" customHeight="1" x14ac:dyDescent="0.2"/>
    <row r="160" spans="1:85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</sheetData>
  <autoFilter ref="A3:CG3" xr:uid="{85F1C6B1-5086-41C6-951A-B0119BFAAF46}">
    <sortState xmlns:xlrd2="http://schemas.microsoft.com/office/spreadsheetml/2017/richdata2" ref="A3:CG3">
      <sortCondition ref="BZ3"/>
    </sortState>
  </autoFilter>
  <conditionalFormatting sqref="C140:C141">
    <cfRule type="duplicateValues" dxfId="14" priority="13"/>
  </conditionalFormatting>
  <conditionalFormatting sqref="C146">
    <cfRule type="duplicateValues" dxfId="13" priority="9"/>
    <cfRule type="duplicateValues" dxfId="12" priority="12"/>
  </conditionalFormatting>
  <conditionalFormatting sqref="C147">
    <cfRule type="duplicateValues" dxfId="11" priority="4"/>
  </conditionalFormatting>
  <conditionalFormatting sqref="C148">
    <cfRule type="duplicateValues" dxfId="10" priority="1"/>
  </conditionalFormatting>
  <conditionalFormatting sqref="D137">
    <cfRule type="duplicateValues" dxfId="9" priority="17"/>
  </conditionalFormatting>
  <conditionalFormatting sqref="D138">
    <cfRule type="duplicateValues" dxfId="8" priority="16"/>
  </conditionalFormatting>
  <conditionalFormatting sqref="D139">
    <cfRule type="duplicateValues" dxfId="7" priority="15"/>
  </conditionalFormatting>
  <conditionalFormatting sqref="D140:D141">
    <cfRule type="duplicateValues" dxfId="6" priority="14"/>
  </conditionalFormatting>
  <conditionalFormatting sqref="D146">
    <cfRule type="duplicateValues" dxfId="5" priority="11"/>
  </conditionalFormatting>
  <conditionalFormatting sqref="D147">
    <cfRule type="duplicateValues" dxfId="4" priority="6"/>
  </conditionalFormatting>
  <conditionalFormatting sqref="D148">
    <cfRule type="duplicateValues" dxfId="3" priority="3"/>
  </conditionalFormatting>
  <conditionalFormatting sqref="AH146">
    <cfRule type="duplicateValues" dxfId="2" priority="10"/>
  </conditionalFormatting>
  <conditionalFormatting sqref="AI147">
    <cfRule type="duplicateValues" dxfId="1" priority="5"/>
  </conditionalFormatting>
  <conditionalFormatting sqref="AI148">
    <cfRule type="duplicateValues" dxfId="0" priority="2"/>
  </conditionalFormatting>
  <dataValidations count="2">
    <dataValidation type="list" allowBlank="1" showErrorMessage="1" sqref="AJ140" xr:uid="{1B1C1EE6-9AEE-4786-B66D-1FC3467A6BE2}">
      <formula1>"Menikah,Cerai,Belum Menikah"</formula1>
    </dataValidation>
    <dataValidation type="list" allowBlank="1" showErrorMessage="1" sqref="AJ141 AJ146 AK147:AK148" xr:uid="{7A087DDA-1C52-4F2C-B234-314701B9E71B}">
      <formula1>"MENIKAH,CERAI,BELUM MENIKAH"</formula1>
    </dataValidation>
  </dataValidations>
  <hyperlinks>
    <hyperlink ref="AG9" r:id="rId1" xr:uid="{691D1DDF-AF9B-4570-A2FE-33BB4DA4C9FC}"/>
    <hyperlink ref="AG11" r:id="rId2" xr:uid="{0850FA43-1660-48F4-8880-CDB7F5A2E883}"/>
    <hyperlink ref="AG16" r:id="rId3" xr:uid="{084BE134-EBE5-4576-B48A-235F04DAB123}"/>
    <hyperlink ref="AG26" r:id="rId4" xr:uid="{DB5FF98A-4FEE-4C16-A933-A2FDCB5EC105}"/>
    <hyperlink ref="AG97" r:id="rId5" xr:uid="{B9280208-DDDC-495D-951E-30B7DE066C49}"/>
    <hyperlink ref="AG103" r:id="rId6" xr:uid="{212790F8-2830-403E-A474-9491998B5F84}"/>
    <hyperlink ref="AG112" r:id="rId7" xr:uid="{5F56A89E-7D42-416A-BF7D-377D84E6F2EC}"/>
    <hyperlink ref="AG114" r:id="rId8" xr:uid="{F299169E-82E1-4724-BC24-90AE97776097}"/>
    <hyperlink ref="AG119" r:id="rId9" xr:uid="{C834E0E9-0A89-4D40-8DA3-80C889A276F8}"/>
    <hyperlink ref="AG121" r:id="rId10" xr:uid="{FF057724-E6AD-49E8-8367-6E22347F0A8C}"/>
    <hyperlink ref="AG126" r:id="rId11" xr:uid="{436BED2B-44C0-4573-92E7-2B8D15535F4E}"/>
    <hyperlink ref="AG129" r:id="rId12" xr:uid="{6709566B-62BC-48FE-A6B9-E422AE09D5A3}"/>
  </hyperlinks>
  <pageMargins left="0.7" right="0.7" top="0.75" bottom="0.75" header="0" footer="0"/>
  <pageSetup paperSize="9" orientation="portrait"/>
  <legacy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1CFF-D0DB-4FA6-837D-5EF91787F8C2}">
  <sheetPr codeName="Sheet5"/>
  <dimension ref="A1:Z1314"/>
  <sheetViews>
    <sheetView workbookViewId="0">
      <pane xSplit="3" ySplit="3" topLeftCell="D505" activePane="bottomRight" state="frozen"/>
      <selection pane="topRight" activeCell="D1" sqref="D1"/>
      <selection pane="bottomLeft" activeCell="A4" sqref="A4"/>
      <selection pane="bottomRight" activeCell="C517" sqref="C517"/>
    </sheetView>
  </sheetViews>
  <sheetFormatPr defaultColWidth="14.44140625" defaultRowHeight="10.199999999999999" x14ac:dyDescent="0.2"/>
  <cols>
    <col min="1" max="1" width="4.77734375" style="86" customWidth="1"/>
    <col min="2" max="2" width="3.77734375" style="86" customWidth="1"/>
    <col min="3" max="3" width="18.77734375" style="86" customWidth="1"/>
    <col min="4" max="4" width="13.21875" style="86" customWidth="1"/>
    <col min="5" max="6" width="10" style="86" customWidth="1"/>
    <col min="7" max="7" width="16.44140625" style="86" customWidth="1"/>
    <col min="8" max="8" width="12.21875" style="86" customWidth="1"/>
    <col min="9" max="9" width="9.21875" style="212" customWidth="1"/>
    <col min="10" max="26" width="9.21875" style="86" customWidth="1"/>
    <col min="27" max="16384" width="14.44140625" style="86"/>
  </cols>
  <sheetData>
    <row r="1" spans="1:26" x14ac:dyDescent="0.2">
      <c r="B1" s="89" t="s">
        <v>5893</v>
      </c>
    </row>
    <row r="3" spans="1:26" x14ac:dyDescent="0.2">
      <c r="A3" s="90"/>
      <c r="B3" s="91" t="s">
        <v>7</v>
      </c>
      <c r="C3" s="91" t="s">
        <v>60</v>
      </c>
      <c r="D3" s="91" t="s">
        <v>5894</v>
      </c>
      <c r="E3" s="91" t="s">
        <v>5895</v>
      </c>
      <c r="F3" s="91" t="s">
        <v>5896</v>
      </c>
      <c r="G3" s="91" t="s">
        <v>5897</v>
      </c>
      <c r="H3" s="91" t="s">
        <v>8</v>
      </c>
      <c r="I3" s="214" t="s">
        <v>5898</v>
      </c>
      <c r="J3" s="91" t="s">
        <v>5899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x14ac:dyDescent="0.2">
      <c r="B4" s="86">
        <v>1</v>
      </c>
      <c r="C4" s="86" t="s">
        <v>4710</v>
      </c>
      <c r="D4" s="304">
        <f>_xlfn.IFNA(VLOOKUP(C4,Database!$D$5:$F$439,2,0),VLOOKUP(C4,logut!$C$4:$D$499,2,0))</f>
        <v>971500001</v>
      </c>
      <c r="E4" s="86" t="s">
        <v>5900</v>
      </c>
      <c r="G4" s="86" t="s">
        <v>59</v>
      </c>
      <c r="H4" s="86" t="s">
        <v>5901</v>
      </c>
      <c r="I4" s="212">
        <v>42491</v>
      </c>
      <c r="J4" s="86" t="s">
        <v>5902</v>
      </c>
    </row>
    <row r="5" spans="1:26" x14ac:dyDescent="0.2">
      <c r="B5" s="86">
        <v>2</v>
      </c>
      <c r="C5" s="86" t="s">
        <v>380</v>
      </c>
      <c r="D5" s="304">
        <f>_xlfn.IFNA(VLOOKUP(C5,Database!$D$5:$F$439,2,0),VLOOKUP(C5,logut!$C$4:$D$499,2,0))</f>
        <v>971500002</v>
      </c>
      <c r="E5" s="86" t="s">
        <v>5900</v>
      </c>
      <c r="G5" s="86" t="s">
        <v>5903</v>
      </c>
      <c r="H5" s="86" t="s">
        <v>5901</v>
      </c>
      <c r="I5" s="212">
        <v>42491</v>
      </c>
      <c r="J5" s="86" t="s">
        <v>381</v>
      </c>
    </row>
    <row r="6" spans="1:26" x14ac:dyDescent="0.2">
      <c r="B6" s="86">
        <v>3</v>
      </c>
      <c r="C6" s="86" t="s">
        <v>391</v>
      </c>
      <c r="D6" s="304">
        <f>_xlfn.IFNA(VLOOKUP(C6,Database!$D$5:$F$439,2,0),VLOOKUP(C6,logut!$C$4:$D$499,2,0))</f>
        <v>971500003</v>
      </c>
      <c r="E6" s="86" t="s">
        <v>5900</v>
      </c>
      <c r="G6" s="86" t="s">
        <v>50</v>
      </c>
      <c r="H6" s="86" t="s">
        <v>5901</v>
      </c>
      <c r="I6" s="212">
        <v>42491</v>
      </c>
      <c r="J6" s="86" t="s">
        <v>392</v>
      </c>
    </row>
    <row r="7" spans="1:26" x14ac:dyDescent="0.2">
      <c r="B7" s="86">
        <v>4</v>
      </c>
      <c r="C7" s="86" t="s">
        <v>431</v>
      </c>
      <c r="D7" s="304">
        <f>_xlfn.IFNA(VLOOKUP(C7,Database!$D$5:$F$439,2,0),VLOOKUP(C7,logut!$C$4:$D$499,2,0))</f>
        <v>971600004</v>
      </c>
      <c r="E7" s="86" t="s">
        <v>5900</v>
      </c>
      <c r="G7" s="86" t="s">
        <v>5904</v>
      </c>
      <c r="H7" s="86" t="s">
        <v>5901</v>
      </c>
      <c r="I7" s="212">
        <v>42491</v>
      </c>
      <c r="J7" s="86" t="s">
        <v>433</v>
      </c>
    </row>
    <row r="8" spans="1:26" x14ac:dyDescent="0.2">
      <c r="B8" s="86">
        <v>5</v>
      </c>
      <c r="C8" s="86" t="s">
        <v>500</v>
      </c>
      <c r="D8" s="304">
        <f>_xlfn.IFNA(VLOOKUP(C8,Database!$D$5:$F$439,2,0),VLOOKUP(C8,logut!$C$4:$D$499,2,0))</f>
        <v>971700005</v>
      </c>
      <c r="E8" s="86" t="s">
        <v>5905</v>
      </c>
      <c r="G8" s="86" t="s">
        <v>5906</v>
      </c>
      <c r="H8" s="86" t="s">
        <v>5901</v>
      </c>
      <c r="I8" s="212">
        <v>42552</v>
      </c>
      <c r="J8" s="86" t="s">
        <v>5907</v>
      </c>
    </row>
    <row r="9" spans="1:26" x14ac:dyDescent="0.2">
      <c r="B9" s="86">
        <v>6</v>
      </c>
      <c r="C9" s="86" t="s">
        <v>476</v>
      </c>
      <c r="D9" s="304">
        <f>_xlfn.IFNA(VLOOKUP(C9,Database!$D$5:$F$439,2,0),VLOOKUP(C9,logut!$C$4:$D$499,2,0))</f>
        <v>971700006</v>
      </c>
      <c r="E9" s="86" t="s">
        <v>5905</v>
      </c>
      <c r="G9" s="86" t="s">
        <v>5906</v>
      </c>
      <c r="H9" s="86" t="s">
        <v>5901</v>
      </c>
      <c r="I9" s="212">
        <v>42552</v>
      </c>
      <c r="J9" s="86" t="s">
        <v>5907</v>
      </c>
    </row>
    <row r="10" spans="1:26" x14ac:dyDescent="0.2">
      <c r="B10" s="86">
        <v>7</v>
      </c>
      <c r="C10" s="86" t="s">
        <v>488</v>
      </c>
      <c r="D10" s="304">
        <f>_xlfn.IFNA(VLOOKUP(C10,Database!$D$5:$F$439,2,0),VLOOKUP(C10,logut!$C$4:$D$499,2,0))</f>
        <v>971700007</v>
      </c>
      <c r="E10" s="86" t="s">
        <v>5905</v>
      </c>
      <c r="G10" s="86" t="s">
        <v>5906</v>
      </c>
      <c r="H10" s="86" t="s">
        <v>5901</v>
      </c>
      <c r="I10" s="212">
        <v>42552</v>
      </c>
      <c r="J10" s="86" t="s">
        <v>5907</v>
      </c>
    </row>
    <row r="11" spans="1:26" x14ac:dyDescent="0.2">
      <c r="B11" s="86">
        <v>8</v>
      </c>
      <c r="C11" s="86" t="s">
        <v>592</v>
      </c>
      <c r="D11" s="304">
        <f>_xlfn.IFNA(VLOOKUP(C11,Database!$D$5:$F$439,2,0),VLOOKUP(C11,logut!$C$4:$D$499,2,0))</f>
        <v>971700008</v>
      </c>
      <c r="E11" s="86" t="s">
        <v>5905</v>
      </c>
      <c r="G11" s="86" t="s">
        <v>5906</v>
      </c>
      <c r="H11" s="86" t="s">
        <v>5901</v>
      </c>
      <c r="I11" s="212">
        <v>42552</v>
      </c>
      <c r="J11" s="86" t="s">
        <v>5907</v>
      </c>
    </row>
    <row r="12" spans="1:26" x14ac:dyDescent="0.2">
      <c r="B12" s="86">
        <v>9</v>
      </c>
      <c r="C12" s="86" t="s">
        <v>4749</v>
      </c>
      <c r="D12" s="304">
        <f>_xlfn.IFNA(VLOOKUP(C12,Database!$D$5:$F$439,2,0),VLOOKUP(C12,logut!$C$4:$D$499,2,0))</f>
        <v>641907280</v>
      </c>
      <c r="E12" s="86" t="s">
        <v>5905</v>
      </c>
      <c r="G12" s="86" t="s">
        <v>5906</v>
      </c>
      <c r="H12" s="86" t="s">
        <v>5901</v>
      </c>
      <c r="I12" s="212">
        <v>42552</v>
      </c>
      <c r="J12" s="86" t="s">
        <v>5907</v>
      </c>
    </row>
    <row r="13" spans="1:26" x14ac:dyDescent="0.2">
      <c r="B13" s="86">
        <v>10</v>
      </c>
      <c r="C13" s="86" t="s">
        <v>5665</v>
      </c>
      <c r="D13" s="304">
        <f>_xlfn.IFNA(VLOOKUP(C13,Database!$D$5:$F$439,2,0),VLOOKUP(C13,logut!$C$4:$D$499,2,0))</f>
        <v>971700013</v>
      </c>
      <c r="E13" s="86" t="s">
        <v>5900</v>
      </c>
      <c r="G13" s="86" t="s">
        <v>5908</v>
      </c>
      <c r="H13" s="86" t="s">
        <v>5901</v>
      </c>
      <c r="I13" s="212">
        <v>42552</v>
      </c>
      <c r="J13" s="86" t="s">
        <v>5909</v>
      </c>
    </row>
    <row r="14" spans="1:26" x14ac:dyDescent="0.2">
      <c r="B14" s="86">
        <v>11</v>
      </c>
      <c r="C14" s="86" t="s">
        <v>4710</v>
      </c>
      <c r="D14" s="304">
        <f>_xlfn.IFNA(VLOOKUP(C14,Database!$D$5:$F$439,2,0),VLOOKUP(C14,logut!$C$4:$D$499,2,0))</f>
        <v>971500001</v>
      </c>
      <c r="E14" s="86" t="s">
        <v>5910</v>
      </c>
      <c r="G14" s="86" t="s">
        <v>5911</v>
      </c>
      <c r="H14" s="86" t="s">
        <v>5901</v>
      </c>
      <c r="I14" s="212">
        <v>42583</v>
      </c>
      <c r="J14" s="86" t="s">
        <v>5912</v>
      </c>
    </row>
    <row r="15" spans="1:26" x14ac:dyDescent="0.2">
      <c r="B15" s="86">
        <v>12</v>
      </c>
      <c r="C15" s="86" t="s">
        <v>391</v>
      </c>
      <c r="D15" s="304">
        <f>_xlfn.IFNA(VLOOKUP(C15,Database!$D$5:$F$439,2,0),VLOOKUP(C15,logut!$C$4:$D$499,2,0))</f>
        <v>971500003</v>
      </c>
      <c r="E15" s="86" t="s">
        <v>5910</v>
      </c>
      <c r="G15" s="86" t="s">
        <v>5913</v>
      </c>
      <c r="H15" s="86" t="s">
        <v>5901</v>
      </c>
      <c r="I15" s="212">
        <v>42583</v>
      </c>
      <c r="J15" s="86" t="s">
        <v>5914</v>
      </c>
    </row>
    <row r="16" spans="1:26" x14ac:dyDescent="0.2">
      <c r="B16" s="86">
        <v>13</v>
      </c>
      <c r="C16" s="86" t="s">
        <v>583</v>
      </c>
      <c r="D16" s="304">
        <f>_xlfn.IFNA(VLOOKUP(C16,Database!$D$5:$F$439,2,0),VLOOKUP(C16,logut!$C$4:$D$499,2,0))</f>
        <v>971700010</v>
      </c>
      <c r="E16" s="86" t="s">
        <v>5905</v>
      </c>
      <c r="G16" s="86" t="s">
        <v>404</v>
      </c>
      <c r="H16" s="86" t="s">
        <v>5901</v>
      </c>
      <c r="I16" s="212">
        <v>42668</v>
      </c>
      <c r="J16" s="86" t="s">
        <v>5915</v>
      </c>
    </row>
    <row r="17" spans="2:10" x14ac:dyDescent="0.2">
      <c r="B17" s="86">
        <v>14</v>
      </c>
      <c r="C17" s="86" t="s">
        <v>458</v>
      </c>
      <c r="D17" s="304">
        <f>_xlfn.IFNA(VLOOKUP(C17,Database!$D$5:$F$439,2,0),VLOOKUP(C17,logut!$C$4:$D$499,2,0))</f>
        <v>971800026</v>
      </c>
      <c r="E17" s="86" t="s">
        <v>5905</v>
      </c>
      <c r="G17" s="86" t="s">
        <v>5906</v>
      </c>
      <c r="H17" s="86" t="s">
        <v>5901</v>
      </c>
      <c r="I17" s="212">
        <v>42668</v>
      </c>
      <c r="J17" s="86" t="s">
        <v>5916</v>
      </c>
    </row>
    <row r="18" spans="2:10" x14ac:dyDescent="0.2">
      <c r="B18" s="86">
        <v>15</v>
      </c>
      <c r="C18" s="86" t="s">
        <v>561</v>
      </c>
      <c r="D18" s="304">
        <f>_xlfn.IFNA(VLOOKUP(C18,Database!$D$5:$F$439,2,0),VLOOKUP(C18,logut!$C$4:$D$499,2,0))</f>
        <v>971800023</v>
      </c>
      <c r="E18" s="86" t="s">
        <v>5917</v>
      </c>
      <c r="G18" s="86" t="s">
        <v>5918</v>
      </c>
      <c r="H18" s="86" t="s">
        <v>5901</v>
      </c>
      <c r="I18" s="212">
        <v>43116</v>
      </c>
      <c r="J18" s="86" t="s">
        <v>5919</v>
      </c>
    </row>
    <row r="19" spans="2:10" x14ac:dyDescent="0.2">
      <c r="B19" s="86">
        <v>16</v>
      </c>
      <c r="C19" s="86" t="s">
        <v>1159</v>
      </c>
      <c r="D19" s="304">
        <f>_xlfn.IFNA(VLOOKUP(C19,Database!$D$5:$F$439,2,0),VLOOKUP(C19,logut!$C$4:$D$499,2,0))</f>
        <v>971800017</v>
      </c>
      <c r="E19" s="86" t="s">
        <v>5917</v>
      </c>
      <c r="G19" s="86" t="s">
        <v>5920</v>
      </c>
      <c r="H19" s="86" t="s">
        <v>5901</v>
      </c>
      <c r="I19" s="212">
        <v>43116</v>
      </c>
      <c r="J19" s="86" t="s">
        <v>5921</v>
      </c>
    </row>
    <row r="20" spans="2:10" x14ac:dyDescent="0.2">
      <c r="B20" s="86">
        <v>17</v>
      </c>
      <c r="C20" s="86" t="s">
        <v>1037</v>
      </c>
      <c r="D20" s="304">
        <f>_xlfn.IFNA(VLOOKUP(C20,Database!$D$5:$F$439,2,0),VLOOKUP(C20,logut!$C$4:$D$499,2,0))</f>
        <v>971800014</v>
      </c>
      <c r="E20" s="86" t="s">
        <v>5917</v>
      </c>
      <c r="G20" s="86" t="s">
        <v>668</v>
      </c>
      <c r="H20" s="86" t="s">
        <v>5901</v>
      </c>
      <c r="I20" s="212">
        <v>43116</v>
      </c>
      <c r="J20" s="86" t="s">
        <v>5922</v>
      </c>
    </row>
    <row r="21" spans="2:10" x14ac:dyDescent="0.2">
      <c r="B21" s="86">
        <v>18</v>
      </c>
      <c r="C21" s="86" t="s">
        <v>391</v>
      </c>
      <c r="D21" s="304">
        <f>_xlfn.IFNA(VLOOKUP(C21,Database!$D$5:$F$439,2,0),VLOOKUP(C21,logut!$C$4:$D$499,2,0))</f>
        <v>971500003</v>
      </c>
      <c r="E21" s="86" t="s">
        <v>5910</v>
      </c>
      <c r="G21" s="86" t="s">
        <v>5908</v>
      </c>
      <c r="H21" s="86" t="s">
        <v>5901</v>
      </c>
      <c r="I21" s="212">
        <v>43116</v>
      </c>
      <c r="J21" s="86" t="s">
        <v>5923</v>
      </c>
    </row>
    <row r="22" spans="2:10" x14ac:dyDescent="0.2">
      <c r="B22" s="86">
        <v>19</v>
      </c>
      <c r="C22" s="86" t="s">
        <v>1086</v>
      </c>
      <c r="D22" s="304">
        <f>_xlfn.IFNA(VLOOKUP(C22,Database!$D$5:$F$439,2,0),VLOOKUP(C22,logut!$C$4:$D$499,2,0))</f>
        <v>971800024</v>
      </c>
      <c r="E22" s="86" t="s">
        <v>5924</v>
      </c>
      <c r="G22" s="86" t="s">
        <v>5925</v>
      </c>
      <c r="H22" s="86" t="s">
        <v>5901</v>
      </c>
      <c r="I22" s="212">
        <v>43116</v>
      </c>
      <c r="J22" s="86" t="s">
        <v>5926</v>
      </c>
    </row>
    <row r="23" spans="2:10" x14ac:dyDescent="0.2">
      <c r="B23" s="86">
        <v>20</v>
      </c>
      <c r="C23" s="86" t="s">
        <v>380</v>
      </c>
      <c r="D23" s="304">
        <f>_xlfn.IFNA(VLOOKUP(C23,Database!$D$5:$F$439,2,0),VLOOKUP(C23,logut!$C$4:$D$499,2,0))</f>
        <v>971500002</v>
      </c>
      <c r="E23" s="86" t="s">
        <v>5924</v>
      </c>
      <c r="G23" s="86" t="s">
        <v>5927</v>
      </c>
      <c r="H23" s="86" t="s">
        <v>5901</v>
      </c>
      <c r="I23" s="212">
        <v>43116</v>
      </c>
      <c r="J23" s="86" t="s">
        <v>5928</v>
      </c>
    </row>
    <row r="24" spans="2:10" x14ac:dyDescent="0.2">
      <c r="B24" s="86">
        <v>21</v>
      </c>
      <c r="C24" s="86" t="s">
        <v>1063</v>
      </c>
      <c r="D24" s="304">
        <f>_xlfn.IFNA(VLOOKUP(C24,Database!$D$5:$F$439,2,0),VLOOKUP(C24,logut!$C$4:$D$499,2,0))</f>
        <v>971800015</v>
      </c>
      <c r="E24" s="86" t="s">
        <v>5900</v>
      </c>
      <c r="G24" s="86" t="s">
        <v>5929</v>
      </c>
      <c r="H24" s="86" t="s">
        <v>5901</v>
      </c>
      <c r="I24" s="212">
        <v>43116</v>
      </c>
      <c r="J24" s="86" t="s">
        <v>442</v>
      </c>
    </row>
    <row r="25" spans="2:10" x14ac:dyDescent="0.2">
      <c r="B25" s="86">
        <v>22</v>
      </c>
      <c r="C25" s="86" t="s">
        <v>1331</v>
      </c>
      <c r="D25" s="304">
        <f>_xlfn.IFNA(VLOOKUP(C25,Database!$D$5:$F$439,2,0),VLOOKUP(C25,logut!$C$4:$D$499,2,0))</f>
        <v>971800018</v>
      </c>
      <c r="E25" s="86" t="s">
        <v>5900</v>
      </c>
      <c r="G25" s="86" t="s">
        <v>5920</v>
      </c>
      <c r="H25" s="86" t="s">
        <v>5901</v>
      </c>
      <c r="I25" s="212">
        <v>43116</v>
      </c>
      <c r="J25" s="86" t="s">
        <v>442</v>
      </c>
    </row>
    <row r="26" spans="2:10" x14ac:dyDescent="0.2">
      <c r="B26" s="86">
        <v>23</v>
      </c>
      <c r="C26" s="92" t="s">
        <v>440</v>
      </c>
      <c r="D26" s="304">
        <f>_xlfn.IFNA(VLOOKUP(C26,Database!$D$5:$F$439,2,0),VLOOKUP(C26,logut!$C$4:$D$499,2,0))</f>
        <v>971800022</v>
      </c>
      <c r="E26" s="86" t="s">
        <v>5900</v>
      </c>
      <c r="G26" s="86" t="s">
        <v>5920</v>
      </c>
      <c r="H26" s="86" t="s">
        <v>5901</v>
      </c>
      <c r="I26" s="212">
        <v>43116</v>
      </c>
      <c r="J26" s="86" t="s">
        <v>442</v>
      </c>
    </row>
    <row r="27" spans="2:10" x14ac:dyDescent="0.2">
      <c r="B27" s="86">
        <v>24</v>
      </c>
      <c r="C27" s="86" t="s">
        <v>1149</v>
      </c>
      <c r="D27" s="304">
        <f>_xlfn.IFNA(VLOOKUP(C27,Database!$D$5:$F$439,2,0),VLOOKUP(C27,logut!$C$4:$D$499,2,0))</f>
        <v>971800019</v>
      </c>
      <c r="E27" s="86" t="s">
        <v>5900</v>
      </c>
      <c r="G27" s="86" t="s">
        <v>5929</v>
      </c>
      <c r="H27" s="86" t="s">
        <v>5901</v>
      </c>
      <c r="I27" s="212">
        <v>43116</v>
      </c>
      <c r="J27" s="86" t="s">
        <v>442</v>
      </c>
    </row>
    <row r="28" spans="2:10" x14ac:dyDescent="0.2">
      <c r="B28" s="86">
        <v>25</v>
      </c>
      <c r="C28" s="86" t="s">
        <v>1073</v>
      </c>
      <c r="D28" s="304">
        <f>_xlfn.IFNA(VLOOKUP(C28,Database!$D$5:$F$439,2,0),VLOOKUP(C28,logut!$C$4:$D$499,2,0))</f>
        <v>971800016</v>
      </c>
      <c r="E28" s="86" t="s">
        <v>5900</v>
      </c>
      <c r="G28" s="86" t="s">
        <v>5927</v>
      </c>
      <c r="H28" s="86" t="s">
        <v>5901</v>
      </c>
      <c r="I28" s="212">
        <v>43116</v>
      </c>
      <c r="J28" s="86" t="s">
        <v>442</v>
      </c>
    </row>
    <row r="29" spans="2:10" x14ac:dyDescent="0.2">
      <c r="B29" s="86">
        <v>26</v>
      </c>
      <c r="C29" s="86" t="s">
        <v>1351</v>
      </c>
      <c r="D29" s="304">
        <f>_xlfn.IFNA(VLOOKUP(C29,Database!$D$5:$F$439,2,0),VLOOKUP(C29,logut!$C$4:$D$499,2,0))</f>
        <v>971800020</v>
      </c>
      <c r="E29" s="86" t="s">
        <v>5900</v>
      </c>
      <c r="G29" s="86" t="s">
        <v>5927</v>
      </c>
      <c r="H29" s="86" t="s">
        <v>5901</v>
      </c>
      <c r="I29" s="212">
        <v>43116</v>
      </c>
      <c r="J29" s="86" t="s">
        <v>442</v>
      </c>
    </row>
    <row r="30" spans="2:10" x14ac:dyDescent="0.2">
      <c r="B30" s="86">
        <v>27</v>
      </c>
      <c r="C30" s="86" t="s">
        <v>74</v>
      </c>
      <c r="D30" s="304">
        <f>_xlfn.IFNA(VLOOKUP(C30,Database!$D$5:$F$439,2,0),VLOOKUP(C30,logut!$C$4:$D$499,2,0))</f>
        <v>971800021</v>
      </c>
      <c r="E30" s="86" t="s">
        <v>5900</v>
      </c>
      <c r="G30" s="86" t="s">
        <v>5930</v>
      </c>
      <c r="H30" s="86" t="s">
        <v>5901</v>
      </c>
      <c r="I30" s="212">
        <v>43116</v>
      </c>
      <c r="J30" s="86" t="s">
        <v>442</v>
      </c>
    </row>
    <row r="31" spans="2:10" x14ac:dyDescent="0.2">
      <c r="B31" s="86">
        <v>28</v>
      </c>
      <c r="C31" s="86" t="s">
        <v>1170</v>
      </c>
      <c r="D31" s="304">
        <f>_xlfn.IFNA(VLOOKUP(C31,Database!$D$5:$F$439,2,0),VLOOKUP(C31,logut!$C$4:$D$499,2,0))</f>
        <v>971900027</v>
      </c>
      <c r="E31" s="86" t="s">
        <v>5900</v>
      </c>
      <c r="G31" s="86" t="s">
        <v>5931</v>
      </c>
      <c r="H31" s="86" t="s">
        <v>5901</v>
      </c>
      <c r="I31" s="212">
        <v>43497</v>
      </c>
      <c r="J31" s="86" t="s">
        <v>5932</v>
      </c>
    </row>
    <row r="32" spans="2:10" x14ac:dyDescent="0.2">
      <c r="B32" s="86">
        <v>29</v>
      </c>
      <c r="C32" s="86" t="s">
        <v>82</v>
      </c>
      <c r="D32" s="304">
        <f>_xlfn.IFNA(VLOOKUP(C32,Database!$D$5:$F$439,2,0),VLOOKUP(C32,logut!$C$4:$D$499,2,0))</f>
        <v>971900036</v>
      </c>
      <c r="E32" s="86" t="s">
        <v>5900</v>
      </c>
      <c r="G32" s="86" t="s">
        <v>5933</v>
      </c>
      <c r="H32" s="86" t="s">
        <v>5901</v>
      </c>
      <c r="I32" s="212">
        <v>43539</v>
      </c>
      <c r="J32" s="86" t="s">
        <v>5934</v>
      </c>
    </row>
    <row r="33" spans="2:10" x14ac:dyDescent="0.2">
      <c r="B33" s="86">
        <v>30</v>
      </c>
      <c r="C33" s="86" t="s">
        <v>431</v>
      </c>
      <c r="D33" s="304">
        <f>_xlfn.IFNA(VLOOKUP(C33,Database!$D$5:$F$439,2,0),VLOOKUP(C33,logut!$C$4:$D$499,2,0))</f>
        <v>971600004</v>
      </c>
      <c r="E33" s="86" t="s">
        <v>5935</v>
      </c>
      <c r="G33" s="86" t="s">
        <v>5936</v>
      </c>
      <c r="H33" s="86" t="s">
        <v>5901</v>
      </c>
      <c r="I33" s="212">
        <v>43539</v>
      </c>
      <c r="J33" s="86" t="s">
        <v>5934</v>
      </c>
    </row>
    <row r="34" spans="2:10" x14ac:dyDescent="0.2">
      <c r="B34" s="86">
        <v>31</v>
      </c>
      <c r="C34" s="86" t="s">
        <v>4800</v>
      </c>
      <c r="D34" s="304">
        <f>_xlfn.IFNA(VLOOKUP(C34,Database!$D$5:$F$439,2,0),VLOOKUP(C34,logut!$C$4:$D$499,2,0))</f>
        <v>971900042</v>
      </c>
      <c r="E34" s="86" t="s">
        <v>5900</v>
      </c>
      <c r="G34" s="86" t="s">
        <v>5937</v>
      </c>
      <c r="H34" s="86" t="s">
        <v>5901</v>
      </c>
      <c r="I34" s="212">
        <v>43539</v>
      </c>
      <c r="J34" s="86" t="s">
        <v>5934</v>
      </c>
    </row>
    <row r="35" spans="2:10" x14ac:dyDescent="0.2">
      <c r="B35" s="86">
        <v>32</v>
      </c>
      <c r="C35" s="86" t="s">
        <v>1941</v>
      </c>
      <c r="D35" s="304">
        <f>_xlfn.IFNA(VLOOKUP(C35,Database!$D$5:$F$439,2,0),VLOOKUP(C35,logut!$C$4:$D$499,2,0))</f>
        <v>971900045</v>
      </c>
      <c r="E35" s="86" t="s">
        <v>5900</v>
      </c>
      <c r="G35" s="86" t="s">
        <v>668</v>
      </c>
      <c r="H35" s="86" t="s">
        <v>5901</v>
      </c>
      <c r="I35" s="212">
        <v>43539</v>
      </c>
      <c r="J35" s="86" t="s">
        <v>5934</v>
      </c>
    </row>
    <row r="36" spans="2:10" x14ac:dyDescent="0.2">
      <c r="B36" s="86">
        <v>33</v>
      </c>
      <c r="C36" s="86" t="s">
        <v>1351</v>
      </c>
      <c r="D36" s="304">
        <f>_xlfn.IFNA(VLOOKUP(C36,Database!$D$5:$F$439,2,0),VLOOKUP(C36,logut!$C$4:$D$499,2,0))</f>
        <v>971800020</v>
      </c>
      <c r="E36" s="86" t="s">
        <v>5900</v>
      </c>
      <c r="G36" s="86" t="s">
        <v>5938</v>
      </c>
      <c r="H36" s="86" t="s">
        <v>5901</v>
      </c>
      <c r="I36" s="212">
        <v>43539</v>
      </c>
      <c r="J36" s="86" t="s">
        <v>5934</v>
      </c>
    </row>
    <row r="37" spans="2:10" x14ac:dyDescent="0.2">
      <c r="B37" s="86">
        <v>34</v>
      </c>
      <c r="C37" s="86" t="s">
        <v>1475</v>
      </c>
      <c r="D37" s="304">
        <f>_xlfn.IFNA(VLOOKUP(C37,Database!$D$5:$F$439,2,0),VLOOKUP(C37,logut!$C$4:$D$499,2,0))</f>
        <v>972000053</v>
      </c>
      <c r="E37" s="86" t="s">
        <v>5900</v>
      </c>
      <c r="G37" s="86" t="s">
        <v>5931</v>
      </c>
      <c r="H37" s="86" t="s">
        <v>5901</v>
      </c>
      <c r="I37" s="212">
        <v>43539</v>
      </c>
      <c r="J37" s="86" t="s">
        <v>5934</v>
      </c>
    </row>
    <row r="38" spans="2:10" x14ac:dyDescent="0.2">
      <c r="B38" s="86">
        <v>35</v>
      </c>
      <c r="C38" s="86" t="s">
        <v>1170</v>
      </c>
      <c r="D38" s="304">
        <f>_xlfn.IFNA(VLOOKUP(C38,Database!$D$5:$F$439,2,0),VLOOKUP(C38,logut!$C$4:$D$499,2,0))</f>
        <v>971900027</v>
      </c>
      <c r="E38" s="86" t="s">
        <v>5900</v>
      </c>
      <c r="G38" s="86" t="s">
        <v>5931</v>
      </c>
      <c r="H38" s="86" t="s">
        <v>5901</v>
      </c>
      <c r="I38" s="212">
        <v>43539</v>
      </c>
      <c r="J38" s="86" t="s">
        <v>5934</v>
      </c>
    </row>
    <row r="39" spans="2:10" x14ac:dyDescent="0.2">
      <c r="B39" s="86">
        <v>36</v>
      </c>
      <c r="C39" s="86" t="s">
        <v>1903</v>
      </c>
      <c r="D39" s="304">
        <f>_xlfn.IFNA(VLOOKUP(C39,Database!$D$5:$F$439,2,0),VLOOKUP(C39,logut!$C$4:$D$499,2,0))</f>
        <v>971900039</v>
      </c>
      <c r="E39" s="86" t="s">
        <v>5900</v>
      </c>
      <c r="G39" s="86" t="s">
        <v>5939</v>
      </c>
      <c r="H39" s="86" t="s">
        <v>5901</v>
      </c>
      <c r="I39" s="212">
        <v>43539</v>
      </c>
      <c r="J39" s="86" t="s">
        <v>5934</v>
      </c>
    </row>
    <row r="40" spans="2:10" x14ac:dyDescent="0.2">
      <c r="B40" s="86">
        <v>37</v>
      </c>
      <c r="C40" s="86" t="s">
        <v>4886</v>
      </c>
      <c r="D40" s="304">
        <f>_xlfn.IFNA(VLOOKUP(C40,Database!$D$5:$F$439,2,0),VLOOKUP(C40,logut!$C$4:$D$499,2,0))</f>
        <v>971900038</v>
      </c>
      <c r="E40" s="86" t="s">
        <v>5900</v>
      </c>
      <c r="G40" s="86" t="s">
        <v>5940</v>
      </c>
      <c r="H40" s="86" t="s">
        <v>5901</v>
      </c>
      <c r="I40" s="212">
        <v>43539</v>
      </c>
      <c r="J40" s="86" t="s">
        <v>5934</v>
      </c>
    </row>
    <row r="41" spans="2:10" x14ac:dyDescent="0.2">
      <c r="B41" s="86">
        <v>38</v>
      </c>
      <c r="C41" s="86" t="s">
        <v>1149</v>
      </c>
      <c r="D41" s="304">
        <f>_xlfn.IFNA(VLOOKUP(C41,Database!$D$5:$F$439,2,0),VLOOKUP(C41,logut!$C$4:$D$499,2,0))</f>
        <v>971800019</v>
      </c>
      <c r="E41" s="86" t="s">
        <v>5900</v>
      </c>
      <c r="G41" s="86" t="s">
        <v>5941</v>
      </c>
      <c r="H41" s="86" t="s">
        <v>5901</v>
      </c>
      <c r="I41" s="212">
        <v>43539</v>
      </c>
      <c r="J41" s="86" t="s">
        <v>5934</v>
      </c>
    </row>
    <row r="42" spans="2:10" x14ac:dyDescent="0.2">
      <c r="B42" s="86">
        <v>39</v>
      </c>
      <c r="C42" s="86" t="s">
        <v>380</v>
      </c>
      <c r="D42" s="304">
        <f>_xlfn.IFNA(VLOOKUP(C42,Database!$D$5:$F$439,2,0),VLOOKUP(C42,logut!$C$4:$D$499,2,0))</f>
        <v>971500002</v>
      </c>
      <c r="E42" s="86" t="s">
        <v>137</v>
      </c>
      <c r="G42" s="86" t="s">
        <v>5942</v>
      </c>
      <c r="H42" s="86" t="s">
        <v>5901</v>
      </c>
      <c r="I42" s="212">
        <v>43539</v>
      </c>
      <c r="J42" s="86" t="s">
        <v>5934</v>
      </c>
    </row>
    <row r="43" spans="2:10" x14ac:dyDescent="0.2">
      <c r="B43" s="86">
        <v>40</v>
      </c>
      <c r="C43" s="86" t="s">
        <v>1331</v>
      </c>
      <c r="D43" s="304">
        <f>_xlfn.IFNA(VLOOKUP(C43,Database!$D$5:$F$439,2,0),VLOOKUP(C43,logut!$C$4:$D$499,2,0))</f>
        <v>971800018</v>
      </c>
      <c r="E43" s="86" t="s">
        <v>5900</v>
      </c>
      <c r="G43" s="86" t="s">
        <v>5931</v>
      </c>
      <c r="H43" s="86" t="s">
        <v>5901</v>
      </c>
      <c r="I43" s="212">
        <v>43539</v>
      </c>
      <c r="J43" s="86" t="s">
        <v>5934</v>
      </c>
    </row>
    <row r="44" spans="2:10" x14ac:dyDescent="0.2">
      <c r="B44" s="86">
        <v>41</v>
      </c>
      <c r="C44" s="86" t="s">
        <v>5665</v>
      </c>
      <c r="D44" s="304">
        <f>_xlfn.IFNA(VLOOKUP(C44,Database!$D$5:$F$439,2,0),VLOOKUP(C44,logut!$C$4:$D$499,2,0))</f>
        <v>971700013</v>
      </c>
      <c r="E44" s="86" t="s">
        <v>5900</v>
      </c>
      <c r="G44" s="86" t="s">
        <v>5666</v>
      </c>
      <c r="H44" s="86" t="s">
        <v>5901</v>
      </c>
      <c r="I44" s="212">
        <v>43539</v>
      </c>
      <c r="J44" s="86" t="s">
        <v>5934</v>
      </c>
    </row>
    <row r="45" spans="2:10" x14ac:dyDescent="0.2">
      <c r="B45" s="86">
        <v>42</v>
      </c>
      <c r="C45" s="86" t="s">
        <v>1895</v>
      </c>
      <c r="D45" s="304">
        <f>_xlfn.IFNA(VLOOKUP(C45,Database!$D$5:$F$439,2,0),VLOOKUP(C45,logut!$C$4:$D$499,2,0))</f>
        <v>971900040</v>
      </c>
      <c r="E45" s="86" t="s">
        <v>5900</v>
      </c>
      <c r="G45" s="86" t="s">
        <v>59</v>
      </c>
      <c r="H45" s="86" t="s">
        <v>5901</v>
      </c>
      <c r="I45" s="212">
        <v>43539</v>
      </c>
      <c r="J45" s="86" t="s">
        <v>5934</v>
      </c>
    </row>
    <row r="46" spans="2:10" x14ac:dyDescent="0.2">
      <c r="B46" s="86">
        <v>43</v>
      </c>
      <c r="C46" s="86" t="s">
        <v>440</v>
      </c>
      <c r="D46" s="304">
        <f>_xlfn.IFNA(VLOOKUP(C46,Database!$D$5:$F$439,2,0),VLOOKUP(C46,logut!$C$4:$D$499,2,0))</f>
        <v>971800022</v>
      </c>
      <c r="E46" s="86" t="s">
        <v>5900</v>
      </c>
      <c r="G46" s="86" t="s">
        <v>5931</v>
      </c>
      <c r="H46" s="86" t="s">
        <v>5901</v>
      </c>
      <c r="I46" s="212">
        <v>43539</v>
      </c>
      <c r="J46" s="86" t="s">
        <v>5934</v>
      </c>
    </row>
    <row r="47" spans="2:10" x14ac:dyDescent="0.2">
      <c r="B47" s="86">
        <v>44</v>
      </c>
      <c r="C47" s="86" t="s">
        <v>1073</v>
      </c>
      <c r="D47" s="304">
        <f>_xlfn.IFNA(VLOOKUP(C47,Database!$D$5:$F$439,2,0),VLOOKUP(C47,logut!$C$4:$D$499,2,0))</f>
        <v>971800016</v>
      </c>
      <c r="E47" s="86" t="s">
        <v>5900</v>
      </c>
      <c r="G47" s="86" t="s">
        <v>5937</v>
      </c>
      <c r="H47" s="86" t="s">
        <v>5901</v>
      </c>
      <c r="I47" s="212">
        <v>43539</v>
      </c>
      <c r="J47" s="86" t="s">
        <v>5934</v>
      </c>
    </row>
    <row r="48" spans="2:10" x14ac:dyDescent="0.2">
      <c r="B48" s="86">
        <v>45</v>
      </c>
      <c r="C48" s="86" t="s">
        <v>1037</v>
      </c>
      <c r="D48" s="304">
        <f>_xlfn.IFNA(VLOOKUP(C48,Database!$D$5:$F$439,2,0),VLOOKUP(C48,logut!$C$4:$D$499,2,0))</f>
        <v>971800014</v>
      </c>
      <c r="E48" s="86" t="s">
        <v>138</v>
      </c>
      <c r="G48" s="86" t="s">
        <v>668</v>
      </c>
      <c r="H48" s="86" t="s">
        <v>5901</v>
      </c>
      <c r="I48" s="212">
        <v>43539</v>
      </c>
      <c r="J48" s="86" t="s">
        <v>5934</v>
      </c>
    </row>
    <row r="49" spans="2:10" x14ac:dyDescent="0.2">
      <c r="B49" s="86">
        <v>46</v>
      </c>
      <c r="C49" s="86" t="s">
        <v>1322</v>
      </c>
      <c r="D49" s="304">
        <f>_xlfn.IFNA(VLOOKUP(C49,Database!$D$5:$F$439,2,0),VLOOKUP(C49,logut!$C$4:$D$499,2,0))</f>
        <v>972000051</v>
      </c>
      <c r="E49" s="86" t="s">
        <v>5900</v>
      </c>
      <c r="G49" s="86" t="s">
        <v>5938</v>
      </c>
      <c r="H49" s="86" t="s">
        <v>5901</v>
      </c>
      <c r="I49" s="212">
        <v>43539</v>
      </c>
      <c r="J49" s="86" t="s">
        <v>5934</v>
      </c>
    </row>
    <row r="50" spans="2:10" x14ac:dyDescent="0.2">
      <c r="B50" s="86">
        <v>47</v>
      </c>
      <c r="C50" s="86" t="s">
        <v>4763</v>
      </c>
      <c r="D50" s="304">
        <f>_xlfn.IFNA(VLOOKUP(C50,Database!$D$5:$F$439,2,0),VLOOKUP(C50,logut!$C$4:$D$499,2,0))</f>
        <v>971700012</v>
      </c>
      <c r="E50" s="86" t="s">
        <v>138</v>
      </c>
      <c r="G50" s="86" t="s">
        <v>43</v>
      </c>
      <c r="H50" s="86" t="s">
        <v>5901</v>
      </c>
      <c r="I50" s="212">
        <v>43539</v>
      </c>
      <c r="J50" s="86" t="s">
        <v>5934</v>
      </c>
    </row>
    <row r="51" spans="2:10" x14ac:dyDescent="0.2">
      <c r="B51" s="86">
        <v>48</v>
      </c>
      <c r="C51" s="86" t="s">
        <v>1949</v>
      </c>
      <c r="D51" s="304">
        <f>_xlfn.IFNA(VLOOKUP(C51,Database!$D$5:$F$439,2,0),VLOOKUP(C51,logut!$C$4:$D$499,2,0))</f>
        <v>971900034</v>
      </c>
      <c r="E51" s="86" t="s">
        <v>137</v>
      </c>
      <c r="G51" s="86" t="s">
        <v>50</v>
      </c>
      <c r="H51" s="86" t="s">
        <v>5901</v>
      </c>
      <c r="I51" s="212">
        <v>43539</v>
      </c>
      <c r="J51" s="86" t="s">
        <v>5934</v>
      </c>
    </row>
    <row r="52" spans="2:10" x14ac:dyDescent="0.2">
      <c r="B52" s="86">
        <v>49</v>
      </c>
      <c r="C52" s="86" t="s">
        <v>74</v>
      </c>
      <c r="D52" s="304">
        <f>_xlfn.IFNA(VLOOKUP(C52,Database!$D$5:$F$439,2,0),VLOOKUP(C52,logut!$C$4:$D$499,2,0))</f>
        <v>971800021</v>
      </c>
      <c r="E52" s="86" t="s">
        <v>5900</v>
      </c>
      <c r="G52" s="86" t="s">
        <v>5943</v>
      </c>
      <c r="H52" s="86" t="s">
        <v>5901</v>
      </c>
      <c r="I52" s="212">
        <v>43539</v>
      </c>
      <c r="J52" s="86" t="s">
        <v>5934</v>
      </c>
    </row>
    <row r="53" spans="2:10" x14ac:dyDescent="0.2">
      <c r="B53" s="86">
        <v>50</v>
      </c>
      <c r="C53" s="86" t="s">
        <v>1063</v>
      </c>
      <c r="D53" s="304">
        <f>_xlfn.IFNA(VLOOKUP(C53,Database!$D$5:$F$439,2,0),VLOOKUP(C53,logut!$C$4:$D$499,2,0))</f>
        <v>971800015</v>
      </c>
      <c r="E53" s="86" t="s">
        <v>5900</v>
      </c>
      <c r="G53" s="86" t="s">
        <v>1074</v>
      </c>
      <c r="H53" s="86" t="s">
        <v>5901</v>
      </c>
      <c r="I53" s="212">
        <v>43539</v>
      </c>
      <c r="J53" s="86" t="s">
        <v>5934</v>
      </c>
    </row>
    <row r="54" spans="2:10" x14ac:dyDescent="0.2">
      <c r="B54" s="86">
        <v>51</v>
      </c>
      <c r="C54" s="86" t="s">
        <v>5138</v>
      </c>
      <c r="D54" s="304">
        <f>_xlfn.IFNA(VLOOKUP(C54,Database!$D$5:$F$439,2,0),VLOOKUP(C54,logut!$C$4:$D$499,2,0))</f>
        <v>999400099</v>
      </c>
      <c r="E54" s="86" t="s">
        <v>5944</v>
      </c>
      <c r="G54" s="86" t="s">
        <v>5945</v>
      </c>
      <c r="H54" s="86" t="s">
        <v>5901</v>
      </c>
      <c r="I54" s="212">
        <v>43539</v>
      </c>
      <c r="J54" s="86" t="s">
        <v>5934</v>
      </c>
    </row>
    <row r="55" spans="2:10" x14ac:dyDescent="0.2">
      <c r="B55" s="86">
        <v>52</v>
      </c>
      <c r="C55" s="86" t="s">
        <v>1932</v>
      </c>
      <c r="D55" s="304">
        <f>_xlfn.IFNA(VLOOKUP(C55,Database!$D$5:$F$439,2,0),VLOOKUP(C55,logut!$C$4:$D$499,2,0))</f>
        <v>971900035</v>
      </c>
      <c r="E55" s="86" t="s">
        <v>5900</v>
      </c>
      <c r="G55" s="86" t="s">
        <v>5946</v>
      </c>
      <c r="H55" s="86" t="s">
        <v>5901</v>
      </c>
      <c r="I55" s="212">
        <v>43539</v>
      </c>
      <c r="J55" s="86" t="s">
        <v>5934</v>
      </c>
    </row>
    <row r="56" spans="2:10" x14ac:dyDescent="0.2">
      <c r="B56" s="86">
        <v>53</v>
      </c>
      <c r="C56" s="86" t="s">
        <v>1159</v>
      </c>
      <c r="D56" s="304">
        <f>_xlfn.IFNA(VLOOKUP(C56,Database!$D$5:$F$439,2,0),VLOOKUP(C56,logut!$C$4:$D$499,2,0))</f>
        <v>971800017</v>
      </c>
      <c r="E56" s="86" t="s">
        <v>138</v>
      </c>
      <c r="G56" s="86" t="s">
        <v>59</v>
      </c>
      <c r="H56" s="86" t="s">
        <v>5901</v>
      </c>
      <c r="I56" s="212">
        <v>43539</v>
      </c>
      <c r="J56" s="86" t="s">
        <v>5934</v>
      </c>
    </row>
    <row r="57" spans="2:10" x14ac:dyDescent="0.2">
      <c r="B57" s="86">
        <v>54</v>
      </c>
      <c r="C57" s="86" t="s">
        <v>1914</v>
      </c>
      <c r="D57" s="304">
        <f>_xlfn.IFNA(VLOOKUP(C57,Database!$D$5:$F$439,2,0),VLOOKUP(C57,logut!$C$4:$D$499,2,0))</f>
        <v>971900037</v>
      </c>
      <c r="E57" s="86" t="s">
        <v>5900</v>
      </c>
      <c r="G57" s="86" t="s">
        <v>5947</v>
      </c>
      <c r="H57" s="86" t="s">
        <v>5901</v>
      </c>
      <c r="I57" s="212">
        <v>43539</v>
      </c>
      <c r="J57" s="86" t="s">
        <v>5934</v>
      </c>
    </row>
    <row r="58" spans="2:10" x14ac:dyDescent="0.2">
      <c r="B58" s="86">
        <v>55</v>
      </c>
      <c r="C58" s="86" t="s">
        <v>391</v>
      </c>
      <c r="D58" s="304">
        <f>_xlfn.IFNA(VLOOKUP(C58,Database!$D$5:$F$439,2,0),VLOOKUP(C58,logut!$C$4:$D$499,2,0))</f>
        <v>971500003</v>
      </c>
      <c r="E58" s="86" t="s">
        <v>138</v>
      </c>
      <c r="G58" s="86" t="s">
        <v>5931</v>
      </c>
      <c r="H58" s="86" t="s">
        <v>5901</v>
      </c>
      <c r="I58" s="212">
        <v>43539</v>
      </c>
      <c r="J58" s="86" t="s">
        <v>5934</v>
      </c>
    </row>
    <row r="59" spans="2:10" x14ac:dyDescent="0.2">
      <c r="B59" s="86">
        <v>56</v>
      </c>
      <c r="C59" s="86" t="s">
        <v>842</v>
      </c>
      <c r="D59" s="304">
        <f>_xlfn.IFNA(VLOOKUP(C59,Database!$D$5:$F$439,2,0),VLOOKUP(C59,logut!$C$4:$D$499,2,0))</f>
        <v>971700011</v>
      </c>
      <c r="E59" s="86" t="s">
        <v>5900</v>
      </c>
      <c r="G59" s="86" t="s">
        <v>5948</v>
      </c>
      <c r="H59" s="86" t="s">
        <v>5901</v>
      </c>
      <c r="I59" s="212">
        <v>43539</v>
      </c>
      <c r="J59" s="86" t="s">
        <v>5934</v>
      </c>
    </row>
    <row r="60" spans="2:10" x14ac:dyDescent="0.2">
      <c r="B60" s="86">
        <v>57</v>
      </c>
      <c r="C60" s="86" t="s">
        <v>1876</v>
      </c>
      <c r="D60" s="304">
        <f>_xlfn.IFNA(VLOOKUP(C60,Database!$D$5:$F$439,2,0),VLOOKUP(C60,logut!$C$4:$D$499,2,0))</f>
        <v>971900044</v>
      </c>
      <c r="E60" s="86" t="s">
        <v>5900</v>
      </c>
      <c r="G60" s="86" t="s">
        <v>5949</v>
      </c>
      <c r="H60" s="86" t="s">
        <v>5901</v>
      </c>
      <c r="I60" s="212">
        <v>43539</v>
      </c>
      <c r="J60" s="86" t="s">
        <v>5934</v>
      </c>
    </row>
    <row r="61" spans="2:10" x14ac:dyDescent="0.2">
      <c r="B61" s="86">
        <v>58</v>
      </c>
      <c r="C61" s="86" t="s">
        <v>5713</v>
      </c>
      <c r="D61" s="304">
        <f>_xlfn.IFNA(VLOOKUP(C61,Database!$D$5:$F$439,2,0),VLOOKUP(C61,logut!$C$4:$D$499,2,0))</f>
        <v>999200040</v>
      </c>
      <c r="E61" s="86" t="s">
        <v>138</v>
      </c>
      <c r="G61" s="86" t="s">
        <v>5948</v>
      </c>
      <c r="H61" s="86" t="s">
        <v>5901</v>
      </c>
      <c r="I61" s="212">
        <v>43539</v>
      </c>
      <c r="J61" s="86" t="s">
        <v>5934</v>
      </c>
    </row>
    <row r="62" spans="2:10" x14ac:dyDescent="0.2">
      <c r="B62" s="86">
        <v>59</v>
      </c>
      <c r="C62" s="86" t="s">
        <v>1086</v>
      </c>
      <c r="D62" s="304">
        <f>_xlfn.IFNA(VLOOKUP(C62,Database!$D$5:$F$439,2,0),VLOOKUP(C62,logut!$C$4:$D$499,2,0))</f>
        <v>971800024</v>
      </c>
      <c r="E62" s="86" t="s">
        <v>137</v>
      </c>
      <c r="G62" s="86" t="s">
        <v>1161</v>
      </c>
      <c r="H62" s="86" t="s">
        <v>5901</v>
      </c>
      <c r="I62" s="212">
        <v>43539</v>
      </c>
      <c r="J62" s="86" t="s">
        <v>5934</v>
      </c>
    </row>
    <row r="63" spans="2:10" x14ac:dyDescent="0.2">
      <c r="B63" s="86">
        <v>60</v>
      </c>
      <c r="C63" s="86" t="s">
        <v>2212</v>
      </c>
      <c r="D63" s="304">
        <f>_xlfn.IFNA(VLOOKUP(C63,Database!$D$5:$F$439,2,0),VLOOKUP(C63,logut!$C$4:$D$499,2,0))</f>
        <v>972000050</v>
      </c>
      <c r="E63" s="86" t="s">
        <v>5900</v>
      </c>
      <c r="G63" s="86" t="s">
        <v>5950</v>
      </c>
      <c r="H63" s="86" t="s">
        <v>5901</v>
      </c>
      <c r="I63" s="212">
        <v>43539</v>
      </c>
      <c r="J63" s="86" t="s">
        <v>5934</v>
      </c>
    </row>
    <row r="64" spans="2:10" x14ac:dyDescent="0.2">
      <c r="B64" s="86">
        <v>61</v>
      </c>
      <c r="C64" s="92" t="s">
        <v>79</v>
      </c>
      <c r="D64" s="304">
        <f>_xlfn.IFNA(VLOOKUP(C64,Database!$D$5:$F$439,2,0),VLOOKUP(C64,logut!$C$4:$D$499,2,0))</f>
        <v>971900043</v>
      </c>
      <c r="E64" s="86" t="s">
        <v>5900</v>
      </c>
      <c r="G64" s="86" t="s">
        <v>5951</v>
      </c>
      <c r="H64" s="86" t="s">
        <v>5901</v>
      </c>
      <c r="I64" s="212">
        <v>43539</v>
      </c>
      <c r="J64" s="86" t="s">
        <v>5934</v>
      </c>
    </row>
    <row r="65" spans="2:10" x14ac:dyDescent="0.2">
      <c r="B65" s="86">
        <v>62</v>
      </c>
      <c r="C65" s="86" t="s">
        <v>5272</v>
      </c>
      <c r="D65" s="304">
        <f>_xlfn.IFNA(VLOOKUP(C65,Database!$D$5:$F$439,2,0),VLOOKUP(C65,logut!$C$4:$D$499,2,0))</f>
        <v>999600008</v>
      </c>
      <c r="E65" s="86" t="s">
        <v>142</v>
      </c>
      <c r="G65" s="86" t="s">
        <v>50</v>
      </c>
      <c r="H65" s="86" t="s">
        <v>5901</v>
      </c>
      <c r="I65" s="212">
        <v>43539</v>
      </c>
      <c r="J65" s="86" t="s">
        <v>5934</v>
      </c>
    </row>
    <row r="66" spans="2:10" x14ac:dyDescent="0.2">
      <c r="B66" s="86">
        <v>63</v>
      </c>
      <c r="C66" s="86" t="s">
        <v>575</v>
      </c>
      <c r="D66" s="304">
        <f>_xlfn.IFNA(VLOOKUP(C66,Database!$D$5:$F$439,2,0),VLOOKUP(C66,logut!$C$4:$D$499,2,0))</f>
        <v>971900031</v>
      </c>
      <c r="E66" s="86" t="s">
        <v>140</v>
      </c>
      <c r="G66" s="86" t="s">
        <v>5952</v>
      </c>
      <c r="H66" s="86" t="s">
        <v>26</v>
      </c>
      <c r="I66" s="212">
        <v>43647</v>
      </c>
      <c r="J66" s="86" t="s">
        <v>576</v>
      </c>
    </row>
    <row r="67" spans="2:10" x14ac:dyDescent="0.2">
      <c r="B67" s="86">
        <v>64</v>
      </c>
      <c r="C67" s="86" t="s">
        <v>762</v>
      </c>
      <c r="D67" s="304">
        <f>_xlfn.IFNA(VLOOKUP(C67,Database!$D$5:$F$439,2,0),VLOOKUP(C67,logut!$C$4:$D$499,2,0))</f>
        <v>971900033</v>
      </c>
      <c r="E67" s="86" t="s">
        <v>140</v>
      </c>
      <c r="G67" s="86" t="s">
        <v>5953</v>
      </c>
      <c r="H67" s="86" t="s">
        <v>27</v>
      </c>
      <c r="I67" s="212">
        <v>43647</v>
      </c>
      <c r="J67" s="86" t="s">
        <v>576</v>
      </c>
    </row>
    <row r="68" spans="2:10" x14ac:dyDescent="0.2">
      <c r="B68" s="86">
        <v>65</v>
      </c>
      <c r="C68" s="86" t="s">
        <v>694</v>
      </c>
      <c r="D68" s="304">
        <f>_xlfn.IFNA(VLOOKUP(C68,Database!$D$5:$F$439,2,0),VLOOKUP(C68,logut!$C$4:$D$499,2,0))</f>
        <v>971900028</v>
      </c>
      <c r="E68" s="86" t="s">
        <v>140</v>
      </c>
      <c r="G68" s="86" t="s">
        <v>5954</v>
      </c>
      <c r="H68" s="86" t="s">
        <v>21</v>
      </c>
      <c r="I68" s="212">
        <v>43647</v>
      </c>
      <c r="J68" s="86" t="s">
        <v>576</v>
      </c>
    </row>
    <row r="69" spans="2:10" x14ac:dyDescent="0.2">
      <c r="B69" s="86">
        <v>66</v>
      </c>
      <c r="C69" s="86" t="s">
        <v>747</v>
      </c>
      <c r="D69" s="304">
        <f>_xlfn.IFNA(VLOOKUP(C69,Database!$D$5:$F$439,2,0),VLOOKUP(C69,logut!$C$4:$D$499,2,0))</f>
        <v>971900030</v>
      </c>
      <c r="E69" s="86" t="s">
        <v>140</v>
      </c>
      <c r="G69" s="86" t="s">
        <v>748</v>
      </c>
      <c r="H69" s="86" t="s">
        <v>25</v>
      </c>
      <c r="I69" s="212">
        <v>43647</v>
      </c>
      <c r="J69" s="86" t="s">
        <v>576</v>
      </c>
    </row>
    <row r="70" spans="2:10" x14ac:dyDescent="0.2">
      <c r="B70" s="86">
        <v>67</v>
      </c>
      <c r="C70" s="86" t="s">
        <v>601</v>
      </c>
      <c r="D70" s="304">
        <f>_xlfn.IFNA(VLOOKUP(C70,Database!$D$5:$F$439,2,0),VLOOKUP(C70,logut!$C$4:$D$499,2,0))</f>
        <v>971900032</v>
      </c>
      <c r="E70" s="86" t="s">
        <v>140</v>
      </c>
      <c r="G70" s="86" t="s">
        <v>5955</v>
      </c>
      <c r="H70" s="86" t="s">
        <v>26</v>
      </c>
      <c r="I70" s="212">
        <v>43647</v>
      </c>
      <c r="J70" s="86" t="s">
        <v>576</v>
      </c>
    </row>
    <row r="71" spans="2:10" x14ac:dyDescent="0.2">
      <c r="B71" s="86">
        <v>68</v>
      </c>
      <c r="C71" s="86" t="s">
        <v>5272</v>
      </c>
      <c r="D71" s="304">
        <f>_xlfn.IFNA(VLOOKUP(C71,Database!$D$5:$F$439,2,0),VLOOKUP(C71,logut!$C$4:$D$499,2,0))</f>
        <v>999600008</v>
      </c>
      <c r="E71" s="86" t="s">
        <v>142</v>
      </c>
      <c r="G71" s="86" t="s">
        <v>50</v>
      </c>
      <c r="H71" s="86" t="s">
        <v>5901</v>
      </c>
      <c r="I71" s="212">
        <v>43650</v>
      </c>
      <c r="J71" s="86" t="s">
        <v>5956</v>
      </c>
    </row>
    <row r="72" spans="2:10" x14ac:dyDescent="0.2">
      <c r="B72" s="86">
        <v>69</v>
      </c>
      <c r="C72" s="86" t="s">
        <v>5138</v>
      </c>
      <c r="D72" s="304">
        <f>_xlfn.IFNA(VLOOKUP(C72,Database!$D$5:$F$439,2,0),VLOOKUP(C72,logut!$C$4:$D$499,2,0))</f>
        <v>999400099</v>
      </c>
      <c r="E72" s="86" t="s">
        <v>142</v>
      </c>
      <c r="G72" s="86" t="s">
        <v>313</v>
      </c>
      <c r="H72" s="86" t="s">
        <v>5901</v>
      </c>
      <c r="I72" s="212">
        <v>43650</v>
      </c>
      <c r="J72" s="86" t="s">
        <v>5956</v>
      </c>
    </row>
    <row r="73" spans="2:10" x14ac:dyDescent="0.2">
      <c r="B73" s="86">
        <v>70</v>
      </c>
      <c r="C73" s="86" t="s">
        <v>5195</v>
      </c>
      <c r="D73" s="304">
        <f>_xlfn.IFNA(VLOOKUP(C73,Database!$D$5:$F$439,2,0),VLOOKUP(C73,logut!$C$4:$D$499,2,0))</f>
        <v>999900116</v>
      </c>
      <c r="E73" s="86" t="s">
        <v>142</v>
      </c>
      <c r="G73" s="86" t="s">
        <v>59</v>
      </c>
      <c r="H73" s="86" t="s">
        <v>5901</v>
      </c>
      <c r="I73" s="212">
        <v>43650</v>
      </c>
      <c r="J73" s="86" t="s">
        <v>5956</v>
      </c>
    </row>
    <row r="74" spans="2:10" x14ac:dyDescent="0.2">
      <c r="B74" s="86">
        <v>71</v>
      </c>
      <c r="C74" s="86" t="s">
        <v>1949</v>
      </c>
      <c r="D74" s="304">
        <f>_xlfn.IFNA(VLOOKUP(C74,Database!$D$5:$F$439,2,0),VLOOKUP(C74,logut!$C$4:$D$499,2,0))</f>
        <v>971900034</v>
      </c>
      <c r="E74" s="86" t="s">
        <v>5957</v>
      </c>
      <c r="G74" s="86" t="s">
        <v>50</v>
      </c>
      <c r="H74" s="86" t="s">
        <v>5901</v>
      </c>
      <c r="I74" s="212">
        <v>43650</v>
      </c>
      <c r="J74" s="86" t="s">
        <v>5956</v>
      </c>
    </row>
    <row r="75" spans="2:10" x14ac:dyDescent="0.2">
      <c r="B75" s="86">
        <v>72</v>
      </c>
      <c r="C75" s="86" t="s">
        <v>4820</v>
      </c>
      <c r="D75" s="304">
        <f>_xlfn.IFNA(VLOOKUP(C75,Database!$D$5:$F$439,2,0),VLOOKUP(C75,logut!$C$4:$D$499,2,0))</f>
        <v>999600006</v>
      </c>
      <c r="E75" s="86" t="s">
        <v>5957</v>
      </c>
      <c r="G75" s="86" t="s">
        <v>5958</v>
      </c>
      <c r="H75" s="86" t="s">
        <v>5901</v>
      </c>
      <c r="I75" s="212">
        <v>43650</v>
      </c>
      <c r="J75" s="86" t="s">
        <v>5956</v>
      </c>
    </row>
    <row r="76" spans="2:10" x14ac:dyDescent="0.2">
      <c r="B76" s="86">
        <v>73</v>
      </c>
      <c r="C76" s="86" t="s">
        <v>380</v>
      </c>
      <c r="D76" s="304">
        <f>_xlfn.IFNA(VLOOKUP(C76,Database!$D$5:$F$439,2,0),VLOOKUP(C76,logut!$C$4:$D$499,2,0))</f>
        <v>971500002</v>
      </c>
      <c r="E76" s="86" t="s">
        <v>137</v>
      </c>
      <c r="G76" s="86" t="s">
        <v>5959</v>
      </c>
      <c r="H76" s="86" t="s">
        <v>5901</v>
      </c>
      <c r="I76" s="212">
        <v>43650</v>
      </c>
      <c r="J76" s="86" t="s">
        <v>5956</v>
      </c>
    </row>
    <row r="77" spans="2:10" x14ac:dyDescent="0.2">
      <c r="B77" s="86">
        <v>74</v>
      </c>
      <c r="C77" s="86" t="s">
        <v>1086</v>
      </c>
      <c r="D77" s="304">
        <f>_xlfn.IFNA(VLOOKUP(C77,Database!$D$5:$F$439,2,0),VLOOKUP(C77,logut!$C$4:$D$499,2,0))</f>
        <v>971800024</v>
      </c>
      <c r="E77" s="86" t="s">
        <v>5957</v>
      </c>
      <c r="G77" s="86" t="s">
        <v>5960</v>
      </c>
      <c r="H77" s="86" t="s">
        <v>5901</v>
      </c>
      <c r="I77" s="212">
        <v>43650</v>
      </c>
      <c r="J77" s="86" t="s">
        <v>5956</v>
      </c>
    </row>
    <row r="78" spans="2:10" x14ac:dyDescent="0.2">
      <c r="B78" s="86">
        <v>75</v>
      </c>
      <c r="C78" s="86" t="s">
        <v>5713</v>
      </c>
      <c r="D78" s="304">
        <f>_xlfn.IFNA(VLOOKUP(C78,Database!$D$5:$F$439,2,0),VLOOKUP(C78,logut!$C$4:$D$499,2,0))</f>
        <v>999200040</v>
      </c>
      <c r="E78" s="86" t="s">
        <v>5935</v>
      </c>
      <c r="G78" s="86" t="s">
        <v>1161</v>
      </c>
      <c r="H78" s="86" t="s">
        <v>5901</v>
      </c>
      <c r="I78" s="212">
        <v>43650</v>
      </c>
      <c r="J78" s="86" t="s">
        <v>5956</v>
      </c>
    </row>
    <row r="79" spans="2:10" x14ac:dyDescent="0.2">
      <c r="B79" s="86">
        <v>76</v>
      </c>
      <c r="C79" s="86" t="s">
        <v>4763</v>
      </c>
      <c r="D79" s="304">
        <f>_xlfn.IFNA(VLOOKUP(C79,Database!$D$5:$F$439,2,0),VLOOKUP(C79,logut!$C$4:$D$499,2,0))</f>
        <v>971700012</v>
      </c>
      <c r="E79" s="86" t="s">
        <v>138</v>
      </c>
      <c r="G79" s="86" t="s">
        <v>5961</v>
      </c>
      <c r="H79" s="86" t="s">
        <v>5901</v>
      </c>
      <c r="I79" s="212">
        <v>43650</v>
      </c>
      <c r="J79" s="86" t="s">
        <v>5956</v>
      </c>
    </row>
    <row r="80" spans="2:10" x14ac:dyDescent="0.2">
      <c r="B80" s="86">
        <v>77</v>
      </c>
      <c r="C80" s="86" t="s">
        <v>431</v>
      </c>
      <c r="D80" s="304">
        <f>_xlfn.IFNA(VLOOKUP(C80,Database!$D$5:$F$439,2,0),VLOOKUP(C80,logut!$C$4:$D$499,2,0))</f>
        <v>971600004</v>
      </c>
      <c r="E80" s="86" t="s">
        <v>138</v>
      </c>
      <c r="G80" s="86" t="s">
        <v>5962</v>
      </c>
      <c r="H80" s="86" t="s">
        <v>5901</v>
      </c>
      <c r="I80" s="212">
        <v>43650</v>
      </c>
      <c r="J80" s="86" t="s">
        <v>5956</v>
      </c>
    </row>
    <row r="81" spans="2:10" x14ac:dyDescent="0.2">
      <c r="B81" s="86">
        <v>78</v>
      </c>
      <c r="C81" s="86" t="s">
        <v>1037</v>
      </c>
      <c r="D81" s="304">
        <f>_xlfn.IFNA(VLOOKUP(C81,Database!$D$5:$F$439,2,0),VLOOKUP(C81,logut!$C$4:$D$499,2,0))</f>
        <v>971800014</v>
      </c>
      <c r="E81" s="86" t="s">
        <v>5935</v>
      </c>
      <c r="G81" s="86" t="s">
        <v>5963</v>
      </c>
      <c r="H81" s="86" t="s">
        <v>5901</v>
      </c>
      <c r="I81" s="212">
        <v>43650</v>
      </c>
      <c r="J81" s="86" t="s">
        <v>5956</v>
      </c>
    </row>
    <row r="82" spans="2:10" x14ac:dyDescent="0.2">
      <c r="B82" s="86">
        <v>79</v>
      </c>
      <c r="C82" s="86" t="s">
        <v>391</v>
      </c>
      <c r="D82" s="304">
        <f>_xlfn.IFNA(VLOOKUP(C82,Database!$D$5:$F$439,2,0),VLOOKUP(C82,logut!$C$4:$D$499,2,0))</f>
        <v>971500003</v>
      </c>
      <c r="E82" s="86" t="s">
        <v>5935</v>
      </c>
      <c r="G82" s="86" t="s">
        <v>5964</v>
      </c>
      <c r="H82" s="86" t="s">
        <v>5901</v>
      </c>
      <c r="I82" s="212">
        <v>43650</v>
      </c>
      <c r="J82" s="86" t="s">
        <v>5956</v>
      </c>
    </row>
    <row r="83" spans="2:10" x14ac:dyDescent="0.2">
      <c r="B83" s="86">
        <v>80</v>
      </c>
      <c r="C83" s="86" t="s">
        <v>1159</v>
      </c>
      <c r="D83" s="304">
        <f>_xlfn.IFNA(VLOOKUP(C83,Database!$D$5:$F$439,2,0),VLOOKUP(C83,logut!$C$4:$D$499,2,0))</f>
        <v>971800017</v>
      </c>
      <c r="E83" s="86" t="s">
        <v>5935</v>
      </c>
      <c r="G83" s="86" t="s">
        <v>59</v>
      </c>
      <c r="H83" s="86" t="s">
        <v>5901</v>
      </c>
      <c r="I83" s="212">
        <v>43650</v>
      </c>
      <c r="J83" s="86" t="s">
        <v>5956</v>
      </c>
    </row>
    <row r="84" spans="2:10" x14ac:dyDescent="0.2">
      <c r="B84" s="86">
        <v>81</v>
      </c>
      <c r="C84" s="86" t="s">
        <v>1037</v>
      </c>
      <c r="D84" s="304">
        <f>_xlfn.IFNA(VLOOKUP(C84,Database!$D$5:$F$439,2,0),VLOOKUP(C84,logut!$C$4:$D$499,2,0))</f>
        <v>971800014</v>
      </c>
      <c r="E84" s="86" t="s">
        <v>5935</v>
      </c>
      <c r="G84" s="86" t="s">
        <v>5963</v>
      </c>
      <c r="H84" s="86" t="s">
        <v>5901</v>
      </c>
      <c r="I84" s="212">
        <v>43650</v>
      </c>
      <c r="J84" s="86" t="s">
        <v>5956</v>
      </c>
    </row>
    <row r="85" spans="2:10" x14ac:dyDescent="0.2">
      <c r="B85" s="86">
        <v>82</v>
      </c>
      <c r="C85" s="86" t="s">
        <v>2212</v>
      </c>
      <c r="D85" s="304">
        <f>_xlfn.IFNA(VLOOKUP(C85,Database!$D$5:$F$439,2,0),VLOOKUP(C85,logut!$C$4:$D$499,2,0))</f>
        <v>972000050</v>
      </c>
      <c r="E85" s="86" t="s">
        <v>5900</v>
      </c>
      <c r="G85" s="86" t="s">
        <v>5965</v>
      </c>
      <c r="H85" s="86" t="s">
        <v>5901</v>
      </c>
      <c r="I85" s="212">
        <v>43650</v>
      </c>
      <c r="J85" s="86" t="s">
        <v>5956</v>
      </c>
    </row>
    <row r="86" spans="2:10" x14ac:dyDescent="0.2">
      <c r="B86" s="86">
        <v>83</v>
      </c>
      <c r="C86" s="86" t="s">
        <v>74</v>
      </c>
      <c r="D86" s="304">
        <f>_xlfn.IFNA(VLOOKUP(C86,Database!$D$5:$F$439,2,0),VLOOKUP(C86,logut!$C$4:$D$499,2,0))</f>
        <v>971800021</v>
      </c>
      <c r="E86" s="86" t="s">
        <v>5900</v>
      </c>
      <c r="G86" s="86" t="s">
        <v>1161</v>
      </c>
      <c r="H86" s="86" t="s">
        <v>5901</v>
      </c>
      <c r="I86" s="212">
        <v>43650</v>
      </c>
      <c r="J86" s="86" t="s">
        <v>5956</v>
      </c>
    </row>
    <row r="87" spans="2:10" x14ac:dyDescent="0.2">
      <c r="B87" s="86">
        <v>84</v>
      </c>
      <c r="C87" s="86" t="s">
        <v>842</v>
      </c>
      <c r="D87" s="304">
        <f>_xlfn.IFNA(VLOOKUP(C87,Database!$D$5:$F$439,2,0),VLOOKUP(C87,logut!$C$4:$D$499,2,0))</f>
        <v>971700011</v>
      </c>
      <c r="E87" s="86" t="s">
        <v>5900</v>
      </c>
      <c r="G87" s="86" t="s">
        <v>5948</v>
      </c>
      <c r="H87" s="86" t="s">
        <v>5901</v>
      </c>
      <c r="I87" s="212">
        <v>43650</v>
      </c>
      <c r="J87" s="86" t="s">
        <v>5956</v>
      </c>
    </row>
    <row r="88" spans="2:10" x14ac:dyDescent="0.2">
      <c r="B88" s="86">
        <v>85</v>
      </c>
      <c r="C88" s="86" t="s">
        <v>1876</v>
      </c>
      <c r="D88" s="304">
        <f>_xlfn.IFNA(VLOOKUP(C88,Database!$D$5:$F$439,2,0),VLOOKUP(C88,logut!$C$4:$D$499,2,0))</f>
        <v>971900044</v>
      </c>
      <c r="E88" s="86" t="s">
        <v>5900</v>
      </c>
      <c r="G88" s="86" t="s">
        <v>5966</v>
      </c>
      <c r="H88" s="86" t="s">
        <v>5901</v>
      </c>
      <c r="I88" s="212">
        <v>43650</v>
      </c>
      <c r="J88" s="86" t="s">
        <v>5956</v>
      </c>
    </row>
    <row r="89" spans="2:10" x14ac:dyDescent="0.2">
      <c r="B89" s="86">
        <v>86</v>
      </c>
      <c r="C89" s="86" t="s">
        <v>1914</v>
      </c>
      <c r="D89" s="304">
        <f>_xlfn.IFNA(VLOOKUP(C89,Database!$D$5:$F$439,2,0),VLOOKUP(C89,logut!$C$4:$D$499,2,0))</f>
        <v>971900037</v>
      </c>
      <c r="E89" s="86" t="s">
        <v>5900</v>
      </c>
      <c r="G89" s="86" t="s">
        <v>5967</v>
      </c>
      <c r="H89" s="86" t="s">
        <v>5901</v>
      </c>
      <c r="I89" s="212">
        <v>43650</v>
      </c>
      <c r="J89" s="86" t="s">
        <v>5956</v>
      </c>
    </row>
    <row r="90" spans="2:10" x14ac:dyDescent="0.2">
      <c r="B90" s="86">
        <v>87</v>
      </c>
      <c r="C90" s="86" t="s">
        <v>5665</v>
      </c>
      <c r="D90" s="304">
        <f>_xlfn.IFNA(VLOOKUP(C90,Database!$D$5:$F$439,2,0),VLOOKUP(C90,logut!$C$4:$D$499,2,0))</f>
        <v>971700013</v>
      </c>
      <c r="E90" s="86" t="s">
        <v>5900</v>
      </c>
      <c r="G90" s="86" t="s">
        <v>5933</v>
      </c>
      <c r="H90" s="86" t="s">
        <v>5901</v>
      </c>
      <c r="I90" s="212">
        <v>43650</v>
      </c>
      <c r="J90" s="86" t="s">
        <v>5956</v>
      </c>
    </row>
    <row r="91" spans="2:10" x14ac:dyDescent="0.2">
      <c r="B91" s="86">
        <v>88</v>
      </c>
      <c r="C91" s="86" t="s">
        <v>82</v>
      </c>
      <c r="D91" s="304">
        <f>_xlfn.IFNA(VLOOKUP(C91,Database!$D$5:$F$439,2,0),VLOOKUP(C91,logut!$C$4:$D$499,2,0))</f>
        <v>971900036</v>
      </c>
      <c r="E91" s="86" t="s">
        <v>5900</v>
      </c>
      <c r="G91" s="86" t="s">
        <v>5933</v>
      </c>
      <c r="H91" s="86" t="s">
        <v>5901</v>
      </c>
      <c r="I91" s="212">
        <v>43650</v>
      </c>
      <c r="J91" s="86" t="s">
        <v>5956</v>
      </c>
    </row>
    <row r="92" spans="2:10" x14ac:dyDescent="0.2">
      <c r="B92" s="86">
        <v>89</v>
      </c>
      <c r="C92" s="86" t="s">
        <v>1932</v>
      </c>
      <c r="D92" s="304">
        <f>_xlfn.IFNA(VLOOKUP(C92,Database!$D$5:$F$439,2,0),VLOOKUP(C92,logut!$C$4:$D$499,2,0))</f>
        <v>971900035</v>
      </c>
      <c r="E92" s="86" t="s">
        <v>5900</v>
      </c>
      <c r="G92" s="86" t="s">
        <v>1940</v>
      </c>
      <c r="H92" s="86" t="s">
        <v>5901</v>
      </c>
      <c r="I92" s="212">
        <v>43650</v>
      </c>
      <c r="J92" s="86" t="s">
        <v>5956</v>
      </c>
    </row>
    <row r="93" spans="2:10" x14ac:dyDescent="0.2">
      <c r="B93" s="86">
        <v>90</v>
      </c>
      <c r="C93" s="86" t="s">
        <v>1903</v>
      </c>
      <c r="D93" s="304">
        <f>_xlfn.IFNA(VLOOKUP(C93,Database!$D$5:$F$439,2,0),VLOOKUP(C93,logut!$C$4:$D$499,2,0))</f>
        <v>971900039</v>
      </c>
      <c r="E93" s="86" t="s">
        <v>5900</v>
      </c>
      <c r="G93" s="86" t="s">
        <v>5962</v>
      </c>
      <c r="H93" s="86" t="s">
        <v>5901</v>
      </c>
      <c r="I93" s="212">
        <v>43650</v>
      </c>
      <c r="J93" s="86" t="s">
        <v>5956</v>
      </c>
    </row>
    <row r="94" spans="2:10" x14ac:dyDescent="0.2">
      <c r="B94" s="86">
        <v>91</v>
      </c>
      <c r="C94" s="86" t="s">
        <v>1063</v>
      </c>
      <c r="D94" s="304">
        <f>_xlfn.IFNA(VLOOKUP(C94,Database!$D$5:$F$439,2,0),VLOOKUP(C94,logut!$C$4:$D$499,2,0))</f>
        <v>971800015</v>
      </c>
      <c r="E94" s="86" t="s">
        <v>5900</v>
      </c>
      <c r="G94" s="86" t="s">
        <v>5968</v>
      </c>
      <c r="H94" s="86" t="s">
        <v>5901</v>
      </c>
      <c r="I94" s="212">
        <v>43650</v>
      </c>
      <c r="J94" s="86" t="s">
        <v>5956</v>
      </c>
    </row>
    <row r="95" spans="2:10" x14ac:dyDescent="0.2">
      <c r="B95" s="86">
        <v>92</v>
      </c>
      <c r="C95" s="86" t="s">
        <v>4886</v>
      </c>
      <c r="D95" s="304">
        <f>_xlfn.IFNA(VLOOKUP(C95,Database!$D$5:$F$439,2,0),VLOOKUP(C95,logut!$C$4:$D$499,2,0))</f>
        <v>971900038</v>
      </c>
      <c r="E95" s="86" t="s">
        <v>5900</v>
      </c>
      <c r="G95" s="86" t="s">
        <v>5969</v>
      </c>
      <c r="H95" s="86" t="s">
        <v>5901</v>
      </c>
      <c r="I95" s="212">
        <v>43650</v>
      </c>
      <c r="J95" s="86" t="s">
        <v>5956</v>
      </c>
    </row>
    <row r="96" spans="2:10" x14ac:dyDescent="0.2">
      <c r="B96" s="86">
        <v>93</v>
      </c>
      <c r="C96" s="86" t="s">
        <v>1149</v>
      </c>
      <c r="D96" s="304">
        <f>_xlfn.IFNA(VLOOKUP(C96,Database!$D$5:$F$439,2,0),VLOOKUP(C96,logut!$C$4:$D$499,2,0))</f>
        <v>971800019</v>
      </c>
      <c r="E96" s="86" t="s">
        <v>5900</v>
      </c>
      <c r="G96" s="86" t="s">
        <v>5951</v>
      </c>
      <c r="H96" s="86" t="s">
        <v>5901</v>
      </c>
      <c r="I96" s="212">
        <v>43650</v>
      </c>
      <c r="J96" s="86" t="s">
        <v>5956</v>
      </c>
    </row>
    <row r="97" spans="2:10" x14ac:dyDescent="0.2">
      <c r="B97" s="86">
        <v>94</v>
      </c>
      <c r="C97" s="86" t="s">
        <v>440</v>
      </c>
      <c r="D97" s="304">
        <f>_xlfn.IFNA(VLOOKUP(C97,Database!$D$5:$F$439,2,0),VLOOKUP(C97,logut!$C$4:$D$499,2,0))</f>
        <v>971800022</v>
      </c>
      <c r="E97" s="86" t="s">
        <v>5900</v>
      </c>
      <c r="G97" s="86" t="s">
        <v>5963</v>
      </c>
      <c r="H97" s="86" t="s">
        <v>5901</v>
      </c>
      <c r="I97" s="212">
        <v>43650</v>
      </c>
      <c r="J97" s="86" t="s">
        <v>5956</v>
      </c>
    </row>
    <row r="98" spans="2:10" x14ac:dyDescent="0.2">
      <c r="B98" s="86">
        <v>95</v>
      </c>
      <c r="C98" s="86" t="s">
        <v>561</v>
      </c>
      <c r="D98" s="304">
        <f>_xlfn.IFNA(VLOOKUP(C98,Database!$D$5:$F$439,2,0),VLOOKUP(C98,logut!$C$4:$D$499,2,0))</f>
        <v>971800023</v>
      </c>
      <c r="E98" s="86" t="s">
        <v>5900</v>
      </c>
      <c r="G98" s="86" t="s">
        <v>5959</v>
      </c>
      <c r="H98" s="86" t="s">
        <v>5901</v>
      </c>
      <c r="I98" s="212">
        <v>43650</v>
      </c>
      <c r="J98" s="86" t="s">
        <v>5956</v>
      </c>
    </row>
    <row r="99" spans="2:10" x14ac:dyDescent="0.2">
      <c r="B99" s="86">
        <v>96</v>
      </c>
      <c r="C99" s="86" t="s">
        <v>1073</v>
      </c>
      <c r="D99" s="304">
        <f>_xlfn.IFNA(VLOOKUP(C99,Database!$D$5:$F$439,2,0),VLOOKUP(C99,logut!$C$4:$D$499,2,0))</f>
        <v>971800016</v>
      </c>
      <c r="E99" s="86" t="s">
        <v>5900</v>
      </c>
      <c r="G99" s="86" t="s">
        <v>5959</v>
      </c>
      <c r="H99" s="86" t="s">
        <v>5901</v>
      </c>
      <c r="I99" s="212">
        <v>43650</v>
      </c>
      <c r="J99" s="86" t="s">
        <v>5956</v>
      </c>
    </row>
    <row r="100" spans="2:10" x14ac:dyDescent="0.2">
      <c r="B100" s="86">
        <v>97</v>
      </c>
      <c r="C100" s="86" t="s">
        <v>1351</v>
      </c>
      <c r="D100" s="304">
        <f>_xlfn.IFNA(VLOOKUP(C100,Database!$D$5:$F$439,2,0),VLOOKUP(C100,logut!$C$4:$D$499,2,0))</f>
        <v>971800020</v>
      </c>
      <c r="E100" s="86" t="s">
        <v>5900</v>
      </c>
      <c r="G100" s="86" t="s">
        <v>5959</v>
      </c>
      <c r="H100" s="86" t="s">
        <v>5901</v>
      </c>
      <c r="I100" s="212">
        <v>43650</v>
      </c>
      <c r="J100" s="86" t="s">
        <v>5956</v>
      </c>
    </row>
    <row r="101" spans="2:10" x14ac:dyDescent="0.2">
      <c r="B101" s="86">
        <v>98</v>
      </c>
      <c r="C101" s="86" t="s">
        <v>1331</v>
      </c>
      <c r="D101" s="304">
        <f>_xlfn.IFNA(VLOOKUP(C101,Database!$D$5:$F$439,2,0),VLOOKUP(C101,logut!$C$4:$D$499,2,0))</f>
        <v>971800018</v>
      </c>
      <c r="E101" s="86" t="s">
        <v>5900</v>
      </c>
      <c r="G101" s="86" t="s">
        <v>1115</v>
      </c>
      <c r="H101" s="86" t="s">
        <v>5901</v>
      </c>
      <c r="I101" s="212">
        <v>43650</v>
      </c>
      <c r="J101" s="86" t="s">
        <v>5956</v>
      </c>
    </row>
    <row r="102" spans="2:10" x14ac:dyDescent="0.2">
      <c r="B102" s="86">
        <v>99</v>
      </c>
      <c r="C102" s="86" t="s">
        <v>1170</v>
      </c>
      <c r="D102" s="304">
        <f>_xlfn.IFNA(VLOOKUP(C102,Database!$D$5:$F$439,2,0),VLOOKUP(C102,logut!$C$4:$D$499,2,0))</f>
        <v>971900027</v>
      </c>
      <c r="E102" s="86" t="s">
        <v>5900</v>
      </c>
      <c r="G102" s="86" t="s">
        <v>5964</v>
      </c>
      <c r="H102" s="86" t="s">
        <v>5901</v>
      </c>
      <c r="I102" s="212">
        <v>43650</v>
      </c>
      <c r="J102" s="86" t="s">
        <v>5956</v>
      </c>
    </row>
    <row r="103" spans="2:10" x14ac:dyDescent="0.2">
      <c r="B103" s="86">
        <v>100</v>
      </c>
      <c r="C103" s="86" t="s">
        <v>79</v>
      </c>
      <c r="D103" s="304">
        <f>_xlfn.IFNA(VLOOKUP(C103,Database!$D$5:$F$439,2,0),VLOOKUP(C103,logut!$C$4:$D$499,2,0))</f>
        <v>971900043</v>
      </c>
      <c r="E103" s="86" t="s">
        <v>5900</v>
      </c>
      <c r="G103" s="86" t="s">
        <v>5970</v>
      </c>
      <c r="H103" s="86" t="s">
        <v>5901</v>
      </c>
      <c r="I103" s="212">
        <v>43650</v>
      </c>
      <c r="J103" s="86" t="s">
        <v>5956</v>
      </c>
    </row>
    <row r="104" spans="2:10" x14ac:dyDescent="0.2">
      <c r="B104" s="86">
        <v>101</v>
      </c>
      <c r="C104" s="86" t="s">
        <v>4710</v>
      </c>
      <c r="D104" s="304">
        <f>_xlfn.IFNA(VLOOKUP(C104,Database!$D$5:$F$439,2,0),VLOOKUP(C104,logut!$C$4:$D$499,2,0))</f>
        <v>971500001</v>
      </c>
      <c r="E104" s="86" t="s">
        <v>5900</v>
      </c>
      <c r="G104" s="86" t="s">
        <v>5971</v>
      </c>
      <c r="H104" s="86" t="s">
        <v>5901</v>
      </c>
      <c r="I104" s="212">
        <v>43650</v>
      </c>
      <c r="J104" s="86" t="s">
        <v>5956</v>
      </c>
    </row>
    <row r="105" spans="2:10" x14ac:dyDescent="0.2">
      <c r="B105" s="86">
        <v>102</v>
      </c>
      <c r="C105" s="86" t="s">
        <v>1895</v>
      </c>
      <c r="D105" s="304">
        <f>_xlfn.IFNA(VLOOKUP(C105,Database!$D$5:$F$439,2,0),VLOOKUP(C105,logut!$C$4:$D$499,2,0))</f>
        <v>971900040</v>
      </c>
      <c r="E105" s="86" t="s">
        <v>5900</v>
      </c>
      <c r="G105" s="86" t="s">
        <v>5971</v>
      </c>
      <c r="H105" s="86" t="s">
        <v>5901</v>
      </c>
      <c r="I105" s="212">
        <v>43650</v>
      </c>
      <c r="J105" s="86" t="s">
        <v>5956</v>
      </c>
    </row>
    <row r="106" spans="2:10" x14ac:dyDescent="0.2">
      <c r="B106" s="86">
        <v>103</v>
      </c>
      <c r="C106" s="86" t="s">
        <v>4800</v>
      </c>
      <c r="D106" s="304">
        <f>_xlfn.IFNA(VLOOKUP(C106,Database!$D$5:$F$439,2,0),VLOOKUP(C106,logut!$C$4:$D$499,2,0))</f>
        <v>971900042</v>
      </c>
      <c r="E106" s="86" t="s">
        <v>5900</v>
      </c>
      <c r="G106" s="86" t="s">
        <v>5972</v>
      </c>
      <c r="H106" s="86" t="s">
        <v>5901</v>
      </c>
      <c r="I106" s="212">
        <v>43650</v>
      </c>
      <c r="J106" s="86" t="s">
        <v>5956</v>
      </c>
    </row>
    <row r="107" spans="2:10" x14ac:dyDescent="0.2">
      <c r="B107" s="86">
        <v>104</v>
      </c>
      <c r="C107" s="86" t="s">
        <v>1941</v>
      </c>
      <c r="D107" s="304">
        <f>_xlfn.IFNA(VLOOKUP(C107,Database!$D$5:$F$439,2,0),VLOOKUP(C107,logut!$C$4:$D$499,2,0))</f>
        <v>971900045</v>
      </c>
      <c r="E107" s="86" t="s">
        <v>5900</v>
      </c>
      <c r="G107" s="86" t="s">
        <v>5972</v>
      </c>
      <c r="H107" s="86" t="s">
        <v>5901</v>
      </c>
      <c r="I107" s="212">
        <v>43650</v>
      </c>
      <c r="J107" s="86" t="s">
        <v>5956</v>
      </c>
    </row>
    <row r="108" spans="2:10" x14ac:dyDescent="0.2">
      <c r="B108" s="86">
        <v>105</v>
      </c>
      <c r="C108" s="86" t="s">
        <v>1475</v>
      </c>
      <c r="D108" s="304">
        <f>_xlfn.IFNA(VLOOKUP(C108,Database!$D$5:$F$439,2,0),VLOOKUP(C108,logut!$C$4:$D$499,2,0))</f>
        <v>972000053</v>
      </c>
      <c r="E108" s="86" t="s">
        <v>5900</v>
      </c>
      <c r="G108" s="86" t="s">
        <v>5964</v>
      </c>
      <c r="H108" s="86" t="s">
        <v>5901</v>
      </c>
      <c r="I108" s="212">
        <v>43650</v>
      </c>
      <c r="J108" s="86" t="s">
        <v>5956</v>
      </c>
    </row>
    <row r="109" spans="2:10" x14ac:dyDescent="0.2">
      <c r="B109" s="86">
        <v>106</v>
      </c>
      <c r="C109" s="86" t="s">
        <v>1322</v>
      </c>
      <c r="D109" s="304">
        <f>_xlfn.IFNA(VLOOKUP(C109,Database!$D$5:$F$439,2,0),VLOOKUP(C109,logut!$C$4:$D$499,2,0))</f>
        <v>972000051</v>
      </c>
      <c r="E109" s="86" t="s">
        <v>5900</v>
      </c>
      <c r="G109" s="86" t="s">
        <v>5964</v>
      </c>
      <c r="H109" s="86" t="s">
        <v>5901</v>
      </c>
      <c r="I109" s="212">
        <v>43650</v>
      </c>
      <c r="J109" s="86" t="s">
        <v>5956</v>
      </c>
    </row>
    <row r="110" spans="2:10" x14ac:dyDescent="0.2">
      <c r="B110" s="86">
        <v>107</v>
      </c>
      <c r="C110" s="86" t="s">
        <v>1159</v>
      </c>
      <c r="D110" s="304">
        <f>_xlfn.IFNA(VLOOKUP(C110,Database!$D$5:$F$439,2,0),VLOOKUP(C110,logut!$C$4:$D$499,2,0))</f>
        <v>971800017</v>
      </c>
      <c r="E110" s="86" t="s">
        <v>137</v>
      </c>
      <c r="G110" s="86" t="s">
        <v>59</v>
      </c>
      <c r="H110" s="86" t="s">
        <v>5901</v>
      </c>
      <c r="I110" s="212">
        <v>43657</v>
      </c>
      <c r="J110" s="86" t="s">
        <v>5973</v>
      </c>
    </row>
    <row r="111" spans="2:10" x14ac:dyDescent="0.2">
      <c r="B111" s="86">
        <v>108</v>
      </c>
      <c r="C111" s="86" t="s">
        <v>431</v>
      </c>
      <c r="D111" s="304">
        <f>_xlfn.IFNA(VLOOKUP(C111,Database!$D$5:$F$439,2,0),VLOOKUP(C111,logut!$C$4:$D$499,2,0))</f>
        <v>971600004</v>
      </c>
      <c r="E111" s="86" t="s">
        <v>138</v>
      </c>
      <c r="G111" s="86" t="s">
        <v>5936</v>
      </c>
      <c r="H111" s="86" t="s">
        <v>5901</v>
      </c>
      <c r="I111" s="212">
        <v>43720</v>
      </c>
      <c r="J111" s="86" t="s">
        <v>1887</v>
      </c>
    </row>
    <row r="112" spans="2:10" x14ac:dyDescent="0.2">
      <c r="B112" s="86">
        <v>109</v>
      </c>
      <c r="C112" s="86" t="s">
        <v>1903</v>
      </c>
      <c r="D112" s="304">
        <f>_xlfn.IFNA(VLOOKUP(C112,Database!$D$5:$F$439,2,0),VLOOKUP(C112,logut!$C$4:$D$499,2,0))</f>
        <v>971900039</v>
      </c>
      <c r="E112" s="86" t="s">
        <v>5935</v>
      </c>
      <c r="G112" s="86" t="s">
        <v>1150</v>
      </c>
      <c r="H112" s="86" t="s">
        <v>5901</v>
      </c>
      <c r="I112" s="212">
        <v>43720</v>
      </c>
      <c r="J112" s="86" t="s">
        <v>1887</v>
      </c>
    </row>
    <row r="113" spans="2:10" x14ac:dyDescent="0.2">
      <c r="B113" s="86">
        <v>110</v>
      </c>
      <c r="C113" s="86" t="s">
        <v>4886</v>
      </c>
      <c r="D113" s="304">
        <f>_xlfn.IFNA(VLOOKUP(C113,Database!$D$5:$F$439,2,0),VLOOKUP(C113,logut!$C$4:$D$499,2,0))</f>
        <v>971900038</v>
      </c>
      <c r="E113" s="86" t="s">
        <v>5900</v>
      </c>
      <c r="G113" s="86" t="s">
        <v>5974</v>
      </c>
      <c r="H113" s="86" t="s">
        <v>5901</v>
      </c>
      <c r="I113" s="212">
        <v>43720</v>
      </c>
      <c r="J113" s="86" t="s">
        <v>1887</v>
      </c>
    </row>
    <row r="114" spans="2:10" x14ac:dyDescent="0.2">
      <c r="B114" s="86">
        <v>111</v>
      </c>
      <c r="C114" s="86" t="s">
        <v>1063</v>
      </c>
      <c r="D114" s="304">
        <f>_xlfn.IFNA(VLOOKUP(C114,Database!$D$5:$F$439,2,0),VLOOKUP(C114,logut!$C$4:$D$499,2,0))</f>
        <v>971800015</v>
      </c>
      <c r="E114" s="86" t="s">
        <v>5900</v>
      </c>
      <c r="G114" s="86" t="s">
        <v>5975</v>
      </c>
      <c r="H114" s="86" t="s">
        <v>5901</v>
      </c>
      <c r="I114" s="212">
        <v>43720</v>
      </c>
      <c r="J114" s="86" t="s">
        <v>1887</v>
      </c>
    </row>
    <row r="115" spans="2:10" x14ac:dyDescent="0.2">
      <c r="B115" s="86">
        <v>112</v>
      </c>
      <c r="C115" s="86" t="s">
        <v>2212</v>
      </c>
      <c r="D115" s="304">
        <f>_xlfn.IFNA(VLOOKUP(C115,Database!$D$5:$F$439,2,0),VLOOKUP(C115,logut!$C$4:$D$499,2,0))</f>
        <v>972000050</v>
      </c>
      <c r="E115" s="86" t="s">
        <v>5900</v>
      </c>
      <c r="G115" s="86" t="s">
        <v>5976</v>
      </c>
      <c r="H115" s="86" t="s">
        <v>5901</v>
      </c>
      <c r="I115" s="212">
        <v>43720</v>
      </c>
      <c r="J115" s="86" t="s">
        <v>1887</v>
      </c>
    </row>
    <row r="116" spans="2:10" x14ac:dyDescent="0.2">
      <c r="B116" s="86">
        <v>113</v>
      </c>
      <c r="C116" s="86" t="s">
        <v>4820</v>
      </c>
      <c r="D116" s="304">
        <f>_xlfn.IFNA(VLOOKUP(C116,Database!$D$5:$F$439,2,0),VLOOKUP(C116,logut!$C$4:$D$499,2,0))</f>
        <v>999600006</v>
      </c>
      <c r="E116" s="86" t="s">
        <v>137</v>
      </c>
      <c r="G116" s="86" t="s">
        <v>5977</v>
      </c>
      <c r="H116" s="86" t="s">
        <v>5901</v>
      </c>
      <c r="I116" s="212">
        <v>43721</v>
      </c>
      <c r="J116" s="86" t="s">
        <v>5978</v>
      </c>
    </row>
    <row r="117" spans="2:10" x14ac:dyDescent="0.2">
      <c r="B117" s="86">
        <v>114</v>
      </c>
      <c r="C117" s="86" t="s">
        <v>1086</v>
      </c>
      <c r="D117" s="304">
        <f>_xlfn.IFNA(VLOOKUP(C117,Database!$D$5:$F$439,2,0),VLOOKUP(C117,logut!$C$4:$D$499,2,0))</f>
        <v>971800024</v>
      </c>
      <c r="E117" s="86" t="s">
        <v>138</v>
      </c>
      <c r="G117" s="86" t="s">
        <v>59</v>
      </c>
      <c r="H117" s="86" t="s">
        <v>5901</v>
      </c>
      <c r="I117" s="212">
        <v>43739</v>
      </c>
      <c r="J117" s="86" t="s">
        <v>5979</v>
      </c>
    </row>
    <row r="118" spans="2:10" x14ac:dyDescent="0.2">
      <c r="B118" s="86">
        <v>115</v>
      </c>
      <c r="C118" s="86" t="s">
        <v>694</v>
      </c>
      <c r="D118" s="304">
        <f>_xlfn.IFNA(VLOOKUP(C118,Database!$D$5:$F$439,2,0),VLOOKUP(C118,logut!$C$4:$D$499,2,0))</f>
        <v>971900028</v>
      </c>
      <c r="E118" s="86" t="s">
        <v>140</v>
      </c>
      <c r="G118" s="86" t="s">
        <v>5980</v>
      </c>
      <c r="H118" s="86" t="s">
        <v>5055</v>
      </c>
      <c r="I118" s="212">
        <v>43762</v>
      </c>
      <c r="J118" s="86" t="s">
        <v>5981</v>
      </c>
    </row>
    <row r="119" spans="2:10" x14ac:dyDescent="0.2">
      <c r="B119" s="86">
        <v>116</v>
      </c>
      <c r="C119" s="86" t="s">
        <v>723</v>
      </c>
      <c r="D119" s="304">
        <f>_xlfn.IFNA(VLOOKUP(C119,Database!$D$5:$F$439,2,0),VLOOKUP(C119,logut!$C$4:$D$499,2,0))</f>
        <v>971900049</v>
      </c>
      <c r="E119" s="86" t="s">
        <v>140</v>
      </c>
      <c r="G119" s="86" t="s">
        <v>5954</v>
      </c>
      <c r="H119" s="86" t="s">
        <v>21</v>
      </c>
      <c r="I119" s="212">
        <v>43796</v>
      </c>
      <c r="J119" s="86" t="s">
        <v>5982</v>
      </c>
    </row>
    <row r="120" spans="2:10" x14ac:dyDescent="0.2">
      <c r="B120" s="86">
        <v>117</v>
      </c>
      <c r="C120" s="86" t="s">
        <v>831</v>
      </c>
      <c r="D120" s="304">
        <f>_xlfn.IFNA(VLOOKUP(C120,Database!$D$5:$F$439,2,0),VLOOKUP(C120,logut!$C$4:$D$499,2,0))</f>
        <v>642001014</v>
      </c>
      <c r="E120" s="86" t="s">
        <v>312</v>
      </c>
      <c r="G120" s="86" t="s">
        <v>5980</v>
      </c>
      <c r="H120" s="86" t="s">
        <v>5055</v>
      </c>
      <c r="I120" s="212">
        <v>43796</v>
      </c>
      <c r="J120" s="86" t="s">
        <v>5982</v>
      </c>
    </row>
    <row r="121" spans="2:10" x14ac:dyDescent="0.2">
      <c r="B121" s="86">
        <v>118</v>
      </c>
      <c r="C121" s="86" t="s">
        <v>2212</v>
      </c>
      <c r="D121" s="304">
        <f>_xlfn.IFNA(VLOOKUP(C121,Database!$D$5:$F$439,2,0),VLOOKUP(C121,logut!$C$4:$D$499,2,0))</f>
        <v>972000050</v>
      </c>
      <c r="E121" s="86" t="s">
        <v>5900</v>
      </c>
      <c r="G121" s="86" t="s">
        <v>1074</v>
      </c>
      <c r="H121" s="86" t="s">
        <v>5901</v>
      </c>
      <c r="I121" s="212">
        <v>43899</v>
      </c>
      <c r="J121" s="86" t="s">
        <v>5983</v>
      </c>
    </row>
    <row r="122" spans="2:10" x14ac:dyDescent="0.2">
      <c r="B122" s="86">
        <v>119</v>
      </c>
      <c r="C122" s="86" t="s">
        <v>1322</v>
      </c>
      <c r="D122" s="304">
        <f>_xlfn.IFNA(VLOOKUP(C122,Database!$D$5:$F$439,2,0),VLOOKUP(C122,logut!$C$4:$D$499,2,0))</f>
        <v>972000051</v>
      </c>
      <c r="E122" s="86" t="s">
        <v>5900</v>
      </c>
      <c r="G122" s="86" t="s">
        <v>5948</v>
      </c>
      <c r="H122" s="86" t="s">
        <v>5901</v>
      </c>
      <c r="I122" s="212">
        <v>43899</v>
      </c>
      <c r="J122" s="86" t="s">
        <v>5983</v>
      </c>
    </row>
    <row r="123" spans="2:10" x14ac:dyDescent="0.2">
      <c r="B123" s="86">
        <v>120</v>
      </c>
      <c r="C123" s="86" t="s">
        <v>2219</v>
      </c>
      <c r="D123" s="304">
        <f>_xlfn.IFNA(VLOOKUP(C123,Database!$D$5:$F$439,2,0),VLOOKUP(C123,logut!$C$4:$D$499,2,0))</f>
        <v>972000052</v>
      </c>
      <c r="E123" s="86" t="s">
        <v>5984</v>
      </c>
      <c r="G123" s="86" t="s">
        <v>59</v>
      </c>
      <c r="H123" s="86" t="s">
        <v>5901</v>
      </c>
      <c r="I123" s="212">
        <v>43899</v>
      </c>
      <c r="J123" s="86" t="s">
        <v>5983</v>
      </c>
    </row>
    <row r="124" spans="2:10" x14ac:dyDescent="0.2">
      <c r="B124" s="86">
        <v>121</v>
      </c>
      <c r="C124" s="86" t="s">
        <v>1475</v>
      </c>
      <c r="D124" s="304">
        <f>_xlfn.IFNA(VLOOKUP(C124,Database!$D$5:$F$439,2,0),VLOOKUP(C124,logut!$C$4:$D$499,2,0))</f>
        <v>972000053</v>
      </c>
      <c r="E124" s="86" t="s">
        <v>5900</v>
      </c>
      <c r="G124" s="86" t="s">
        <v>5964</v>
      </c>
      <c r="H124" s="86" t="s">
        <v>5901</v>
      </c>
      <c r="I124" s="212">
        <v>43899</v>
      </c>
      <c r="J124" s="86" t="s">
        <v>5983</v>
      </c>
    </row>
    <row r="125" spans="2:10" x14ac:dyDescent="0.2">
      <c r="B125" s="86">
        <v>122</v>
      </c>
      <c r="C125" s="86" t="s">
        <v>69</v>
      </c>
      <c r="D125" s="304">
        <f>_xlfn.IFNA(VLOOKUP(C125,Database!$D$5:$F$439,2,0),VLOOKUP(C125,logut!$C$4:$D$499,2,0))</f>
        <v>972000054</v>
      </c>
      <c r="E125" s="86" t="s">
        <v>5900</v>
      </c>
      <c r="G125" s="86" t="s">
        <v>59</v>
      </c>
      <c r="H125" s="86" t="s">
        <v>5901</v>
      </c>
      <c r="I125" s="212">
        <v>43899</v>
      </c>
      <c r="J125" s="86" t="s">
        <v>5983</v>
      </c>
    </row>
    <row r="126" spans="2:10" x14ac:dyDescent="0.2">
      <c r="B126" s="86">
        <v>123</v>
      </c>
      <c r="C126" s="86" t="s">
        <v>1502</v>
      </c>
      <c r="D126" s="304">
        <f>_xlfn.IFNA(VLOOKUP(C126,Database!$D$5:$F$439,2,0),VLOOKUP(C126,logut!$C$4:$D$499,2,0))</f>
        <v>972000055</v>
      </c>
      <c r="E126" s="86" t="s">
        <v>5900</v>
      </c>
      <c r="G126" s="86" t="s">
        <v>5964</v>
      </c>
      <c r="H126" s="86" t="s">
        <v>5901</v>
      </c>
      <c r="I126" s="212">
        <v>43899</v>
      </c>
      <c r="J126" s="86" t="s">
        <v>5983</v>
      </c>
    </row>
    <row r="127" spans="2:10" x14ac:dyDescent="0.2">
      <c r="B127" s="86">
        <v>124</v>
      </c>
      <c r="C127" s="86" t="s">
        <v>2522</v>
      </c>
      <c r="D127" s="304">
        <f>_xlfn.IFNA(VLOOKUP(C127,Database!$D$5:$F$439,2,0),VLOOKUP(C127,logut!$C$4:$D$499,2,0))</f>
        <v>972000057</v>
      </c>
      <c r="E127" s="86" t="s">
        <v>5900</v>
      </c>
      <c r="G127" s="86" t="s">
        <v>1115</v>
      </c>
      <c r="H127" s="86" t="s">
        <v>5901</v>
      </c>
      <c r="I127" s="212">
        <v>43984</v>
      </c>
      <c r="J127" s="86" t="s">
        <v>2523</v>
      </c>
    </row>
    <row r="128" spans="2:10" x14ac:dyDescent="0.2">
      <c r="B128" s="86">
        <v>125</v>
      </c>
      <c r="C128" s="86" t="s">
        <v>2718</v>
      </c>
      <c r="D128" s="304">
        <f>_xlfn.IFNA(VLOOKUP(C128,Database!$D$5:$F$439,2,0),VLOOKUP(C128,logut!$C$4:$D$499,2,0))</f>
        <v>999800090</v>
      </c>
      <c r="E128" s="86" t="s">
        <v>5985</v>
      </c>
      <c r="G128" s="86" t="s">
        <v>444</v>
      </c>
      <c r="H128" s="86" t="s">
        <v>24</v>
      </c>
      <c r="I128" s="212">
        <v>43991</v>
      </c>
      <c r="J128" s="86" t="s">
        <v>5986</v>
      </c>
    </row>
    <row r="129" spans="2:10" x14ac:dyDescent="0.2">
      <c r="B129" s="86">
        <v>126</v>
      </c>
      <c r="C129" s="86" t="s">
        <v>1170</v>
      </c>
      <c r="D129" s="304">
        <f>_xlfn.IFNA(VLOOKUP(C129,Database!$D$5:$F$439,2,0),VLOOKUP(C129,logut!$C$4:$D$499,2,0))</f>
        <v>971900027</v>
      </c>
      <c r="E129" s="86" t="s">
        <v>5987</v>
      </c>
      <c r="G129" s="86" t="s">
        <v>444</v>
      </c>
      <c r="H129" s="86" t="s">
        <v>24</v>
      </c>
      <c r="I129" s="212">
        <v>43991</v>
      </c>
      <c r="J129" s="86" t="s">
        <v>5986</v>
      </c>
    </row>
    <row r="130" spans="2:10" x14ac:dyDescent="0.2">
      <c r="B130" s="86">
        <v>127</v>
      </c>
      <c r="C130" s="86" t="s">
        <v>530</v>
      </c>
      <c r="D130" s="304">
        <f>_xlfn.IFNA(VLOOKUP(C130,Database!$D$5:$F$439,2,0),VLOOKUP(C130,logut!$C$4:$D$499,2,0))</f>
        <v>971900047</v>
      </c>
      <c r="E130" s="86" t="s">
        <v>5344</v>
      </c>
      <c r="G130" s="86" t="s">
        <v>444</v>
      </c>
      <c r="H130" s="86" t="s">
        <v>24</v>
      </c>
      <c r="I130" s="212">
        <v>43991</v>
      </c>
      <c r="J130" s="86" t="s">
        <v>5986</v>
      </c>
    </row>
    <row r="131" spans="2:10" x14ac:dyDescent="0.2">
      <c r="B131" s="86">
        <v>128</v>
      </c>
      <c r="C131" s="86" t="s">
        <v>458</v>
      </c>
      <c r="D131" s="304">
        <f>_xlfn.IFNA(VLOOKUP(C131,Database!$D$5:$F$439,2,0),VLOOKUP(C131,logut!$C$4:$D$499,2,0))</f>
        <v>971800026</v>
      </c>
      <c r="E131" s="86" t="s">
        <v>5344</v>
      </c>
      <c r="G131" s="86" t="s">
        <v>444</v>
      </c>
      <c r="H131" s="86" t="s">
        <v>24</v>
      </c>
      <c r="I131" s="212">
        <v>43991</v>
      </c>
      <c r="J131" s="86" t="s">
        <v>5986</v>
      </c>
    </row>
    <row r="132" spans="2:10" x14ac:dyDescent="0.2">
      <c r="B132" s="86">
        <v>129</v>
      </c>
      <c r="C132" s="86" t="s">
        <v>5685</v>
      </c>
      <c r="D132" s="304">
        <f>_xlfn.IFNA(VLOOKUP(C132,Database!$D$5:$F$439,2,0),VLOOKUP(C132,logut!$C$4:$D$499,2,0))</f>
        <v>991700039</v>
      </c>
      <c r="E132" s="86" t="s">
        <v>5344</v>
      </c>
      <c r="G132" s="86" t="s">
        <v>444</v>
      </c>
      <c r="H132" s="86" t="s">
        <v>24</v>
      </c>
      <c r="I132" s="212">
        <v>43991</v>
      </c>
      <c r="J132" s="86" t="s">
        <v>5986</v>
      </c>
    </row>
    <row r="133" spans="2:10" x14ac:dyDescent="0.2">
      <c r="B133" s="86">
        <v>130</v>
      </c>
      <c r="C133" s="86" t="s">
        <v>440</v>
      </c>
      <c r="D133" s="304">
        <f>_xlfn.IFNA(VLOOKUP(C133,Database!$D$5:$F$439,2,0),VLOOKUP(C133,logut!$C$4:$D$499,2,0))</f>
        <v>971800022</v>
      </c>
      <c r="E133" s="86" t="s">
        <v>2774</v>
      </c>
      <c r="G133" s="86" t="s">
        <v>444</v>
      </c>
      <c r="H133" s="86" t="s">
        <v>24</v>
      </c>
      <c r="I133" s="212">
        <v>43991</v>
      </c>
      <c r="J133" s="86" t="s">
        <v>5986</v>
      </c>
    </row>
    <row r="134" spans="2:10" x14ac:dyDescent="0.2">
      <c r="B134" s="86">
        <v>131</v>
      </c>
      <c r="C134" s="86" t="s">
        <v>4833</v>
      </c>
      <c r="D134" s="304">
        <f>_xlfn.IFNA(VLOOKUP(C134,Database!$D$5:$F$439,2,0),VLOOKUP(C134,logut!$C$4:$D$499,2,0))</f>
        <v>641801139</v>
      </c>
      <c r="E134" s="86" t="s">
        <v>2774</v>
      </c>
      <c r="G134" s="86" t="s">
        <v>444</v>
      </c>
      <c r="H134" s="86" t="s">
        <v>24</v>
      </c>
      <c r="I134" s="212">
        <v>43991</v>
      </c>
      <c r="J134" s="86" t="s">
        <v>5986</v>
      </c>
    </row>
    <row r="135" spans="2:10" x14ac:dyDescent="0.2">
      <c r="B135" s="86">
        <v>132</v>
      </c>
      <c r="C135" s="86" t="s">
        <v>1546</v>
      </c>
      <c r="D135" s="304">
        <f>_xlfn.IFNA(VLOOKUP(C135,Database!$D$5:$F$439,2,0),VLOOKUP(C135,logut!$C$4:$D$499,2,0))</f>
        <v>641801137</v>
      </c>
      <c r="E135" s="86" t="s">
        <v>2774</v>
      </c>
      <c r="G135" s="86" t="s">
        <v>444</v>
      </c>
      <c r="H135" s="86" t="s">
        <v>24</v>
      </c>
      <c r="I135" s="212">
        <v>43991</v>
      </c>
      <c r="J135" s="86" t="s">
        <v>5986</v>
      </c>
    </row>
    <row r="136" spans="2:10" x14ac:dyDescent="0.2">
      <c r="B136" s="86">
        <v>133</v>
      </c>
      <c r="C136" s="86" t="s">
        <v>90</v>
      </c>
      <c r="D136" s="304">
        <f>_xlfn.IFNA(VLOOKUP(C136,Database!$D$5:$F$439,2,0),VLOOKUP(C136,logut!$C$4:$D$499,2,0))</f>
        <v>999200022</v>
      </c>
      <c r="E136" s="86" t="s">
        <v>5988</v>
      </c>
      <c r="G136" s="86" t="s">
        <v>5989</v>
      </c>
      <c r="H136" s="86" t="s">
        <v>5901</v>
      </c>
      <c r="I136" s="212">
        <v>44159</v>
      </c>
      <c r="J136" s="86" t="s">
        <v>5990</v>
      </c>
    </row>
    <row r="137" spans="2:10" x14ac:dyDescent="0.2">
      <c r="B137" s="86">
        <v>134</v>
      </c>
      <c r="C137" s="86" t="s">
        <v>5368</v>
      </c>
      <c r="D137" s="304">
        <f>_xlfn.IFNA(VLOOKUP(C137,Database!$D$5:$F$439,2,0),VLOOKUP(C137,logut!$C$4:$D$499,2,0))</f>
        <v>999400090</v>
      </c>
      <c r="E137" s="86" t="s">
        <v>5991</v>
      </c>
      <c r="G137" s="86" t="s">
        <v>5989</v>
      </c>
      <c r="H137" s="86" t="s">
        <v>5901</v>
      </c>
      <c r="I137" s="212">
        <v>44159</v>
      </c>
      <c r="J137" s="86" t="s">
        <v>5990</v>
      </c>
    </row>
    <row r="138" spans="2:10" x14ac:dyDescent="0.2">
      <c r="B138" s="86">
        <v>135</v>
      </c>
      <c r="C138" s="86" t="s">
        <v>1351</v>
      </c>
      <c r="D138" s="304">
        <f>_xlfn.IFNA(VLOOKUP(C138,Database!$D$5:$F$439,2,0),VLOOKUP(C138,logut!$C$4:$D$499,2,0))</f>
        <v>971800020</v>
      </c>
      <c r="E138" s="86" t="s">
        <v>5991</v>
      </c>
      <c r="G138" s="86" t="s">
        <v>5989</v>
      </c>
      <c r="H138" s="86" t="s">
        <v>5901</v>
      </c>
      <c r="I138" s="212">
        <v>44159</v>
      </c>
      <c r="J138" s="86" t="s">
        <v>5990</v>
      </c>
    </row>
    <row r="139" spans="2:10" x14ac:dyDescent="0.2">
      <c r="B139" s="86">
        <v>136</v>
      </c>
      <c r="C139" s="86" t="s">
        <v>79</v>
      </c>
      <c r="D139" s="304">
        <f>_xlfn.IFNA(VLOOKUP(C139,Database!$D$5:$F$439,2,0),VLOOKUP(C139,logut!$C$4:$D$499,2,0))</f>
        <v>971900043</v>
      </c>
      <c r="E139" s="86" t="s">
        <v>5991</v>
      </c>
      <c r="G139" s="86" t="s">
        <v>5989</v>
      </c>
      <c r="H139" s="86" t="s">
        <v>5901</v>
      </c>
      <c r="I139" s="212">
        <v>44159</v>
      </c>
      <c r="J139" s="86" t="s">
        <v>5990</v>
      </c>
    </row>
    <row r="140" spans="2:10" x14ac:dyDescent="0.2">
      <c r="B140" s="86">
        <v>137</v>
      </c>
      <c r="C140" s="86" t="s">
        <v>2674</v>
      </c>
      <c r="D140" s="304">
        <f>_xlfn.IFNA(VLOOKUP(C140,Database!$D$5:$F$439,2,0),VLOOKUP(C140,logut!$C$4:$D$499,2,0))</f>
        <v>999500021</v>
      </c>
      <c r="E140" s="86" t="s">
        <v>5992</v>
      </c>
      <c r="G140" s="86" t="s">
        <v>5989</v>
      </c>
      <c r="H140" s="86" t="s">
        <v>5901</v>
      </c>
      <c r="I140" s="212">
        <v>44159</v>
      </c>
      <c r="J140" s="86" t="s">
        <v>5990</v>
      </c>
    </row>
    <row r="141" spans="2:10" x14ac:dyDescent="0.2">
      <c r="B141" s="86">
        <v>138</v>
      </c>
      <c r="C141" s="86" t="s">
        <v>1331</v>
      </c>
      <c r="D141" s="304">
        <f>_xlfn.IFNA(VLOOKUP(C141,Database!$D$5:$F$439,2,0),VLOOKUP(C141,logut!$C$4:$D$499,2,0))</f>
        <v>971800018</v>
      </c>
      <c r="E141" s="86" t="s">
        <v>5992</v>
      </c>
      <c r="G141" s="86" t="s">
        <v>5989</v>
      </c>
      <c r="H141" s="86" t="s">
        <v>5901</v>
      </c>
      <c r="I141" s="212">
        <v>44159</v>
      </c>
      <c r="J141" s="86" t="s">
        <v>5990</v>
      </c>
    </row>
    <row r="142" spans="2:10" x14ac:dyDescent="0.2">
      <c r="B142" s="86">
        <v>139</v>
      </c>
      <c r="C142" s="86" t="s">
        <v>1063</v>
      </c>
      <c r="D142" s="304">
        <f>_xlfn.IFNA(VLOOKUP(C142,Database!$D$5:$F$439,2,0),VLOOKUP(C142,logut!$C$4:$D$499,2,0))</f>
        <v>971800015</v>
      </c>
      <c r="E142" s="86" t="s">
        <v>5992</v>
      </c>
      <c r="G142" s="86" t="s">
        <v>5989</v>
      </c>
      <c r="H142" s="86" t="s">
        <v>5901</v>
      </c>
      <c r="I142" s="212">
        <v>44159</v>
      </c>
      <c r="J142" s="86" t="s">
        <v>5990</v>
      </c>
    </row>
    <row r="143" spans="2:10" x14ac:dyDescent="0.2">
      <c r="B143" s="86">
        <v>140</v>
      </c>
      <c r="C143" s="86" t="s">
        <v>86</v>
      </c>
      <c r="D143" s="304">
        <f>_xlfn.IFNA(VLOOKUP(C143,Database!$D$5:$F$439,2,0),VLOOKUP(C143,logut!$C$4:$D$499,2,0))</f>
        <v>991000017</v>
      </c>
      <c r="E143" s="86" t="s">
        <v>5993</v>
      </c>
      <c r="G143" s="86" t="s">
        <v>5989</v>
      </c>
      <c r="H143" s="86" t="s">
        <v>5901</v>
      </c>
      <c r="I143" s="212">
        <v>44159</v>
      </c>
      <c r="J143" s="86" t="s">
        <v>5990</v>
      </c>
    </row>
    <row r="144" spans="2:10" x14ac:dyDescent="0.2">
      <c r="B144" s="86">
        <v>141</v>
      </c>
      <c r="C144" s="86" t="s">
        <v>1073</v>
      </c>
      <c r="D144" s="304">
        <f>_xlfn.IFNA(VLOOKUP(C144,Database!$D$5:$F$439,2,0),VLOOKUP(C144,logut!$C$4:$D$499,2,0))</f>
        <v>971800016</v>
      </c>
      <c r="E144" s="86" t="s">
        <v>5993</v>
      </c>
      <c r="G144" s="86" t="s">
        <v>5989</v>
      </c>
      <c r="H144" s="86" t="s">
        <v>5901</v>
      </c>
      <c r="I144" s="212">
        <v>44159</v>
      </c>
      <c r="J144" s="86" t="s">
        <v>5990</v>
      </c>
    </row>
    <row r="145" spans="2:10" x14ac:dyDescent="0.2">
      <c r="B145" s="86">
        <v>142</v>
      </c>
      <c r="C145" s="86" t="s">
        <v>2212</v>
      </c>
      <c r="D145" s="304">
        <f>_xlfn.IFNA(VLOOKUP(C145,Database!$D$5:$F$439,2,0),VLOOKUP(C145,logut!$C$4:$D$499,2,0))</f>
        <v>972000050</v>
      </c>
      <c r="E145" s="86" t="s">
        <v>5993</v>
      </c>
      <c r="G145" s="86" t="s">
        <v>5989</v>
      </c>
      <c r="H145" s="86" t="s">
        <v>5901</v>
      </c>
      <c r="I145" s="212">
        <v>44159</v>
      </c>
      <c r="J145" s="86" t="s">
        <v>5990</v>
      </c>
    </row>
    <row r="146" spans="2:10" x14ac:dyDescent="0.2">
      <c r="B146" s="86">
        <v>143</v>
      </c>
      <c r="C146" s="86" t="s">
        <v>1149</v>
      </c>
      <c r="D146" s="304">
        <f>_xlfn.IFNA(VLOOKUP(C146,Database!$D$5:$F$439,2,0),VLOOKUP(C146,logut!$C$4:$D$499,2,0))</f>
        <v>971800019</v>
      </c>
      <c r="E146" s="86" t="s">
        <v>5993</v>
      </c>
      <c r="G146" s="86" t="s">
        <v>5989</v>
      </c>
      <c r="H146" s="86" t="s">
        <v>5901</v>
      </c>
      <c r="I146" s="212">
        <v>44159</v>
      </c>
      <c r="J146" s="86" t="s">
        <v>5990</v>
      </c>
    </row>
    <row r="147" spans="2:10" x14ac:dyDescent="0.2">
      <c r="B147" s="86">
        <v>144</v>
      </c>
      <c r="C147" s="86" t="s">
        <v>2704</v>
      </c>
      <c r="D147" s="304">
        <f>_xlfn.IFNA(VLOOKUP(C147,Database!$D$5:$F$439,2,0),VLOOKUP(C147,logut!$C$4:$D$499,2,0))</f>
        <v>999800078</v>
      </c>
      <c r="E147" s="86" t="s">
        <v>5994</v>
      </c>
      <c r="G147" s="86" t="s">
        <v>5989</v>
      </c>
      <c r="H147" s="86" t="s">
        <v>5901</v>
      </c>
      <c r="I147" s="212">
        <v>44159</v>
      </c>
      <c r="J147" s="86" t="s">
        <v>5990</v>
      </c>
    </row>
    <row r="148" spans="2:10" x14ac:dyDescent="0.2">
      <c r="B148" s="86">
        <v>145</v>
      </c>
      <c r="C148" s="86" t="s">
        <v>82</v>
      </c>
      <c r="D148" s="304">
        <f>_xlfn.IFNA(VLOOKUP(C148,Database!$D$5:$F$439,2,0),VLOOKUP(C148,logut!$C$4:$D$499,2,0))</f>
        <v>971900036</v>
      </c>
      <c r="E148" s="86" t="s">
        <v>5994</v>
      </c>
      <c r="G148" s="86" t="s">
        <v>5989</v>
      </c>
      <c r="H148" s="86" t="s">
        <v>5901</v>
      </c>
      <c r="I148" s="212">
        <v>44159</v>
      </c>
      <c r="J148" s="86" t="s">
        <v>5990</v>
      </c>
    </row>
    <row r="149" spans="2:10" x14ac:dyDescent="0.2">
      <c r="B149" s="86">
        <v>146</v>
      </c>
      <c r="C149" s="86" t="s">
        <v>2718</v>
      </c>
      <c r="D149" s="304">
        <f>_xlfn.IFNA(VLOOKUP(C149,Database!$D$5:$F$439,2,0),VLOOKUP(C149,logut!$C$4:$D$499,2,0))</f>
        <v>999800090</v>
      </c>
      <c r="E149" s="86" t="s">
        <v>5994</v>
      </c>
      <c r="G149" s="86" t="s">
        <v>5989</v>
      </c>
      <c r="H149" s="86" t="s">
        <v>5901</v>
      </c>
      <c r="I149" s="212">
        <v>44159</v>
      </c>
      <c r="J149" s="86" t="s">
        <v>5990</v>
      </c>
    </row>
    <row r="150" spans="2:10" x14ac:dyDescent="0.2">
      <c r="B150" s="86">
        <v>147</v>
      </c>
      <c r="C150" s="86" t="s">
        <v>5309</v>
      </c>
      <c r="D150" s="304">
        <f>_xlfn.IFNA(VLOOKUP(C150,Database!$D$5:$F$439,2,0),VLOOKUP(C150,logut!$C$4:$D$499,2,0))</f>
        <v>999100010</v>
      </c>
      <c r="E150" s="86" t="s">
        <v>5994</v>
      </c>
      <c r="G150" s="86" t="s">
        <v>5989</v>
      </c>
      <c r="H150" s="86" t="s">
        <v>5901</v>
      </c>
      <c r="I150" s="212">
        <v>44159</v>
      </c>
      <c r="J150" s="86" t="s">
        <v>5990</v>
      </c>
    </row>
    <row r="151" spans="2:10" x14ac:dyDescent="0.2">
      <c r="B151" s="86">
        <v>148</v>
      </c>
      <c r="C151" s="86" t="s">
        <v>1903</v>
      </c>
      <c r="D151" s="304">
        <f>_xlfn.IFNA(VLOOKUP(C151,Database!$D$5:$F$439,2,0),VLOOKUP(C151,logut!$C$4:$D$499,2,0))</f>
        <v>971900039</v>
      </c>
      <c r="E151" s="86" t="s">
        <v>5995</v>
      </c>
      <c r="G151" s="86" t="s">
        <v>5989</v>
      </c>
      <c r="H151" s="86" t="s">
        <v>5901</v>
      </c>
      <c r="I151" s="212">
        <v>44159</v>
      </c>
      <c r="J151" s="86" t="s">
        <v>5990</v>
      </c>
    </row>
    <row r="152" spans="2:10" x14ac:dyDescent="0.2">
      <c r="B152" s="86">
        <v>149</v>
      </c>
      <c r="C152" s="86" t="s">
        <v>4886</v>
      </c>
      <c r="D152" s="304">
        <f>_xlfn.IFNA(VLOOKUP(C152,Database!$D$5:$F$439,2,0),VLOOKUP(C152,logut!$C$4:$D$499,2,0))</f>
        <v>971900038</v>
      </c>
      <c r="E152" s="86" t="s">
        <v>5995</v>
      </c>
      <c r="G152" s="86" t="s">
        <v>5989</v>
      </c>
      <c r="H152" s="86" t="s">
        <v>5901</v>
      </c>
      <c r="I152" s="212">
        <v>44159</v>
      </c>
      <c r="J152" s="86" t="s">
        <v>5990</v>
      </c>
    </row>
    <row r="153" spans="2:10" x14ac:dyDescent="0.2">
      <c r="B153" s="86">
        <v>150</v>
      </c>
      <c r="C153" s="86" t="s">
        <v>5160</v>
      </c>
      <c r="D153" s="304">
        <f>_xlfn.IFNA(VLOOKUP(C153,Database!$D$5:$F$439,2,0),VLOOKUP(C153,logut!$C$4:$D$499,2,0))</f>
        <v>991000008</v>
      </c>
      <c r="E153" s="86" t="s">
        <v>5996</v>
      </c>
      <c r="G153" s="86" t="s">
        <v>5989</v>
      </c>
      <c r="H153" s="86" t="s">
        <v>5901</v>
      </c>
      <c r="I153" s="212">
        <v>44159</v>
      </c>
      <c r="J153" s="86" t="s">
        <v>5990</v>
      </c>
    </row>
    <row r="154" spans="2:10" x14ac:dyDescent="0.2">
      <c r="B154" s="86">
        <v>151</v>
      </c>
      <c r="C154" s="86" t="s">
        <v>431</v>
      </c>
      <c r="D154" s="304">
        <f>_xlfn.IFNA(VLOOKUP(C154,Database!$D$5:$F$439,2,0),VLOOKUP(C154,logut!$C$4:$D$499,2,0))</f>
        <v>971600004</v>
      </c>
      <c r="E154" s="86" t="s">
        <v>5996</v>
      </c>
      <c r="G154" s="86" t="s">
        <v>5989</v>
      </c>
      <c r="H154" s="86" t="s">
        <v>5901</v>
      </c>
      <c r="I154" s="212">
        <v>44159</v>
      </c>
      <c r="J154" s="86" t="s">
        <v>5990</v>
      </c>
    </row>
    <row r="155" spans="2:10" x14ac:dyDescent="0.2">
      <c r="B155" s="86">
        <v>152</v>
      </c>
      <c r="C155" s="86" t="s">
        <v>5685</v>
      </c>
      <c r="D155" s="304">
        <f>_xlfn.IFNA(VLOOKUP(C155,Database!$D$5:$F$439,2,0),VLOOKUP(C155,logut!$C$4:$D$499,2,0))</f>
        <v>991700039</v>
      </c>
      <c r="E155" s="86" t="s">
        <v>5985</v>
      </c>
      <c r="G155" s="86" t="s">
        <v>444</v>
      </c>
      <c r="H155" s="86" t="s">
        <v>5901</v>
      </c>
      <c r="I155" s="212">
        <v>44252</v>
      </c>
      <c r="J155" s="86" t="s">
        <v>5997</v>
      </c>
    </row>
    <row r="156" spans="2:10" x14ac:dyDescent="0.2">
      <c r="B156" s="86">
        <v>153</v>
      </c>
      <c r="C156" s="86" t="s">
        <v>5333</v>
      </c>
      <c r="D156" s="304">
        <f>_xlfn.IFNA(VLOOKUP(C156,Database!$D$5:$F$439,2,0),VLOOKUP(C156,logut!$C$4:$D$499,2,0))</f>
        <v>991700037</v>
      </c>
      <c r="E156" s="86" t="s">
        <v>5344</v>
      </c>
      <c r="G156" s="86" t="s">
        <v>444</v>
      </c>
      <c r="H156" s="86" t="s">
        <v>5901</v>
      </c>
      <c r="I156" s="212">
        <v>44252</v>
      </c>
      <c r="J156" s="86" t="s">
        <v>5997</v>
      </c>
    </row>
    <row r="157" spans="2:10" x14ac:dyDescent="0.2">
      <c r="B157" s="86">
        <v>154</v>
      </c>
      <c r="C157" s="86" t="s">
        <v>1820</v>
      </c>
      <c r="D157" s="304">
        <f>_xlfn.IFNA(VLOOKUP(C157,Database!$D$5:$F$439,2,0),VLOOKUP(C157,logut!$C$4:$D$499,2,0))</f>
        <v>641807161</v>
      </c>
      <c r="E157" s="86" t="s">
        <v>312</v>
      </c>
      <c r="G157" s="86" t="s">
        <v>51</v>
      </c>
      <c r="H157" s="86" t="s">
        <v>23</v>
      </c>
      <c r="I157" s="212">
        <v>44264</v>
      </c>
    </row>
    <row r="158" spans="2:10" x14ac:dyDescent="0.2">
      <c r="B158" s="86">
        <v>155</v>
      </c>
      <c r="C158" s="86" t="s">
        <v>1086</v>
      </c>
      <c r="D158" s="304">
        <f>_xlfn.IFNA(VLOOKUP(C158,Database!$D$5:$F$439,2,0),VLOOKUP(C158,logut!$C$4:$D$499,2,0))</f>
        <v>971800024</v>
      </c>
      <c r="E158" s="86" t="s">
        <v>5998</v>
      </c>
      <c r="G158" s="86" t="s">
        <v>59</v>
      </c>
      <c r="H158" s="86" t="s">
        <v>217</v>
      </c>
      <c r="I158" s="212">
        <v>44264</v>
      </c>
      <c r="J158" s="88" t="s">
        <v>5999</v>
      </c>
    </row>
    <row r="159" spans="2:10" x14ac:dyDescent="0.2">
      <c r="B159" s="86">
        <v>156</v>
      </c>
      <c r="C159" s="86" t="s">
        <v>601</v>
      </c>
      <c r="D159" s="304">
        <f>_xlfn.IFNA(VLOOKUP(C159,Database!$D$5:$F$439,2,0),VLOOKUP(C159,logut!$C$4:$D$499,2,0))</f>
        <v>971900032</v>
      </c>
      <c r="E159" s="86" t="s">
        <v>312</v>
      </c>
      <c r="G159" s="86" t="s">
        <v>51</v>
      </c>
      <c r="H159" s="86" t="s">
        <v>23</v>
      </c>
      <c r="I159" s="212">
        <v>44264</v>
      </c>
    </row>
    <row r="160" spans="2:10" x14ac:dyDescent="0.2">
      <c r="B160" s="86">
        <v>157</v>
      </c>
      <c r="C160" s="86" t="s">
        <v>962</v>
      </c>
      <c r="D160" s="304">
        <f>_xlfn.IFNA(VLOOKUP(C160,Database!$D$5:$F$439,2,0),VLOOKUP(C160,logut!$C$4:$D$499,2,0))</f>
        <v>642001053</v>
      </c>
      <c r="E160" s="86" t="s">
        <v>312</v>
      </c>
      <c r="G160" s="86" t="s">
        <v>6000</v>
      </c>
      <c r="H160" s="86" t="s">
        <v>217</v>
      </c>
      <c r="I160" s="212">
        <v>44267</v>
      </c>
    </row>
    <row r="161" spans="2:9" x14ac:dyDescent="0.2">
      <c r="B161" s="86">
        <v>158</v>
      </c>
      <c r="C161" s="86" t="s">
        <v>1594</v>
      </c>
      <c r="D161" s="304">
        <f>_xlfn.IFNA(VLOOKUP(C161,Database!$D$5:$F$439,2,0),VLOOKUP(C161,logut!$C$4:$D$499,2,0))</f>
        <v>972400060</v>
      </c>
      <c r="E161" s="86" t="s">
        <v>312</v>
      </c>
      <c r="G161" s="86" t="s">
        <v>5953</v>
      </c>
      <c r="H161" s="86" t="s">
        <v>27</v>
      </c>
      <c r="I161" s="212">
        <v>44270</v>
      </c>
    </row>
    <row r="162" spans="2:9" x14ac:dyDescent="0.2">
      <c r="B162" s="86">
        <v>159</v>
      </c>
      <c r="C162" s="86" t="s">
        <v>979</v>
      </c>
      <c r="D162" s="304">
        <f>_xlfn.IFNA(VLOOKUP(C162,Database!$D$5:$F$439,2,0),VLOOKUP(C162,logut!$C$4:$D$499,2,0))</f>
        <v>642001058</v>
      </c>
      <c r="E162" s="86" t="s">
        <v>312</v>
      </c>
      <c r="G162" s="86" t="s">
        <v>6001</v>
      </c>
      <c r="H162" s="86" t="s">
        <v>6002</v>
      </c>
      <c r="I162" s="212">
        <v>44273</v>
      </c>
    </row>
    <row r="163" spans="2:9" x14ac:dyDescent="0.2">
      <c r="B163" s="86">
        <v>160</v>
      </c>
      <c r="C163" s="86" t="s">
        <v>1170</v>
      </c>
      <c r="D163" s="304">
        <f>_xlfn.IFNA(VLOOKUP(C163,Database!$D$5:$F$439,2,0),VLOOKUP(C163,logut!$C$4:$D$499,2,0))</f>
        <v>971900027</v>
      </c>
      <c r="E163" s="86" t="s">
        <v>312</v>
      </c>
      <c r="G163" s="86" t="s">
        <v>6001</v>
      </c>
      <c r="H163" s="86" t="s">
        <v>6002</v>
      </c>
      <c r="I163" s="212">
        <v>44273</v>
      </c>
    </row>
    <row r="164" spans="2:9" x14ac:dyDescent="0.2">
      <c r="B164" s="86">
        <v>161</v>
      </c>
      <c r="C164" s="86" t="s">
        <v>5116</v>
      </c>
      <c r="D164" s="304">
        <f>_xlfn.IFNA(VLOOKUP(C164,Database!$D$5:$F$439,2,0),VLOOKUP(C164,logut!$C$4:$D$499,2,0))</f>
        <v>641907260</v>
      </c>
      <c r="E164" s="86" t="s">
        <v>312</v>
      </c>
      <c r="G164" s="86" t="s">
        <v>6003</v>
      </c>
      <c r="H164" s="86" t="s">
        <v>24</v>
      </c>
      <c r="I164" s="212">
        <v>44278</v>
      </c>
    </row>
    <row r="165" spans="2:9" x14ac:dyDescent="0.2">
      <c r="B165" s="86">
        <v>162</v>
      </c>
      <c r="C165" s="86" t="s">
        <v>5116</v>
      </c>
      <c r="D165" s="304">
        <f>_xlfn.IFNA(VLOOKUP(C165,Database!$D$5:$F$439,2,0),VLOOKUP(C165,logut!$C$4:$D$499,2,0))</f>
        <v>641907260</v>
      </c>
      <c r="E165" s="86" t="s">
        <v>312</v>
      </c>
      <c r="G165" s="86" t="s">
        <v>444</v>
      </c>
      <c r="H165" s="86" t="s">
        <v>24</v>
      </c>
      <c r="I165" s="212">
        <v>44278</v>
      </c>
    </row>
    <row r="166" spans="2:9" x14ac:dyDescent="0.2">
      <c r="B166" s="86">
        <v>163</v>
      </c>
      <c r="C166" s="86" t="s">
        <v>2559</v>
      </c>
      <c r="D166" s="304">
        <f>_xlfn.IFNA(VLOOKUP(C166,Database!$D$5:$F$439,2,0),VLOOKUP(C166,logut!$C$4:$D$499,2,0))</f>
        <v>642002080</v>
      </c>
      <c r="E166" s="86" t="s">
        <v>312</v>
      </c>
      <c r="G166" s="86" t="s">
        <v>175</v>
      </c>
      <c r="H166" s="86" t="s">
        <v>24</v>
      </c>
      <c r="I166" s="212">
        <v>44278</v>
      </c>
    </row>
    <row r="167" spans="2:9" x14ac:dyDescent="0.2">
      <c r="B167" s="86">
        <v>164</v>
      </c>
      <c r="C167" s="86" t="s">
        <v>638</v>
      </c>
      <c r="D167" s="304">
        <f>_xlfn.IFNA(VLOOKUP(C167,Database!$D$5:$F$439,2,0),VLOOKUP(C167,logut!$C$4:$D$499,2,0))</f>
        <v>642001005</v>
      </c>
      <c r="E167" s="86" t="s">
        <v>312</v>
      </c>
      <c r="G167" s="86" t="s">
        <v>175</v>
      </c>
      <c r="H167" s="86" t="s">
        <v>24</v>
      </c>
      <c r="I167" s="212">
        <v>44278</v>
      </c>
    </row>
    <row r="168" spans="2:9" x14ac:dyDescent="0.2">
      <c r="B168" s="86">
        <v>165</v>
      </c>
      <c r="C168" s="86" t="s">
        <v>4987</v>
      </c>
      <c r="D168" s="304">
        <f>_xlfn.IFNA(VLOOKUP(C168,Database!$D$5:$F$439,2,0),VLOOKUP(C168,logut!$C$4:$D$499,2,0))</f>
        <v>641807167</v>
      </c>
      <c r="E168" s="86" t="s">
        <v>312</v>
      </c>
      <c r="G168" s="86" t="s">
        <v>175</v>
      </c>
      <c r="H168" s="86" t="s">
        <v>24</v>
      </c>
      <c r="I168" s="212">
        <v>44278</v>
      </c>
    </row>
    <row r="169" spans="2:9" x14ac:dyDescent="0.2">
      <c r="B169" s="86">
        <v>166</v>
      </c>
      <c r="C169" s="86" t="s">
        <v>2615</v>
      </c>
      <c r="D169" s="304">
        <f>_xlfn.IFNA(VLOOKUP(C169,Database!$D$5:$F$439,2,0),VLOOKUP(C169,logut!$C$4:$D$499,2,0))</f>
        <v>642002086</v>
      </c>
      <c r="E169" s="86" t="s">
        <v>312</v>
      </c>
      <c r="G169" s="86" t="s">
        <v>175</v>
      </c>
      <c r="H169" s="86" t="s">
        <v>24</v>
      </c>
      <c r="I169" s="212">
        <v>44278</v>
      </c>
    </row>
    <row r="170" spans="2:9" x14ac:dyDescent="0.2">
      <c r="B170" s="86">
        <v>167</v>
      </c>
      <c r="C170" s="93" t="s">
        <v>2175</v>
      </c>
      <c r="D170" s="304">
        <f>_xlfn.IFNA(VLOOKUP(C170,Database!$D$5:$F$439,2,0),VLOOKUP(C170,logut!$C$4:$D$499,2,0))</f>
        <v>641810193</v>
      </c>
      <c r="E170" s="86" t="s">
        <v>312</v>
      </c>
      <c r="G170" s="86" t="s">
        <v>6003</v>
      </c>
      <c r="H170" s="86" t="s">
        <v>24</v>
      </c>
      <c r="I170" s="212">
        <v>44278</v>
      </c>
    </row>
    <row r="171" spans="2:9" x14ac:dyDescent="0.2">
      <c r="B171" s="86">
        <v>168</v>
      </c>
      <c r="C171" s="93" t="s">
        <v>2175</v>
      </c>
      <c r="D171" s="304">
        <f>_xlfn.IFNA(VLOOKUP(C171,Database!$D$5:$F$439,2,0),VLOOKUP(C171,logut!$C$4:$D$499,2,0))</f>
        <v>641810193</v>
      </c>
      <c r="E171" s="86" t="s">
        <v>312</v>
      </c>
      <c r="G171" s="86" t="s">
        <v>444</v>
      </c>
      <c r="H171" s="86" t="s">
        <v>24</v>
      </c>
      <c r="I171" s="212">
        <v>44278</v>
      </c>
    </row>
    <row r="172" spans="2:9" x14ac:dyDescent="0.2">
      <c r="B172" s="86">
        <v>169</v>
      </c>
      <c r="C172" s="86" t="s">
        <v>2491</v>
      </c>
      <c r="D172" s="304">
        <f>_xlfn.IFNA(VLOOKUP(C172,Database!$D$5:$F$439,2,0),VLOOKUP(C172,logut!$C$4:$D$499,2,0))</f>
        <v>641907268</v>
      </c>
      <c r="E172" s="86" t="s">
        <v>312</v>
      </c>
      <c r="G172" s="86" t="s">
        <v>6003</v>
      </c>
      <c r="H172" s="86" t="s">
        <v>24</v>
      </c>
      <c r="I172" s="212">
        <v>44278</v>
      </c>
    </row>
    <row r="173" spans="2:9" x14ac:dyDescent="0.2">
      <c r="B173" s="86">
        <v>170</v>
      </c>
      <c r="C173" s="86" t="s">
        <v>2491</v>
      </c>
      <c r="D173" s="304">
        <f>_xlfn.IFNA(VLOOKUP(C173,Database!$D$5:$F$439,2,0),VLOOKUP(C173,logut!$C$4:$D$499,2,0))</f>
        <v>641907268</v>
      </c>
      <c r="E173" s="86" t="s">
        <v>312</v>
      </c>
      <c r="G173" s="86" t="s">
        <v>444</v>
      </c>
      <c r="H173" s="86" t="s">
        <v>24</v>
      </c>
      <c r="I173" s="212">
        <v>44278</v>
      </c>
    </row>
    <row r="174" spans="2:9" x14ac:dyDescent="0.2">
      <c r="B174" s="86">
        <v>171</v>
      </c>
      <c r="C174" s="86" t="s">
        <v>2376</v>
      </c>
      <c r="D174" s="304">
        <f>_xlfn.IFNA(VLOOKUP(C174,Database!$D$5:$F$439,2,0),VLOOKUP(C174,logut!$C$4:$D$499,2,0))</f>
        <v>641907272</v>
      </c>
      <c r="E174" s="86" t="s">
        <v>312</v>
      </c>
      <c r="G174" s="86" t="s">
        <v>175</v>
      </c>
      <c r="H174" s="86" t="s">
        <v>24</v>
      </c>
      <c r="I174" s="212">
        <v>44278</v>
      </c>
    </row>
    <row r="175" spans="2:9" x14ac:dyDescent="0.2">
      <c r="B175" s="86">
        <v>172</v>
      </c>
      <c r="C175" s="86" t="s">
        <v>2188</v>
      </c>
      <c r="D175" s="304">
        <f>_xlfn.IFNA(VLOOKUP(C175,Database!$D$5:$F$439,2,0),VLOOKUP(C175,logut!$C$4:$D$499,2,0))</f>
        <v>641810192</v>
      </c>
      <c r="E175" s="86" t="s">
        <v>312</v>
      </c>
      <c r="G175" s="86" t="s">
        <v>175</v>
      </c>
      <c r="H175" s="86" t="s">
        <v>24</v>
      </c>
      <c r="I175" s="212">
        <v>44278</v>
      </c>
    </row>
    <row r="176" spans="2:9" x14ac:dyDescent="0.2">
      <c r="B176" s="86">
        <v>173</v>
      </c>
      <c r="C176" s="86" t="s">
        <v>5014</v>
      </c>
      <c r="D176" s="304">
        <f>_xlfn.IFNA(VLOOKUP(C176,Database!$D$5:$F$439,2,0),VLOOKUP(C176,logut!$C$4:$D$499,2,0))</f>
        <v>641907273</v>
      </c>
      <c r="E176" s="86" t="s">
        <v>312</v>
      </c>
      <c r="G176" s="86" t="s">
        <v>6003</v>
      </c>
      <c r="H176" s="86" t="s">
        <v>24</v>
      </c>
      <c r="I176" s="212">
        <v>44278</v>
      </c>
    </row>
    <row r="177" spans="2:10" x14ac:dyDescent="0.2">
      <c r="B177" s="86">
        <v>174</v>
      </c>
      <c r="C177" s="86" t="s">
        <v>5014</v>
      </c>
      <c r="D177" s="304">
        <f>_xlfn.IFNA(VLOOKUP(C177,Database!$D$5:$F$439,2,0),VLOOKUP(C177,logut!$C$4:$D$499,2,0))</f>
        <v>641907273</v>
      </c>
      <c r="E177" s="86" t="s">
        <v>312</v>
      </c>
      <c r="G177" s="86" t="s">
        <v>444</v>
      </c>
      <c r="H177" s="86" t="s">
        <v>24</v>
      </c>
      <c r="I177" s="212">
        <v>44278</v>
      </c>
    </row>
    <row r="178" spans="2:10" x14ac:dyDescent="0.2">
      <c r="B178" s="86">
        <v>175</v>
      </c>
      <c r="C178" s="86" t="s">
        <v>5503</v>
      </c>
      <c r="D178" s="304">
        <f>_xlfn.IFNA(VLOOKUP(C178,Database!$D$5:$F$439,2,0),VLOOKUP(C178,logut!$C$4:$D$499,2,0))</f>
        <v>999800080</v>
      </c>
      <c r="E178" s="86" t="s">
        <v>312</v>
      </c>
      <c r="G178" s="86" t="s">
        <v>175</v>
      </c>
      <c r="H178" s="86" t="s">
        <v>24</v>
      </c>
      <c r="I178" s="212">
        <v>44278</v>
      </c>
    </row>
    <row r="179" spans="2:10" x14ac:dyDescent="0.2">
      <c r="B179" s="86">
        <v>176</v>
      </c>
      <c r="C179" s="86" t="s">
        <v>517</v>
      </c>
      <c r="D179" s="304">
        <f>_xlfn.IFNA(VLOOKUP(C179,Database!$D$5:$F$439,2,0),VLOOKUP(C179,logut!$C$4:$D$499,2,0))</f>
        <v>642001013</v>
      </c>
      <c r="E179" s="86" t="s">
        <v>140</v>
      </c>
      <c r="G179" s="86" t="s">
        <v>5980</v>
      </c>
      <c r="H179" s="86" t="s">
        <v>217</v>
      </c>
      <c r="I179" s="212">
        <v>44287</v>
      </c>
    </row>
    <row r="180" spans="2:10" x14ac:dyDescent="0.2">
      <c r="B180" s="86">
        <v>177</v>
      </c>
      <c r="C180" s="86" t="s">
        <v>1125</v>
      </c>
      <c r="D180" s="304">
        <f>_xlfn.IFNA(VLOOKUP(C180,Database!$D$5:$F$439,2,0),VLOOKUP(C180,logut!$C$4:$D$499,2,0))</f>
        <v>642001048</v>
      </c>
      <c r="E180" s="86" t="s">
        <v>312</v>
      </c>
      <c r="G180" s="86" t="s">
        <v>5980</v>
      </c>
      <c r="H180" s="86" t="s">
        <v>217</v>
      </c>
      <c r="I180" s="212">
        <v>44287</v>
      </c>
    </row>
    <row r="181" spans="2:10" x14ac:dyDescent="0.2">
      <c r="B181" s="86">
        <v>178</v>
      </c>
      <c r="C181" s="86" t="s">
        <v>866</v>
      </c>
      <c r="D181" s="304">
        <f>_xlfn.IFNA(VLOOKUP(C181,Database!$D$5:$F$439,2,0),VLOOKUP(C181,logut!$C$4:$D$499,2,0))</f>
        <v>642001069</v>
      </c>
      <c r="E181" s="86" t="s">
        <v>140</v>
      </c>
      <c r="G181" s="86" t="s">
        <v>5980</v>
      </c>
      <c r="H181" s="86" t="s">
        <v>1896</v>
      </c>
      <c r="I181" s="212">
        <v>44287</v>
      </c>
    </row>
    <row r="182" spans="2:10" x14ac:dyDescent="0.2">
      <c r="B182" s="86">
        <v>179</v>
      </c>
      <c r="C182" s="13" t="s">
        <v>4868</v>
      </c>
      <c r="D182" s="304">
        <f>_xlfn.IFNA(VLOOKUP(C182,Database!$D$5:$F$439,2,0),VLOOKUP(C182,logut!$C$4:$D$499,2,0))</f>
        <v>642001023</v>
      </c>
      <c r="E182" s="86" t="s">
        <v>312</v>
      </c>
      <c r="G182" s="86" t="s">
        <v>5980</v>
      </c>
      <c r="H182" s="86" t="s">
        <v>217</v>
      </c>
      <c r="I182" s="212">
        <v>44287</v>
      </c>
    </row>
    <row r="183" spans="2:10" x14ac:dyDescent="0.2">
      <c r="B183" s="86">
        <v>180</v>
      </c>
      <c r="C183" s="86" t="s">
        <v>1217</v>
      </c>
      <c r="D183" s="304">
        <f>_xlfn.IFNA(VLOOKUP(C183,Database!$D$5:$F$439,2,0),VLOOKUP(C183,logut!$C$4:$D$499,2,0))</f>
        <v>972400059</v>
      </c>
      <c r="E183" s="86" t="s">
        <v>140</v>
      </c>
      <c r="G183" s="86" t="s">
        <v>5980</v>
      </c>
      <c r="H183" s="86" t="s">
        <v>217</v>
      </c>
      <c r="I183" s="212">
        <v>44287</v>
      </c>
    </row>
    <row r="184" spans="2:10" x14ac:dyDescent="0.2">
      <c r="B184" s="86">
        <v>181</v>
      </c>
      <c r="C184" s="86" t="s">
        <v>1706</v>
      </c>
      <c r="D184" s="304">
        <f>_xlfn.IFNA(VLOOKUP(C184,Database!$D$5:$F$439,2,0),VLOOKUP(C184,logut!$C$4:$D$499,2,0))</f>
        <v>641806157</v>
      </c>
      <c r="E184" s="86" t="s">
        <v>312</v>
      </c>
      <c r="G184" s="86" t="s">
        <v>5980</v>
      </c>
      <c r="H184" s="86" t="s">
        <v>217</v>
      </c>
      <c r="I184" s="212">
        <v>44287</v>
      </c>
    </row>
    <row r="185" spans="2:10" x14ac:dyDescent="0.2">
      <c r="B185" s="86">
        <v>182</v>
      </c>
      <c r="C185" s="86" t="s">
        <v>500</v>
      </c>
      <c r="D185" s="304">
        <f>_xlfn.IFNA(VLOOKUP(C185,Database!$D$5:$F$439,2,0),VLOOKUP(C185,logut!$C$4:$D$499,2,0))</f>
        <v>971700005</v>
      </c>
      <c r="E185" s="86" t="s">
        <v>140</v>
      </c>
      <c r="G185" s="86" t="s">
        <v>5980</v>
      </c>
      <c r="H185" s="86" t="s">
        <v>217</v>
      </c>
      <c r="I185" s="212">
        <v>44287</v>
      </c>
    </row>
    <row r="186" spans="2:10" x14ac:dyDescent="0.2">
      <c r="B186" s="86">
        <v>183</v>
      </c>
      <c r="C186" s="86" t="s">
        <v>831</v>
      </c>
      <c r="D186" s="304">
        <f>_xlfn.IFNA(VLOOKUP(C186,Database!$D$5:$F$439,2,0),VLOOKUP(C186,logut!$C$4:$D$499,2,0))</f>
        <v>642001014</v>
      </c>
      <c r="E186" s="86" t="s">
        <v>312</v>
      </c>
      <c r="G186" s="86" t="s">
        <v>5980</v>
      </c>
      <c r="H186" s="86" t="s">
        <v>217</v>
      </c>
      <c r="I186" s="212">
        <v>44287</v>
      </c>
    </row>
    <row r="187" spans="2:10" x14ac:dyDescent="0.2">
      <c r="B187" s="86">
        <v>184</v>
      </c>
      <c r="C187" s="86" t="s">
        <v>1457</v>
      </c>
      <c r="D187" s="304">
        <f>_xlfn.IFNA(VLOOKUP(C187,Database!$D$5:$F$439,2,0),VLOOKUP(C187,logut!$C$4:$D$499,2,0))</f>
        <v>642001024</v>
      </c>
      <c r="E187" s="86" t="s">
        <v>312</v>
      </c>
      <c r="G187" s="86" t="s">
        <v>5980</v>
      </c>
      <c r="H187" s="86" t="s">
        <v>217</v>
      </c>
      <c r="I187" s="212">
        <v>44287</v>
      </c>
    </row>
    <row r="188" spans="2:10" x14ac:dyDescent="0.2">
      <c r="B188" s="86">
        <v>185</v>
      </c>
      <c r="C188" s="86" t="s">
        <v>888</v>
      </c>
      <c r="D188" s="304">
        <f>_xlfn.IFNA(VLOOKUP(C188,Database!$D$5:$F$439,2,0),VLOOKUP(C188,logut!$C$4:$D$499,2,0))</f>
        <v>642001065</v>
      </c>
      <c r="E188" s="86" t="s">
        <v>312</v>
      </c>
      <c r="G188" s="86" t="s">
        <v>5980</v>
      </c>
      <c r="H188" s="86" t="s">
        <v>217</v>
      </c>
      <c r="I188" s="212">
        <v>44287</v>
      </c>
    </row>
    <row r="189" spans="2:10" x14ac:dyDescent="0.2">
      <c r="B189" s="86">
        <v>186</v>
      </c>
      <c r="C189" s="86" t="s">
        <v>476</v>
      </c>
      <c r="D189" s="304">
        <f>_xlfn.IFNA(VLOOKUP(C189,Database!$D$5:$F$439,2,0),VLOOKUP(C189,logut!$C$4:$D$499,2,0))</f>
        <v>971700006</v>
      </c>
      <c r="E189" s="86" t="s">
        <v>140</v>
      </c>
      <c r="G189" s="86" t="s">
        <v>5980</v>
      </c>
      <c r="H189" s="86" t="s">
        <v>217</v>
      </c>
      <c r="I189" s="212">
        <v>44287</v>
      </c>
    </row>
    <row r="190" spans="2:10" x14ac:dyDescent="0.2">
      <c r="B190" s="86">
        <v>187</v>
      </c>
      <c r="C190" s="86" t="s">
        <v>488</v>
      </c>
      <c r="D190" s="304">
        <f>_xlfn.IFNA(VLOOKUP(C190,Database!$D$5:$F$439,2,0),VLOOKUP(C190,logut!$C$4:$D$499,2,0))</f>
        <v>971700007</v>
      </c>
      <c r="E190" s="86" t="s">
        <v>140</v>
      </c>
      <c r="G190" s="86" t="s">
        <v>5980</v>
      </c>
      <c r="H190" s="86" t="s">
        <v>217</v>
      </c>
      <c r="I190" s="212">
        <v>44287</v>
      </c>
    </row>
    <row r="191" spans="2:10" x14ac:dyDescent="0.2">
      <c r="B191" s="86">
        <v>188</v>
      </c>
      <c r="C191" s="86" t="s">
        <v>1651</v>
      </c>
      <c r="D191" s="304">
        <f>_xlfn.IFNA(VLOOKUP(C191,Database!$D$5:$F$439,2,0),VLOOKUP(C191,logut!$C$4:$D$499,2,0))</f>
        <v>641805144</v>
      </c>
      <c r="E191" s="86" t="s">
        <v>312</v>
      </c>
      <c r="G191" s="86" t="s">
        <v>5980</v>
      </c>
      <c r="H191" s="86" t="s">
        <v>217</v>
      </c>
      <c r="I191" s="212">
        <v>44287</v>
      </c>
    </row>
    <row r="192" spans="2:10" x14ac:dyDescent="0.2">
      <c r="B192" s="86">
        <v>189</v>
      </c>
      <c r="C192" s="86" t="s">
        <v>5160</v>
      </c>
      <c r="D192" s="304">
        <f>_xlfn.IFNA(VLOOKUP(C192,Database!$D$5:$F$439,2,0),VLOOKUP(C192,logut!$C$4:$D$499,2,0))</f>
        <v>991000008</v>
      </c>
      <c r="E192" s="86" t="s">
        <v>142</v>
      </c>
      <c r="G192" s="86" t="s">
        <v>6004</v>
      </c>
      <c r="H192" s="86" t="s">
        <v>5901</v>
      </c>
      <c r="I192" s="212">
        <v>44287</v>
      </c>
      <c r="J192" s="86" t="s">
        <v>6005</v>
      </c>
    </row>
    <row r="193" spans="2:10" x14ac:dyDescent="0.2">
      <c r="B193" s="86">
        <v>190</v>
      </c>
      <c r="C193" s="86" t="s">
        <v>5208</v>
      </c>
      <c r="D193" s="304">
        <f>_xlfn.IFNA(VLOOKUP(C193,Database!$D$5:$F$439,2,0),VLOOKUP(C193,logut!$C$4:$D$499,2,0))</f>
        <v>999600062</v>
      </c>
      <c r="E193" s="86" t="s">
        <v>142</v>
      </c>
      <c r="G193" s="86" t="s">
        <v>6006</v>
      </c>
      <c r="H193" s="86" t="s">
        <v>5901</v>
      </c>
      <c r="I193" s="212">
        <v>44287</v>
      </c>
      <c r="J193" s="86" t="s">
        <v>6005</v>
      </c>
    </row>
    <row r="194" spans="2:10" x14ac:dyDescent="0.2">
      <c r="B194" s="86">
        <v>191</v>
      </c>
      <c r="C194" s="86" t="s">
        <v>90</v>
      </c>
      <c r="D194" s="304">
        <f>_xlfn.IFNA(VLOOKUP(C194,Database!$D$5:$F$439,2,0),VLOOKUP(C194,logut!$C$4:$D$499,2,0))</f>
        <v>999200022</v>
      </c>
      <c r="E194" s="86" t="s">
        <v>142</v>
      </c>
      <c r="G194" s="86" t="s">
        <v>18</v>
      </c>
      <c r="H194" s="86" t="s">
        <v>5901</v>
      </c>
      <c r="I194" s="212">
        <v>44287</v>
      </c>
      <c r="J194" s="86" t="s">
        <v>6005</v>
      </c>
    </row>
    <row r="195" spans="2:10" x14ac:dyDescent="0.2">
      <c r="B195" s="86">
        <v>192</v>
      </c>
      <c r="C195" s="86" t="s">
        <v>5147</v>
      </c>
      <c r="D195" s="304">
        <f>_xlfn.IFNA(VLOOKUP(C195,Database!$D$5:$F$439,2,0),VLOOKUP(C195,logut!$C$4:$D$499,2,0))</f>
        <v>991000007</v>
      </c>
      <c r="E195" s="86" t="s">
        <v>142</v>
      </c>
      <c r="G195" s="86" t="s">
        <v>120</v>
      </c>
      <c r="H195" s="86" t="s">
        <v>5901</v>
      </c>
      <c r="I195" s="212">
        <v>44287</v>
      </c>
      <c r="J195" s="86" t="s">
        <v>6005</v>
      </c>
    </row>
    <row r="196" spans="2:10" x14ac:dyDescent="0.2">
      <c r="B196" s="86">
        <v>193</v>
      </c>
      <c r="C196" s="86" t="s">
        <v>5272</v>
      </c>
      <c r="D196" s="304">
        <f>_xlfn.IFNA(VLOOKUP(C196,Database!$D$5:$F$439,2,0),VLOOKUP(C196,logut!$C$4:$D$499,2,0))</f>
        <v>999600008</v>
      </c>
      <c r="E196" s="86" t="s">
        <v>142</v>
      </c>
      <c r="G196" s="86" t="s">
        <v>50</v>
      </c>
      <c r="H196" s="86" t="s">
        <v>5901</v>
      </c>
      <c r="I196" s="212">
        <v>44287</v>
      </c>
      <c r="J196" s="86" t="s">
        <v>6005</v>
      </c>
    </row>
    <row r="197" spans="2:10" x14ac:dyDescent="0.2">
      <c r="B197" s="86">
        <v>194</v>
      </c>
      <c r="C197" s="86" t="s">
        <v>5764</v>
      </c>
      <c r="D197" s="304">
        <f>_xlfn.IFNA(VLOOKUP(C197,Database!$D$5:$F$439,2,0),VLOOKUP(C197,logut!$C$4:$D$499,2,0))</f>
        <v>999700007</v>
      </c>
      <c r="E197" s="86" t="s">
        <v>142</v>
      </c>
      <c r="G197" s="86" t="s">
        <v>313</v>
      </c>
      <c r="H197" s="86" t="s">
        <v>5901</v>
      </c>
      <c r="I197" s="212">
        <v>44287</v>
      </c>
      <c r="J197" s="86" t="s">
        <v>6005</v>
      </c>
    </row>
    <row r="198" spans="2:10" x14ac:dyDescent="0.2">
      <c r="B198" s="86">
        <v>195</v>
      </c>
      <c r="C198" s="86" t="s">
        <v>5195</v>
      </c>
      <c r="D198" s="304">
        <f>_xlfn.IFNA(VLOOKUP(C198,Database!$D$5:$F$439,2,0),VLOOKUP(C198,logut!$C$4:$D$499,2,0))</f>
        <v>999900116</v>
      </c>
      <c r="E198" s="86" t="s">
        <v>142</v>
      </c>
      <c r="G198" s="86" t="s">
        <v>6007</v>
      </c>
      <c r="H198" s="86" t="s">
        <v>5901</v>
      </c>
      <c r="I198" s="212">
        <v>44287</v>
      </c>
      <c r="J198" s="86" t="s">
        <v>6005</v>
      </c>
    </row>
    <row r="199" spans="2:10" x14ac:dyDescent="0.2">
      <c r="B199" s="86">
        <v>196</v>
      </c>
      <c r="C199" s="86" t="s">
        <v>2636</v>
      </c>
      <c r="D199" s="304">
        <f>_xlfn.IFNA(VLOOKUP(C199,Database!$D$5:$F$439,2,0),VLOOKUP(C199,logut!$C$4:$D$499,2,0))</f>
        <v>999800003</v>
      </c>
      <c r="E199" s="86" t="s">
        <v>137</v>
      </c>
      <c r="G199" s="86" t="s">
        <v>6008</v>
      </c>
      <c r="H199" s="86" t="s">
        <v>5901</v>
      </c>
      <c r="I199" s="212">
        <v>44287</v>
      </c>
      <c r="J199" s="86" t="s">
        <v>6005</v>
      </c>
    </row>
    <row r="200" spans="2:10" x14ac:dyDescent="0.2">
      <c r="B200" s="86">
        <v>197</v>
      </c>
      <c r="C200" s="86" t="s">
        <v>2667</v>
      </c>
      <c r="D200" s="304">
        <f>_xlfn.IFNA(VLOOKUP(C200,Database!$D$5:$F$439,2,0),VLOOKUP(C200,logut!$C$4:$D$499,2,0))</f>
        <v>991100025</v>
      </c>
      <c r="E200" s="86" t="s">
        <v>137</v>
      </c>
      <c r="G200" s="86" t="s">
        <v>6009</v>
      </c>
      <c r="H200" s="86" t="s">
        <v>5901</v>
      </c>
      <c r="I200" s="212">
        <v>44287</v>
      </c>
      <c r="J200" s="86" t="s">
        <v>6005</v>
      </c>
    </row>
    <row r="201" spans="2:10" x14ac:dyDescent="0.2">
      <c r="B201" s="86">
        <v>198</v>
      </c>
      <c r="C201" s="86" t="s">
        <v>5224</v>
      </c>
      <c r="D201" s="304">
        <f>_xlfn.IFNA(VLOOKUP(C201,Database!$D$5:$F$439,2,0),VLOOKUP(C201,logut!$C$4:$D$499,2,0))</f>
        <v>991100039</v>
      </c>
      <c r="E201" s="86" t="s">
        <v>137</v>
      </c>
      <c r="G201" s="86" t="s">
        <v>54</v>
      </c>
      <c r="H201" s="86" t="s">
        <v>5901</v>
      </c>
      <c r="I201" s="212">
        <v>44287</v>
      </c>
      <c r="J201" s="86" t="s">
        <v>6005</v>
      </c>
    </row>
    <row r="202" spans="2:10" x14ac:dyDescent="0.2">
      <c r="B202" s="86">
        <v>199</v>
      </c>
      <c r="C202" s="86" t="s">
        <v>2704</v>
      </c>
      <c r="D202" s="304">
        <f>_xlfn.IFNA(VLOOKUP(C202,Database!$D$5:$F$439,2,0),VLOOKUP(C202,logut!$C$4:$D$499,2,0))</f>
        <v>999800078</v>
      </c>
      <c r="E202" s="86" t="s">
        <v>137</v>
      </c>
      <c r="G202" s="86" t="s">
        <v>59</v>
      </c>
      <c r="H202" s="86" t="s">
        <v>5901</v>
      </c>
      <c r="I202" s="212">
        <v>44287</v>
      </c>
      <c r="J202" s="86" t="s">
        <v>6005</v>
      </c>
    </row>
    <row r="203" spans="2:10" x14ac:dyDescent="0.2">
      <c r="B203" s="86">
        <v>200</v>
      </c>
      <c r="C203" s="86" t="s">
        <v>5138</v>
      </c>
      <c r="D203" s="304">
        <f>_xlfn.IFNA(VLOOKUP(C203,Database!$D$5:$F$439,2,0),VLOOKUP(C203,logut!$C$4:$D$499,2,0))</f>
        <v>999400099</v>
      </c>
      <c r="E203" s="86" t="s">
        <v>137</v>
      </c>
      <c r="G203" s="86" t="s">
        <v>6010</v>
      </c>
      <c r="H203" s="86" t="s">
        <v>5901</v>
      </c>
      <c r="I203" s="212">
        <v>44287</v>
      </c>
      <c r="J203" s="86" t="s">
        <v>6005</v>
      </c>
    </row>
    <row r="204" spans="2:10" x14ac:dyDescent="0.2">
      <c r="B204" s="86">
        <v>201</v>
      </c>
      <c r="C204" s="86" t="s">
        <v>2674</v>
      </c>
      <c r="D204" s="304">
        <f>_xlfn.IFNA(VLOOKUP(C204,Database!$D$5:$F$439,2,0),VLOOKUP(C204,logut!$C$4:$D$499,2,0))</f>
        <v>999500021</v>
      </c>
      <c r="E204" s="86" t="s">
        <v>137</v>
      </c>
      <c r="G204" s="86" t="s">
        <v>6011</v>
      </c>
      <c r="H204" s="86" t="s">
        <v>5901</v>
      </c>
      <c r="I204" s="212">
        <v>44287</v>
      </c>
      <c r="J204" s="86" t="s">
        <v>6005</v>
      </c>
    </row>
    <row r="205" spans="2:10" x14ac:dyDescent="0.2">
      <c r="B205" s="86">
        <v>202</v>
      </c>
      <c r="C205" s="86" t="s">
        <v>5368</v>
      </c>
      <c r="D205" s="304">
        <f>_xlfn.IFNA(VLOOKUP(C205,Database!$D$5:$F$439,2,0),VLOOKUP(C205,logut!$C$4:$D$499,2,0))</f>
        <v>999400090</v>
      </c>
      <c r="E205" s="86" t="s">
        <v>137</v>
      </c>
      <c r="G205" s="86" t="s">
        <v>6012</v>
      </c>
      <c r="H205" s="86" t="s">
        <v>5901</v>
      </c>
      <c r="I205" s="212">
        <v>44287</v>
      </c>
      <c r="J205" s="86" t="s">
        <v>6005</v>
      </c>
    </row>
    <row r="206" spans="2:10" x14ac:dyDescent="0.2">
      <c r="B206" s="86">
        <v>203</v>
      </c>
      <c r="C206" s="86" t="s">
        <v>5285</v>
      </c>
      <c r="D206" s="304">
        <f>_xlfn.IFNA(VLOOKUP(C206,Database!$D$5:$F$439,2,0),VLOOKUP(C206,logut!$C$4:$D$499,2,0))</f>
        <v>999600041</v>
      </c>
      <c r="E206" s="86" t="s">
        <v>137</v>
      </c>
      <c r="G206" s="86" t="s">
        <v>6013</v>
      </c>
      <c r="H206" s="86" t="s">
        <v>5901</v>
      </c>
      <c r="I206" s="212">
        <v>44287</v>
      </c>
      <c r="J206" s="86" t="s">
        <v>6005</v>
      </c>
    </row>
    <row r="207" spans="2:10" x14ac:dyDescent="0.2">
      <c r="B207" s="86">
        <v>204</v>
      </c>
      <c r="C207" s="86" t="s">
        <v>380</v>
      </c>
      <c r="D207" s="304">
        <f>_xlfn.IFNA(VLOOKUP(C207,Database!$D$5:$F$439,2,0),VLOOKUP(C207,logut!$C$4:$D$499,2,0))</f>
        <v>971500002</v>
      </c>
      <c r="E207" s="86" t="s">
        <v>137</v>
      </c>
      <c r="G207" s="86" t="s">
        <v>6014</v>
      </c>
      <c r="H207" s="86" t="s">
        <v>5901</v>
      </c>
      <c r="I207" s="212">
        <v>44287</v>
      </c>
      <c r="J207" s="86" t="s">
        <v>6005</v>
      </c>
    </row>
    <row r="208" spans="2:10" x14ac:dyDescent="0.2">
      <c r="B208" s="86">
        <v>205</v>
      </c>
      <c r="C208" s="86" t="s">
        <v>1949</v>
      </c>
      <c r="D208" s="304">
        <f>_xlfn.IFNA(VLOOKUP(C208,Database!$D$5:$F$439,2,0),VLOOKUP(C208,logut!$C$4:$D$499,2,0))</f>
        <v>971900034</v>
      </c>
      <c r="E208" s="86" t="s">
        <v>137</v>
      </c>
      <c r="G208" s="86" t="s">
        <v>6015</v>
      </c>
      <c r="H208" s="86" t="s">
        <v>5901</v>
      </c>
      <c r="I208" s="212">
        <v>44287</v>
      </c>
      <c r="J208" s="86" t="s">
        <v>6005</v>
      </c>
    </row>
    <row r="209" spans="2:10" x14ac:dyDescent="0.2">
      <c r="B209" s="86">
        <v>206</v>
      </c>
      <c r="C209" s="86" t="s">
        <v>431</v>
      </c>
      <c r="D209" s="304">
        <f>_xlfn.IFNA(VLOOKUP(C209,Database!$D$5:$F$439,2,0),VLOOKUP(C209,logut!$C$4:$D$499,2,0))</f>
        <v>971600004</v>
      </c>
      <c r="E209" s="86" t="s">
        <v>5957</v>
      </c>
      <c r="G209" s="86" t="s">
        <v>6016</v>
      </c>
      <c r="H209" s="86" t="s">
        <v>5901</v>
      </c>
      <c r="I209" s="212">
        <v>44287</v>
      </c>
      <c r="J209" s="86" t="s">
        <v>6005</v>
      </c>
    </row>
    <row r="210" spans="2:10" x14ac:dyDescent="0.2">
      <c r="B210" s="86">
        <v>207</v>
      </c>
      <c r="C210" s="86" t="s">
        <v>5592</v>
      </c>
      <c r="D210" s="304">
        <f>_xlfn.IFNA(VLOOKUP(C210,Database!$D$5:$F$439,2,0),VLOOKUP(C210,logut!$C$4:$D$499,2,0))</f>
        <v>991200023</v>
      </c>
      <c r="E210" s="86" t="s">
        <v>5957</v>
      </c>
      <c r="G210" s="86" t="s">
        <v>6017</v>
      </c>
      <c r="H210" s="86" t="s">
        <v>5901</v>
      </c>
      <c r="I210" s="212">
        <v>44287</v>
      </c>
      <c r="J210" s="86" t="s">
        <v>6005</v>
      </c>
    </row>
    <row r="211" spans="2:10" x14ac:dyDescent="0.2">
      <c r="B211" s="86">
        <v>208</v>
      </c>
      <c r="C211" s="86" t="s">
        <v>1086</v>
      </c>
      <c r="D211" s="304">
        <f>_xlfn.IFNA(VLOOKUP(C211,Database!$D$5:$F$439,2,0),VLOOKUP(C211,logut!$C$4:$D$499,2,0))</f>
        <v>971800024</v>
      </c>
      <c r="E211" s="86" t="s">
        <v>5957</v>
      </c>
      <c r="G211" s="86" t="s">
        <v>6018</v>
      </c>
      <c r="H211" s="86" t="s">
        <v>5901</v>
      </c>
      <c r="I211" s="212">
        <v>44287</v>
      </c>
      <c r="J211" s="86" t="s">
        <v>6005</v>
      </c>
    </row>
    <row r="212" spans="2:10" x14ac:dyDescent="0.2">
      <c r="B212" s="86">
        <v>209</v>
      </c>
      <c r="C212" s="86" t="s">
        <v>2219</v>
      </c>
      <c r="D212" s="304">
        <f>_xlfn.IFNA(VLOOKUP(C212,Database!$D$5:$F$439,2,0),VLOOKUP(C212,logut!$C$4:$D$499,2,0))</f>
        <v>972000052</v>
      </c>
      <c r="E212" s="86" t="s">
        <v>5984</v>
      </c>
      <c r="G212" s="86" t="s">
        <v>6019</v>
      </c>
      <c r="H212" s="86" t="s">
        <v>5901</v>
      </c>
      <c r="I212" s="212">
        <v>44287</v>
      </c>
      <c r="J212" s="86" t="s">
        <v>6005</v>
      </c>
    </row>
    <row r="213" spans="2:10" x14ac:dyDescent="0.2">
      <c r="B213" s="86">
        <v>210</v>
      </c>
      <c r="C213" s="86" t="s">
        <v>5713</v>
      </c>
      <c r="D213" s="304">
        <f>_xlfn.IFNA(VLOOKUP(C213,Database!$D$5:$F$439,2,0),VLOOKUP(C213,logut!$C$4:$D$499,2,0))</f>
        <v>999200040</v>
      </c>
      <c r="E213" s="86" t="s">
        <v>138</v>
      </c>
      <c r="G213" s="86" t="s">
        <v>6020</v>
      </c>
      <c r="H213" s="86" t="s">
        <v>5901</v>
      </c>
      <c r="I213" s="212">
        <v>44287</v>
      </c>
      <c r="J213" s="86" t="s">
        <v>6005</v>
      </c>
    </row>
    <row r="214" spans="2:10" x14ac:dyDescent="0.2">
      <c r="B214" s="86">
        <v>211</v>
      </c>
      <c r="C214" s="86" t="s">
        <v>5402</v>
      </c>
      <c r="D214" s="304">
        <f>_xlfn.IFNA(VLOOKUP(C214,Database!$D$5:$F$439,2,0),VLOOKUP(C214,logut!$C$4:$D$499,2,0))</f>
        <v>999900027</v>
      </c>
      <c r="E214" s="86" t="s">
        <v>138</v>
      </c>
      <c r="G214" s="86" t="s">
        <v>6021</v>
      </c>
      <c r="H214" s="86" t="s">
        <v>5901</v>
      </c>
      <c r="I214" s="212">
        <v>44287</v>
      </c>
      <c r="J214" s="86" t="s">
        <v>6005</v>
      </c>
    </row>
    <row r="215" spans="2:10" x14ac:dyDescent="0.2">
      <c r="B215" s="86">
        <v>212</v>
      </c>
      <c r="C215" s="86" t="s">
        <v>5425</v>
      </c>
      <c r="D215" s="304">
        <f>_xlfn.IFNA(VLOOKUP(C215,Database!$D$5:$F$439,2,0),VLOOKUP(C215,logut!$C$4:$D$499,2,0))</f>
        <v>999800040</v>
      </c>
      <c r="E215" s="86" t="s">
        <v>138</v>
      </c>
      <c r="G215" s="86" t="s">
        <v>6022</v>
      </c>
      <c r="H215" s="86" t="s">
        <v>5901</v>
      </c>
      <c r="I215" s="212">
        <v>44287</v>
      </c>
      <c r="J215" s="86" t="s">
        <v>6005</v>
      </c>
    </row>
    <row r="216" spans="2:10" x14ac:dyDescent="0.2">
      <c r="B216" s="86">
        <v>213</v>
      </c>
      <c r="C216" s="86" t="s">
        <v>5480</v>
      </c>
      <c r="D216" s="304">
        <f>_xlfn.IFNA(VLOOKUP(C216,Database!$D$5:$F$439,2,0),VLOOKUP(C216,logut!$C$4:$D$499,2,0))</f>
        <v>999800044</v>
      </c>
      <c r="E216" s="86" t="s">
        <v>138</v>
      </c>
      <c r="G216" s="86" t="s">
        <v>6023</v>
      </c>
      <c r="H216" s="86" t="s">
        <v>5901</v>
      </c>
      <c r="I216" s="212">
        <v>44287</v>
      </c>
      <c r="J216" s="86" t="s">
        <v>6005</v>
      </c>
    </row>
    <row r="217" spans="2:10" x14ac:dyDescent="0.2">
      <c r="B217" s="86">
        <v>214</v>
      </c>
      <c r="C217" s="86" t="s">
        <v>5503</v>
      </c>
      <c r="D217" s="304">
        <f>_xlfn.IFNA(VLOOKUP(C217,Database!$D$5:$F$439,2,0),VLOOKUP(C217,logut!$C$4:$D$499,2,0))</f>
        <v>999800080</v>
      </c>
      <c r="E217" s="86" t="s">
        <v>138</v>
      </c>
      <c r="G217" s="86" t="s">
        <v>6024</v>
      </c>
      <c r="H217" s="86" t="s">
        <v>5901</v>
      </c>
      <c r="I217" s="212">
        <v>44287</v>
      </c>
      <c r="J217" s="86" t="s">
        <v>6005</v>
      </c>
    </row>
    <row r="218" spans="2:10" x14ac:dyDescent="0.2">
      <c r="B218" s="86">
        <v>215</v>
      </c>
      <c r="C218" s="86" t="s">
        <v>5297</v>
      </c>
      <c r="D218" s="304">
        <f>_xlfn.IFNA(VLOOKUP(C218,Database!$D$5:$F$439,2,0),VLOOKUP(C218,logut!$C$4:$D$499,2,0))</f>
        <v>991800022</v>
      </c>
      <c r="E218" s="86" t="s">
        <v>138</v>
      </c>
      <c r="G218" s="86" t="s">
        <v>6025</v>
      </c>
      <c r="H218" s="86" t="s">
        <v>5901</v>
      </c>
      <c r="I218" s="212">
        <v>44287</v>
      </c>
      <c r="J218" s="86" t="s">
        <v>6005</v>
      </c>
    </row>
    <row r="219" spans="2:10" x14ac:dyDescent="0.2">
      <c r="B219" s="86">
        <v>216</v>
      </c>
      <c r="C219" s="86" t="s">
        <v>391</v>
      </c>
      <c r="D219" s="304">
        <f>_xlfn.IFNA(VLOOKUP(C219,Database!$D$5:$F$439,2,0),VLOOKUP(C219,logut!$C$4:$D$499,2,0))</f>
        <v>971500003</v>
      </c>
      <c r="E219" s="86" t="s">
        <v>5998</v>
      </c>
      <c r="G219" s="86" t="s">
        <v>6026</v>
      </c>
      <c r="H219" s="86" t="s">
        <v>5901</v>
      </c>
      <c r="I219" s="212">
        <v>44287</v>
      </c>
      <c r="J219" s="86" t="s">
        <v>6005</v>
      </c>
    </row>
    <row r="220" spans="2:10" x14ac:dyDescent="0.2">
      <c r="B220" s="86">
        <v>217</v>
      </c>
      <c r="C220" s="86" t="s">
        <v>1903</v>
      </c>
      <c r="D220" s="304">
        <f>_xlfn.IFNA(VLOOKUP(C220,Database!$D$5:$F$439,2,0),VLOOKUP(C220,logut!$C$4:$D$499,2,0))</f>
        <v>971900039</v>
      </c>
      <c r="E220" s="86" t="s">
        <v>5998</v>
      </c>
      <c r="G220" s="86" t="s">
        <v>1150</v>
      </c>
      <c r="H220" s="86" t="s">
        <v>5901</v>
      </c>
      <c r="I220" s="212">
        <v>44287</v>
      </c>
      <c r="J220" s="86" t="s">
        <v>6005</v>
      </c>
    </row>
    <row r="221" spans="2:10" x14ac:dyDescent="0.2">
      <c r="B221" s="86">
        <v>218</v>
      </c>
      <c r="C221" s="86" t="s">
        <v>1895</v>
      </c>
      <c r="D221" s="304">
        <f>_xlfn.IFNA(VLOOKUP(C221,Database!$D$5:$F$439,2,0),VLOOKUP(C221,logut!$C$4:$D$499,2,0))</f>
        <v>971900040</v>
      </c>
      <c r="E221" s="86" t="s">
        <v>5998</v>
      </c>
      <c r="G221" s="86" t="s">
        <v>6027</v>
      </c>
      <c r="H221" s="86" t="s">
        <v>5901</v>
      </c>
      <c r="I221" s="212">
        <v>44287</v>
      </c>
      <c r="J221" s="86" t="s">
        <v>6005</v>
      </c>
    </row>
    <row r="222" spans="2:10" x14ac:dyDescent="0.2">
      <c r="B222" s="86">
        <v>219</v>
      </c>
      <c r="C222" s="86" t="s">
        <v>2660</v>
      </c>
      <c r="D222" s="304">
        <f>_xlfn.IFNA(VLOOKUP(C222,Database!$D$5:$F$439,2,0),VLOOKUP(C222,logut!$C$4:$D$499,2,0))</f>
        <v>999200045</v>
      </c>
      <c r="E222" s="86" t="s">
        <v>5900</v>
      </c>
      <c r="G222" s="86" t="s">
        <v>6028</v>
      </c>
      <c r="H222" s="86" t="s">
        <v>5901</v>
      </c>
      <c r="I222" s="212">
        <v>44287</v>
      </c>
      <c r="J222" s="86" t="s">
        <v>6005</v>
      </c>
    </row>
    <row r="223" spans="2:10" x14ac:dyDescent="0.2">
      <c r="B223" s="86">
        <v>220</v>
      </c>
      <c r="C223" s="86" t="s">
        <v>6029</v>
      </c>
      <c r="D223" s="304" t="e">
        <f>_xlfn.IFNA(VLOOKUP(C223,Database!$D$5:$F$439,2,0),VLOOKUP(C223,logut!$C$4:$D$499,2,0))</f>
        <v>#N/A</v>
      </c>
      <c r="E223" s="86" t="s">
        <v>5900</v>
      </c>
      <c r="G223" s="86" t="s">
        <v>6030</v>
      </c>
      <c r="H223" s="86" t="s">
        <v>5901</v>
      </c>
      <c r="I223" s="212">
        <v>44287</v>
      </c>
      <c r="J223" s="86" t="s">
        <v>6005</v>
      </c>
    </row>
    <row r="224" spans="2:10" x14ac:dyDescent="0.2">
      <c r="B224" s="86">
        <v>221</v>
      </c>
      <c r="C224" s="86" t="s">
        <v>1063</v>
      </c>
      <c r="D224" s="304">
        <f>_xlfn.IFNA(VLOOKUP(C224,Database!$D$5:$F$439,2,0),VLOOKUP(C224,logut!$C$4:$D$499,2,0))</f>
        <v>971800015</v>
      </c>
      <c r="E224" s="86" t="s">
        <v>5900</v>
      </c>
      <c r="G224" s="86" t="s">
        <v>6031</v>
      </c>
      <c r="H224" s="86" t="s">
        <v>5901</v>
      </c>
      <c r="I224" s="212">
        <v>44287</v>
      </c>
      <c r="J224" s="86" t="s">
        <v>6032</v>
      </c>
    </row>
    <row r="225" spans="2:10" x14ac:dyDescent="0.2">
      <c r="B225" s="86">
        <v>222</v>
      </c>
      <c r="C225" s="86" t="s">
        <v>2212</v>
      </c>
      <c r="D225" s="304">
        <f>_xlfn.IFNA(VLOOKUP(C225,Database!$D$5:$F$439,2,0),VLOOKUP(C225,logut!$C$4:$D$499,2,0))</f>
        <v>972000050</v>
      </c>
      <c r="E225" s="86" t="s">
        <v>5900</v>
      </c>
      <c r="G225" s="86" t="s">
        <v>1074</v>
      </c>
      <c r="H225" s="86" t="s">
        <v>5901</v>
      </c>
      <c r="I225" s="212">
        <v>44287</v>
      </c>
      <c r="J225" s="86" t="s">
        <v>6032</v>
      </c>
    </row>
    <row r="226" spans="2:10" x14ac:dyDescent="0.2">
      <c r="B226" s="86">
        <v>223</v>
      </c>
      <c r="C226" s="86" t="s">
        <v>79</v>
      </c>
      <c r="D226" s="304">
        <f>_xlfn.IFNA(VLOOKUP(C226,Database!$D$5:$F$439,2,0),VLOOKUP(C226,logut!$C$4:$D$499,2,0))</f>
        <v>971900043</v>
      </c>
      <c r="E226" s="86" t="s">
        <v>5900</v>
      </c>
      <c r="G226" s="86" t="s">
        <v>1150</v>
      </c>
      <c r="H226" s="86" t="s">
        <v>5901</v>
      </c>
      <c r="I226" s="212">
        <v>44287</v>
      </c>
      <c r="J226" s="86" t="s">
        <v>6032</v>
      </c>
    </row>
    <row r="227" spans="2:10" x14ac:dyDescent="0.2">
      <c r="B227" s="86">
        <v>224</v>
      </c>
      <c r="C227" s="86" t="s">
        <v>1914</v>
      </c>
      <c r="D227" s="304">
        <f>_xlfn.IFNA(VLOOKUP(C227,Database!$D$5:$F$439,2,0),VLOOKUP(C227,logut!$C$4:$D$499,2,0))</f>
        <v>971900037</v>
      </c>
      <c r="E227" s="86" t="s">
        <v>5900</v>
      </c>
      <c r="G227" s="86" t="s">
        <v>5947</v>
      </c>
      <c r="H227" s="86" t="s">
        <v>5901</v>
      </c>
      <c r="I227" s="212">
        <v>44287</v>
      </c>
      <c r="J227" s="86" t="s">
        <v>6032</v>
      </c>
    </row>
    <row r="228" spans="2:10" x14ac:dyDescent="0.2">
      <c r="B228" s="86">
        <v>225</v>
      </c>
      <c r="C228" s="86" t="s">
        <v>5665</v>
      </c>
      <c r="D228" s="304">
        <f>_xlfn.IFNA(VLOOKUP(C228,Database!$D$5:$F$439,2,0),VLOOKUP(C228,logut!$C$4:$D$499,2,0))</f>
        <v>971700013</v>
      </c>
      <c r="E228" s="86" t="s">
        <v>5900</v>
      </c>
      <c r="G228" s="86" t="s">
        <v>6033</v>
      </c>
      <c r="H228" s="86" t="s">
        <v>5901</v>
      </c>
      <c r="I228" s="212">
        <v>44287</v>
      </c>
      <c r="J228" s="86" t="s">
        <v>6032</v>
      </c>
    </row>
    <row r="229" spans="2:10" x14ac:dyDescent="0.2">
      <c r="B229" s="86">
        <v>226</v>
      </c>
      <c r="C229" s="86" t="s">
        <v>82</v>
      </c>
      <c r="D229" s="304">
        <f>_xlfn.IFNA(VLOOKUP(C229,Database!$D$5:$F$439,2,0),VLOOKUP(C229,logut!$C$4:$D$499,2,0))</f>
        <v>971900036</v>
      </c>
      <c r="E229" s="86" t="s">
        <v>5900</v>
      </c>
      <c r="G229" s="86" t="s">
        <v>5949</v>
      </c>
      <c r="H229" s="86" t="s">
        <v>5901</v>
      </c>
      <c r="I229" s="212">
        <v>44287</v>
      </c>
      <c r="J229" s="86" t="s">
        <v>6032</v>
      </c>
    </row>
    <row r="230" spans="2:10" x14ac:dyDescent="0.2">
      <c r="B230" s="86">
        <v>227</v>
      </c>
      <c r="C230" s="86" t="s">
        <v>1932</v>
      </c>
      <c r="D230" s="304">
        <f>_xlfn.IFNA(VLOOKUP(C230,Database!$D$5:$F$439,2,0),VLOOKUP(C230,logut!$C$4:$D$499,2,0))</f>
        <v>971900035</v>
      </c>
      <c r="E230" s="86" t="s">
        <v>5900</v>
      </c>
      <c r="G230" s="86" t="s">
        <v>5946</v>
      </c>
      <c r="H230" s="86" t="s">
        <v>5901</v>
      </c>
      <c r="I230" s="212">
        <v>44287</v>
      </c>
      <c r="J230" s="86" t="s">
        <v>6032</v>
      </c>
    </row>
    <row r="231" spans="2:10" x14ac:dyDescent="0.2">
      <c r="B231" s="86">
        <v>228</v>
      </c>
      <c r="C231" s="86" t="s">
        <v>1876</v>
      </c>
      <c r="D231" s="304">
        <f>_xlfn.IFNA(VLOOKUP(C231,Database!$D$5:$F$439,2,0),VLOOKUP(C231,logut!$C$4:$D$499,2,0))</f>
        <v>971900044</v>
      </c>
      <c r="E231" s="86" t="s">
        <v>5900</v>
      </c>
      <c r="G231" s="86" t="s">
        <v>43</v>
      </c>
      <c r="H231" s="86" t="s">
        <v>5901</v>
      </c>
      <c r="I231" s="212">
        <v>44287</v>
      </c>
      <c r="J231" s="86" t="s">
        <v>6032</v>
      </c>
    </row>
    <row r="232" spans="2:10" x14ac:dyDescent="0.2">
      <c r="B232" s="86">
        <v>229</v>
      </c>
      <c r="C232" s="86" t="s">
        <v>86</v>
      </c>
      <c r="D232" s="304">
        <f>_xlfn.IFNA(VLOOKUP(C232,Database!$D$5:$F$439,2,0),VLOOKUP(C232,logut!$C$4:$D$499,2,0))</f>
        <v>991000017</v>
      </c>
      <c r="E232" s="86" t="s">
        <v>5900</v>
      </c>
      <c r="G232" s="86" t="s">
        <v>59</v>
      </c>
      <c r="H232" s="86" t="s">
        <v>5901</v>
      </c>
      <c r="I232" s="212">
        <v>44287</v>
      </c>
      <c r="J232" s="86" t="s">
        <v>6032</v>
      </c>
    </row>
    <row r="233" spans="2:10" x14ac:dyDescent="0.2">
      <c r="B233" s="86">
        <v>230</v>
      </c>
      <c r="C233" s="86" t="s">
        <v>5655</v>
      </c>
      <c r="D233" s="304">
        <f>_xlfn.IFNA(VLOOKUP(C233,Database!$D$5:$F$439,2,0),VLOOKUP(C233,logut!$C$4:$D$499,2,0))</f>
        <v>991900020</v>
      </c>
      <c r="E233" s="86" t="s">
        <v>5900</v>
      </c>
      <c r="G233" s="86" t="s">
        <v>6034</v>
      </c>
      <c r="H233" s="86" t="s">
        <v>5901</v>
      </c>
      <c r="I233" s="212">
        <v>44287</v>
      </c>
      <c r="J233" s="86" t="s">
        <v>6032</v>
      </c>
    </row>
    <row r="234" spans="2:10" x14ac:dyDescent="0.2">
      <c r="B234" s="86">
        <v>231</v>
      </c>
      <c r="C234" s="86" t="s">
        <v>69</v>
      </c>
      <c r="D234" s="304">
        <f>_xlfn.IFNA(VLOOKUP(C234,Database!$D$5:$F$439,2,0),VLOOKUP(C234,logut!$C$4:$D$499,2,0))</f>
        <v>972000054</v>
      </c>
      <c r="E234" s="86" t="s">
        <v>5900</v>
      </c>
      <c r="G234" s="86" t="s">
        <v>6035</v>
      </c>
      <c r="H234" s="86" t="s">
        <v>5901</v>
      </c>
      <c r="I234" s="212">
        <v>44287</v>
      </c>
      <c r="J234" s="86" t="s">
        <v>6032</v>
      </c>
    </row>
    <row r="235" spans="2:10" x14ac:dyDescent="0.2">
      <c r="B235" s="86">
        <v>232</v>
      </c>
      <c r="C235" s="86" t="s">
        <v>74</v>
      </c>
      <c r="D235" s="304">
        <f>_xlfn.IFNA(VLOOKUP(C235,Database!$D$5:$F$439,2,0),VLOOKUP(C235,logut!$C$4:$D$499,2,0))</f>
        <v>971800021</v>
      </c>
      <c r="E235" s="86" t="s">
        <v>5900</v>
      </c>
      <c r="G235" s="86" t="s">
        <v>563</v>
      </c>
      <c r="H235" s="86" t="s">
        <v>5901</v>
      </c>
      <c r="I235" s="212">
        <v>44287</v>
      </c>
      <c r="J235" s="86" t="s">
        <v>6032</v>
      </c>
    </row>
    <row r="236" spans="2:10" x14ac:dyDescent="0.2">
      <c r="B236" s="86">
        <v>233</v>
      </c>
      <c r="C236" s="86" t="s">
        <v>842</v>
      </c>
      <c r="D236" s="304">
        <f>_xlfn.IFNA(VLOOKUP(C236,Database!$D$5:$F$439,2,0),VLOOKUP(C236,logut!$C$4:$D$499,2,0))</f>
        <v>971700011</v>
      </c>
      <c r="E236" s="86" t="s">
        <v>5900</v>
      </c>
      <c r="G236" s="86" t="s">
        <v>1150</v>
      </c>
      <c r="H236" s="86" t="s">
        <v>5901</v>
      </c>
      <c r="I236" s="212">
        <v>44287</v>
      </c>
      <c r="J236" s="86" t="s">
        <v>6032</v>
      </c>
    </row>
    <row r="237" spans="2:10" x14ac:dyDescent="0.2">
      <c r="B237" s="86">
        <v>234</v>
      </c>
      <c r="C237" s="86" t="s">
        <v>1322</v>
      </c>
      <c r="D237" s="304">
        <f>_xlfn.IFNA(VLOOKUP(C237,Database!$D$5:$F$439,2,0),VLOOKUP(C237,logut!$C$4:$D$499,2,0))</f>
        <v>972000051</v>
      </c>
      <c r="E237" s="86" t="s">
        <v>5900</v>
      </c>
      <c r="G237" s="86" t="s">
        <v>563</v>
      </c>
      <c r="H237" s="86" t="s">
        <v>5901</v>
      </c>
      <c r="I237" s="212">
        <v>44287</v>
      </c>
      <c r="J237" s="86" t="s">
        <v>6032</v>
      </c>
    </row>
    <row r="238" spans="2:10" x14ac:dyDescent="0.2">
      <c r="B238" s="86">
        <v>235</v>
      </c>
      <c r="C238" s="86" t="s">
        <v>1941</v>
      </c>
      <c r="D238" s="304">
        <f>_xlfn.IFNA(VLOOKUP(C238,Database!$D$5:$F$439,2,0),VLOOKUP(C238,logut!$C$4:$D$499,2,0))</f>
        <v>971900045</v>
      </c>
      <c r="E238" s="86" t="s">
        <v>5900</v>
      </c>
      <c r="G238" s="86" t="s">
        <v>668</v>
      </c>
      <c r="H238" s="86" t="s">
        <v>5901</v>
      </c>
      <c r="I238" s="212">
        <v>44287</v>
      </c>
      <c r="J238" s="86" t="s">
        <v>6032</v>
      </c>
    </row>
    <row r="239" spans="2:10" x14ac:dyDescent="0.2">
      <c r="B239" s="86">
        <v>236</v>
      </c>
      <c r="C239" s="86" t="s">
        <v>561</v>
      </c>
      <c r="D239" s="304">
        <f>_xlfn.IFNA(VLOOKUP(C239,Database!$D$5:$F$439,2,0),VLOOKUP(C239,logut!$C$4:$D$499,2,0))</f>
        <v>971800023</v>
      </c>
      <c r="E239" s="86" t="s">
        <v>5900</v>
      </c>
      <c r="G239" s="86" t="s">
        <v>6036</v>
      </c>
      <c r="H239" s="86" t="s">
        <v>5901</v>
      </c>
      <c r="I239" s="212">
        <v>44287</v>
      </c>
      <c r="J239" s="86" t="s">
        <v>6032</v>
      </c>
    </row>
    <row r="240" spans="2:10" x14ac:dyDescent="0.2">
      <c r="B240" s="86">
        <v>237</v>
      </c>
      <c r="C240" s="86" t="s">
        <v>4956</v>
      </c>
      <c r="D240" s="304">
        <f>_xlfn.IFNA(VLOOKUP(C240,Database!$D$5:$F$439,2,0),VLOOKUP(C240,logut!$C$4:$D$499,2,0))</f>
        <v>999900010</v>
      </c>
      <c r="E240" s="86" t="s">
        <v>5900</v>
      </c>
      <c r="G240" s="86" t="s">
        <v>668</v>
      </c>
      <c r="H240" s="86" t="s">
        <v>5901</v>
      </c>
      <c r="I240" s="212">
        <v>44287</v>
      </c>
      <c r="J240" s="86" t="s">
        <v>6032</v>
      </c>
    </row>
    <row r="241" spans="2:10" x14ac:dyDescent="0.2">
      <c r="B241" s="86">
        <v>238</v>
      </c>
      <c r="C241" s="86" t="s">
        <v>2522</v>
      </c>
      <c r="D241" s="304">
        <f>_xlfn.IFNA(VLOOKUP(C241,Database!$D$5:$F$439,2,0),VLOOKUP(C241,logut!$C$4:$D$499,2,0))</f>
        <v>972000057</v>
      </c>
      <c r="E241" s="86" t="s">
        <v>5900</v>
      </c>
      <c r="G241" s="86" t="s">
        <v>1115</v>
      </c>
      <c r="H241" s="86" t="s">
        <v>5901</v>
      </c>
      <c r="I241" s="212">
        <v>44287</v>
      </c>
      <c r="J241" s="86" t="s">
        <v>6032</v>
      </c>
    </row>
    <row r="242" spans="2:10" x14ac:dyDescent="0.2">
      <c r="B242" s="86">
        <v>239</v>
      </c>
      <c r="C242" s="86" t="s">
        <v>1149</v>
      </c>
      <c r="D242" s="304">
        <f>_xlfn.IFNA(VLOOKUP(C242,Database!$D$5:$F$439,2,0),VLOOKUP(C242,logut!$C$4:$D$499,2,0))</f>
        <v>971800019</v>
      </c>
      <c r="E242" s="86" t="s">
        <v>5900</v>
      </c>
      <c r="G242" s="86" t="s">
        <v>563</v>
      </c>
      <c r="H242" s="86" t="s">
        <v>5901</v>
      </c>
      <c r="I242" s="212">
        <v>44287</v>
      </c>
      <c r="J242" s="86" t="s">
        <v>6032</v>
      </c>
    </row>
    <row r="243" spans="2:10" x14ac:dyDescent="0.2">
      <c r="B243" s="86">
        <v>240</v>
      </c>
      <c r="C243" s="86" t="s">
        <v>1331</v>
      </c>
      <c r="D243" s="304">
        <f>_xlfn.IFNA(VLOOKUP(C243,Database!$D$5:$F$439,2,0),VLOOKUP(C243,logut!$C$4:$D$499,2,0))</f>
        <v>971800018</v>
      </c>
      <c r="E243" s="86" t="s">
        <v>5900</v>
      </c>
      <c r="G243" s="86" t="s">
        <v>1115</v>
      </c>
      <c r="H243" s="86" t="s">
        <v>5901</v>
      </c>
      <c r="I243" s="212">
        <v>44287</v>
      </c>
      <c r="J243" s="86" t="s">
        <v>6032</v>
      </c>
    </row>
    <row r="244" spans="2:10" x14ac:dyDescent="0.2">
      <c r="B244" s="86">
        <v>241</v>
      </c>
      <c r="C244" s="86" t="s">
        <v>6037</v>
      </c>
      <c r="D244" s="304" t="e">
        <f>_xlfn.IFNA(VLOOKUP(C244,Database!$D$5:$F$439,2,0),VLOOKUP(C244,logut!$C$4:$D$499,2,0))</f>
        <v>#N/A</v>
      </c>
      <c r="E244" s="86" t="s">
        <v>5900</v>
      </c>
      <c r="G244" s="86" t="s">
        <v>6038</v>
      </c>
      <c r="H244" s="86" t="s">
        <v>5901</v>
      </c>
      <c r="I244" s="212">
        <v>44287</v>
      </c>
      <c r="J244" s="86" t="s">
        <v>6032</v>
      </c>
    </row>
    <row r="245" spans="2:10" x14ac:dyDescent="0.2">
      <c r="B245" s="86">
        <v>242</v>
      </c>
      <c r="C245" s="86" t="s">
        <v>4944</v>
      </c>
      <c r="D245" s="304">
        <f>_xlfn.IFNA(VLOOKUP(C245,Database!$D$5:$F$439,2,0),VLOOKUP(C245,logut!$C$4:$D$499,2,0))</f>
        <v>999500011</v>
      </c>
      <c r="E245" s="86" t="s">
        <v>5900</v>
      </c>
      <c r="G245" s="86" t="s">
        <v>6039</v>
      </c>
      <c r="H245" s="86" t="s">
        <v>5901</v>
      </c>
      <c r="I245" s="212">
        <v>44287</v>
      </c>
      <c r="J245" s="86" t="s">
        <v>6032</v>
      </c>
    </row>
    <row r="246" spans="2:10" x14ac:dyDescent="0.2">
      <c r="B246" s="86">
        <v>243</v>
      </c>
      <c r="C246" s="86" t="s">
        <v>1502</v>
      </c>
      <c r="D246" s="304">
        <f>_xlfn.IFNA(VLOOKUP(C246,Database!$D$5:$F$439,2,0),VLOOKUP(C246,logut!$C$4:$D$499,2,0))</f>
        <v>972000055</v>
      </c>
      <c r="E246" s="86" t="s">
        <v>5900</v>
      </c>
      <c r="G246" s="86" t="s">
        <v>6036</v>
      </c>
      <c r="H246" s="86" t="s">
        <v>5901</v>
      </c>
      <c r="I246" s="212">
        <v>44287</v>
      </c>
      <c r="J246" s="86" t="s">
        <v>6032</v>
      </c>
    </row>
    <row r="247" spans="2:10" x14ac:dyDescent="0.2">
      <c r="B247" s="86">
        <v>244</v>
      </c>
      <c r="C247" s="86" t="s">
        <v>1475</v>
      </c>
      <c r="D247" s="304">
        <f>_xlfn.IFNA(VLOOKUP(C247,Database!$D$5:$F$439,2,0),VLOOKUP(C247,logut!$C$4:$D$499,2,0))</f>
        <v>972000053</v>
      </c>
      <c r="E247" s="86" t="s">
        <v>5900</v>
      </c>
      <c r="G247" s="86" t="s">
        <v>6036</v>
      </c>
      <c r="H247" s="86" t="s">
        <v>5901</v>
      </c>
      <c r="I247" s="212">
        <v>44287</v>
      </c>
      <c r="J247" s="86" t="s">
        <v>6032</v>
      </c>
    </row>
    <row r="248" spans="2:10" x14ac:dyDescent="0.2">
      <c r="B248" s="86">
        <v>245</v>
      </c>
      <c r="C248" s="86" t="s">
        <v>1170</v>
      </c>
      <c r="D248" s="304">
        <f>_xlfn.IFNA(VLOOKUP(C248,Database!$D$5:$F$439,2,0),VLOOKUP(C248,logut!$C$4:$D$499,2,0))</f>
        <v>971900027</v>
      </c>
      <c r="E248" s="86" t="s">
        <v>5900</v>
      </c>
      <c r="G248" s="86" t="s">
        <v>6040</v>
      </c>
      <c r="H248" s="86" t="s">
        <v>5901</v>
      </c>
      <c r="I248" s="212">
        <v>44287</v>
      </c>
      <c r="J248" s="86" t="s">
        <v>6032</v>
      </c>
    </row>
    <row r="249" spans="2:10" x14ac:dyDescent="0.2">
      <c r="B249" s="86">
        <v>246</v>
      </c>
      <c r="C249" s="86" t="s">
        <v>440</v>
      </c>
      <c r="D249" s="304">
        <f>_xlfn.IFNA(VLOOKUP(C249,Database!$D$5:$F$439,2,0),VLOOKUP(C249,logut!$C$4:$D$499,2,0))</f>
        <v>971800022</v>
      </c>
      <c r="E249" s="86" t="s">
        <v>5900</v>
      </c>
      <c r="G249" s="86" t="s">
        <v>6040</v>
      </c>
      <c r="H249" s="86" t="s">
        <v>5901</v>
      </c>
      <c r="I249" s="212">
        <v>44287</v>
      </c>
      <c r="J249" s="86" t="s">
        <v>6032</v>
      </c>
    </row>
    <row r="250" spans="2:10" x14ac:dyDescent="0.2">
      <c r="B250" s="86">
        <v>247</v>
      </c>
      <c r="C250" s="86" t="s">
        <v>5343</v>
      </c>
      <c r="D250" s="304">
        <f>_xlfn.IFNA(VLOOKUP(C250,Database!$D$5:$F$439,2,0),VLOOKUP(C250,logut!$C$4:$D$499,2,0))</f>
        <v>999400075</v>
      </c>
      <c r="E250" s="86" t="s">
        <v>5900</v>
      </c>
      <c r="G250" s="86" t="s">
        <v>6040</v>
      </c>
      <c r="H250" s="86" t="s">
        <v>5901</v>
      </c>
      <c r="I250" s="212">
        <v>44287</v>
      </c>
      <c r="J250" s="86" t="s">
        <v>6032</v>
      </c>
    </row>
    <row r="251" spans="2:10" x14ac:dyDescent="0.2">
      <c r="B251" s="86">
        <v>248</v>
      </c>
      <c r="C251" s="86" t="s">
        <v>5321</v>
      </c>
      <c r="D251" s="304">
        <f>_xlfn.IFNA(VLOOKUP(C251,Database!$D$5:$F$439,2,0),VLOOKUP(C251,logut!$C$4:$D$499,2,0))</f>
        <v>999900029</v>
      </c>
      <c r="E251" s="86" t="s">
        <v>5900</v>
      </c>
      <c r="G251" s="86" t="s">
        <v>6040</v>
      </c>
      <c r="H251" s="86" t="s">
        <v>5901</v>
      </c>
      <c r="I251" s="212">
        <v>44287</v>
      </c>
      <c r="J251" s="86" t="s">
        <v>6032</v>
      </c>
    </row>
    <row r="252" spans="2:10" x14ac:dyDescent="0.2">
      <c r="B252" s="86">
        <v>249</v>
      </c>
      <c r="C252" s="86" t="s">
        <v>762</v>
      </c>
      <c r="D252" s="304">
        <f>_xlfn.IFNA(VLOOKUP(C252,Database!$D$5:$F$439,2,0),VLOOKUP(C252,logut!$C$4:$D$499,2,0))</f>
        <v>971900033</v>
      </c>
      <c r="E252" s="86" t="s">
        <v>5900</v>
      </c>
      <c r="G252" s="86" t="s">
        <v>6040</v>
      </c>
      <c r="H252" s="86" t="s">
        <v>5901</v>
      </c>
      <c r="I252" s="212">
        <v>44287</v>
      </c>
      <c r="J252" s="86" t="s">
        <v>6032</v>
      </c>
    </row>
    <row r="253" spans="2:10" x14ac:dyDescent="0.2">
      <c r="B253" s="86">
        <v>250</v>
      </c>
      <c r="C253" s="86" t="s">
        <v>601</v>
      </c>
      <c r="D253" s="304">
        <f>_xlfn.IFNA(VLOOKUP(C253,Database!$D$5:$F$439,2,0),VLOOKUP(C253,logut!$C$4:$D$499,2,0))</f>
        <v>971900032</v>
      </c>
      <c r="E253" s="86" t="s">
        <v>5900</v>
      </c>
      <c r="G253" s="86" t="s">
        <v>6040</v>
      </c>
      <c r="H253" s="86" t="s">
        <v>5901</v>
      </c>
      <c r="I253" s="212">
        <v>44287</v>
      </c>
      <c r="J253" s="86" t="s">
        <v>6032</v>
      </c>
    </row>
    <row r="254" spans="2:10" x14ac:dyDescent="0.2">
      <c r="B254" s="86">
        <v>251</v>
      </c>
      <c r="C254" s="86" t="s">
        <v>694</v>
      </c>
      <c r="D254" s="304">
        <f>_xlfn.IFNA(VLOOKUP(C254,Database!$D$5:$F$439,2,0),VLOOKUP(C254,logut!$C$4:$D$499,2,0))</f>
        <v>971900028</v>
      </c>
      <c r="E254" s="86" t="s">
        <v>5900</v>
      </c>
      <c r="G254" s="86" t="s">
        <v>6040</v>
      </c>
      <c r="H254" s="86" t="s">
        <v>5901</v>
      </c>
      <c r="I254" s="212">
        <v>44287</v>
      </c>
      <c r="J254" s="86" t="s">
        <v>6032</v>
      </c>
    </row>
    <row r="255" spans="2:10" x14ac:dyDescent="0.2">
      <c r="B255" s="86">
        <v>252</v>
      </c>
      <c r="C255" s="86" t="s">
        <v>723</v>
      </c>
      <c r="D255" s="304">
        <f>_xlfn.IFNA(VLOOKUP(C255,Database!$D$5:$F$439,2,0),VLOOKUP(C255,logut!$C$4:$D$499,2,0))</f>
        <v>971900049</v>
      </c>
      <c r="E255" s="86" t="s">
        <v>5900</v>
      </c>
      <c r="G255" s="86" t="s">
        <v>6040</v>
      </c>
      <c r="H255" s="86" t="s">
        <v>5901</v>
      </c>
      <c r="I255" s="212">
        <v>44287</v>
      </c>
      <c r="J255" s="86" t="s">
        <v>6032</v>
      </c>
    </row>
    <row r="256" spans="2:10" x14ac:dyDescent="0.2">
      <c r="B256" s="86">
        <v>253</v>
      </c>
      <c r="C256" s="86" t="s">
        <v>500</v>
      </c>
      <c r="D256" s="304">
        <f>_xlfn.IFNA(VLOOKUP(C256,Database!$D$5:$F$439,2,0),VLOOKUP(C256,logut!$C$4:$D$499,2,0))</f>
        <v>971700005</v>
      </c>
      <c r="E256" s="86" t="s">
        <v>5900</v>
      </c>
      <c r="G256" s="86" t="s">
        <v>6040</v>
      </c>
      <c r="H256" s="86" t="s">
        <v>5901</v>
      </c>
      <c r="I256" s="212">
        <v>44287</v>
      </c>
      <c r="J256" s="86" t="s">
        <v>6032</v>
      </c>
    </row>
    <row r="257" spans="2:10" x14ac:dyDescent="0.2">
      <c r="B257" s="86">
        <v>254</v>
      </c>
      <c r="C257" s="86" t="s">
        <v>1037</v>
      </c>
      <c r="D257" s="304">
        <f>_xlfn.IFNA(VLOOKUP(C257,Database!$D$5:$F$439,2,0),VLOOKUP(C257,logut!$C$4:$D$499,2,0))</f>
        <v>971800014</v>
      </c>
      <c r="E257" s="86" t="s">
        <v>5900</v>
      </c>
      <c r="G257" s="86" t="s">
        <v>6040</v>
      </c>
      <c r="H257" s="86" t="s">
        <v>5901</v>
      </c>
      <c r="I257" s="212">
        <v>44287</v>
      </c>
      <c r="J257" s="86" t="s">
        <v>6032</v>
      </c>
    </row>
    <row r="258" spans="2:10" x14ac:dyDescent="0.2">
      <c r="B258" s="86">
        <v>255</v>
      </c>
      <c r="C258" s="86" t="s">
        <v>776</v>
      </c>
      <c r="D258" s="304">
        <f>_xlfn.IFNA(VLOOKUP(C258,Database!$D$5:$F$439,2,0),VLOOKUP(C258,logut!$C$4:$D$499,2,0))</f>
        <v>972000056</v>
      </c>
      <c r="E258" s="86" t="s">
        <v>5900</v>
      </c>
      <c r="G258" s="86" t="s">
        <v>6040</v>
      </c>
      <c r="H258" s="86" t="s">
        <v>5901</v>
      </c>
      <c r="I258" s="212">
        <v>44287</v>
      </c>
      <c r="J258" s="86" t="s">
        <v>6032</v>
      </c>
    </row>
    <row r="259" spans="2:10" x14ac:dyDescent="0.2">
      <c r="B259" s="86">
        <v>256</v>
      </c>
      <c r="C259" s="86" t="s">
        <v>2718</v>
      </c>
      <c r="D259" s="304">
        <f>_xlfn.IFNA(VLOOKUP(C259,Database!$D$5:$F$439,2,0),VLOOKUP(C259,logut!$C$4:$D$499,2,0))</f>
        <v>999800090</v>
      </c>
      <c r="E259" s="86" t="s">
        <v>5900</v>
      </c>
      <c r="G259" s="86" t="s">
        <v>6040</v>
      </c>
      <c r="H259" s="86" t="s">
        <v>5901</v>
      </c>
      <c r="I259" s="212">
        <v>44287</v>
      </c>
      <c r="J259" s="86" t="s">
        <v>6032</v>
      </c>
    </row>
    <row r="260" spans="2:10" x14ac:dyDescent="0.2">
      <c r="B260" s="86">
        <v>257</v>
      </c>
      <c r="C260" s="86" t="s">
        <v>2732</v>
      </c>
      <c r="D260" s="304">
        <f>_xlfn.IFNA(VLOOKUP(C260,Database!$D$5:$F$439,2,0),VLOOKUP(C260,logut!$C$4:$D$499,2,0))</f>
        <v>991700024</v>
      </c>
      <c r="E260" s="86" t="s">
        <v>5900</v>
      </c>
      <c r="G260" s="86" t="s">
        <v>6040</v>
      </c>
      <c r="H260" s="86" t="s">
        <v>5901</v>
      </c>
      <c r="I260" s="212">
        <v>44287</v>
      </c>
      <c r="J260" s="86" t="s">
        <v>6032</v>
      </c>
    </row>
    <row r="261" spans="2:10" x14ac:dyDescent="0.2">
      <c r="B261" s="86">
        <v>258</v>
      </c>
      <c r="C261" s="86" t="s">
        <v>5309</v>
      </c>
      <c r="D261" s="304">
        <f>_xlfn.IFNA(VLOOKUP(C261,Database!$D$5:$F$439,2,0),VLOOKUP(C261,logut!$C$4:$D$499,2,0))</f>
        <v>999100010</v>
      </c>
      <c r="E261" s="86" t="s">
        <v>5900</v>
      </c>
      <c r="G261" s="86" t="s">
        <v>6040</v>
      </c>
      <c r="H261" s="86" t="s">
        <v>5901</v>
      </c>
      <c r="I261" s="212">
        <v>44287</v>
      </c>
      <c r="J261" s="86" t="s">
        <v>6032</v>
      </c>
    </row>
    <row r="262" spans="2:10" x14ac:dyDescent="0.2">
      <c r="B262" s="86">
        <v>259</v>
      </c>
      <c r="C262" s="86" t="s">
        <v>488</v>
      </c>
      <c r="D262" s="304">
        <f>_xlfn.IFNA(VLOOKUP(C262,Database!$D$5:$F$439,2,0),VLOOKUP(C262,logut!$C$4:$D$499,2,0))</f>
        <v>971700007</v>
      </c>
      <c r="E262" s="86" t="s">
        <v>5900</v>
      </c>
      <c r="G262" s="86" t="s">
        <v>6040</v>
      </c>
      <c r="H262" s="86" t="s">
        <v>5901</v>
      </c>
      <c r="I262" s="212">
        <v>44287</v>
      </c>
      <c r="J262" s="86" t="s">
        <v>6032</v>
      </c>
    </row>
    <row r="263" spans="2:10" x14ac:dyDescent="0.2">
      <c r="B263" s="86">
        <v>260</v>
      </c>
      <c r="C263" s="86" t="s">
        <v>5356</v>
      </c>
      <c r="D263" s="304">
        <f>_xlfn.IFNA(VLOOKUP(C263,Database!$D$5:$F$439,2,0),VLOOKUP(C263,logut!$C$4:$D$499,2,0))</f>
        <v>999800152</v>
      </c>
      <c r="E263" s="86" t="s">
        <v>5900</v>
      </c>
      <c r="G263" s="86" t="s">
        <v>6040</v>
      </c>
      <c r="H263" s="86" t="s">
        <v>5901</v>
      </c>
      <c r="I263" s="212">
        <v>44287</v>
      </c>
      <c r="J263" s="86" t="s">
        <v>6032</v>
      </c>
    </row>
    <row r="264" spans="2:10" x14ac:dyDescent="0.2">
      <c r="B264" s="86">
        <v>261</v>
      </c>
      <c r="C264" s="86" t="s">
        <v>2741</v>
      </c>
      <c r="D264" s="304">
        <f>_xlfn.IFNA(VLOOKUP(C264,Database!$D$5:$F$439,2,0),VLOOKUP(C264,logut!$C$4:$D$499,2,0))</f>
        <v>999800030</v>
      </c>
      <c r="E264" s="86" t="s">
        <v>5900</v>
      </c>
      <c r="G264" s="86" t="s">
        <v>6041</v>
      </c>
      <c r="H264" s="86" t="s">
        <v>5901</v>
      </c>
      <c r="I264" s="212">
        <v>44287</v>
      </c>
      <c r="J264" s="86" t="s">
        <v>6032</v>
      </c>
    </row>
    <row r="265" spans="2:10" x14ac:dyDescent="0.2">
      <c r="B265" s="86">
        <v>262</v>
      </c>
      <c r="C265" s="86" t="s">
        <v>592</v>
      </c>
      <c r="D265" s="304">
        <f>_xlfn.IFNA(VLOOKUP(C265,Database!$D$5:$F$439,2,0),VLOOKUP(C265,logut!$C$4:$D$499,2,0))</f>
        <v>971700008</v>
      </c>
      <c r="E265" s="86" t="s">
        <v>5900</v>
      </c>
      <c r="G265" s="86" t="s">
        <v>6041</v>
      </c>
      <c r="H265" s="86" t="s">
        <v>5901</v>
      </c>
      <c r="I265" s="212">
        <v>44287</v>
      </c>
      <c r="J265" s="86" t="s">
        <v>6032</v>
      </c>
    </row>
    <row r="266" spans="2:10" x14ac:dyDescent="0.2">
      <c r="B266" s="86">
        <v>263</v>
      </c>
      <c r="C266" s="86" t="s">
        <v>5685</v>
      </c>
      <c r="D266" s="304">
        <f>_xlfn.IFNA(VLOOKUP(C266,Database!$D$5:$F$439,2,0),VLOOKUP(C266,logut!$C$4:$D$499,2,0))</f>
        <v>991700039</v>
      </c>
      <c r="E266" s="86" t="s">
        <v>5900</v>
      </c>
      <c r="G266" s="86" t="s">
        <v>6041</v>
      </c>
      <c r="H266" s="86" t="s">
        <v>5901</v>
      </c>
      <c r="I266" s="212">
        <v>44287</v>
      </c>
      <c r="J266" s="86" t="s">
        <v>6032</v>
      </c>
    </row>
    <row r="267" spans="2:10" x14ac:dyDescent="0.2">
      <c r="B267" s="86">
        <v>264</v>
      </c>
      <c r="C267" s="86" t="s">
        <v>476</v>
      </c>
      <c r="D267" s="304">
        <f>_xlfn.IFNA(VLOOKUP(C267,Database!$D$5:$F$439,2,0),VLOOKUP(C267,logut!$C$4:$D$499,2,0))</f>
        <v>971700006</v>
      </c>
      <c r="E267" s="86" t="s">
        <v>5900</v>
      </c>
      <c r="G267" s="86" t="s">
        <v>6041</v>
      </c>
      <c r="H267" s="86" t="s">
        <v>5901</v>
      </c>
      <c r="I267" s="212">
        <v>44287</v>
      </c>
      <c r="J267" s="86" t="s">
        <v>6032</v>
      </c>
    </row>
    <row r="268" spans="2:10" x14ac:dyDescent="0.2">
      <c r="B268" s="86">
        <v>265</v>
      </c>
      <c r="C268" s="86" t="s">
        <v>458</v>
      </c>
      <c r="D268" s="304">
        <f>_xlfn.IFNA(VLOOKUP(C268,Database!$D$5:$F$439,2,0),VLOOKUP(C268,logut!$C$4:$D$499,2,0))</f>
        <v>971800026</v>
      </c>
      <c r="E268" s="86" t="s">
        <v>5900</v>
      </c>
      <c r="G268" s="86" t="s">
        <v>6041</v>
      </c>
      <c r="H268" s="86" t="s">
        <v>5901</v>
      </c>
      <c r="I268" s="212">
        <v>44287</v>
      </c>
      <c r="J268" s="86" t="s">
        <v>6032</v>
      </c>
    </row>
    <row r="269" spans="2:10" x14ac:dyDescent="0.2">
      <c r="B269" s="86">
        <v>266</v>
      </c>
      <c r="C269" s="86" t="s">
        <v>546</v>
      </c>
      <c r="D269" s="304">
        <f>_xlfn.IFNA(VLOOKUP(C269,Database!$D$5:$F$439,2,0),VLOOKUP(C269,logut!$C$4:$D$499,2,0))</f>
        <v>971900046</v>
      </c>
      <c r="E269" s="86" t="s">
        <v>5900</v>
      </c>
      <c r="G269" s="86" t="s">
        <v>6041</v>
      </c>
      <c r="H269" s="86" t="s">
        <v>5901</v>
      </c>
      <c r="I269" s="212">
        <v>44287</v>
      </c>
      <c r="J269" s="86" t="s">
        <v>6032</v>
      </c>
    </row>
    <row r="270" spans="2:10" x14ac:dyDescent="0.2">
      <c r="B270" s="86">
        <v>267</v>
      </c>
      <c r="C270" s="86" t="s">
        <v>747</v>
      </c>
      <c r="D270" s="304">
        <f>_xlfn.IFNA(VLOOKUP(C270,Database!$D$5:$F$439,2,0),VLOOKUP(C270,logut!$C$4:$D$499,2,0))</f>
        <v>971900030</v>
      </c>
      <c r="E270" s="86" t="s">
        <v>5900</v>
      </c>
      <c r="G270" s="86" t="s">
        <v>6041</v>
      </c>
      <c r="H270" s="86" t="s">
        <v>5901</v>
      </c>
      <c r="I270" s="212">
        <v>44287</v>
      </c>
      <c r="J270" s="86" t="s">
        <v>6032</v>
      </c>
    </row>
    <row r="271" spans="2:10" x14ac:dyDescent="0.2">
      <c r="B271" s="86">
        <v>268</v>
      </c>
      <c r="C271" s="86" t="s">
        <v>5333</v>
      </c>
      <c r="D271" s="304">
        <f>_xlfn.IFNA(VLOOKUP(C271,Database!$D$5:$F$439,2,0),VLOOKUP(C271,logut!$C$4:$D$499,2,0))</f>
        <v>991700037</v>
      </c>
      <c r="E271" s="86" t="s">
        <v>5900</v>
      </c>
      <c r="G271" s="86" t="s">
        <v>6041</v>
      </c>
      <c r="H271" s="86" t="s">
        <v>5901</v>
      </c>
      <c r="I271" s="212">
        <v>44287</v>
      </c>
      <c r="J271" s="86" t="s">
        <v>6032</v>
      </c>
    </row>
    <row r="272" spans="2:10" x14ac:dyDescent="0.2">
      <c r="B272" s="86">
        <v>269</v>
      </c>
      <c r="C272" s="86" t="s">
        <v>530</v>
      </c>
      <c r="D272" s="304">
        <f>_xlfn.IFNA(VLOOKUP(C272,Database!$D$5:$F$439,2,0),VLOOKUP(C272,logut!$C$4:$D$499,2,0))</f>
        <v>971900047</v>
      </c>
      <c r="E272" s="86" t="s">
        <v>5900</v>
      </c>
      <c r="G272" s="86" t="s">
        <v>6041</v>
      </c>
      <c r="H272" s="86" t="s">
        <v>5901</v>
      </c>
      <c r="I272" s="212">
        <v>44287</v>
      </c>
      <c r="J272" s="86" t="s">
        <v>6032</v>
      </c>
    </row>
    <row r="273" spans="2:10" x14ac:dyDescent="0.2">
      <c r="B273" s="86">
        <v>270</v>
      </c>
      <c r="C273" s="86" t="s">
        <v>575</v>
      </c>
      <c r="D273" s="304">
        <f>_xlfn.IFNA(VLOOKUP(C273,Database!$D$5:$F$439,2,0),VLOOKUP(C273,logut!$C$4:$D$499,2,0))</f>
        <v>971900031</v>
      </c>
      <c r="E273" s="86" t="s">
        <v>5900</v>
      </c>
      <c r="G273" s="86" t="s">
        <v>6041</v>
      </c>
      <c r="H273" s="86" t="s">
        <v>5901</v>
      </c>
      <c r="I273" s="212">
        <v>44287</v>
      </c>
      <c r="J273" s="86" t="s">
        <v>6032</v>
      </c>
    </row>
    <row r="274" spans="2:10" x14ac:dyDescent="0.2">
      <c r="B274" s="86">
        <v>271</v>
      </c>
      <c r="C274" s="86" t="s">
        <v>5391</v>
      </c>
      <c r="D274" s="304">
        <f>_xlfn.IFNA(VLOOKUP(C274,Database!$D$5:$F$439,2,0),VLOOKUP(C274,logut!$C$4:$D$499,2,0))</f>
        <v>991700049</v>
      </c>
      <c r="E274" s="86" t="s">
        <v>5900</v>
      </c>
      <c r="G274" s="86" t="s">
        <v>1115</v>
      </c>
      <c r="H274" s="86" t="s">
        <v>5901</v>
      </c>
      <c r="I274" s="212">
        <v>44287</v>
      </c>
      <c r="J274" s="86" t="s">
        <v>6032</v>
      </c>
    </row>
    <row r="275" spans="2:10" x14ac:dyDescent="0.2">
      <c r="B275" s="86">
        <v>272</v>
      </c>
      <c r="C275" s="86" t="s">
        <v>5585</v>
      </c>
      <c r="D275" s="304">
        <f>_xlfn.IFNA(VLOOKUP(C275,Database!$D$5:$F$439,2,0),VLOOKUP(C275,logut!$C$4:$D$499,2,0))</f>
        <v>992000012</v>
      </c>
      <c r="E275" s="86" t="s">
        <v>5900</v>
      </c>
      <c r="G275" s="86" t="s">
        <v>1115</v>
      </c>
      <c r="H275" s="86" t="s">
        <v>5901</v>
      </c>
      <c r="I275" s="212">
        <v>44287</v>
      </c>
      <c r="J275" s="86" t="s">
        <v>6032</v>
      </c>
    </row>
    <row r="276" spans="2:10" x14ac:dyDescent="0.2">
      <c r="B276" s="86">
        <v>273</v>
      </c>
      <c r="C276" s="86" t="s">
        <v>1073</v>
      </c>
      <c r="D276" s="304">
        <f>_xlfn.IFNA(VLOOKUP(C276,Database!$D$5:$F$439,2,0),VLOOKUP(C276,logut!$C$4:$D$499,2,0))</f>
        <v>971800016</v>
      </c>
      <c r="E276" s="86" t="s">
        <v>5900</v>
      </c>
      <c r="G276" s="86" t="s">
        <v>6042</v>
      </c>
      <c r="H276" s="86" t="s">
        <v>5901</v>
      </c>
      <c r="I276" s="212">
        <v>44287</v>
      </c>
      <c r="J276" s="86" t="s">
        <v>6032</v>
      </c>
    </row>
    <row r="277" spans="2:10" x14ac:dyDescent="0.2">
      <c r="B277" s="86">
        <v>274</v>
      </c>
      <c r="C277" s="86" t="s">
        <v>1351</v>
      </c>
      <c r="D277" s="304">
        <f>_xlfn.IFNA(VLOOKUP(C277,Database!$D$5:$F$439,2,0),VLOOKUP(C277,logut!$C$4:$D$499,2,0))</f>
        <v>971800020</v>
      </c>
      <c r="E277" s="86" t="s">
        <v>5900</v>
      </c>
      <c r="G277" s="86" t="s">
        <v>6042</v>
      </c>
      <c r="H277" s="86" t="s">
        <v>5901</v>
      </c>
      <c r="I277" s="212">
        <v>44287</v>
      </c>
      <c r="J277" s="86" t="s">
        <v>6032</v>
      </c>
    </row>
    <row r="278" spans="2:10" x14ac:dyDescent="0.2">
      <c r="B278" s="86">
        <v>275</v>
      </c>
      <c r="C278" s="86" t="s">
        <v>5468</v>
      </c>
      <c r="D278" s="304">
        <f>_xlfn.IFNA(VLOOKUP(C278,Database!$D$5:$F$439,2,0),VLOOKUP(C278,logut!$C$4:$D$499,2,0))</f>
        <v>999800173</v>
      </c>
      <c r="E278" s="86" t="s">
        <v>5900</v>
      </c>
      <c r="G278" s="86" t="s">
        <v>6043</v>
      </c>
      <c r="H278" s="86" t="s">
        <v>5901</v>
      </c>
      <c r="I278" s="212">
        <v>44287</v>
      </c>
      <c r="J278" s="86" t="s">
        <v>6032</v>
      </c>
    </row>
    <row r="279" spans="2:10" x14ac:dyDescent="0.2">
      <c r="B279" s="86">
        <v>276</v>
      </c>
      <c r="C279" s="86" t="s">
        <v>649</v>
      </c>
      <c r="D279" s="304">
        <f>_xlfn.IFNA(VLOOKUP(C279,Database!$D$5:$F$439,2,0),VLOOKUP(C279,logut!$C$4:$D$499,2,0))</f>
        <v>999600047</v>
      </c>
      <c r="E279" s="86" t="s">
        <v>5900</v>
      </c>
      <c r="G279" s="86" t="s">
        <v>6043</v>
      </c>
      <c r="H279" s="86" t="s">
        <v>5901</v>
      </c>
      <c r="I279" s="212">
        <v>44287</v>
      </c>
      <c r="J279" s="86" t="s">
        <v>6032</v>
      </c>
    </row>
    <row r="280" spans="2:10" x14ac:dyDescent="0.2">
      <c r="B280" s="86">
        <v>277</v>
      </c>
      <c r="C280" s="86" t="s">
        <v>5574</v>
      </c>
      <c r="D280" s="304">
        <f>_xlfn.IFNA(VLOOKUP(C280,Database!$D$5:$F$439,2,0),VLOOKUP(C280,logut!$C$4:$D$499,2,0))</f>
        <v>999900061</v>
      </c>
      <c r="E280" s="86" t="s">
        <v>5900</v>
      </c>
      <c r="G280" s="86" t="s">
        <v>6043</v>
      </c>
      <c r="H280" s="86" t="s">
        <v>5901</v>
      </c>
      <c r="I280" s="212">
        <v>44287</v>
      </c>
      <c r="J280" s="86" t="s">
        <v>6032</v>
      </c>
    </row>
    <row r="281" spans="2:10" x14ac:dyDescent="0.2">
      <c r="B281" s="86">
        <v>278</v>
      </c>
      <c r="C281" s="86" t="s">
        <v>583</v>
      </c>
      <c r="D281" s="304">
        <f>_xlfn.IFNA(VLOOKUP(C281,Database!$D$5:$F$439,2,0),VLOOKUP(C281,logut!$C$4:$D$499,2,0))</f>
        <v>971700010</v>
      </c>
      <c r="E281" s="86" t="s">
        <v>5900</v>
      </c>
      <c r="G281" s="86" t="s">
        <v>6043</v>
      </c>
      <c r="H281" s="86" t="s">
        <v>5901</v>
      </c>
      <c r="I281" s="212">
        <v>44287</v>
      </c>
      <c r="J281" s="86" t="s">
        <v>6032</v>
      </c>
    </row>
    <row r="282" spans="2:10" x14ac:dyDescent="0.2">
      <c r="B282" s="86">
        <v>279</v>
      </c>
      <c r="C282" s="86" t="s">
        <v>5457</v>
      </c>
      <c r="D282" s="304">
        <f>_xlfn.IFNA(VLOOKUP(C282,Database!$D$5:$F$439,2,0),VLOOKUP(C282,logut!$C$4:$D$499,2,0))</f>
        <v>999800138</v>
      </c>
      <c r="E282" s="86" t="s">
        <v>5900</v>
      </c>
      <c r="G282" s="86" t="s">
        <v>6044</v>
      </c>
      <c r="H282" s="86" t="s">
        <v>5901</v>
      </c>
      <c r="I282" s="212">
        <v>44287</v>
      </c>
      <c r="J282" s="86" t="s">
        <v>6032</v>
      </c>
    </row>
    <row r="283" spans="2:10" x14ac:dyDescent="0.2">
      <c r="B283" s="86">
        <v>280</v>
      </c>
      <c r="C283" s="86" t="s">
        <v>5413</v>
      </c>
      <c r="D283" s="304">
        <f>_xlfn.IFNA(VLOOKUP(C283,Database!$D$5:$F$439,2,0),VLOOKUP(C283,logut!$C$4:$D$499,2,0))</f>
        <v>999400083</v>
      </c>
      <c r="E283" s="86" t="s">
        <v>5900</v>
      </c>
      <c r="G283" s="86" t="s">
        <v>6044</v>
      </c>
      <c r="H283" s="86" t="s">
        <v>5901</v>
      </c>
      <c r="I283" s="212">
        <v>44287</v>
      </c>
      <c r="J283" s="86" t="s">
        <v>6032</v>
      </c>
    </row>
    <row r="284" spans="2:10" x14ac:dyDescent="0.2">
      <c r="B284" s="86">
        <v>281</v>
      </c>
      <c r="C284" s="86" t="s">
        <v>5448</v>
      </c>
      <c r="D284" s="304">
        <f>_xlfn.IFNA(VLOOKUP(C284,Database!$D$5:$F$439,2,0),VLOOKUP(C284,logut!$C$4:$D$499,2,0))</f>
        <v>999800091</v>
      </c>
      <c r="E284" s="86" t="s">
        <v>5900</v>
      </c>
      <c r="G284" s="86" t="s">
        <v>6044</v>
      </c>
      <c r="H284" s="86" t="s">
        <v>5901</v>
      </c>
      <c r="I284" s="212">
        <v>44287</v>
      </c>
      <c r="J284" s="86" t="s">
        <v>6032</v>
      </c>
    </row>
    <row r="285" spans="2:10" x14ac:dyDescent="0.2">
      <c r="B285" s="86">
        <v>282</v>
      </c>
      <c r="C285" s="86" t="s">
        <v>5438</v>
      </c>
      <c r="D285" s="304">
        <f>_xlfn.IFNA(VLOOKUP(C285,Database!$D$5:$F$439,2,0),VLOOKUP(C285,logut!$C$4:$D$499,2,0))</f>
        <v>991700036</v>
      </c>
      <c r="E285" s="86" t="s">
        <v>5900</v>
      </c>
      <c r="G285" s="86" t="s">
        <v>6044</v>
      </c>
      <c r="H285" s="86" t="s">
        <v>5901</v>
      </c>
      <c r="I285" s="212">
        <v>44287</v>
      </c>
      <c r="J285" s="86" t="s">
        <v>6032</v>
      </c>
    </row>
    <row r="286" spans="2:10" x14ac:dyDescent="0.2">
      <c r="B286" s="86">
        <v>283</v>
      </c>
      <c r="C286" s="86" t="s">
        <v>1640</v>
      </c>
      <c r="D286" s="304">
        <f>_xlfn.IFNA(VLOOKUP(C286,Database!$D$5:$F$439,2,0),VLOOKUP(C286,logut!$C$4:$D$499,2,0))</f>
        <v>999400065</v>
      </c>
      <c r="E286" s="86" t="s">
        <v>5900</v>
      </c>
      <c r="G286" s="86" t="s">
        <v>6044</v>
      </c>
      <c r="H286" s="86" t="s">
        <v>5901</v>
      </c>
      <c r="I286" s="212">
        <v>44287</v>
      </c>
      <c r="J286" s="86" t="s">
        <v>6032</v>
      </c>
    </row>
    <row r="287" spans="2:10" x14ac:dyDescent="0.2">
      <c r="B287" s="86">
        <v>284</v>
      </c>
      <c r="C287" s="86" t="s">
        <v>4967</v>
      </c>
      <c r="D287" s="304">
        <f>_xlfn.IFNA(VLOOKUP(C287,Database!$D$5:$F$439,2,0),VLOOKUP(C287,logut!$C$4:$D$499,2,0))</f>
        <v>999800101</v>
      </c>
      <c r="E287" s="86" t="s">
        <v>5900</v>
      </c>
      <c r="G287" s="86" t="s">
        <v>6043</v>
      </c>
      <c r="H287" s="86" t="s">
        <v>5901</v>
      </c>
      <c r="I287" s="212">
        <v>44287</v>
      </c>
      <c r="J287" s="86" t="s">
        <v>6032</v>
      </c>
    </row>
    <row r="288" spans="2:10" x14ac:dyDescent="0.2">
      <c r="B288" s="86">
        <v>285</v>
      </c>
      <c r="C288" s="86" t="s">
        <v>5491</v>
      </c>
      <c r="D288" s="304">
        <f>_xlfn.IFNA(VLOOKUP(C288,Database!$D$5:$F$439,2,0),VLOOKUP(C288,logut!$C$4:$D$499,2,0))</f>
        <v>999800093</v>
      </c>
      <c r="E288" s="86" t="s">
        <v>5900</v>
      </c>
      <c r="G288" s="86" t="s">
        <v>6043</v>
      </c>
      <c r="H288" s="86" t="s">
        <v>5901</v>
      </c>
      <c r="I288" s="212">
        <v>44287</v>
      </c>
      <c r="J288" s="86" t="s">
        <v>6032</v>
      </c>
    </row>
    <row r="289" spans="2:10" x14ac:dyDescent="0.2">
      <c r="B289" s="86">
        <v>286</v>
      </c>
      <c r="C289" s="86" t="s">
        <v>2610</v>
      </c>
      <c r="D289" s="304">
        <f>_xlfn.IFNA(VLOOKUP(C289,Database!$D$5:$F$439,2,0),VLOOKUP(C289,logut!$C$4:$D$499,2,0))</f>
        <v>999800092</v>
      </c>
      <c r="E289" s="86" t="s">
        <v>5900</v>
      </c>
      <c r="G289" s="86" t="s">
        <v>6043</v>
      </c>
      <c r="H289" s="86" t="s">
        <v>5901</v>
      </c>
      <c r="I289" s="212">
        <v>44287</v>
      </c>
      <c r="J289" s="86" t="s">
        <v>6032</v>
      </c>
    </row>
    <row r="290" spans="2:10" x14ac:dyDescent="0.2">
      <c r="B290" s="86">
        <v>287</v>
      </c>
      <c r="C290" s="86" t="s">
        <v>5381</v>
      </c>
      <c r="D290" s="304">
        <f>_xlfn.IFNA(VLOOKUP(C290,Database!$D$5:$F$439,2,0),VLOOKUP(C290,logut!$C$4:$D$499,2,0))</f>
        <v>999800012</v>
      </c>
      <c r="E290" s="86" t="s">
        <v>5900</v>
      </c>
      <c r="G290" s="86" t="s">
        <v>6043</v>
      </c>
      <c r="H290" s="86" t="s">
        <v>5901</v>
      </c>
      <c r="I290" s="212">
        <v>44287</v>
      </c>
      <c r="J290" s="86" t="s">
        <v>6032</v>
      </c>
    </row>
    <row r="291" spans="2:10" x14ac:dyDescent="0.2">
      <c r="B291" s="86">
        <v>288</v>
      </c>
      <c r="C291" s="86" t="s">
        <v>5514</v>
      </c>
      <c r="D291" s="304">
        <f>_xlfn.IFNA(VLOOKUP(C291,Database!$D$5:$F$439,2,0),VLOOKUP(C291,logut!$C$4:$D$499,2,0))</f>
        <v>999800045</v>
      </c>
      <c r="E291" s="86" t="s">
        <v>5900</v>
      </c>
      <c r="G291" s="86" t="s">
        <v>6044</v>
      </c>
      <c r="H291" s="86" t="s">
        <v>5901</v>
      </c>
      <c r="I291" s="212">
        <v>44287</v>
      </c>
      <c r="J291" s="86" t="s">
        <v>6032</v>
      </c>
    </row>
    <row r="292" spans="2:10" x14ac:dyDescent="0.2">
      <c r="B292" s="86">
        <v>289</v>
      </c>
      <c r="C292" s="86" t="s">
        <v>5534</v>
      </c>
      <c r="D292" s="304">
        <f>_xlfn.IFNA(VLOOKUP(C292,Database!$D$5:$F$439,2,0),VLOOKUP(C292,logut!$C$4:$D$499,2,0))</f>
        <v>991700006</v>
      </c>
      <c r="E292" s="86" t="s">
        <v>5900</v>
      </c>
      <c r="G292" s="86" t="s">
        <v>6044</v>
      </c>
      <c r="H292" s="86" t="s">
        <v>5901</v>
      </c>
      <c r="I292" s="212">
        <v>44287</v>
      </c>
      <c r="J292" s="86" t="s">
        <v>6032</v>
      </c>
    </row>
    <row r="293" spans="2:10" x14ac:dyDescent="0.2">
      <c r="B293" s="86">
        <v>290</v>
      </c>
      <c r="C293" s="86" t="s">
        <v>3178</v>
      </c>
      <c r="D293" s="304">
        <f>_xlfn.IFNA(VLOOKUP(C293,Database!$D$5:$F$439,2,0),VLOOKUP(C293,logut!$C$4:$D$499,2,0))</f>
        <v>999900089</v>
      </c>
      <c r="E293" s="86" t="s">
        <v>5900</v>
      </c>
      <c r="G293" s="86" t="s">
        <v>6044</v>
      </c>
      <c r="H293" s="86" t="s">
        <v>5901</v>
      </c>
      <c r="I293" s="212">
        <v>44287</v>
      </c>
      <c r="J293" s="86" t="s">
        <v>6032</v>
      </c>
    </row>
    <row r="294" spans="2:10" x14ac:dyDescent="0.2">
      <c r="B294" s="86">
        <v>291</v>
      </c>
      <c r="C294" s="86" t="s">
        <v>5545</v>
      </c>
      <c r="D294" s="304">
        <f>_xlfn.IFNA(VLOOKUP(C294,Database!$D$5:$F$439,2,0),VLOOKUP(C294,logut!$C$4:$D$499,2,0))</f>
        <v>991700011</v>
      </c>
      <c r="E294" s="86" t="s">
        <v>5900</v>
      </c>
      <c r="G294" s="86" t="s">
        <v>6044</v>
      </c>
      <c r="H294" s="86" t="s">
        <v>5901</v>
      </c>
      <c r="I294" s="212">
        <v>44287</v>
      </c>
      <c r="J294" s="86" t="s">
        <v>6032</v>
      </c>
    </row>
    <row r="295" spans="2:10" x14ac:dyDescent="0.2">
      <c r="B295" s="86">
        <v>292</v>
      </c>
      <c r="C295" s="86" t="s">
        <v>1114</v>
      </c>
      <c r="D295" s="304">
        <f>_xlfn.IFNA(VLOOKUP(C295,Database!$D$5:$F$439,2,0),VLOOKUP(C295,logut!$C$4:$D$499,2,0))</f>
        <v>642001046</v>
      </c>
      <c r="E295" s="86" t="s">
        <v>312</v>
      </c>
      <c r="G295" s="86" t="s">
        <v>51</v>
      </c>
      <c r="H295" s="86" t="s">
        <v>23</v>
      </c>
      <c r="I295" s="212">
        <v>44298</v>
      </c>
      <c r="J295" s="86" t="s">
        <v>6045</v>
      </c>
    </row>
    <row r="296" spans="2:10" x14ac:dyDescent="0.2">
      <c r="B296" s="86">
        <v>293</v>
      </c>
      <c r="C296" s="86" t="s">
        <v>2846</v>
      </c>
      <c r="D296" s="304">
        <f>_xlfn.IFNA(VLOOKUP(C296,Database!$D$5:$F$439,2,0),VLOOKUP(C296,logut!$C$4:$D$499,2,0))</f>
        <v>642102107</v>
      </c>
      <c r="E296" s="86" t="s">
        <v>312</v>
      </c>
      <c r="G296" s="86" t="s">
        <v>51</v>
      </c>
      <c r="H296" s="86" t="s">
        <v>23</v>
      </c>
      <c r="I296" s="212">
        <v>44301</v>
      </c>
      <c r="J296" s="86" t="s">
        <v>6046</v>
      </c>
    </row>
    <row r="297" spans="2:10" x14ac:dyDescent="0.2">
      <c r="B297" s="86">
        <v>294</v>
      </c>
      <c r="C297" s="86" t="s">
        <v>5020</v>
      </c>
      <c r="D297" s="304">
        <f>_xlfn.IFNA(VLOOKUP(C297,Database!$D$5:$F$439,2,0),VLOOKUP(C297,logut!$C$4:$D$499,2,0))</f>
        <v>642102109</v>
      </c>
      <c r="E297" s="86" t="s">
        <v>312</v>
      </c>
      <c r="G297" s="86" t="s">
        <v>51</v>
      </c>
      <c r="H297" s="86" t="s">
        <v>23</v>
      </c>
      <c r="I297" s="212">
        <v>44301</v>
      </c>
      <c r="J297" s="86" t="s">
        <v>6047</v>
      </c>
    </row>
    <row r="298" spans="2:10" x14ac:dyDescent="0.2">
      <c r="B298" s="86">
        <v>295</v>
      </c>
      <c r="C298" s="86" t="s">
        <v>5027</v>
      </c>
      <c r="D298" s="304">
        <f>_xlfn.IFNA(VLOOKUP(C298,Database!$D$5:$F$439,2,0),VLOOKUP(C298,logut!$C$4:$D$499,2,0))</f>
        <v>642102108</v>
      </c>
      <c r="E298" s="86" t="s">
        <v>312</v>
      </c>
      <c r="G298" s="86" t="s">
        <v>51</v>
      </c>
      <c r="H298" s="86" t="s">
        <v>23</v>
      </c>
      <c r="I298" s="212">
        <v>44301</v>
      </c>
      <c r="J298" s="86" t="s">
        <v>6048</v>
      </c>
    </row>
    <row r="299" spans="2:10" x14ac:dyDescent="0.2">
      <c r="B299" s="86">
        <v>296</v>
      </c>
      <c r="C299" s="86" t="s">
        <v>821</v>
      </c>
      <c r="D299" s="304">
        <f>_xlfn.IFNA(VLOOKUP(C299,Database!$D$5:$F$439,2,0),VLOOKUP(C299,logut!$C$4:$D$499,2,0))</f>
        <v>972400067</v>
      </c>
      <c r="E299" s="86" t="s">
        <v>312</v>
      </c>
      <c r="G299" s="86" t="s">
        <v>6000</v>
      </c>
      <c r="H299" s="86" t="s">
        <v>217</v>
      </c>
      <c r="I299" s="212">
        <v>44303</v>
      </c>
    </row>
    <row r="300" spans="2:10" x14ac:dyDescent="0.2">
      <c r="B300" s="86">
        <v>297</v>
      </c>
      <c r="C300" s="13" t="s">
        <v>2399</v>
      </c>
      <c r="D300" s="304">
        <f>_xlfn.IFNA(VLOOKUP(C300,Database!$D$5:$F$439,2,0),VLOOKUP(C300,logut!$C$4:$D$499,2,0))</f>
        <v>641907257</v>
      </c>
      <c r="E300" s="86" t="s">
        <v>312</v>
      </c>
      <c r="G300" s="86" t="s">
        <v>51</v>
      </c>
      <c r="H300" s="86" t="s">
        <v>23</v>
      </c>
      <c r="I300" s="212">
        <v>44316</v>
      </c>
    </row>
    <row r="301" spans="2:10" x14ac:dyDescent="0.2">
      <c r="B301" s="86">
        <v>298</v>
      </c>
      <c r="C301" s="86" t="s">
        <v>1820</v>
      </c>
      <c r="D301" s="304">
        <f>_xlfn.IFNA(VLOOKUP(C301,Database!$D$5:$F$439,2,0),VLOOKUP(C301,logut!$C$4:$D$499,2,0))</f>
        <v>641807161</v>
      </c>
      <c r="E301" s="86" t="s">
        <v>312</v>
      </c>
      <c r="G301" s="86" t="s">
        <v>6000</v>
      </c>
      <c r="H301" s="86" t="s">
        <v>217</v>
      </c>
      <c r="I301" s="212">
        <v>44316</v>
      </c>
    </row>
    <row r="302" spans="2:10" x14ac:dyDescent="0.2">
      <c r="B302" s="86">
        <v>299</v>
      </c>
      <c r="C302" s="86" t="s">
        <v>1594</v>
      </c>
      <c r="D302" s="304">
        <f>_xlfn.IFNA(VLOOKUP(C302,Database!$D$5:$F$439,2,0),VLOOKUP(C302,logut!$C$4:$D$499,2,0))</f>
        <v>972400060</v>
      </c>
      <c r="E302" s="86" t="s">
        <v>312</v>
      </c>
      <c r="G302" s="86" t="s">
        <v>6000</v>
      </c>
      <c r="H302" s="86" t="s">
        <v>217</v>
      </c>
      <c r="I302" s="212">
        <v>44316</v>
      </c>
    </row>
    <row r="303" spans="2:10" x14ac:dyDescent="0.2">
      <c r="B303" s="86">
        <v>300</v>
      </c>
      <c r="C303" s="86" t="s">
        <v>1651</v>
      </c>
      <c r="D303" s="304">
        <f>_xlfn.IFNA(VLOOKUP(C303,Database!$D$5:$F$439,2,0),VLOOKUP(C303,logut!$C$4:$D$499,2,0))</f>
        <v>641805144</v>
      </c>
      <c r="E303" s="86" t="s">
        <v>312</v>
      </c>
      <c r="G303" s="86" t="s">
        <v>51</v>
      </c>
      <c r="H303" s="86" t="s">
        <v>23</v>
      </c>
      <c r="I303" s="212">
        <v>44316</v>
      </c>
    </row>
    <row r="304" spans="2:10" x14ac:dyDescent="0.2">
      <c r="B304" s="86">
        <v>301</v>
      </c>
      <c r="C304" s="86" t="s">
        <v>1114</v>
      </c>
      <c r="D304" s="304">
        <f>_xlfn.IFNA(VLOOKUP(C304,Database!$D$5:$F$439,2,0),VLOOKUP(C304,logut!$C$4:$D$499,2,0))</f>
        <v>642001046</v>
      </c>
      <c r="E304" s="86" t="s">
        <v>312</v>
      </c>
      <c r="G304" s="86" t="s">
        <v>6000</v>
      </c>
      <c r="H304" s="86" t="s">
        <v>217</v>
      </c>
      <c r="I304" s="212">
        <v>44319</v>
      </c>
    </row>
    <row r="305" spans="2:10" x14ac:dyDescent="0.2">
      <c r="B305" s="86">
        <v>302</v>
      </c>
      <c r="C305" s="86" t="s">
        <v>723</v>
      </c>
      <c r="D305" s="304">
        <f>_xlfn.IFNA(VLOOKUP(C305,Database!$D$5:$F$439,2,0),VLOOKUP(C305,logut!$C$4:$D$499,2,0))</f>
        <v>971900049</v>
      </c>
      <c r="E305" s="86" t="s">
        <v>312</v>
      </c>
      <c r="G305" s="86" t="s">
        <v>6000</v>
      </c>
      <c r="H305" s="86" t="s">
        <v>217</v>
      </c>
      <c r="I305" s="212">
        <v>44320</v>
      </c>
    </row>
    <row r="306" spans="2:10" x14ac:dyDescent="0.2">
      <c r="B306" s="86">
        <v>303</v>
      </c>
      <c r="C306" s="86" t="s">
        <v>546</v>
      </c>
      <c r="D306" s="304">
        <f>_xlfn.IFNA(VLOOKUP(C306,Database!$D$5:$F$439,2,0),VLOOKUP(C306,logut!$C$4:$D$499,2,0))</f>
        <v>971900046</v>
      </c>
      <c r="E306" s="86" t="s">
        <v>312</v>
      </c>
      <c r="G306" s="86" t="s">
        <v>6000</v>
      </c>
      <c r="H306" s="86" t="s">
        <v>217</v>
      </c>
      <c r="I306" s="212">
        <v>44320</v>
      </c>
    </row>
    <row r="307" spans="2:10" x14ac:dyDescent="0.2">
      <c r="B307" s="86">
        <v>304</v>
      </c>
      <c r="C307" s="86" t="s">
        <v>1753</v>
      </c>
      <c r="D307" s="304">
        <f>_xlfn.IFNA(VLOOKUP(C307,Database!$D$5:$F$439,2,0),VLOOKUP(C307,logut!$C$4:$D$499,2,0))</f>
        <v>641807168</v>
      </c>
      <c r="E307" s="86" t="s">
        <v>312</v>
      </c>
      <c r="G307" s="86" t="s">
        <v>6000</v>
      </c>
      <c r="H307" s="86" t="s">
        <v>217</v>
      </c>
      <c r="I307" s="212">
        <v>44320</v>
      </c>
    </row>
    <row r="308" spans="2:10" x14ac:dyDescent="0.2">
      <c r="B308" s="86">
        <v>305</v>
      </c>
      <c r="C308" s="86" t="s">
        <v>1114</v>
      </c>
      <c r="D308" s="304">
        <f>_xlfn.IFNA(VLOOKUP(C308,Database!$D$5:$F$439,2,0),VLOOKUP(C308,logut!$C$4:$D$499,2,0))</f>
        <v>642001046</v>
      </c>
      <c r="E308" s="86" t="s">
        <v>312</v>
      </c>
      <c r="G308" s="86" t="s">
        <v>51</v>
      </c>
      <c r="H308" s="86" t="s">
        <v>23</v>
      </c>
      <c r="I308" s="212">
        <v>44333</v>
      </c>
    </row>
    <row r="309" spans="2:10" x14ac:dyDescent="0.2">
      <c r="B309" s="86">
        <v>306</v>
      </c>
      <c r="C309" s="86" t="s">
        <v>546</v>
      </c>
      <c r="D309" s="304">
        <f>_xlfn.IFNA(VLOOKUP(C309,Database!$D$5:$F$439,2,0),VLOOKUP(C309,logut!$C$4:$D$499,2,0))</f>
        <v>971900046</v>
      </c>
      <c r="E309" s="86" t="s">
        <v>140</v>
      </c>
      <c r="G309" s="86" t="s">
        <v>5980</v>
      </c>
      <c r="H309" s="86" t="s">
        <v>20</v>
      </c>
      <c r="I309" s="212">
        <v>44333</v>
      </c>
    </row>
    <row r="310" spans="2:10" x14ac:dyDescent="0.2">
      <c r="B310" s="86">
        <v>307</v>
      </c>
      <c r="C310" s="86" t="s">
        <v>1753</v>
      </c>
      <c r="D310" s="304">
        <f>_xlfn.IFNA(VLOOKUP(C310,Database!$D$5:$F$439,2,0),VLOOKUP(C310,logut!$C$4:$D$499,2,0))</f>
        <v>641807168</v>
      </c>
      <c r="E310" s="86" t="s">
        <v>312</v>
      </c>
      <c r="G310" s="86" t="s">
        <v>5980</v>
      </c>
      <c r="H310" s="86" t="s">
        <v>20</v>
      </c>
      <c r="I310" s="212">
        <v>44333</v>
      </c>
    </row>
    <row r="311" spans="2:10" x14ac:dyDescent="0.2">
      <c r="B311" s="86">
        <v>308</v>
      </c>
      <c r="C311" s="86" t="s">
        <v>732</v>
      </c>
      <c r="D311" s="304">
        <f>_xlfn.IFNA(VLOOKUP(C311,Database!$D$5:$F$439,2,0),VLOOKUP(C311,logut!$C$4:$D$499,2,0))</f>
        <v>642001009</v>
      </c>
      <c r="E311" s="86" t="s">
        <v>312</v>
      </c>
      <c r="G311" s="86" t="s">
        <v>175</v>
      </c>
      <c r="H311" s="86" t="s">
        <v>24</v>
      </c>
      <c r="I311" s="212">
        <v>44335</v>
      </c>
      <c r="J311" s="86" t="s">
        <v>6049</v>
      </c>
    </row>
    <row r="312" spans="2:10" x14ac:dyDescent="0.2">
      <c r="B312" s="86">
        <v>309</v>
      </c>
      <c r="C312" s="86" t="s">
        <v>1125</v>
      </c>
      <c r="D312" s="304">
        <f>_xlfn.IFNA(VLOOKUP(C312,Database!$D$5:$F$439,2,0),VLOOKUP(C312,logut!$C$4:$D$499,2,0))</f>
        <v>642001048</v>
      </c>
      <c r="E312" s="86" t="s">
        <v>312</v>
      </c>
      <c r="G312" s="86" t="s">
        <v>175</v>
      </c>
      <c r="H312" s="86" t="s">
        <v>24</v>
      </c>
      <c r="I312" s="212">
        <v>44335</v>
      </c>
      <c r="J312" s="86" t="s">
        <v>6049</v>
      </c>
    </row>
    <row r="313" spans="2:10" x14ac:dyDescent="0.2">
      <c r="B313" s="86">
        <v>310</v>
      </c>
      <c r="C313" s="86" t="s">
        <v>1251</v>
      </c>
      <c r="D313" s="304">
        <f>_xlfn.IFNA(VLOOKUP(C313,Database!$D$5:$F$439,2,0),VLOOKUP(C313,logut!$C$4:$D$499,2,0))</f>
        <v>642001037</v>
      </c>
      <c r="E313" s="86" t="s">
        <v>312</v>
      </c>
      <c r="G313" s="86" t="s">
        <v>175</v>
      </c>
      <c r="H313" s="86" t="s">
        <v>24</v>
      </c>
      <c r="I313" s="212">
        <v>44335</v>
      </c>
      <c r="J313" s="86" t="s">
        <v>6049</v>
      </c>
    </row>
    <row r="314" spans="2:10" x14ac:dyDescent="0.2">
      <c r="B314" s="86">
        <v>311</v>
      </c>
      <c r="C314" s="13" t="s">
        <v>5040</v>
      </c>
      <c r="D314" s="304">
        <f>_xlfn.IFNA(VLOOKUP(C314,Database!$D$5:$F$439,2,0),VLOOKUP(C314,logut!$C$4:$D$499,2,0))</f>
        <v>642001018</v>
      </c>
      <c r="E314" s="86" t="s">
        <v>312</v>
      </c>
      <c r="G314" s="86" t="s">
        <v>6050</v>
      </c>
      <c r="H314" s="86" t="s">
        <v>217</v>
      </c>
      <c r="I314" s="212">
        <v>44335</v>
      </c>
      <c r="J314" s="86" t="s">
        <v>6051</v>
      </c>
    </row>
    <row r="315" spans="2:10" x14ac:dyDescent="0.2">
      <c r="B315" s="86">
        <v>312</v>
      </c>
      <c r="C315" s="86" t="s">
        <v>962</v>
      </c>
      <c r="D315" s="304">
        <f>_xlfn.IFNA(VLOOKUP(C315,Database!$D$5:$F$439,2,0),VLOOKUP(C315,logut!$C$4:$D$499,2,0))</f>
        <v>642001053</v>
      </c>
      <c r="E315" s="86" t="s">
        <v>312</v>
      </c>
      <c r="G315" s="86" t="s">
        <v>6050</v>
      </c>
      <c r="H315" s="86" t="s">
        <v>217</v>
      </c>
      <c r="I315" s="212">
        <v>44335</v>
      </c>
      <c r="J315" s="86" t="s">
        <v>6051</v>
      </c>
    </row>
    <row r="316" spans="2:10" x14ac:dyDescent="0.2">
      <c r="B316" s="86">
        <v>313</v>
      </c>
      <c r="C316" s="86" t="s">
        <v>1217</v>
      </c>
      <c r="D316" s="304">
        <f>_xlfn.IFNA(VLOOKUP(C316,Database!$D$5:$F$439,2,0),VLOOKUP(C316,logut!$C$4:$D$499,2,0))</f>
        <v>972400059</v>
      </c>
      <c r="E316" s="86" t="s">
        <v>140</v>
      </c>
      <c r="G316" s="86" t="s">
        <v>175</v>
      </c>
      <c r="H316" s="86" t="s">
        <v>24</v>
      </c>
      <c r="I316" s="212">
        <v>44335</v>
      </c>
      <c r="J316" s="86" t="s">
        <v>6049</v>
      </c>
    </row>
    <row r="317" spans="2:10" x14ac:dyDescent="0.2">
      <c r="B317" s="86">
        <v>314</v>
      </c>
      <c r="C317" s="86" t="s">
        <v>1706</v>
      </c>
      <c r="D317" s="304">
        <f>_xlfn.IFNA(VLOOKUP(C317,Database!$D$5:$F$439,2,0),VLOOKUP(C317,logut!$C$4:$D$499,2,0))</f>
        <v>641806157</v>
      </c>
      <c r="E317" s="86" t="s">
        <v>312</v>
      </c>
      <c r="G317" s="86" t="s">
        <v>175</v>
      </c>
      <c r="H317" s="86" t="s">
        <v>24</v>
      </c>
      <c r="I317" s="212">
        <v>44335</v>
      </c>
      <c r="J317" s="86" t="s">
        <v>6049</v>
      </c>
    </row>
    <row r="318" spans="2:10" x14ac:dyDescent="0.2">
      <c r="B318" s="86">
        <v>315</v>
      </c>
      <c r="C318" s="86" t="s">
        <v>628</v>
      </c>
      <c r="D318" s="304">
        <f>_xlfn.IFNA(VLOOKUP(C318,Database!$D$5:$F$439,2,0),VLOOKUP(C318,logut!$C$4:$D$499,2,0))</f>
        <v>642001004</v>
      </c>
      <c r="E318" s="86" t="s">
        <v>312</v>
      </c>
      <c r="G318" s="86" t="s">
        <v>175</v>
      </c>
      <c r="H318" s="86" t="s">
        <v>24</v>
      </c>
      <c r="I318" s="212">
        <v>44335</v>
      </c>
      <c r="J318" s="86" t="s">
        <v>6049</v>
      </c>
    </row>
    <row r="319" spans="2:10" x14ac:dyDescent="0.2">
      <c r="B319" s="86">
        <v>316</v>
      </c>
      <c r="C319" s="86" t="s">
        <v>1457</v>
      </c>
      <c r="D319" s="304">
        <f>_xlfn.IFNA(VLOOKUP(C319,Database!$D$5:$F$439,2,0),VLOOKUP(C319,logut!$C$4:$D$499,2,0))</f>
        <v>642001024</v>
      </c>
      <c r="E319" s="86" t="s">
        <v>312</v>
      </c>
      <c r="G319" s="86" t="s">
        <v>175</v>
      </c>
      <c r="H319" s="86" t="s">
        <v>24</v>
      </c>
      <c r="I319" s="212">
        <v>44335</v>
      </c>
      <c r="J319" s="86" t="s">
        <v>6049</v>
      </c>
    </row>
    <row r="320" spans="2:10" x14ac:dyDescent="0.2">
      <c r="B320" s="86">
        <v>317</v>
      </c>
      <c r="C320" s="86" t="s">
        <v>5841</v>
      </c>
      <c r="D320" s="304">
        <f>_xlfn.IFNA(VLOOKUP(C320,Database!$D$5:$F$439,2,0),VLOOKUP(C320,logut!$C$4:$D$499,2,0))</f>
        <v>641812210</v>
      </c>
      <c r="E320" s="86" t="s">
        <v>312</v>
      </c>
      <c r="G320" s="86" t="s">
        <v>175</v>
      </c>
      <c r="H320" s="86" t="s">
        <v>24</v>
      </c>
      <c r="I320" s="212">
        <v>44335</v>
      </c>
      <c r="J320" s="86" t="s">
        <v>6049</v>
      </c>
    </row>
    <row r="321" spans="2:10" x14ac:dyDescent="0.2">
      <c r="B321" s="86">
        <v>318</v>
      </c>
      <c r="C321" s="86" t="s">
        <v>888</v>
      </c>
      <c r="D321" s="304">
        <f>_xlfn.IFNA(VLOOKUP(C321,Database!$D$5:$F$439,2,0),VLOOKUP(C321,logut!$C$4:$D$499,2,0))</f>
        <v>642001065</v>
      </c>
      <c r="E321" s="86" t="s">
        <v>312</v>
      </c>
      <c r="G321" s="86" t="s">
        <v>175</v>
      </c>
      <c r="H321" s="86" t="s">
        <v>24</v>
      </c>
      <c r="I321" s="212">
        <v>44335</v>
      </c>
      <c r="J321" s="86" t="s">
        <v>6049</v>
      </c>
    </row>
    <row r="322" spans="2:10" x14ac:dyDescent="0.2">
      <c r="B322" s="86">
        <v>319</v>
      </c>
      <c r="C322" s="86" t="s">
        <v>2602</v>
      </c>
      <c r="D322" s="304">
        <f>_xlfn.IFNA(VLOOKUP(C322,Database!$D$5:$F$439,2,0),VLOOKUP(C322,logut!$C$4:$D$499,2,0))</f>
        <v>642002085</v>
      </c>
      <c r="E322" s="86" t="s">
        <v>312</v>
      </c>
      <c r="G322" s="86" t="s">
        <v>6050</v>
      </c>
      <c r="H322" s="86" t="s">
        <v>217</v>
      </c>
      <c r="I322" s="212">
        <v>44335</v>
      </c>
      <c r="J322" s="86" t="s">
        <v>6051</v>
      </c>
    </row>
    <row r="323" spans="2:10" x14ac:dyDescent="0.2">
      <c r="B323" s="86">
        <v>320</v>
      </c>
      <c r="C323" s="86" t="s">
        <v>1466</v>
      </c>
      <c r="D323" s="304">
        <f>_xlfn.IFNA(VLOOKUP(C323,Database!$D$5:$F$439,2,0),VLOOKUP(C323,logut!$C$4:$D$499,2,0))</f>
        <v>642001031</v>
      </c>
      <c r="E323" s="86" t="s">
        <v>312</v>
      </c>
      <c r="G323" s="86" t="s">
        <v>175</v>
      </c>
      <c r="H323" s="86" t="s">
        <v>24</v>
      </c>
      <c r="I323" s="212">
        <v>44335</v>
      </c>
      <c r="J323" s="86" t="s">
        <v>6049</v>
      </c>
    </row>
    <row r="324" spans="2:10" x14ac:dyDescent="0.2">
      <c r="B324" s="86">
        <v>321</v>
      </c>
      <c r="C324" s="86" t="s">
        <v>979</v>
      </c>
      <c r="D324" s="304">
        <f>_xlfn.IFNA(VLOOKUP(C324,Database!$D$5:$F$439,2,0),VLOOKUP(C324,logut!$C$4:$D$499,2,0))</f>
        <v>642001058</v>
      </c>
      <c r="E324" s="86" t="s">
        <v>312</v>
      </c>
      <c r="G324" s="86" t="s">
        <v>6000</v>
      </c>
      <c r="H324" s="86" t="s">
        <v>217</v>
      </c>
      <c r="I324" s="212">
        <v>44342</v>
      </c>
    </row>
    <row r="325" spans="2:10" x14ac:dyDescent="0.2">
      <c r="B325" s="86">
        <v>322</v>
      </c>
      <c r="C325" s="86" t="s">
        <v>1170</v>
      </c>
      <c r="D325" s="304">
        <f>_xlfn.IFNA(VLOOKUP(C325,Database!$D$5:$F$439,2,0),VLOOKUP(C325,logut!$C$4:$D$499,2,0))</f>
        <v>971900027</v>
      </c>
      <c r="E325" s="86" t="s">
        <v>312</v>
      </c>
      <c r="G325" s="86" t="s">
        <v>6000</v>
      </c>
      <c r="H325" s="86" t="s">
        <v>217</v>
      </c>
      <c r="I325" s="212">
        <v>44342</v>
      </c>
    </row>
    <row r="326" spans="2:10" x14ac:dyDescent="0.2">
      <c r="B326" s="86">
        <v>323</v>
      </c>
      <c r="C326" s="86" t="s">
        <v>1502</v>
      </c>
      <c r="D326" s="304">
        <f>_xlfn.IFNA(VLOOKUP(C326,Database!$D$5:$F$439,2,0),VLOOKUP(C326,logut!$C$4:$D$499,2,0))</f>
        <v>972000055</v>
      </c>
      <c r="E326" s="86" t="s">
        <v>312</v>
      </c>
      <c r="G326" s="86" t="s">
        <v>6001</v>
      </c>
      <c r="H326" s="86" t="s">
        <v>6002</v>
      </c>
      <c r="I326" s="212">
        <v>44348</v>
      </c>
    </row>
    <row r="327" spans="2:10" x14ac:dyDescent="0.2">
      <c r="B327" s="86">
        <v>324</v>
      </c>
      <c r="C327" s="86" t="s">
        <v>5321</v>
      </c>
      <c r="D327" s="304">
        <f>_xlfn.IFNA(VLOOKUP(C327,Database!$D$5:$F$439,2,0),VLOOKUP(C327,logut!$C$4:$D$499,2,0))</f>
        <v>999900029</v>
      </c>
      <c r="E327" s="86" t="s">
        <v>312</v>
      </c>
      <c r="G327" s="86" t="s">
        <v>6001</v>
      </c>
      <c r="H327" s="86" t="s">
        <v>6002</v>
      </c>
      <c r="I327" s="212">
        <v>44348</v>
      </c>
    </row>
    <row r="328" spans="2:10" x14ac:dyDescent="0.2">
      <c r="B328" s="86">
        <v>325</v>
      </c>
      <c r="C328" s="86" t="s">
        <v>2732</v>
      </c>
      <c r="D328" s="304">
        <f>_xlfn.IFNA(VLOOKUP(C328,Database!$D$5:$F$439,2,0),VLOOKUP(C328,logut!$C$4:$D$499,2,0))</f>
        <v>991700024</v>
      </c>
      <c r="E328" s="86" t="s">
        <v>312</v>
      </c>
      <c r="G328" s="86" t="s">
        <v>6001</v>
      </c>
      <c r="H328" s="86" t="s">
        <v>6002</v>
      </c>
      <c r="I328" s="212">
        <v>44348</v>
      </c>
    </row>
    <row r="329" spans="2:10" x14ac:dyDescent="0.2">
      <c r="B329" s="86">
        <v>326</v>
      </c>
      <c r="C329" s="86" t="s">
        <v>1594</v>
      </c>
      <c r="D329" s="304">
        <f>_xlfn.IFNA(VLOOKUP(C329,Database!$D$5:$F$439,2,0),VLOOKUP(C329,logut!$C$4:$D$499,2,0))</f>
        <v>972400060</v>
      </c>
      <c r="E329" s="86" t="s">
        <v>312</v>
      </c>
      <c r="G329" s="86" t="s">
        <v>175</v>
      </c>
      <c r="H329" s="86" t="s">
        <v>24</v>
      </c>
      <c r="I329" s="212">
        <v>44354</v>
      </c>
    </row>
    <row r="330" spans="2:10" x14ac:dyDescent="0.2">
      <c r="B330" s="86">
        <v>327</v>
      </c>
      <c r="C330" s="86" t="s">
        <v>2297</v>
      </c>
      <c r="D330" s="304">
        <f>_xlfn.IFNA(VLOOKUP(C330,Database!$D$5:$F$439,2,0),VLOOKUP(C330,logut!$C$4:$D$499,2,0))</f>
        <v>641907245</v>
      </c>
      <c r="E330" s="86" t="s">
        <v>312</v>
      </c>
      <c r="G330" s="86" t="s">
        <v>51</v>
      </c>
      <c r="H330" s="86" t="s">
        <v>24</v>
      </c>
      <c r="I330" s="212">
        <v>44414</v>
      </c>
      <c r="J330" s="86" t="s">
        <v>6052</v>
      </c>
    </row>
    <row r="331" spans="2:10" x14ac:dyDescent="0.2">
      <c r="B331" s="86">
        <v>328</v>
      </c>
      <c r="C331" s="86" t="s">
        <v>2448</v>
      </c>
      <c r="D331" s="304">
        <f>_xlfn.IFNA(VLOOKUP(C331,Database!$D$5:$F$439,2,0),VLOOKUP(C331,logut!$C$4:$D$499,2,0))</f>
        <v>641907251</v>
      </c>
      <c r="E331" s="86" t="s">
        <v>312</v>
      </c>
      <c r="G331" s="86" t="s">
        <v>5980</v>
      </c>
      <c r="H331" s="86" t="s">
        <v>2392</v>
      </c>
      <c r="I331" s="212">
        <v>44414</v>
      </c>
      <c r="J331" s="86" t="s">
        <v>6052</v>
      </c>
    </row>
    <row r="332" spans="2:10" x14ac:dyDescent="0.2">
      <c r="B332" s="86">
        <v>329</v>
      </c>
      <c r="C332" s="86" t="s">
        <v>1805</v>
      </c>
      <c r="D332" s="304">
        <f>_xlfn.IFNA(VLOOKUP(C332,Database!$D$5:$F$439,2,0),VLOOKUP(C332,logut!$C$4:$D$499,2,0))</f>
        <v>641807170</v>
      </c>
      <c r="E332" s="86" t="s">
        <v>312</v>
      </c>
      <c r="G332" s="86" t="s">
        <v>57</v>
      </c>
      <c r="H332" s="86" t="s">
        <v>25</v>
      </c>
      <c r="I332" s="212">
        <v>44414</v>
      </c>
      <c r="J332" s="86" t="s">
        <v>6052</v>
      </c>
    </row>
    <row r="333" spans="2:10" x14ac:dyDescent="0.2">
      <c r="B333" s="86">
        <v>330</v>
      </c>
      <c r="C333" s="86" t="s">
        <v>4932</v>
      </c>
      <c r="D333" s="304">
        <f>_xlfn.IFNA(VLOOKUP(C333,Database!$D$5:$F$439,2,0),VLOOKUP(C333,logut!$C$4:$D$499,2,0))</f>
        <v>642001002</v>
      </c>
      <c r="E333" s="86" t="s">
        <v>140</v>
      </c>
      <c r="G333" s="86" t="s">
        <v>5980</v>
      </c>
      <c r="H333" s="86" t="s">
        <v>217</v>
      </c>
      <c r="I333" s="212">
        <v>44414</v>
      </c>
      <c r="J333" s="86" t="s">
        <v>6052</v>
      </c>
    </row>
    <row r="334" spans="2:10" x14ac:dyDescent="0.2">
      <c r="B334" s="86">
        <v>331</v>
      </c>
      <c r="C334" s="86" t="s">
        <v>2594</v>
      </c>
      <c r="D334" s="304">
        <f>_xlfn.IFNA(VLOOKUP(C334,Database!$D$5:$F$439,2,0),VLOOKUP(C334,logut!$C$4:$D$499,2,0))</f>
        <v>642002083</v>
      </c>
      <c r="E334" s="86" t="s">
        <v>312</v>
      </c>
      <c r="G334" s="86" t="s">
        <v>5980</v>
      </c>
      <c r="H334" s="86" t="s">
        <v>30</v>
      </c>
      <c r="I334" s="212">
        <v>44414</v>
      </c>
      <c r="J334" s="86" t="s">
        <v>6052</v>
      </c>
    </row>
    <row r="335" spans="2:10" x14ac:dyDescent="0.2">
      <c r="B335" s="86">
        <v>332</v>
      </c>
      <c r="C335" s="86" t="s">
        <v>2472</v>
      </c>
      <c r="D335" s="304">
        <f>_xlfn.IFNA(VLOOKUP(C335,Database!$D$5:$F$439,2,0),VLOOKUP(C335,logut!$C$4:$D$499,2,0))</f>
        <v>641907248</v>
      </c>
      <c r="E335" s="86" t="s">
        <v>312</v>
      </c>
      <c r="G335" s="86" t="s">
        <v>5980</v>
      </c>
      <c r="H335" s="86" t="s">
        <v>30</v>
      </c>
      <c r="I335" s="212">
        <v>44414</v>
      </c>
      <c r="J335" s="86" t="s">
        <v>6052</v>
      </c>
    </row>
    <row r="336" spans="2:10" x14ac:dyDescent="0.2">
      <c r="B336" s="86">
        <v>333</v>
      </c>
      <c r="C336" s="86" t="s">
        <v>5777</v>
      </c>
      <c r="D336" s="304">
        <f>_xlfn.IFNA(VLOOKUP(C336,Database!$D$5:$F$439,2,0),VLOOKUP(C336,logut!$C$4:$D$499,2,0))</f>
        <v>642002081</v>
      </c>
      <c r="E336" s="86" t="s">
        <v>312</v>
      </c>
      <c r="G336" s="86" t="s">
        <v>5980</v>
      </c>
      <c r="H336" s="86" t="s">
        <v>30</v>
      </c>
      <c r="I336" s="212">
        <v>44414</v>
      </c>
      <c r="J336" s="86" t="s">
        <v>6053</v>
      </c>
    </row>
    <row r="337" spans="2:10" x14ac:dyDescent="0.2">
      <c r="B337" s="86">
        <v>334</v>
      </c>
      <c r="C337" s="86" t="s">
        <v>500</v>
      </c>
      <c r="D337" s="304">
        <f>_xlfn.IFNA(VLOOKUP(C337,Database!$D$5:$F$439,2,0),VLOOKUP(C337,logut!$C$4:$D$499,2,0))</f>
        <v>971700005</v>
      </c>
      <c r="E337" s="86" t="s">
        <v>140</v>
      </c>
      <c r="G337" s="86" t="s">
        <v>5980</v>
      </c>
      <c r="H337" s="86" t="s">
        <v>24</v>
      </c>
      <c r="I337" s="212">
        <v>44414</v>
      </c>
      <c r="J337" s="86" t="s">
        <v>6052</v>
      </c>
    </row>
    <row r="338" spans="2:10" x14ac:dyDescent="0.2">
      <c r="B338" s="86">
        <v>335</v>
      </c>
      <c r="C338" s="86" t="s">
        <v>4812</v>
      </c>
      <c r="D338" s="304">
        <f>_xlfn.IFNA(VLOOKUP(C338,Database!$D$5:$F$439,2,0),VLOOKUP(C338,logut!$C$4:$D$499,2,0))</f>
        <v>642002078</v>
      </c>
      <c r="E338" s="86" t="s">
        <v>312</v>
      </c>
      <c r="G338" s="86" t="s">
        <v>175</v>
      </c>
      <c r="H338" s="86" t="s">
        <v>24</v>
      </c>
      <c r="I338" s="212">
        <v>44414</v>
      </c>
      <c r="J338" s="86" t="s">
        <v>6052</v>
      </c>
    </row>
    <row r="339" spans="2:10" x14ac:dyDescent="0.2">
      <c r="B339" s="86">
        <v>336</v>
      </c>
      <c r="C339" s="86" t="s">
        <v>546</v>
      </c>
      <c r="D339" s="304">
        <f>_xlfn.IFNA(VLOOKUP(C339,Database!$D$5:$F$439,2,0),VLOOKUP(C339,logut!$C$4:$D$499,2,0))</f>
        <v>971900046</v>
      </c>
      <c r="E339" s="86" t="s">
        <v>140</v>
      </c>
      <c r="G339" s="86" t="s">
        <v>5953</v>
      </c>
      <c r="H339" s="86" t="s">
        <v>27</v>
      </c>
      <c r="I339" s="212">
        <v>44414</v>
      </c>
      <c r="J339" s="86" t="s">
        <v>6053</v>
      </c>
    </row>
    <row r="340" spans="2:10" x14ac:dyDescent="0.2">
      <c r="B340" s="86">
        <v>337</v>
      </c>
      <c r="C340" s="86" t="s">
        <v>2285</v>
      </c>
      <c r="D340" s="304">
        <f>_xlfn.IFNA(VLOOKUP(C340,Database!$D$5:$F$439,2,0),VLOOKUP(C340,logut!$C$4:$D$499,2,0))</f>
        <v>641907269</v>
      </c>
      <c r="E340" s="86" t="s">
        <v>312</v>
      </c>
      <c r="G340" s="86" t="s">
        <v>175</v>
      </c>
      <c r="H340" s="86" t="s">
        <v>24</v>
      </c>
      <c r="I340" s="212">
        <v>44414</v>
      </c>
      <c r="J340" s="86" t="s">
        <v>6052</v>
      </c>
    </row>
    <row r="341" spans="2:10" x14ac:dyDescent="0.2">
      <c r="B341" s="86">
        <v>338</v>
      </c>
      <c r="C341" s="86" t="s">
        <v>2348</v>
      </c>
      <c r="D341" s="304">
        <f>_xlfn.IFNA(VLOOKUP(C341,Database!$D$5:$F$439,2,0),VLOOKUP(C341,logut!$C$4:$D$499,2,0))</f>
        <v>641907247</v>
      </c>
      <c r="E341" s="86" t="s">
        <v>312</v>
      </c>
      <c r="G341" s="86" t="s">
        <v>5980</v>
      </c>
      <c r="H341" s="86" t="s">
        <v>30</v>
      </c>
      <c r="I341" s="212">
        <v>44414</v>
      </c>
      <c r="J341" s="86" t="s">
        <v>6053</v>
      </c>
    </row>
    <row r="342" spans="2:10" x14ac:dyDescent="0.2">
      <c r="B342" s="86">
        <v>339</v>
      </c>
      <c r="C342" s="86" t="s">
        <v>2254</v>
      </c>
      <c r="D342" s="304">
        <f>_xlfn.IFNA(VLOOKUP(C342,Database!$D$5:$F$439,2,0),VLOOKUP(C342,logut!$C$4:$D$499,2,0))</f>
        <v>641907249</v>
      </c>
      <c r="E342" s="86" t="s">
        <v>312</v>
      </c>
      <c r="G342" s="86" t="s">
        <v>5954</v>
      </c>
      <c r="H342" s="86" t="s">
        <v>21</v>
      </c>
      <c r="I342" s="212">
        <v>44414</v>
      </c>
      <c r="J342" s="86" t="s">
        <v>6052</v>
      </c>
    </row>
    <row r="343" spans="2:10" x14ac:dyDescent="0.2">
      <c r="B343" s="86">
        <v>340</v>
      </c>
      <c r="C343" s="86" t="s">
        <v>638</v>
      </c>
      <c r="D343" s="304">
        <f>_xlfn.IFNA(VLOOKUP(C343,Database!$D$5:$F$439,2,0),VLOOKUP(C343,logut!$C$4:$D$499,2,0))</f>
        <v>642001005</v>
      </c>
      <c r="E343" s="86" t="s">
        <v>312</v>
      </c>
      <c r="G343" s="86" t="s">
        <v>5980</v>
      </c>
      <c r="H343" s="86" t="s">
        <v>24</v>
      </c>
      <c r="I343" s="212">
        <v>44416</v>
      </c>
      <c r="J343" s="86" t="s">
        <v>6052</v>
      </c>
    </row>
    <row r="344" spans="2:10" x14ac:dyDescent="0.2">
      <c r="B344" s="86">
        <v>341</v>
      </c>
      <c r="C344" s="86" t="s">
        <v>2376</v>
      </c>
      <c r="D344" s="304">
        <f>_xlfn.IFNA(VLOOKUP(C344,Database!$D$5:$F$439,2,0),VLOOKUP(C344,logut!$C$4:$D$499,2,0))</f>
        <v>641907272</v>
      </c>
      <c r="E344" s="86" t="s">
        <v>312</v>
      </c>
      <c r="G344" s="86" t="s">
        <v>5980</v>
      </c>
      <c r="H344" s="86" t="s">
        <v>24</v>
      </c>
      <c r="I344" s="212">
        <v>44416</v>
      </c>
      <c r="J344" s="86" t="s">
        <v>6052</v>
      </c>
    </row>
    <row r="345" spans="2:10" x14ac:dyDescent="0.2">
      <c r="B345" s="86">
        <v>342</v>
      </c>
      <c r="C345" s="86" t="s">
        <v>866</v>
      </c>
      <c r="D345" s="304">
        <f>_xlfn.IFNA(VLOOKUP(C345,Database!$D$5:$F$439,2,0),VLOOKUP(C345,logut!$C$4:$D$499,2,0))</f>
        <v>642001069</v>
      </c>
      <c r="E345" s="86" t="s">
        <v>312</v>
      </c>
      <c r="G345" s="86" t="s">
        <v>175</v>
      </c>
      <c r="H345" s="86" t="s">
        <v>24</v>
      </c>
      <c r="I345" s="212">
        <v>44417</v>
      </c>
      <c r="J345" s="86" t="s">
        <v>6052</v>
      </c>
    </row>
    <row r="346" spans="2:10" x14ac:dyDescent="0.2">
      <c r="B346" s="86">
        <v>343</v>
      </c>
      <c r="C346" s="86" t="s">
        <v>723</v>
      </c>
      <c r="D346" s="304">
        <f>_xlfn.IFNA(VLOOKUP(C346,Database!$D$5:$F$439,2,0),VLOOKUP(C346,logut!$C$4:$D$499,2,0))</f>
        <v>971900049</v>
      </c>
      <c r="E346" s="86" t="s">
        <v>312</v>
      </c>
      <c r="G346" s="86" t="s">
        <v>5980</v>
      </c>
      <c r="H346" s="86" t="s">
        <v>28</v>
      </c>
      <c r="I346" s="212">
        <v>44419</v>
      </c>
      <c r="J346" s="86" t="s">
        <v>6052</v>
      </c>
    </row>
    <row r="347" spans="2:10" x14ac:dyDescent="0.2">
      <c r="B347" s="86">
        <v>344</v>
      </c>
      <c r="C347" s="86" t="s">
        <v>1236</v>
      </c>
      <c r="D347" s="304">
        <f>_xlfn.IFNA(VLOOKUP(C347,Database!$D$5:$F$439,2,0),VLOOKUP(C347,logut!$C$4:$D$499,2,0))</f>
        <v>642001035</v>
      </c>
      <c r="E347" s="86" t="s">
        <v>312</v>
      </c>
      <c r="G347" s="86" t="s">
        <v>51</v>
      </c>
      <c r="H347" s="86" t="s">
        <v>23</v>
      </c>
      <c r="I347" s="212">
        <v>44419</v>
      </c>
      <c r="J347" s="86" t="s">
        <v>6052</v>
      </c>
    </row>
    <row r="348" spans="2:10" x14ac:dyDescent="0.2">
      <c r="B348" s="86">
        <v>345</v>
      </c>
      <c r="C348" s="86" t="s">
        <v>1820</v>
      </c>
      <c r="D348" s="304">
        <f>_xlfn.IFNA(VLOOKUP(C348,Database!$D$5:$F$439,2,0),VLOOKUP(C348,logut!$C$4:$D$499,2,0))</f>
        <v>641807161</v>
      </c>
      <c r="E348" s="86" t="s">
        <v>312</v>
      </c>
      <c r="G348" s="86" t="s">
        <v>5980</v>
      </c>
      <c r="H348" s="86" t="s">
        <v>28</v>
      </c>
      <c r="I348" s="212">
        <v>44419</v>
      </c>
      <c r="J348" s="86" t="s">
        <v>6052</v>
      </c>
    </row>
    <row r="349" spans="2:10" x14ac:dyDescent="0.2">
      <c r="B349" s="86">
        <v>346</v>
      </c>
      <c r="C349" s="86" t="s">
        <v>1277</v>
      </c>
      <c r="D349" s="304">
        <f>_xlfn.IFNA(VLOOKUP(C349,Database!$D$5:$F$439,2,0),VLOOKUP(C349,logut!$C$4:$D$499,2,0))</f>
        <v>642001042</v>
      </c>
      <c r="E349" s="86" t="s">
        <v>312</v>
      </c>
      <c r="G349" s="86" t="s">
        <v>5980</v>
      </c>
      <c r="H349" s="86" t="s">
        <v>28</v>
      </c>
      <c r="I349" s="212">
        <v>44419</v>
      </c>
      <c r="J349" s="86" t="s">
        <v>6052</v>
      </c>
    </row>
    <row r="350" spans="2:10" x14ac:dyDescent="0.2">
      <c r="B350" s="86">
        <v>347</v>
      </c>
      <c r="C350" s="86" t="s">
        <v>962</v>
      </c>
      <c r="D350" s="304">
        <f>_xlfn.IFNA(VLOOKUP(C350,Database!$D$5:$F$439,2,0),VLOOKUP(C350,logut!$C$4:$D$499,2,0))</f>
        <v>642001053</v>
      </c>
      <c r="E350" s="86" t="s">
        <v>312</v>
      </c>
      <c r="G350" s="86" t="s">
        <v>5980</v>
      </c>
      <c r="H350" s="86" t="s">
        <v>28</v>
      </c>
      <c r="I350" s="212">
        <v>44419</v>
      </c>
      <c r="J350" s="86" t="s">
        <v>6052</v>
      </c>
    </row>
    <row r="351" spans="2:10" x14ac:dyDescent="0.2">
      <c r="B351" s="86">
        <v>348</v>
      </c>
      <c r="C351" s="86" t="s">
        <v>1303</v>
      </c>
      <c r="D351" s="304">
        <f>_xlfn.IFNA(VLOOKUP(C351,Database!$D$5:$F$439,2,0),VLOOKUP(C351,logut!$C$4:$D$499,2,0))</f>
        <v>642001039</v>
      </c>
      <c r="E351" s="86" t="s">
        <v>312</v>
      </c>
      <c r="G351" s="86" t="s">
        <v>5980</v>
      </c>
      <c r="H351" s="86" t="s">
        <v>28</v>
      </c>
      <c r="I351" s="212">
        <v>44419</v>
      </c>
      <c r="J351" s="86" t="s">
        <v>6052</v>
      </c>
    </row>
    <row r="352" spans="2:10" x14ac:dyDescent="0.2">
      <c r="B352" s="86">
        <v>349</v>
      </c>
      <c r="C352" s="86" t="s">
        <v>476</v>
      </c>
      <c r="D352" s="304">
        <f>_xlfn.IFNA(VLOOKUP(C352,Database!$D$5:$F$439,2,0),VLOOKUP(C352,logut!$C$4:$D$499,2,0))</f>
        <v>971700006</v>
      </c>
      <c r="E352" s="86" t="s">
        <v>140</v>
      </c>
      <c r="G352" s="86" t="s">
        <v>5980</v>
      </c>
      <c r="H352" s="86" t="s">
        <v>28</v>
      </c>
      <c r="I352" s="212">
        <v>44419</v>
      </c>
      <c r="J352" s="86" t="s">
        <v>6052</v>
      </c>
    </row>
    <row r="353" spans="2:10" x14ac:dyDescent="0.2">
      <c r="B353" s="86">
        <v>350</v>
      </c>
      <c r="C353" s="86" t="s">
        <v>805</v>
      </c>
      <c r="D353" s="304">
        <f>_xlfn.IFNA(VLOOKUP(C353,Database!$D$5:$F$439,2,0),VLOOKUP(C353,logut!$C$4:$D$499,2,0))</f>
        <v>642001019</v>
      </c>
      <c r="E353" s="86" t="s">
        <v>140</v>
      </c>
      <c r="G353" s="86" t="s">
        <v>5980</v>
      </c>
      <c r="H353" s="86" t="s">
        <v>30</v>
      </c>
      <c r="I353" s="212">
        <v>44423</v>
      </c>
      <c r="J353" s="86" t="s">
        <v>6052</v>
      </c>
    </row>
    <row r="354" spans="2:10" x14ac:dyDescent="0.2">
      <c r="B354" s="86">
        <v>351</v>
      </c>
      <c r="C354" s="86" t="s">
        <v>1689</v>
      </c>
      <c r="D354" s="304">
        <f>_xlfn.IFNA(VLOOKUP(C354,Database!$D$5:$F$439,2,0),VLOOKUP(C354,logut!$C$4:$D$499,2,0))</f>
        <v>641806155</v>
      </c>
      <c r="E354" s="86" t="s">
        <v>312</v>
      </c>
      <c r="G354" s="86" t="s">
        <v>51</v>
      </c>
      <c r="H354" s="86" t="s">
        <v>23</v>
      </c>
      <c r="I354" s="212">
        <v>44423</v>
      </c>
      <c r="J354" s="86" t="s">
        <v>6052</v>
      </c>
    </row>
    <row r="355" spans="2:10" x14ac:dyDescent="0.2">
      <c r="B355" s="86">
        <v>352</v>
      </c>
      <c r="C355" s="86" t="s">
        <v>821</v>
      </c>
      <c r="D355" s="304">
        <f>_xlfn.IFNA(VLOOKUP(C355,Database!$D$5:$F$439,2,0),VLOOKUP(C355,logut!$C$4:$D$499,2,0))</f>
        <v>972400067</v>
      </c>
      <c r="E355" s="86" t="s">
        <v>140</v>
      </c>
      <c r="G355" s="86" t="s">
        <v>5955</v>
      </c>
      <c r="H355" s="86" t="s">
        <v>26</v>
      </c>
      <c r="I355" s="212">
        <v>44423</v>
      </c>
      <c r="J355" s="86" t="s">
        <v>6052</v>
      </c>
    </row>
    <row r="356" spans="2:10" x14ac:dyDescent="0.2">
      <c r="B356" s="86">
        <v>353</v>
      </c>
      <c r="C356" s="86" t="s">
        <v>1114</v>
      </c>
      <c r="D356" s="304">
        <f>_xlfn.IFNA(VLOOKUP(C356,Database!$D$5:$F$439,2,0),VLOOKUP(C356,logut!$C$4:$D$499,2,0))</f>
        <v>642001046</v>
      </c>
      <c r="E356" s="86" t="s">
        <v>140</v>
      </c>
      <c r="G356" s="86" t="s">
        <v>5980</v>
      </c>
      <c r="H356" s="86" t="s">
        <v>2392</v>
      </c>
      <c r="I356" s="212">
        <v>44424</v>
      </c>
      <c r="J356" s="86" t="s">
        <v>6052</v>
      </c>
    </row>
    <row r="357" spans="2:10" x14ac:dyDescent="0.2">
      <c r="B357" s="86">
        <v>354</v>
      </c>
      <c r="C357" s="86" t="s">
        <v>2602</v>
      </c>
      <c r="D357" s="304">
        <f>_xlfn.IFNA(VLOOKUP(C357,Database!$D$5:$F$439,2,0),VLOOKUP(C357,logut!$C$4:$D$499,2,0))</f>
        <v>642002085</v>
      </c>
      <c r="E357" s="86" t="s">
        <v>140</v>
      </c>
      <c r="G357" s="86" t="s">
        <v>5980</v>
      </c>
      <c r="H357" s="86" t="s">
        <v>2392</v>
      </c>
      <c r="I357" s="212">
        <v>44424</v>
      </c>
      <c r="J357" s="86" t="s">
        <v>6052</v>
      </c>
    </row>
    <row r="358" spans="2:10" x14ac:dyDescent="0.2">
      <c r="B358" s="86">
        <v>355</v>
      </c>
      <c r="C358" s="86" t="s">
        <v>2409</v>
      </c>
      <c r="D358" s="304">
        <f>_xlfn.IFNA(VLOOKUP(C358,Database!$D$5:$F$439,2,0),VLOOKUP(C358,logut!$C$4:$D$499,2,0))</f>
        <v>641907253</v>
      </c>
      <c r="E358" s="86" t="s">
        <v>312</v>
      </c>
      <c r="G358" s="86" t="s">
        <v>444</v>
      </c>
      <c r="H358" s="86" t="s">
        <v>24</v>
      </c>
      <c r="I358" s="212">
        <v>44427</v>
      </c>
      <c r="J358" s="86" t="s">
        <v>6052</v>
      </c>
    </row>
    <row r="359" spans="2:10" x14ac:dyDescent="0.2">
      <c r="B359" s="86">
        <v>356</v>
      </c>
      <c r="C359" s="86" t="s">
        <v>1125</v>
      </c>
      <c r="D359" s="304">
        <f>_xlfn.IFNA(VLOOKUP(C359,Database!$D$5:$F$439,2,0),VLOOKUP(C359,logut!$C$4:$D$499,2,0))</f>
        <v>642001048</v>
      </c>
      <c r="E359" s="86" t="s">
        <v>140</v>
      </c>
      <c r="G359" s="86" t="s">
        <v>5980</v>
      </c>
      <c r="H359" s="86" t="s">
        <v>2298</v>
      </c>
      <c r="I359" s="212">
        <v>44427</v>
      </c>
      <c r="J359" s="86" t="s">
        <v>6052</v>
      </c>
    </row>
    <row r="360" spans="2:10" x14ac:dyDescent="0.2">
      <c r="B360" s="86">
        <v>357</v>
      </c>
      <c r="C360" s="86" t="s">
        <v>1843</v>
      </c>
      <c r="D360" s="304">
        <f>_xlfn.IFNA(VLOOKUP(C360,Database!$D$5:$F$439,2,0),VLOOKUP(C360,logut!$C$4:$D$499,2,0))</f>
        <v>641808176</v>
      </c>
      <c r="E360" s="86" t="s">
        <v>312</v>
      </c>
      <c r="G360" s="86" t="s">
        <v>5980</v>
      </c>
      <c r="H360" s="86" t="s">
        <v>29</v>
      </c>
      <c r="I360" s="212">
        <v>44427</v>
      </c>
      <c r="J360" s="86" t="s">
        <v>6052</v>
      </c>
    </row>
    <row r="361" spans="2:10" x14ac:dyDescent="0.2">
      <c r="B361" s="86">
        <v>358</v>
      </c>
      <c r="C361" s="86" t="s">
        <v>2275</v>
      </c>
      <c r="D361" s="304">
        <f>_xlfn.IFNA(VLOOKUP(C361,Database!$D$5:$F$439,2,0),VLOOKUP(C361,logut!$C$4:$D$499,2,0))</f>
        <v>641907235</v>
      </c>
      <c r="E361" s="86" t="s">
        <v>312</v>
      </c>
      <c r="G361" s="86" t="s">
        <v>5980</v>
      </c>
      <c r="H361" s="86" t="s">
        <v>24</v>
      </c>
      <c r="I361" s="212">
        <v>44427</v>
      </c>
      <c r="J361" s="86" t="s">
        <v>6052</v>
      </c>
    </row>
    <row r="362" spans="2:10" x14ac:dyDescent="0.2">
      <c r="B362" s="86">
        <v>359</v>
      </c>
      <c r="C362" s="86" t="s">
        <v>2465</v>
      </c>
      <c r="D362" s="304">
        <f>_xlfn.IFNA(VLOOKUP(C362,Database!$D$5:$F$439,2,0),VLOOKUP(C362,logut!$C$4:$D$499,2,0))</f>
        <v>641907267</v>
      </c>
      <c r="E362" s="86" t="s">
        <v>312</v>
      </c>
      <c r="G362" s="86" t="s">
        <v>5980</v>
      </c>
      <c r="H362" s="86" t="s">
        <v>2298</v>
      </c>
      <c r="I362" s="212">
        <v>44427</v>
      </c>
      <c r="J362" s="86" t="s">
        <v>6052</v>
      </c>
    </row>
    <row r="363" spans="2:10" x14ac:dyDescent="0.2">
      <c r="B363" s="86">
        <v>360</v>
      </c>
      <c r="C363" s="86" t="s">
        <v>831</v>
      </c>
      <c r="D363" s="304">
        <f>_xlfn.IFNA(VLOOKUP(C363,Database!$D$5:$F$439,2,0),VLOOKUP(C363,logut!$C$4:$D$499,2,0))</f>
        <v>642001014</v>
      </c>
      <c r="E363" s="86" t="s">
        <v>312</v>
      </c>
      <c r="G363" s="86" t="s">
        <v>57</v>
      </c>
      <c r="H363" s="86" t="s">
        <v>25</v>
      </c>
      <c r="I363" s="212">
        <v>44427</v>
      </c>
      <c r="J363" s="86" t="s">
        <v>6053</v>
      </c>
    </row>
    <row r="364" spans="2:10" x14ac:dyDescent="0.2">
      <c r="B364" s="86">
        <v>361</v>
      </c>
      <c r="C364" s="86" t="s">
        <v>5871</v>
      </c>
      <c r="D364" s="304">
        <f>_xlfn.IFNA(VLOOKUP(C364,Database!$D$5:$F$439,2,0),VLOOKUP(C364,logut!$C$4:$D$499,2,0))</f>
        <v>641907239</v>
      </c>
      <c r="E364" s="86" t="s">
        <v>312</v>
      </c>
      <c r="G364" s="86" t="s">
        <v>5980</v>
      </c>
      <c r="H364" s="86" t="s">
        <v>24</v>
      </c>
      <c r="I364" s="212">
        <v>44427</v>
      </c>
      <c r="J364" s="86" t="s">
        <v>6052</v>
      </c>
    </row>
    <row r="365" spans="2:10" x14ac:dyDescent="0.2">
      <c r="B365" s="86">
        <v>362</v>
      </c>
      <c r="C365" s="86" t="s">
        <v>2835</v>
      </c>
      <c r="D365" s="304">
        <f>_xlfn.IFNA(VLOOKUP(C365,Database!$D$5:$F$439,2,0),VLOOKUP(C365,logut!$C$4:$D$499,2,0))</f>
        <v>642101102</v>
      </c>
      <c r="E365" s="86" t="s">
        <v>312</v>
      </c>
      <c r="G365" s="86" t="s">
        <v>51</v>
      </c>
      <c r="H365" s="86" t="s">
        <v>23</v>
      </c>
      <c r="I365" s="212">
        <v>44427</v>
      </c>
      <c r="J365" s="86" t="s">
        <v>6053</v>
      </c>
    </row>
    <row r="366" spans="2:10" x14ac:dyDescent="0.2">
      <c r="B366" s="86">
        <v>363</v>
      </c>
      <c r="C366" s="86" t="s">
        <v>4926</v>
      </c>
      <c r="D366" s="304">
        <f>_xlfn.IFNA(VLOOKUP(C366,Database!$D$5:$F$439,2,0),VLOOKUP(C366,logut!$C$4:$D$499,2,0))</f>
        <v>641811207</v>
      </c>
      <c r="E366" s="86" t="s">
        <v>312</v>
      </c>
      <c r="G366" s="86" t="s">
        <v>6050</v>
      </c>
      <c r="H366" s="86" t="s">
        <v>217</v>
      </c>
      <c r="I366" s="212">
        <v>44427</v>
      </c>
      <c r="J366" s="86" t="s">
        <v>6052</v>
      </c>
    </row>
    <row r="367" spans="2:10" x14ac:dyDescent="0.2">
      <c r="B367" s="86">
        <v>364</v>
      </c>
      <c r="C367" s="86" t="s">
        <v>2570</v>
      </c>
      <c r="D367" s="304">
        <f>_xlfn.IFNA(VLOOKUP(C367,Database!$D$5:$F$439,2,0),VLOOKUP(C367,logut!$C$4:$D$499,2,0))</f>
        <v>642002079</v>
      </c>
      <c r="E367" s="86" t="s">
        <v>140</v>
      </c>
      <c r="G367" s="86" t="s">
        <v>5980</v>
      </c>
      <c r="H367" s="86" t="s">
        <v>23</v>
      </c>
      <c r="I367" s="212">
        <v>44427</v>
      </c>
      <c r="J367" s="86" t="s">
        <v>6052</v>
      </c>
    </row>
    <row r="368" spans="2:10" x14ac:dyDescent="0.2">
      <c r="B368" s="86">
        <v>365</v>
      </c>
      <c r="C368" s="86" t="s">
        <v>1753</v>
      </c>
      <c r="D368" s="304">
        <f>_xlfn.IFNA(VLOOKUP(C368,Database!$D$5:$F$439,2,0),VLOOKUP(C368,logut!$C$4:$D$499,2,0))</f>
        <v>641807168</v>
      </c>
      <c r="E368" s="86" t="s">
        <v>312</v>
      </c>
      <c r="G368" s="86" t="s">
        <v>51</v>
      </c>
      <c r="H368" s="86" t="s">
        <v>23</v>
      </c>
      <c r="I368" s="212">
        <v>44427</v>
      </c>
      <c r="J368" s="86" t="s">
        <v>6053</v>
      </c>
    </row>
    <row r="369" spans="2:10" x14ac:dyDescent="0.2">
      <c r="B369" s="86">
        <v>366</v>
      </c>
      <c r="C369" s="86" t="s">
        <v>488</v>
      </c>
      <c r="D369" s="304">
        <f>_xlfn.IFNA(VLOOKUP(C369,Database!$D$5:$F$439,2,0),VLOOKUP(C369,logut!$C$4:$D$499,2,0))</f>
        <v>971700007</v>
      </c>
      <c r="E369" s="86" t="s">
        <v>140</v>
      </c>
      <c r="G369" s="86" t="s">
        <v>5980</v>
      </c>
      <c r="H369" s="86" t="s">
        <v>29</v>
      </c>
      <c r="I369" s="212">
        <v>44427</v>
      </c>
      <c r="J369" s="86" t="s">
        <v>6053</v>
      </c>
    </row>
    <row r="370" spans="2:10" x14ac:dyDescent="0.2">
      <c r="B370" s="86">
        <v>367</v>
      </c>
      <c r="C370" s="86" t="s">
        <v>2962</v>
      </c>
      <c r="D370" s="304">
        <f>_xlfn.IFNA(VLOOKUP(C370,Database!$D$5:$F$439,2,0),VLOOKUP(C370,logut!$C$4:$D$499,2,0))</f>
        <v>642109115</v>
      </c>
      <c r="E370" s="86" t="s">
        <v>312</v>
      </c>
      <c r="G370" s="86" t="s">
        <v>51</v>
      </c>
      <c r="H370" s="86" t="s">
        <v>23</v>
      </c>
      <c r="I370" s="212">
        <v>44466</v>
      </c>
    </row>
    <row r="371" spans="2:10" x14ac:dyDescent="0.2">
      <c r="B371" s="86">
        <v>368</v>
      </c>
      <c r="C371" s="86" t="s">
        <v>2944</v>
      </c>
      <c r="D371" s="304">
        <f>_xlfn.IFNA(VLOOKUP(C371,Database!$D$5:$F$439,2,0),VLOOKUP(C371,logut!$C$4:$D$499,2,0))</f>
        <v>642109114</v>
      </c>
      <c r="E371" s="86" t="s">
        <v>312</v>
      </c>
      <c r="G371" s="86" t="s">
        <v>57</v>
      </c>
      <c r="H371" s="86" t="s">
        <v>25</v>
      </c>
      <c r="I371" s="212">
        <v>44466</v>
      </c>
    </row>
    <row r="372" spans="2:10" x14ac:dyDescent="0.2">
      <c r="B372" s="86">
        <v>369</v>
      </c>
      <c r="C372" s="86" t="s">
        <v>2977</v>
      </c>
      <c r="D372" s="304">
        <f>_xlfn.IFNA(VLOOKUP(C372,Database!$D$5:$F$439,2,0),VLOOKUP(C372,logut!$C$4:$D$499,2,0))</f>
        <v>642109118</v>
      </c>
      <c r="E372" s="86" t="s">
        <v>312</v>
      </c>
      <c r="G372" s="86" t="s">
        <v>57</v>
      </c>
      <c r="H372" s="86" t="s">
        <v>25</v>
      </c>
      <c r="I372" s="212">
        <v>44466</v>
      </c>
    </row>
    <row r="373" spans="2:10" x14ac:dyDescent="0.2">
      <c r="B373" s="86">
        <v>370</v>
      </c>
      <c r="C373" s="86" t="s">
        <v>5089</v>
      </c>
      <c r="D373" s="304">
        <f>_xlfn.IFNA(VLOOKUP(C373,Database!$D$5:$F$439,2,0),VLOOKUP(C373,logut!$C$4:$D$499,2,0))</f>
        <v>642109116</v>
      </c>
      <c r="E373" s="86" t="s">
        <v>312</v>
      </c>
      <c r="G373" s="86" t="s">
        <v>51</v>
      </c>
      <c r="H373" s="86" t="s">
        <v>23</v>
      </c>
      <c r="I373" s="212">
        <v>44466</v>
      </c>
    </row>
    <row r="374" spans="2:10" x14ac:dyDescent="0.2">
      <c r="B374" s="86">
        <v>371</v>
      </c>
      <c r="C374" s="86" t="s">
        <v>2951</v>
      </c>
      <c r="D374" s="304">
        <f>_xlfn.IFNA(VLOOKUP(C374,Database!$D$5:$F$439,2,0),VLOOKUP(C374,logut!$C$4:$D$499,2,0))</f>
        <v>642109117</v>
      </c>
      <c r="E374" s="86" t="s">
        <v>312</v>
      </c>
      <c r="G374" s="86" t="s">
        <v>51</v>
      </c>
      <c r="H374" s="86" t="s">
        <v>23</v>
      </c>
      <c r="I374" s="212">
        <v>44466</v>
      </c>
    </row>
    <row r="375" spans="2:10" x14ac:dyDescent="0.2">
      <c r="B375" s="86">
        <v>372</v>
      </c>
      <c r="C375" s="86" t="s">
        <v>5097</v>
      </c>
      <c r="D375" s="304">
        <f>_xlfn.IFNA(VLOOKUP(C375,Database!$D$5:$F$439,2,0),VLOOKUP(C375,logut!$C$4:$D$499,2,0))</f>
        <v>642109119</v>
      </c>
      <c r="E375" s="86" t="s">
        <v>312</v>
      </c>
      <c r="G375" s="86" t="s">
        <v>57</v>
      </c>
      <c r="H375" s="86" t="s">
        <v>25</v>
      </c>
      <c r="I375" s="212">
        <v>44466</v>
      </c>
    </row>
    <row r="376" spans="2:10" x14ac:dyDescent="0.2">
      <c r="B376" s="86">
        <v>373</v>
      </c>
      <c r="C376" s="86" t="s">
        <v>2925</v>
      </c>
      <c r="D376" s="304">
        <f>_xlfn.IFNA(VLOOKUP(C376,Database!$D$5:$F$439,2,0),VLOOKUP(C376,logut!$C$4:$D$499,2,0))</f>
        <v>642109112</v>
      </c>
      <c r="E376" s="86" t="s">
        <v>312</v>
      </c>
      <c r="G376" s="86" t="s">
        <v>57</v>
      </c>
      <c r="H376" s="86" t="s">
        <v>25</v>
      </c>
      <c r="I376" s="212">
        <v>44466</v>
      </c>
    </row>
    <row r="377" spans="2:10" x14ac:dyDescent="0.2">
      <c r="B377" s="86">
        <v>374</v>
      </c>
      <c r="C377" s="86" t="s">
        <v>2933</v>
      </c>
      <c r="D377" s="304">
        <f>_xlfn.IFNA(VLOOKUP(C377,Database!$D$5:$F$439,2,0),VLOOKUP(C377,logut!$C$4:$D$499,2,0))</f>
        <v>642109113</v>
      </c>
      <c r="E377" s="86" t="s">
        <v>312</v>
      </c>
      <c r="G377" s="86" t="s">
        <v>57</v>
      </c>
      <c r="H377" s="86" t="s">
        <v>25</v>
      </c>
      <c r="I377" s="212">
        <v>44466</v>
      </c>
    </row>
    <row r="378" spans="2:10" x14ac:dyDescent="0.2">
      <c r="B378" s="86">
        <v>375</v>
      </c>
      <c r="C378" s="86" t="s">
        <v>2732</v>
      </c>
      <c r="D378" s="304">
        <f>_xlfn.IFNA(VLOOKUP(C378,Database!$D$5:$F$439,2,0),VLOOKUP(C378,logut!$C$4:$D$499,2,0))</f>
        <v>991700024</v>
      </c>
      <c r="E378" s="86" t="s">
        <v>312</v>
      </c>
      <c r="G378" s="86" t="s">
        <v>6001</v>
      </c>
      <c r="H378" s="86" t="s">
        <v>6002</v>
      </c>
      <c r="I378" s="212">
        <v>44587</v>
      </c>
      <c r="J378" s="86" t="s">
        <v>6054</v>
      </c>
    </row>
    <row r="379" spans="2:10" x14ac:dyDescent="0.2">
      <c r="B379" s="86">
        <v>376</v>
      </c>
      <c r="C379" s="86" t="s">
        <v>2741</v>
      </c>
      <c r="D379" s="304">
        <f>_xlfn.IFNA(VLOOKUP(C379,Database!$D$5:$F$439,2,0),VLOOKUP(C379,logut!$C$4:$D$499,2,0))</f>
        <v>999800030</v>
      </c>
      <c r="E379" s="86" t="s">
        <v>312</v>
      </c>
      <c r="G379" s="86" t="s">
        <v>6001</v>
      </c>
      <c r="H379" s="86" t="s">
        <v>6002</v>
      </c>
      <c r="I379" s="212">
        <v>44587</v>
      </c>
      <c r="J379" s="86" t="s">
        <v>6054</v>
      </c>
    </row>
    <row r="380" spans="2:10" x14ac:dyDescent="0.2">
      <c r="B380" s="86">
        <v>377</v>
      </c>
      <c r="C380" s="86" t="s">
        <v>592</v>
      </c>
      <c r="D380" s="304">
        <f>_xlfn.IFNA(VLOOKUP(C380,Database!$D$5:$F$439,2,0),VLOOKUP(C380,logut!$C$4:$D$499,2,0))</f>
        <v>971700008</v>
      </c>
      <c r="E380" s="86" t="s">
        <v>312</v>
      </c>
      <c r="G380" s="86" t="s">
        <v>6001</v>
      </c>
      <c r="H380" s="86" t="s">
        <v>6002</v>
      </c>
      <c r="I380" s="212">
        <v>44587</v>
      </c>
      <c r="J380" s="86" t="s">
        <v>6054</v>
      </c>
    </row>
    <row r="381" spans="2:10" x14ac:dyDescent="0.2">
      <c r="B381" s="86">
        <v>378</v>
      </c>
      <c r="C381" s="86" t="s">
        <v>419</v>
      </c>
      <c r="D381" s="304">
        <f>_xlfn.IFNA(VLOOKUP(C381,Database!$D$5:$F$439,2,0),VLOOKUP(C381,logut!$C$4:$D$499,2,0))</f>
        <v>642001017</v>
      </c>
      <c r="E381" s="86" t="s">
        <v>312</v>
      </c>
      <c r="G381" s="86" t="s">
        <v>6055</v>
      </c>
      <c r="H381" s="86" t="s">
        <v>29</v>
      </c>
      <c r="I381" s="212">
        <v>44593</v>
      </c>
      <c r="J381" s="86" t="s">
        <v>6056</v>
      </c>
    </row>
    <row r="382" spans="2:10" x14ac:dyDescent="0.2">
      <c r="B382" s="86">
        <v>379</v>
      </c>
      <c r="C382" s="86" t="s">
        <v>5309</v>
      </c>
      <c r="D382" s="304">
        <f>_xlfn.IFNA(VLOOKUP(C382,Database!$D$5:$F$439,2,0),VLOOKUP(C382,logut!$C$4:$D$499,2,0))</f>
        <v>999100010</v>
      </c>
      <c r="E382" s="86" t="s">
        <v>312</v>
      </c>
      <c r="G382" s="86" t="s">
        <v>6055</v>
      </c>
      <c r="H382" s="86" t="s">
        <v>29</v>
      </c>
      <c r="I382" s="212">
        <v>44593</v>
      </c>
      <c r="J382" s="86" t="s">
        <v>6056</v>
      </c>
    </row>
    <row r="383" spans="2:10" x14ac:dyDescent="0.2">
      <c r="B383" s="86">
        <v>380</v>
      </c>
      <c r="C383" s="86" t="s">
        <v>5356</v>
      </c>
      <c r="D383" s="304">
        <f>_xlfn.IFNA(VLOOKUP(C383,Database!$D$5:$F$439,2,0),VLOOKUP(C383,logut!$C$4:$D$499,2,0))</f>
        <v>999800152</v>
      </c>
      <c r="E383" s="86" t="s">
        <v>312</v>
      </c>
      <c r="G383" s="86" t="s">
        <v>6055</v>
      </c>
      <c r="H383" s="86" t="s">
        <v>29</v>
      </c>
      <c r="I383" s="212">
        <v>44593</v>
      </c>
      <c r="J383" s="86" t="s">
        <v>6056</v>
      </c>
    </row>
    <row r="384" spans="2:10" x14ac:dyDescent="0.2">
      <c r="B384" s="86">
        <v>381</v>
      </c>
      <c r="C384" s="86" t="s">
        <v>403</v>
      </c>
      <c r="D384" s="304">
        <f>_xlfn.IFNA(VLOOKUP(C384,Database!$D$5:$F$439,2,0),VLOOKUP(C384,logut!$C$4:$D$499,2,0))</f>
        <v>642001016</v>
      </c>
      <c r="E384" s="86" t="s">
        <v>312</v>
      </c>
      <c r="G384" s="86" t="s">
        <v>6055</v>
      </c>
      <c r="H384" s="86" t="s">
        <v>29</v>
      </c>
      <c r="I384" s="212">
        <v>44593</v>
      </c>
      <c r="J384" s="86" t="s">
        <v>6056</v>
      </c>
    </row>
    <row r="385" spans="2:10" x14ac:dyDescent="0.2">
      <c r="B385" s="86">
        <v>382</v>
      </c>
      <c r="C385" s="86" t="s">
        <v>5321</v>
      </c>
      <c r="D385" s="304">
        <f>_xlfn.IFNA(VLOOKUP(C385,Database!$D$5:$F$439,2,0),VLOOKUP(C385,logut!$C$4:$D$499,2,0))</f>
        <v>999900029</v>
      </c>
      <c r="E385" s="86" t="s">
        <v>312</v>
      </c>
      <c r="G385" s="86" t="s">
        <v>6055</v>
      </c>
      <c r="H385" s="86" t="s">
        <v>29</v>
      </c>
      <c r="I385" s="212">
        <v>44593</v>
      </c>
      <c r="J385" s="86" t="s">
        <v>6056</v>
      </c>
    </row>
    <row r="386" spans="2:10" x14ac:dyDescent="0.2">
      <c r="B386" s="86">
        <v>383</v>
      </c>
      <c r="C386" s="86" t="s">
        <v>654</v>
      </c>
      <c r="D386" s="304">
        <f>_xlfn.IFNA(VLOOKUP(C386,Database!$D$5:$F$439,2,0),VLOOKUP(C386,logut!$C$4:$D$499,2,0))</f>
        <v>642001015</v>
      </c>
      <c r="E386" s="86" t="s">
        <v>312</v>
      </c>
      <c r="G386" s="86" t="s">
        <v>6055</v>
      </c>
      <c r="H386" s="86" t="s">
        <v>29</v>
      </c>
      <c r="I386" s="212">
        <v>44593</v>
      </c>
      <c r="J386" s="86" t="s">
        <v>6056</v>
      </c>
    </row>
    <row r="387" spans="2:10" x14ac:dyDescent="0.2">
      <c r="B387" s="86">
        <v>384</v>
      </c>
      <c r="C387" s="86" t="s">
        <v>5333</v>
      </c>
      <c r="D387" s="304">
        <f>_xlfn.IFNA(VLOOKUP(C387,Database!$D$5:$F$439,2,0),VLOOKUP(C387,logut!$C$4:$D$499,2,0))</f>
        <v>991700037</v>
      </c>
      <c r="E387" s="86" t="s">
        <v>312</v>
      </c>
      <c r="G387" s="86" t="s">
        <v>6055</v>
      </c>
      <c r="H387" s="86" t="s">
        <v>29</v>
      </c>
      <c r="I387" s="212">
        <v>44593</v>
      </c>
      <c r="J387" s="86" t="s">
        <v>6056</v>
      </c>
    </row>
    <row r="388" spans="2:10" x14ac:dyDescent="0.2">
      <c r="B388" s="86">
        <v>385</v>
      </c>
      <c r="C388" s="86" t="s">
        <v>3466</v>
      </c>
      <c r="D388" s="304">
        <f>_xlfn.IFNA(VLOOKUP(C388,Database!$D$5:$F$439,2,0),VLOOKUP(C388,logut!$C$4:$D$499,2,0))</f>
        <v>642301178</v>
      </c>
      <c r="E388" s="86" t="s">
        <v>312</v>
      </c>
      <c r="G388" s="86" t="s">
        <v>6055</v>
      </c>
      <c r="H388" s="86" t="s">
        <v>29</v>
      </c>
      <c r="I388" s="212">
        <v>44593</v>
      </c>
      <c r="J388" s="86" t="s">
        <v>6056</v>
      </c>
    </row>
    <row r="389" spans="2:10" x14ac:dyDescent="0.2">
      <c r="B389" s="86">
        <v>386</v>
      </c>
      <c r="C389" s="86" t="s">
        <v>5343</v>
      </c>
      <c r="D389" s="304">
        <f>_xlfn.IFNA(VLOOKUP(C389,Database!$D$5:$F$439,2,0),VLOOKUP(C389,logut!$C$4:$D$499,2,0))</f>
        <v>999400075</v>
      </c>
      <c r="E389" s="86" t="s">
        <v>312</v>
      </c>
      <c r="G389" s="86" t="s">
        <v>6055</v>
      </c>
      <c r="H389" s="86" t="s">
        <v>29</v>
      </c>
      <c r="I389" s="212">
        <v>44593</v>
      </c>
      <c r="J389" s="86" t="s">
        <v>6056</v>
      </c>
    </row>
    <row r="390" spans="2:10" x14ac:dyDescent="0.2">
      <c r="B390" s="86">
        <v>387</v>
      </c>
      <c r="C390" s="86" t="s">
        <v>2297</v>
      </c>
      <c r="D390" s="304">
        <f>_xlfn.IFNA(VLOOKUP(C390,Database!$D$5:$F$439,2,0),VLOOKUP(C390,logut!$C$4:$D$499,2,0))</f>
        <v>641907245</v>
      </c>
      <c r="E390" s="86" t="s">
        <v>312</v>
      </c>
      <c r="G390" s="86" t="s">
        <v>51</v>
      </c>
      <c r="H390" s="86" t="s">
        <v>23</v>
      </c>
      <c r="I390" s="212">
        <v>44595</v>
      </c>
      <c r="J390" s="86" t="s">
        <v>6057</v>
      </c>
    </row>
    <row r="391" spans="2:10" x14ac:dyDescent="0.2">
      <c r="B391" s="86">
        <v>388</v>
      </c>
      <c r="C391" s="86" t="s">
        <v>2399</v>
      </c>
      <c r="D391" s="304">
        <f>_xlfn.IFNA(VLOOKUP(C391,Database!$D$5:$F$439,2,0),VLOOKUP(C391,logut!$C$4:$D$499,2,0))</f>
        <v>641907257</v>
      </c>
      <c r="E391" s="86" t="s">
        <v>312</v>
      </c>
      <c r="G391" s="86" t="s">
        <v>51</v>
      </c>
      <c r="H391" s="86" t="s">
        <v>23</v>
      </c>
      <c r="I391" s="212">
        <v>44595</v>
      </c>
      <c r="J391" s="86" t="s">
        <v>6057</v>
      </c>
    </row>
    <row r="392" spans="2:10" x14ac:dyDescent="0.2">
      <c r="B392" s="86">
        <v>389</v>
      </c>
      <c r="C392" s="86" t="s">
        <v>3280</v>
      </c>
      <c r="D392" s="304">
        <f>_xlfn.IFNA(VLOOKUP(C392,Database!$D$5:$F$439,2,0),VLOOKUP(C392,logut!$C$4:$D$499,2,0))</f>
        <v>642201153</v>
      </c>
      <c r="E392" s="86" t="s">
        <v>312</v>
      </c>
      <c r="G392" s="86" t="s">
        <v>51</v>
      </c>
      <c r="H392" s="86" t="s">
        <v>23</v>
      </c>
      <c r="I392" s="212">
        <v>44595</v>
      </c>
      <c r="J392" s="86" t="s">
        <v>6057</v>
      </c>
    </row>
    <row r="393" spans="2:10" x14ac:dyDescent="0.2">
      <c r="B393" s="86">
        <v>390</v>
      </c>
      <c r="C393" s="86" t="s">
        <v>3205</v>
      </c>
      <c r="D393" s="304">
        <f>_xlfn.IFNA(VLOOKUP(C393,Database!$D$5:$F$439,2,0),VLOOKUP(C393,logut!$C$4:$D$499,2,0))</f>
        <v>642201133</v>
      </c>
      <c r="E393" s="86" t="s">
        <v>312</v>
      </c>
      <c r="G393" s="86" t="s">
        <v>444</v>
      </c>
      <c r="H393" s="86" t="s">
        <v>24</v>
      </c>
      <c r="I393" s="212">
        <v>44595</v>
      </c>
      <c r="J393" s="86" t="s">
        <v>6058</v>
      </c>
    </row>
    <row r="394" spans="2:10" x14ac:dyDescent="0.2">
      <c r="B394" s="86">
        <v>391</v>
      </c>
      <c r="C394" s="86" t="s">
        <v>5677</v>
      </c>
      <c r="D394" s="304">
        <f>_xlfn.IFNA(VLOOKUP(C394,Database!$D$5:$F$439,2,0),VLOOKUP(C394,logut!$C$4:$D$499,2,0))</f>
        <v>642201140</v>
      </c>
      <c r="E394" s="86" t="s">
        <v>312</v>
      </c>
      <c r="G394" s="86" t="s">
        <v>444</v>
      </c>
      <c r="H394" s="86" t="s">
        <v>24</v>
      </c>
      <c r="I394" s="212">
        <v>44595</v>
      </c>
      <c r="J394" s="86" t="s">
        <v>6058</v>
      </c>
    </row>
    <row r="395" spans="2:10" x14ac:dyDescent="0.2">
      <c r="B395" s="86">
        <v>392</v>
      </c>
      <c r="C395" s="86" t="s">
        <v>1236</v>
      </c>
      <c r="D395" s="304">
        <f>_xlfn.IFNA(VLOOKUP(C395,Database!$D$5:$F$439,2,0),VLOOKUP(C395,logut!$C$4:$D$499,2,0))</f>
        <v>642001035</v>
      </c>
      <c r="E395" s="86" t="s">
        <v>312</v>
      </c>
      <c r="G395" s="86" t="s">
        <v>51</v>
      </c>
      <c r="H395" s="86" t="s">
        <v>23</v>
      </c>
      <c r="I395" s="212">
        <v>44595</v>
      </c>
      <c r="J395" s="86" t="s">
        <v>6057</v>
      </c>
    </row>
    <row r="396" spans="2:10" x14ac:dyDescent="0.2">
      <c r="B396" s="86">
        <v>393</v>
      </c>
      <c r="C396" s="86" t="s">
        <v>1200</v>
      </c>
      <c r="D396" s="304">
        <f>_xlfn.IFNA(VLOOKUP(C396,Database!$D$5:$F$439,2,0),VLOOKUP(C396,logut!$C$4:$D$499,2,0))</f>
        <v>642001045</v>
      </c>
      <c r="E396" s="86" t="s">
        <v>312</v>
      </c>
      <c r="G396" s="86" t="s">
        <v>51</v>
      </c>
      <c r="H396" s="86" t="s">
        <v>23</v>
      </c>
      <c r="I396" s="212">
        <v>44595</v>
      </c>
      <c r="J396" s="86" t="s">
        <v>6057</v>
      </c>
    </row>
    <row r="397" spans="2:10" x14ac:dyDescent="0.2">
      <c r="B397" s="86">
        <v>394</v>
      </c>
      <c r="C397" s="86" t="s">
        <v>979</v>
      </c>
      <c r="D397" s="304">
        <f>_xlfn.IFNA(VLOOKUP(C397,Database!$D$5:$F$439,2,0),VLOOKUP(C397,logut!$C$4:$D$499,2,0))</f>
        <v>642001058</v>
      </c>
      <c r="E397" s="86" t="s">
        <v>312</v>
      </c>
      <c r="G397" s="86" t="s">
        <v>51</v>
      </c>
      <c r="H397" s="86" t="s">
        <v>23</v>
      </c>
      <c r="I397" s="212">
        <v>44595</v>
      </c>
      <c r="J397" s="86" t="s">
        <v>6057</v>
      </c>
    </row>
    <row r="398" spans="2:10" x14ac:dyDescent="0.2">
      <c r="B398" s="86">
        <v>395</v>
      </c>
      <c r="C398" s="86" t="s">
        <v>1125</v>
      </c>
      <c r="D398" s="304">
        <f>_xlfn.IFNA(VLOOKUP(C398,Database!$D$5:$F$439,2,0),VLOOKUP(C398,logut!$C$4:$D$499,2,0))</f>
        <v>642001048</v>
      </c>
      <c r="E398" s="86" t="s">
        <v>312</v>
      </c>
      <c r="G398" s="86" t="s">
        <v>51</v>
      </c>
      <c r="H398" s="86" t="s">
        <v>23</v>
      </c>
      <c r="I398" s="212">
        <v>44595</v>
      </c>
      <c r="J398" s="86" t="s">
        <v>6057</v>
      </c>
    </row>
    <row r="399" spans="2:10" x14ac:dyDescent="0.2">
      <c r="B399" s="86">
        <v>396</v>
      </c>
      <c r="C399" s="86" t="s">
        <v>3216</v>
      </c>
      <c r="D399" s="304">
        <f>_xlfn.IFNA(VLOOKUP(C399,Database!$D$5:$F$439,2,0),VLOOKUP(C399,logut!$C$4:$D$499,2,0))</f>
        <v>642201143</v>
      </c>
      <c r="E399" s="86" t="s">
        <v>312</v>
      </c>
      <c r="G399" s="86" t="s">
        <v>444</v>
      </c>
      <c r="H399" s="86" t="s">
        <v>24</v>
      </c>
      <c r="I399" s="212">
        <v>44595</v>
      </c>
      <c r="J399" s="86" t="s">
        <v>6058</v>
      </c>
    </row>
    <row r="400" spans="2:10" x14ac:dyDescent="0.2">
      <c r="B400" s="86">
        <v>397</v>
      </c>
      <c r="C400" s="86" t="s">
        <v>1114</v>
      </c>
      <c r="D400" s="304">
        <f>_xlfn.IFNA(VLOOKUP(C400,Database!$D$5:$F$439,2,0),VLOOKUP(C400,logut!$C$4:$D$499,2,0))</f>
        <v>642001046</v>
      </c>
      <c r="E400" s="86" t="s">
        <v>312</v>
      </c>
      <c r="G400" s="86" t="s">
        <v>51</v>
      </c>
      <c r="H400" s="86" t="s">
        <v>23</v>
      </c>
      <c r="I400" s="212">
        <v>44595</v>
      </c>
      <c r="J400" s="86" t="s">
        <v>6057</v>
      </c>
    </row>
    <row r="401" spans="2:10" x14ac:dyDescent="0.2">
      <c r="B401" s="86">
        <v>398</v>
      </c>
      <c r="C401" s="86" t="s">
        <v>3222</v>
      </c>
      <c r="D401" s="304">
        <f>_xlfn.IFNA(VLOOKUP(C401,Database!$D$5:$F$439,2,0),VLOOKUP(C401,logut!$C$4:$D$499,2,0))</f>
        <v>642201144</v>
      </c>
      <c r="E401" s="86" t="s">
        <v>312</v>
      </c>
      <c r="G401" s="86" t="s">
        <v>444</v>
      </c>
      <c r="H401" s="86" t="s">
        <v>24</v>
      </c>
      <c r="I401" s="212">
        <v>44595</v>
      </c>
      <c r="J401" s="86" t="s">
        <v>6058</v>
      </c>
    </row>
    <row r="402" spans="2:10" x14ac:dyDescent="0.2">
      <c r="B402" s="86">
        <v>399</v>
      </c>
      <c r="C402" s="86" t="s">
        <v>2962</v>
      </c>
      <c r="D402" s="304">
        <f>_xlfn.IFNA(VLOOKUP(C402,Database!$D$5:$F$439,2,0),VLOOKUP(C402,logut!$C$4:$D$499,2,0))</f>
        <v>642109115</v>
      </c>
      <c r="E402" s="86" t="s">
        <v>312</v>
      </c>
      <c r="G402" s="86" t="s">
        <v>51</v>
      </c>
      <c r="H402" s="86" t="s">
        <v>23</v>
      </c>
      <c r="I402" s="212">
        <v>44595</v>
      </c>
      <c r="J402" s="86" t="s">
        <v>6057</v>
      </c>
    </row>
    <row r="403" spans="2:10" x14ac:dyDescent="0.2">
      <c r="B403" s="86">
        <v>400</v>
      </c>
      <c r="C403" s="86" t="s">
        <v>3231</v>
      </c>
      <c r="D403" s="304">
        <f>_xlfn.IFNA(VLOOKUP(C403,Database!$D$5:$F$439,2,0),VLOOKUP(C403,logut!$C$4:$D$499,2,0))</f>
        <v>642201145</v>
      </c>
      <c r="E403" s="86" t="s">
        <v>312</v>
      </c>
      <c r="G403" s="86" t="s">
        <v>444</v>
      </c>
      <c r="H403" s="86" t="s">
        <v>24</v>
      </c>
      <c r="I403" s="212">
        <v>44595</v>
      </c>
      <c r="J403" s="86" t="s">
        <v>6058</v>
      </c>
    </row>
    <row r="404" spans="2:10" x14ac:dyDescent="0.2">
      <c r="B404" s="86">
        <v>401</v>
      </c>
      <c r="C404" s="86" t="s">
        <v>1262</v>
      </c>
      <c r="D404" s="304">
        <f>_xlfn.IFNA(VLOOKUP(C404,Database!$D$5:$F$439,2,0),VLOOKUP(C404,logut!$C$4:$D$499,2,0))</f>
        <v>642001043</v>
      </c>
      <c r="E404" s="86" t="s">
        <v>312</v>
      </c>
      <c r="G404" s="86" t="s">
        <v>51</v>
      </c>
      <c r="H404" s="86" t="s">
        <v>23</v>
      </c>
      <c r="I404" s="212">
        <v>44595</v>
      </c>
      <c r="J404" s="86" t="s">
        <v>6057</v>
      </c>
    </row>
    <row r="405" spans="2:10" x14ac:dyDescent="0.2">
      <c r="B405" s="86">
        <v>402</v>
      </c>
      <c r="C405" s="86" t="s">
        <v>2846</v>
      </c>
      <c r="D405" s="304">
        <f>_xlfn.IFNA(VLOOKUP(C405,Database!$D$5:$F$439,2,0),VLOOKUP(C405,logut!$C$4:$D$499,2,0))</f>
        <v>642102107</v>
      </c>
      <c r="E405" s="86" t="s">
        <v>312</v>
      </c>
      <c r="G405" s="86" t="s">
        <v>51</v>
      </c>
      <c r="H405" s="86" t="s">
        <v>23</v>
      </c>
      <c r="I405" s="212">
        <v>44595</v>
      </c>
      <c r="J405" s="86" t="s">
        <v>6057</v>
      </c>
    </row>
    <row r="406" spans="2:10" x14ac:dyDescent="0.2">
      <c r="B406" s="86">
        <v>403</v>
      </c>
      <c r="C406" s="86" t="s">
        <v>1689</v>
      </c>
      <c r="D406" s="304">
        <f>_xlfn.IFNA(VLOOKUP(C406,Database!$D$5:$F$439,2,0),VLOOKUP(C406,logut!$C$4:$D$499,2,0))</f>
        <v>641806155</v>
      </c>
      <c r="E406" s="86" t="s">
        <v>2774</v>
      </c>
      <c r="G406" s="86" t="s">
        <v>51</v>
      </c>
      <c r="H406" s="86" t="s">
        <v>23</v>
      </c>
      <c r="I406" s="212">
        <v>44595</v>
      </c>
      <c r="J406" s="86" t="s">
        <v>6057</v>
      </c>
    </row>
    <row r="407" spans="2:10" x14ac:dyDescent="0.2">
      <c r="B407" s="86">
        <v>404</v>
      </c>
      <c r="C407" s="86" t="s">
        <v>1277</v>
      </c>
      <c r="D407" s="304">
        <f>_xlfn.IFNA(VLOOKUP(C407,Database!$D$5:$F$439,2,0),VLOOKUP(C407,logut!$C$4:$D$499,2,0))</f>
        <v>642001042</v>
      </c>
      <c r="E407" s="86" t="s">
        <v>312</v>
      </c>
      <c r="G407" s="86" t="s">
        <v>51</v>
      </c>
      <c r="H407" s="86" t="s">
        <v>23</v>
      </c>
      <c r="I407" s="212">
        <v>44595</v>
      </c>
      <c r="J407" s="86" t="s">
        <v>6057</v>
      </c>
    </row>
    <row r="408" spans="2:10" x14ac:dyDescent="0.2">
      <c r="B408" s="86">
        <v>405</v>
      </c>
      <c r="C408" s="86" t="s">
        <v>3240</v>
      </c>
      <c r="D408" s="304">
        <f>_xlfn.IFNA(VLOOKUP(C408,Database!$D$5:$F$439,2,0),VLOOKUP(C408,logut!$C$4:$D$499,2,0))</f>
        <v>642201150</v>
      </c>
      <c r="E408" s="86" t="s">
        <v>312</v>
      </c>
      <c r="G408" s="86" t="s">
        <v>444</v>
      </c>
      <c r="H408" s="86" t="s">
        <v>24</v>
      </c>
      <c r="I408" s="212">
        <v>44595</v>
      </c>
      <c r="J408" s="86" t="s">
        <v>6058</v>
      </c>
    </row>
    <row r="409" spans="2:10" x14ac:dyDescent="0.2">
      <c r="B409" s="86">
        <v>406</v>
      </c>
      <c r="C409" s="86" t="s">
        <v>962</v>
      </c>
      <c r="D409" s="304">
        <f>_xlfn.IFNA(VLOOKUP(C409,Database!$D$5:$F$439,2,0),VLOOKUP(C409,logut!$C$4:$D$499,2,0))</f>
        <v>642001053</v>
      </c>
      <c r="E409" s="86" t="s">
        <v>312</v>
      </c>
      <c r="G409" s="86" t="s">
        <v>51</v>
      </c>
      <c r="H409" s="86" t="s">
        <v>23</v>
      </c>
      <c r="I409" s="212">
        <v>44595</v>
      </c>
      <c r="J409" s="86" t="s">
        <v>6057</v>
      </c>
    </row>
    <row r="410" spans="2:10" x14ac:dyDescent="0.2">
      <c r="B410" s="86">
        <v>407</v>
      </c>
      <c r="C410" s="86" t="s">
        <v>3193</v>
      </c>
      <c r="D410" s="304">
        <f>_xlfn.IFNA(VLOOKUP(C410,Database!$D$5:$F$439,2,0),VLOOKUP(C410,logut!$C$4:$D$499,2,0))</f>
        <v>642201151</v>
      </c>
      <c r="E410" s="86" t="s">
        <v>312</v>
      </c>
      <c r="G410" s="86" t="s">
        <v>444</v>
      </c>
      <c r="H410" s="86" t="s">
        <v>24</v>
      </c>
      <c r="I410" s="212">
        <v>44595</v>
      </c>
      <c r="J410" s="86" t="s">
        <v>6058</v>
      </c>
    </row>
    <row r="411" spans="2:10" x14ac:dyDescent="0.2">
      <c r="B411" s="86">
        <v>408</v>
      </c>
      <c r="C411" s="86" t="s">
        <v>5048</v>
      </c>
      <c r="D411" s="304">
        <f>_xlfn.IFNA(VLOOKUP(C411,Database!$D$5:$F$439,2,0),VLOOKUP(C411,logut!$C$4:$D$499,2,0))</f>
        <v>642201147</v>
      </c>
      <c r="E411" s="86" t="s">
        <v>312</v>
      </c>
      <c r="G411" s="86" t="s">
        <v>51</v>
      </c>
      <c r="H411" s="86" t="s">
        <v>23</v>
      </c>
      <c r="I411" s="212">
        <v>44595</v>
      </c>
      <c r="J411" s="86" t="s">
        <v>6057</v>
      </c>
    </row>
    <row r="412" spans="2:10" x14ac:dyDescent="0.2">
      <c r="B412" s="86">
        <v>409</v>
      </c>
      <c r="C412" s="86" t="s">
        <v>3054</v>
      </c>
      <c r="D412" s="304">
        <f>_xlfn.IFNA(VLOOKUP(C412,Database!$D$5:$F$439,2,0),VLOOKUP(C412,logut!$C$4:$D$499,2,0))</f>
        <v>642201134</v>
      </c>
      <c r="E412" s="86" t="s">
        <v>312</v>
      </c>
      <c r="G412" s="86" t="s">
        <v>444</v>
      </c>
      <c r="H412" s="86" t="s">
        <v>24</v>
      </c>
      <c r="I412" s="212">
        <v>44595</v>
      </c>
      <c r="J412" s="86" t="s">
        <v>6058</v>
      </c>
    </row>
    <row r="413" spans="2:10" x14ac:dyDescent="0.2">
      <c r="B413" s="86">
        <v>410</v>
      </c>
      <c r="C413" s="86" t="s">
        <v>3287</v>
      </c>
      <c r="D413" s="304">
        <f>_xlfn.IFNA(VLOOKUP(C413,Database!$D$5:$F$439,2,0),VLOOKUP(C413,logut!$C$4:$D$499,2,0))</f>
        <v>990900010</v>
      </c>
      <c r="E413" s="86" t="s">
        <v>5344</v>
      </c>
      <c r="G413" s="86" t="s">
        <v>51</v>
      </c>
      <c r="H413" s="86" t="s">
        <v>23</v>
      </c>
      <c r="I413" s="212">
        <v>44595</v>
      </c>
      <c r="J413" s="86" t="s">
        <v>6057</v>
      </c>
    </row>
    <row r="414" spans="2:10" x14ac:dyDescent="0.2">
      <c r="B414" s="86">
        <v>411</v>
      </c>
      <c r="C414" s="86" t="s">
        <v>440</v>
      </c>
      <c r="D414" s="304">
        <f>_xlfn.IFNA(VLOOKUP(C414,Database!$D$5:$F$439,2,0),VLOOKUP(C414,logut!$C$4:$D$499,2,0))</f>
        <v>971800022</v>
      </c>
      <c r="E414" s="86" t="s">
        <v>2774</v>
      </c>
      <c r="G414" s="86" t="s">
        <v>444</v>
      </c>
      <c r="H414" s="86" t="s">
        <v>24</v>
      </c>
      <c r="I414" s="212">
        <v>44595</v>
      </c>
      <c r="J414" s="86" t="s">
        <v>6058</v>
      </c>
    </row>
    <row r="415" spans="2:10" x14ac:dyDescent="0.2">
      <c r="B415" s="86">
        <v>412</v>
      </c>
      <c r="C415" s="86" t="s">
        <v>3135</v>
      </c>
      <c r="D415" s="304">
        <f>_xlfn.IFNA(VLOOKUP(C415,Database!$D$5:$F$439,2,0),VLOOKUP(C415,logut!$C$4:$D$499,2,0))</f>
        <v>642201148</v>
      </c>
      <c r="E415" s="86" t="s">
        <v>312</v>
      </c>
      <c r="G415" s="86" t="s">
        <v>5955</v>
      </c>
      <c r="H415" s="86" t="s">
        <v>26</v>
      </c>
      <c r="I415" s="212">
        <v>44595</v>
      </c>
      <c r="J415" s="86" t="s">
        <v>6058</v>
      </c>
    </row>
    <row r="416" spans="2:10" x14ac:dyDescent="0.2">
      <c r="B416" s="86">
        <v>413</v>
      </c>
      <c r="C416" s="86" t="s">
        <v>1037</v>
      </c>
      <c r="D416" s="304">
        <f>_xlfn.IFNA(VLOOKUP(C416,Database!$D$5:$F$439,2,0),VLOOKUP(C416,logut!$C$4:$D$499,2,0))</f>
        <v>971800014</v>
      </c>
      <c r="E416" s="86" t="s">
        <v>312</v>
      </c>
      <c r="G416" s="86" t="s">
        <v>51</v>
      </c>
      <c r="H416" s="86" t="s">
        <v>23</v>
      </c>
      <c r="I416" s="212">
        <v>44595</v>
      </c>
      <c r="J416" s="86" t="s">
        <v>6057</v>
      </c>
    </row>
    <row r="417" spans="2:10" x14ac:dyDescent="0.2">
      <c r="B417" s="86">
        <v>414</v>
      </c>
      <c r="C417" s="86" t="s">
        <v>5089</v>
      </c>
      <c r="D417" s="304">
        <f>_xlfn.IFNA(VLOOKUP(C417,Database!$D$5:$F$439,2,0),VLOOKUP(C417,logut!$C$4:$D$499,2,0))</f>
        <v>642109116</v>
      </c>
      <c r="E417" s="86" t="s">
        <v>312</v>
      </c>
      <c r="G417" s="86" t="s">
        <v>51</v>
      </c>
      <c r="H417" s="86" t="s">
        <v>23</v>
      </c>
      <c r="I417" s="212">
        <v>44595</v>
      </c>
      <c r="J417" s="86" t="s">
        <v>6057</v>
      </c>
    </row>
    <row r="418" spans="2:10" x14ac:dyDescent="0.2">
      <c r="B418" s="86">
        <v>415</v>
      </c>
      <c r="C418" s="86" t="s">
        <v>3169</v>
      </c>
      <c r="D418" s="304">
        <f>_xlfn.IFNA(VLOOKUP(C418,Database!$D$5:$F$439,2,0),VLOOKUP(C418,logut!$C$4:$D$499,2,0))</f>
        <v>642201152</v>
      </c>
      <c r="E418" s="86" t="s">
        <v>312</v>
      </c>
      <c r="G418" s="86" t="s">
        <v>444</v>
      </c>
      <c r="H418" s="86" t="s">
        <v>24</v>
      </c>
      <c r="I418" s="212">
        <v>44595</v>
      </c>
      <c r="J418" s="86" t="s">
        <v>6058</v>
      </c>
    </row>
    <row r="419" spans="2:10" x14ac:dyDescent="0.2">
      <c r="B419" s="86">
        <v>416</v>
      </c>
      <c r="C419" s="86" t="s">
        <v>3079</v>
      </c>
      <c r="D419" s="304">
        <f>_xlfn.IFNA(VLOOKUP(C419,Database!$D$5:$F$439,2,0),VLOOKUP(C419,logut!$C$4:$D$499,2,0))</f>
        <v>642201130</v>
      </c>
      <c r="E419" s="86" t="s">
        <v>312</v>
      </c>
      <c r="G419" s="86" t="s">
        <v>444</v>
      </c>
      <c r="H419" s="86" t="s">
        <v>24</v>
      </c>
      <c r="I419" s="212">
        <v>44595</v>
      </c>
      <c r="J419" s="86" t="s">
        <v>6058</v>
      </c>
    </row>
    <row r="420" spans="2:10" x14ac:dyDescent="0.2">
      <c r="B420" s="86">
        <v>417</v>
      </c>
      <c r="C420" s="86" t="s">
        <v>3063</v>
      </c>
      <c r="D420" s="304">
        <f>_xlfn.IFNA(VLOOKUP(C420,Database!$D$5:$F$439,2,0),VLOOKUP(C420,logut!$C$4:$D$499,2,0))</f>
        <v>642201138</v>
      </c>
      <c r="E420" s="86" t="s">
        <v>312</v>
      </c>
      <c r="G420" s="86" t="s">
        <v>444</v>
      </c>
      <c r="H420" s="86" t="s">
        <v>24</v>
      </c>
      <c r="I420" s="212">
        <v>44595</v>
      </c>
      <c r="J420" s="86" t="s">
        <v>6058</v>
      </c>
    </row>
    <row r="421" spans="2:10" x14ac:dyDescent="0.2">
      <c r="B421" s="86">
        <v>418</v>
      </c>
      <c r="C421" s="86" t="s">
        <v>5020</v>
      </c>
      <c r="D421" s="304">
        <f>_xlfn.IFNA(VLOOKUP(C421,Database!$D$5:$F$439,2,0),VLOOKUP(C421,logut!$C$4:$D$499,2,0))</f>
        <v>642102109</v>
      </c>
      <c r="E421" s="86" t="s">
        <v>312</v>
      </c>
      <c r="G421" s="86" t="s">
        <v>51</v>
      </c>
      <c r="H421" s="86" t="s">
        <v>23</v>
      </c>
      <c r="I421" s="212">
        <v>44595</v>
      </c>
      <c r="J421" s="86" t="s">
        <v>6057</v>
      </c>
    </row>
    <row r="422" spans="2:10" x14ac:dyDescent="0.2">
      <c r="B422" s="86">
        <v>419</v>
      </c>
      <c r="C422" s="86" t="s">
        <v>3157</v>
      </c>
      <c r="D422" s="304">
        <f>_xlfn.IFNA(VLOOKUP(C422,Database!$D$5:$F$439,2,0),VLOOKUP(C422,logut!$C$4:$D$499,2,0))</f>
        <v>642201139</v>
      </c>
      <c r="E422" s="86" t="s">
        <v>312</v>
      </c>
      <c r="G422" s="86" t="s">
        <v>444</v>
      </c>
      <c r="H422" s="86" t="s">
        <v>24</v>
      </c>
      <c r="I422" s="212">
        <v>44595</v>
      </c>
      <c r="J422" s="86" t="s">
        <v>6058</v>
      </c>
    </row>
    <row r="423" spans="2:10" x14ac:dyDescent="0.2">
      <c r="B423" s="86">
        <v>420</v>
      </c>
      <c r="C423" s="86" t="s">
        <v>3045</v>
      </c>
      <c r="D423" s="304">
        <f>_xlfn.IFNA(VLOOKUP(C423,Database!$D$5:$F$439,2,0),VLOOKUP(C423,logut!$C$4:$D$499,2,0))</f>
        <v>642201146</v>
      </c>
      <c r="E423" s="86" t="s">
        <v>312</v>
      </c>
      <c r="G423" s="86" t="s">
        <v>5954</v>
      </c>
      <c r="H423" s="86" t="s">
        <v>21</v>
      </c>
      <c r="I423" s="212">
        <v>44595</v>
      </c>
      <c r="J423" s="86" t="s">
        <v>6058</v>
      </c>
    </row>
    <row r="424" spans="2:10" x14ac:dyDescent="0.2">
      <c r="B424" s="86">
        <v>421</v>
      </c>
      <c r="C424" s="86" t="s">
        <v>1436</v>
      </c>
      <c r="D424" s="304">
        <f>_xlfn.IFNA(VLOOKUP(C424,Database!$D$5:$F$439,2,0),VLOOKUP(C424,logut!$C$4:$D$499,2,0))</f>
        <v>642001026</v>
      </c>
      <c r="E424" s="86" t="s">
        <v>312</v>
      </c>
      <c r="G424" s="86" t="s">
        <v>51</v>
      </c>
      <c r="H424" s="86" t="s">
        <v>23</v>
      </c>
      <c r="I424" s="212">
        <v>44595</v>
      </c>
      <c r="J424" s="86" t="s">
        <v>6057</v>
      </c>
    </row>
    <row r="425" spans="2:10" x14ac:dyDescent="0.2">
      <c r="B425" s="86">
        <v>422</v>
      </c>
      <c r="C425" s="86" t="s">
        <v>1303</v>
      </c>
      <c r="D425" s="304">
        <f>_xlfn.IFNA(VLOOKUP(C425,Database!$D$5:$F$439,2,0),VLOOKUP(C425,logut!$C$4:$D$499,2,0))</f>
        <v>642001039</v>
      </c>
      <c r="E425" s="86" t="s">
        <v>312</v>
      </c>
      <c r="G425" s="86" t="s">
        <v>51</v>
      </c>
      <c r="H425" s="86" t="s">
        <v>23</v>
      </c>
      <c r="I425" s="212">
        <v>44595</v>
      </c>
      <c r="J425" s="86" t="s">
        <v>6057</v>
      </c>
    </row>
    <row r="426" spans="2:10" x14ac:dyDescent="0.2">
      <c r="B426" s="86">
        <v>423</v>
      </c>
      <c r="C426" s="86" t="s">
        <v>5138</v>
      </c>
      <c r="D426" s="304">
        <f>_xlfn.IFNA(VLOOKUP(C426,Database!$D$5:$F$439,2,0),VLOOKUP(C426,logut!$C$4:$D$499,2,0))</f>
        <v>999400099</v>
      </c>
      <c r="E426" s="86" t="s">
        <v>6059</v>
      </c>
      <c r="G426" s="86" t="s">
        <v>51</v>
      </c>
      <c r="H426" s="86" t="s">
        <v>23</v>
      </c>
      <c r="I426" s="212">
        <v>44595</v>
      </c>
      <c r="J426" s="86" t="s">
        <v>6057</v>
      </c>
    </row>
    <row r="427" spans="2:10" x14ac:dyDescent="0.2">
      <c r="B427" s="86">
        <v>424</v>
      </c>
      <c r="C427" s="86" t="s">
        <v>2951</v>
      </c>
      <c r="D427" s="304">
        <f>_xlfn.IFNA(VLOOKUP(C427,Database!$D$5:$F$439,2,0),VLOOKUP(C427,logut!$C$4:$D$499,2,0))</f>
        <v>642109117</v>
      </c>
      <c r="E427" s="86" t="s">
        <v>312</v>
      </c>
      <c r="G427" s="86" t="s">
        <v>51</v>
      </c>
      <c r="H427" s="86" t="s">
        <v>23</v>
      </c>
      <c r="I427" s="212">
        <v>44595</v>
      </c>
      <c r="J427" s="86" t="s">
        <v>6057</v>
      </c>
    </row>
    <row r="428" spans="2:10" x14ac:dyDescent="0.2">
      <c r="B428" s="86">
        <v>425</v>
      </c>
      <c r="C428" s="86" t="s">
        <v>3038</v>
      </c>
      <c r="D428" s="304">
        <f>_xlfn.IFNA(VLOOKUP(C428,Database!$D$5:$F$439,2,0),VLOOKUP(C428,logut!$C$4:$D$499,2,0))</f>
        <v>642201149</v>
      </c>
      <c r="E428" s="86" t="s">
        <v>312</v>
      </c>
      <c r="G428" s="86" t="s">
        <v>5953</v>
      </c>
      <c r="H428" s="86" t="s">
        <v>27</v>
      </c>
      <c r="I428" s="212">
        <v>44595</v>
      </c>
      <c r="J428" s="86" t="s">
        <v>6058</v>
      </c>
    </row>
    <row r="429" spans="2:10" x14ac:dyDescent="0.2">
      <c r="B429" s="86">
        <v>426</v>
      </c>
      <c r="C429" s="86" t="s">
        <v>2835</v>
      </c>
      <c r="D429" s="304">
        <f>_xlfn.IFNA(VLOOKUP(C429,Database!$D$5:$F$439,2,0),VLOOKUP(C429,logut!$C$4:$D$499,2,0))</f>
        <v>642101102</v>
      </c>
      <c r="E429" s="86" t="s">
        <v>312</v>
      </c>
      <c r="G429" s="86" t="s">
        <v>51</v>
      </c>
      <c r="H429" s="86" t="s">
        <v>23</v>
      </c>
      <c r="I429" s="212">
        <v>44595</v>
      </c>
      <c r="J429" s="86" t="s">
        <v>6057</v>
      </c>
    </row>
    <row r="430" spans="2:10" x14ac:dyDescent="0.2">
      <c r="B430" s="86">
        <v>427</v>
      </c>
      <c r="C430" s="86" t="s">
        <v>3271</v>
      </c>
      <c r="D430" s="304">
        <f>_xlfn.IFNA(VLOOKUP(C430,Database!$D$5:$F$439,2,0),VLOOKUP(C430,logut!$C$4:$D$499,2,0))</f>
        <v>642201158</v>
      </c>
      <c r="E430" s="86" t="s">
        <v>312</v>
      </c>
      <c r="G430" s="86" t="s">
        <v>51</v>
      </c>
      <c r="H430" s="86" t="s">
        <v>23</v>
      </c>
      <c r="I430" s="212">
        <v>44595</v>
      </c>
      <c r="J430" s="86" t="s">
        <v>6057</v>
      </c>
    </row>
    <row r="431" spans="2:10" x14ac:dyDescent="0.2">
      <c r="B431" s="86">
        <v>428</v>
      </c>
      <c r="C431" s="86" t="s">
        <v>3090</v>
      </c>
      <c r="D431" s="304">
        <f>_xlfn.IFNA(VLOOKUP(C431,Database!$D$5:$F$439,2,0),VLOOKUP(C431,logut!$C$4:$D$499,2,0))</f>
        <v>642201137</v>
      </c>
      <c r="E431" s="86" t="s">
        <v>312</v>
      </c>
      <c r="G431" s="86" t="s">
        <v>444</v>
      </c>
      <c r="H431" s="86" t="s">
        <v>24</v>
      </c>
      <c r="I431" s="212">
        <v>44595</v>
      </c>
      <c r="J431" s="86" t="s">
        <v>6058</v>
      </c>
    </row>
    <row r="432" spans="2:10" x14ac:dyDescent="0.2">
      <c r="B432" s="86">
        <v>429</v>
      </c>
      <c r="C432" s="86" t="s">
        <v>3252</v>
      </c>
      <c r="D432" s="304">
        <f>_xlfn.IFNA(VLOOKUP(C432,Database!$D$5:$F$439,2,0),VLOOKUP(C432,logut!$C$4:$D$499,2,0))</f>
        <v>642201132</v>
      </c>
      <c r="E432" s="86" t="s">
        <v>312</v>
      </c>
      <c r="G432" s="86" t="s">
        <v>51</v>
      </c>
      <c r="H432" s="86" t="s">
        <v>23</v>
      </c>
      <c r="I432" s="212">
        <v>44595</v>
      </c>
      <c r="J432" s="86" t="s">
        <v>6058</v>
      </c>
    </row>
    <row r="433" spans="2:10" x14ac:dyDescent="0.2">
      <c r="B433" s="86">
        <v>430</v>
      </c>
      <c r="C433" s="86" t="s">
        <v>3252</v>
      </c>
      <c r="D433" s="304">
        <f>_xlfn.IFNA(VLOOKUP(C433,Database!$D$5:$F$439,2,0),VLOOKUP(C433,logut!$C$4:$D$499,2,0))</f>
        <v>642201132</v>
      </c>
      <c r="E433" s="86" t="s">
        <v>312</v>
      </c>
      <c r="G433" s="86" t="s">
        <v>51</v>
      </c>
      <c r="H433" s="86" t="s">
        <v>23</v>
      </c>
      <c r="I433" s="212">
        <v>44595</v>
      </c>
      <c r="J433" s="86" t="s">
        <v>6057</v>
      </c>
    </row>
    <row r="434" spans="2:10" x14ac:dyDescent="0.2">
      <c r="B434" s="86">
        <v>431</v>
      </c>
      <c r="C434" s="86" t="s">
        <v>5297</v>
      </c>
      <c r="D434" s="304">
        <f>_xlfn.IFNA(VLOOKUP(C434,Database!$D$5:$F$439,2,0),VLOOKUP(C434,logut!$C$4:$D$499,2,0))</f>
        <v>991800022</v>
      </c>
      <c r="E434" s="86" t="s">
        <v>5344</v>
      </c>
      <c r="G434" s="86" t="s">
        <v>51</v>
      </c>
      <c r="H434" s="86" t="s">
        <v>23</v>
      </c>
      <c r="I434" s="212">
        <v>44595</v>
      </c>
      <c r="J434" s="86" t="s">
        <v>6057</v>
      </c>
    </row>
    <row r="435" spans="2:10" x14ac:dyDescent="0.2">
      <c r="B435" s="86">
        <v>432</v>
      </c>
      <c r="C435" s="86" t="s">
        <v>2570</v>
      </c>
      <c r="D435" s="304">
        <f>_xlfn.IFNA(VLOOKUP(C435,Database!$D$5:$F$439,2,0),VLOOKUP(C435,logut!$C$4:$D$499,2,0))</f>
        <v>642002079</v>
      </c>
      <c r="E435" s="86" t="s">
        <v>312</v>
      </c>
      <c r="G435" s="86" t="s">
        <v>51</v>
      </c>
      <c r="H435" s="86" t="s">
        <v>23</v>
      </c>
      <c r="I435" s="212">
        <v>44595</v>
      </c>
      <c r="J435" s="86" t="s">
        <v>6057</v>
      </c>
    </row>
    <row r="436" spans="2:10" x14ac:dyDescent="0.2">
      <c r="B436" s="86">
        <v>433</v>
      </c>
      <c r="C436" s="86" t="s">
        <v>3146</v>
      </c>
      <c r="D436" s="304">
        <f>_xlfn.IFNA(VLOOKUP(C436,Database!$D$5:$F$439,2,0),VLOOKUP(C436,logut!$C$4:$D$499,2,0))</f>
        <v>642201135</v>
      </c>
      <c r="E436" s="86" t="s">
        <v>312</v>
      </c>
      <c r="G436" s="86" t="s">
        <v>444</v>
      </c>
      <c r="H436" s="86" t="s">
        <v>24</v>
      </c>
      <c r="I436" s="212">
        <v>44595</v>
      </c>
      <c r="J436" s="86" t="s">
        <v>6058</v>
      </c>
    </row>
    <row r="437" spans="2:10" x14ac:dyDescent="0.2">
      <c r="B437" s="86">
        <v>434</v>
      </c>
      <c r="C437" s="86" t="s">
        <v>3110</v>
      </c>
      <c r="D437" s="304">
        <f>_xlfn.IFNA(VLOOKUP(C437,Database!$D$5:$F$439,2,0),VLOOKUP(C437,logut!$C$4:$D$499,2,0))</f>
        <v>642201136</v>
      </c>
      <c r="E437" s="86" t="s">
        <v>312</v>
      </c>
      <c r="G437" s="86" t="s">
        <v>444</v>
      </c>
      <c r="H437" s="86" t="s">
        <v>24</v>
      </c>
      <c r="I437" s="212">
        <v>44595</v>
      </c>
      <c r="J437" s="86" t="s">
        <v>6058</v>
      </c>
    </row>
    <row r="438" spans="2:10" x14ac:dyDescent="0.2">
      <c r="B438" s="86">
        <v>435</v>
      </c>
      <c r="C438" s="86" t="s">
        <v>1753</v>
      </c>
      <c r="D438" s="304">
        <f>_xlfn.IFNA(VLOOKUP(C438,Database!$D$5:$F$439,2,0),VLOOKUP(C438,logut!$C$4:$D$499,2,0))</f>
        <v>641807168</v>
      </c>
      <c r="E438" s="86" t="s">
        <v>312</v>
      </c>
      <c r="G438" s="86" t="s">
        <v>51</v>
      </c>
      <c r="H438" s="86" t="s">
        <v>23</v>
      </c>
      <c r="I438" s="212">
        <v>44595</v>
      </c>
      <c r="J438" s="86" t="s">
        <v>6057</v>
      </c>
    </row>
    <row r="439" spans="2:10" x14ac:dyDescent="0.2">
      <c r="B439" s="86">
        <v>436</v>
      </c>
      <c r="C439" s="86" t="s">
        <v>1399</v>
      </c>
      <c r="D439" s="304">
        <f>_xlfn.IFNA(VLOOKUP(C439,Database!$D$5:$F$439,2,0),VLOOKUP(C439,logut!$C$4:$D$499,2,0))</f>
        <v>642001029</v>
      </c>
      <c r="E439" s="86" t="s">
        <v>312</v>
      </c>
      <c r="G439" s="86" t="s">
        <v>51</v>
      </c>
      <c r="H439" s="86" t="s">
        <v>23</v>
      </c>
      <c r="I439" s="212">
        <v>44595</v>
      </c>
      <c r="J439" s="86" t="s">
        <v>6057</v>
      </c>
    </row>
    <row r="440" spans="2:10" x14ac:dyDescent="0.2">
      <c r="B440" s="86">
        <v>437</v>
      </c>
      <c r="C440" s="86" t="s">
        <v>3100</v>
      </c>
      <c r="D440" s="304">
        <f>_xlfn.IFNA(VLOOKUP(C440,Database!$D$5:$F$439,2,0),VLOOKUP(C440,logut!$C$4:$D$499,2,0))</f>
        <v>642201131</v>
      </c>
      <c r="E440" s="86" t="s">
        <v>312</v>
      </c>
      <c r="G440" s="86" t="s">
        <v>444</v>
      </c>
      <c r="H440" s="86" t="s">
        <v>24</v>
      </c>
      <c r="I440" s="212">
        <v>44595</v>
      </c>
      <c r="J440" s="86" t="s">
        <v>6058</v>
      </c>
    </row>
    <row r="441" spans="2:10" x14ac:dyDescent="0.2">
      <c r="B441" s="86">
        <v>438</v>
      </c>
      <c r="C441" s="86" t="s">
        <v>3183</v>
      </c>
      <c r="D441" s="304">
        <f>_xlfn.IFNA(VLOOKUP(C441,Database!$D$5:$F$439,2,0),VLOOKUP(C441,logut!$C$4:$D$499,2,0))</f>
        <v>642201154</v>
      </c>
      <c r="E441" s="86" t="s">
        <v>312</v>
      </c>
      <c r="G441" s="86" t="s">
        <v>444</v>
      </c>
      <c r="H441" s="86" t="s">
        <v>24</v>
      </c>
      <c r="I441" s="212">
        <v>44595</v>
      </c>
      <c r="J441" s="86" t="s">
        <v>6058</v>
      </c>
    </row>
    <row r="442" spans="2:10" x14ac:dyDescent="0.2">
      <c r="B442" s="86">
        <v>439</v>
      </c>
      <c r="C442" s="86" t="s">
        <v>1651</v>
      </c>
      <c r="D442" s="304">
        <f>_xlfn.IFNA(VLOOKUP(C442,Database!$D$5:$F$439,2,0),VLOOKUP(C442,logut!$C$4:$D$499,2,0))</f>
        <v>641805144</v>
      </c>
      <c r="E442" s="86" t="s">
        <v>312</v>
      </c>
      <c r="G442" s="86" t="s">
        <v>51</v>
      </c>
      <c r="H442" s="86" t="s">
        <v>23</v>
      </c>
      <c r="I442" s="212">
        <v>44595</v>
      </c>
      <c r="J442" s="86" t="s">
        <v>6057</v>
      </c>
    </row>
    <row r="443" spans="2:10" x14ac:dyDescent="0.2">
      <c r="B443" s="86">
        <v>440</v>
      </c>
      <c r="C443" s="86" t="s">
        <v>2502</v>
      </c>
      <c r="D443" s="304">
        <f>_xlfn.IFNA(VLOOKUP(C443,Database!$D$5:$F$439,2,0),VLOOKUP(C443,logut!$C$4:$D$499,2,0))</f>
        <v>641907254</v>
      </c>
      <c r="E443" s="86" t="s">
        <v>312</v>
      </c>
      <c r="G443" s="86" t="s">
        <v>51</v>
      </c>
      <c r="H443" s="86" t="s">
        <v>23</v>
      </c>
      <c r="I443" s="212">
        <v>44595</v>
      </c>
      <c r="J443" s="86" t="s">
        <v>6057</v>
      </c>
    </row>
    <row r="444" spans="2:10" x14ac:dyDescent="0.2">
      <c r="B444" s="86">
        <v>441</v>
      </c>
      <c r="C444" s="86" t="s">
        <v>5703</v>
      </c>
      <c r="D444" s="304">
        <f>_xlfn.IFNA(VLOOKUP(C444,Database!$D$5:$F$439,2,0),VLOOKUP(C444,logut!$C$4:$D$499,2,0))</f>
        <v>991800001</v>
      </c>
      <c r="E444" s="86" t="s">
        <v>5998</v>
      </c>
      <c r="G444" s="86" t="s">
        <v>6060</v>
      </c>
      <c r="H444" s="86" t="s">
        <v>5901</v>
      </c>
      <c r="I444" s="212">
        <v>44615</v>
      </c>
      <c r="J444" s="86" t="s">
        <v>6061</v>
      </c>
    </row>
    <row r="445" spans="2:10" x14ac:dyDescent="0.2">
      <c r="B445" s="86">
        <v>442</v>
      </c>
      <c r="C445" s="86" t="s">
        <v>5391</v>
      </c>
      <c r="D445" s="304">
        <f>_xlfn.IFNA(VLOOKUP(C445,Database!$D$5:$F$439,2,0),VLOOKUP(C445,logut!$C$4:$D$499,2,0))</f>
        <v>991700049</v>
      </c>
      <c r="E445" s="86" t="s">
        <v>312</v>
      </c>
      <c r="G445" s="86" t="s">
        <v>6062</v>
      </c>
      <c r="H445" s="86" t="s">
        <v>32</v>
      </c>
      <c r="I445" s="212">
        <v>44627</v>
      </c>
      <c r="J445" s="86" t="s">
        <v>6063</v>
      </c>
    </row>
    <row r="446" spans="2:10" x14ac:dyDescent="0.2">
      <c r="B446" s="86">
        <v>443</v>
      </c>
      <c r="C446" s="86" t="s">
        <v>1351</v>
      </c>
      <c r="D446" s="304">
        <f>_xlfn.IFNA(VLOOKUP(C446,Database!$D$5:$F$439,2,0),VLOOKUP(C446,logut!$C$4:$D$499,2,0))</f>
        <v>971800020</v>
      </c>
      <c r="E446" s="86" t="s">
        <v>312</v>
      </c>
      <c r="G446" s="86" t="s">
        <v>6062</v>
      </c>
      <c r="H446" s="86" t="s">
        <v>32</v>
      </c>
      <c r="I446" s="212">
        <v>44627</v>
      </c>
      <c r="J446" s="86" t="s">
        <v>6063</v>
      </c>
    </row>
    <row r="447" spans="2:10" x14ac:dyDescent="0.2">
      <c r="B447" s="86">
        <v>444</v>
      </c>
      <c r="C447" s="86" t="s">
        <v>1073</v>
      </c>
      <c r="D447" s="304">
        <f>_xlfn.IFNA(VLOOKUP(C447,Database!$D$5:$F$439,2,0),VLOOKUP(C447,logut!$C$4:$D$499,2,0))</f>
        <v>971800016</v>
      </c>
      <c r="E447" s="86" t="s">
        <v>312</v>
      </c>
      <c r="G447" s="86" t="s">
        <v>6062</v>
      </c>
      <c r="H447" s="86" t="s">
        <v>32</v>
      </c>
      <c r="I447" s="212">
        <v>44627</v>
      </c>
      <c r="J447" s="86" t="s">
        <v>6063</v>
      </c>
    </row>
    <row r="448" spans="2:10" x14ac:dyDescent="0.2">
      <c r="B448" s="86">
        <v>445</v>
      </c>
      <c r="C448" s="86" t="s">
        <v>79</v>
      </c>
      <c r="D448" s="304">
        <f>_xlfn.IFNA(VLOOKUP(C448,Database!$D$5:$F$439,2,0),VLOOKUP(C448,logut!$C$4:$D$499,2,0))</f>
        <v>971900043</v>
      </c>
      <c r="E448" s="86" t="s">
        <v>140</v>
      </c>
      <c r="G448" s="86" t="s">
        <v>6064</v>
      </c>
      <c r="H448" s="86" t="s">
        <v>5901</v>
      </c>
      <c r="I448" s="212">
        <v>44628</v>
      </c>
      <c r="J448" s="86" t="s">
        <v>6065</v>
      </c>
    </row>
    <row r="449" spans="2:10" x14ac:dyDescent="0.2">
      <c r="B449" s="86">
        <v>446</v>
      </c>
      <c r="C449" s="86" t="s">
        <v>5309</v>
      </c>
      <c r="D449" s="304">
        <f>_xlfn.IFNA(VLOOKUP(C449,Database!$D$5:$F$439,2,0),VLOOKUP(C449,logut!$C$4:$D$499,2,0))</f>
        <v>999100010</v>
      </c>
      <c r="E449" s="86" t="s">
        <v>312</v>
      </c>
      <c r="G449" s="86" t="s">
        <v>6001</v>
      </c>
      <c r="H449" s="86" t="s">
        <v>6002</v>
      </c>
      <c r="I449" s="212">
        <v>44646</v>
      </c>
      <c r="J449" s="86" t="s">
        <v>6066</v>
      </c>
    </row>
    <row r="450" spans="2:10" x14ac:dyDescent="0.2">
      <c r="B450" s="86">
        <v>447</v>
      </c>
      <c r="C450" s="86" t="s">
        <v>2780</v>
      </c>
      <c r="D450" s="304">
        <f>_xlfn.IFNA(VLOOKUP(C450,Database!$D$5:$F$439,2,0),VLOOKUP(C450,logut!$C$4:$D$499,2,0))</f>
        <v>642101100</v>
      </c>
      <c r="E450" s="86" t="s">
        <v>312</v>
      </c>
      <c r="G450" s="86" t="s">
        <v>6001</v>
      </c>
      <c r="H450" s="86" t="s">
        <v>6002</v>
      </c>
      <c r="I450" s="212">
        <v>44646</v>
      </c>
      <c r="J450" s="86" t="s">
        <v>6066</v>
      </c>
    </row>
    <row r="451" spans="2:10" x14ac:dyDescent="0.2">
      <c r="B451" s="86">
        <v>448</v>
      </c>
      <c r="C451" s="86" t="s">
        <v>762</v>
      </c>
      <c r="D451" s="304">
        <f>_xlfn.IFNA(VLOOKUP(C451,Database!$D$5:$F$439,2,0),VLOOKUP(C451,logut!$C$4:$D$499,2,0))</f>
        <v>971900033</v>
      </c>
      <c r="E451" s="86" t="s">
        <v>312</v>
      </c>
      <c r="G451" s="86" t="s">
        <v>5980</v>
      </c>
      <c r="H451" s="86" t="s">
        <v>28</v>
      </c>
      <c r="I451" s="212">
        <v>44702</v>
      </c>
      <c r="J451" s="86" t="s">
        <v>6067</v>
      </c>
    </row>
    <row r="452" spans="2:10" x14ac:dyDescent="0.2">
      <c r="B452" s="86">
        <v>449</v>
      </c>
      <c r="C452" s="86" t="s">
        <v>2391</v>
      </c>
      <c r="D452" s="304">
        <f>_xlfn.IFNA(VLOOKUP(C452,Database!$D$5:$F$439,2,0),VLOOKUP(C452,logut!$C$4:$D$499,2,0))</f>
        <v>641907252</v>
      </c>
      <c r="E452" s="86" t="s">
        <v>6068</v>
      </c>
      <c r="G452" s="86" t="s">
        <v>5980</v>
      </c>
      <c r="H452" s="86" t="s">
        <v>22</v>
      </c>
      <c r="I452" s="212">
        <v>44702</v>
      </c>
      <c r="J452" s="86" t="s">
        <v>6067</v>
      </c>
    </row>
    <row r="453" spans="2:10" x14ac:dyDescent="0.2">
      <c r="B453" s="86">
        <v>450</v>
      </c>
      <c r="C453" s="86" t="s">
        <v>2667</v>
      </c>
      <c r="D453" s="304">
        <f>_xlfn.IFNA(VLOOKUP(C453,Database!$D$5:$F$439,2,0),VLOOKUP(C453,logut!$C$4:$D$499,2,0))</f>
        <v>991100025</v>
      </c>
      <c r="E453" s="86" t="s">
        <v>5344</v>
      </c>
      <c r="G453" s="86" t="s">
        <v>5980</v>
      </c>
      <c r="H453" s="86" t="s">
        <v>6069</v>
      </c>
      <c r="I453" s="212">
        <v>44702</v>
      </c>
      <c r="J453" s="86" t="s">
        <v>6067</v>
      </c>
    </row>
    <row r="454" spans="2:10" x14ac:dyDescent="0.2">
      <c r="B454" s="86">
        <v>451</v>
      </c>
      <c r="C454" s="86" t="s">
        <v>723</v>
      </c>
      <c r="D454" s="304">
        <f>_xlfn.IFNA(VLOOKUP(C454,Database!$D$5:$F$439,2,0),VLOOKUP(C454,logut!$C$4:$D$499,2,0))</f>
        <v>971900049</v>
      </c>
      <c r="E454" s="86" t="s">
        <v>312</v>
      </c>
      <c r="G454" s="86" t="s">
        <v>5980</v>
      </c>
      <c r="H454" s="86" t="s">
        <v>22</v>
      </c>
      <c r="I454" s="212">
        <v>44702</v>
      </c>
      <c r="J454" s="86" t="s">
        <v>6067</v>
      </c>
    </row>
    <row r="455" spans="2:10" x14ac:dyDescent="0.2">
      <c r="B455" s="86">
        <v>452</v>
      </c>
      <c r="C455" s="86" t="s">
        <v>1125</v>
      </c>
      <c r="D455" s="304">
        <f>_xlfn.IFNA(VLOOKUP(C455,Database!$D$5:$F$439,2,0),VLOOKUP(C455,logut!$C$4:$D$499,2,0))</f>
        <v>642001048</v>
      </c>
      <c r="E455" s="86" t="s">
        <v>312</v>
      </c>
      <c r="G455" s="86" t="s">
        <v>5980</v>
      </c>
      <c r="H455" s="86" t="s">
        <v>22</v>
      </c>
      <c r="I455" s="212">
        <v>44702</v>
      </c>
      <c r="J455" s="86" t="s">
        <v>6067</v>
      </c>
    </row>
    <row r="456" spans="2:10" x14ac:dyDescent="0.2">
      <c r="B456" s="86">
        <v>453</v>
      </c>
      <c r="C456" s="86" t="s">
        <v>2448</v>
      </c>
      <c r="D456" s="304">
        <f>_xlfn.IFNA(VLOOKUP(C456,Database!$D$5:$F$439,2,0),VLOOKUP(C456,logut!$C$4:$D$499,2,0))</f>
        <v>641907251</v>
      </c>
      <c r="E456" s="86" t="s">
        <v>6068</v>
      </c>
      <c r="G456" s="86" t="s">
        <v>5980</v>
      </c>
      <c r="H456" s="86" t="s">
        <v>22</v>
      </c>
      <c r="I456" s="212">
        <v>44702</v>
      </c>
      <c r="J456" s="86" t="s">
        <v>6067</v>
      </c>
    </row>
    <row r="457" spans="2:10" x14ac:dyDescent="0.2">
      <c r="B457" s="86">
        <v>454</v>
      </c>
      <c r="C457" s="86" t="s">
        <v>2910</v>
      </c>
      <c r="D457" s="304">
        <f>_xlfn.IFNA(VLOOKUP(C457,Database!$D$5:$F$439,2,0),VLOOKUP(C457,logut!$C$4:$D$499,2,0))</f>
        <v>642109111</v>
      </c>
      <c r="E457" s="86" t="s">
        <v>312</v>
      </c>
      <c r="G457" s="86" t="s">
        <v>5980</v>
      </c>
      <c r="H457" s="86" t="s">
        <v>29</v>
      </c>
      <c r="I457" s="212">
        <v>44702</v>
      </c>
      <c r="J457" s="86" t="s">
        <v>6067</v>
      </c>
    </row>
    <row r="458" spans="2:10" x14ac:dyDescent="0.2">
      <c r="B458" s="86">
        <v>455</v>
      </c>
      <c r="C458" s="86" t="s">
        <v>638</v>
      </c>
      <c r="D458" s="304">
        <f>_xlfn.IFNA(VLOOKUP(C458,Database!$D$5:$F$439,2,0),VLOOKUP(C458,logut!$C$4:$D$499,2,0))</f>
        <v>642001005</v>
      </c>
      <c r="E458" s="86" t="s">
        <v>312</v>
      </c>
      <c r="G458" s="86" t="s">
        <v>5980</v>
      </c>
      <c r="H458" s="86" t="s">
        <v>30</v>
      </c>
      <c r="I458" s="212">
        <v>44702</v>
      </c>
      <c r="J458" s="86" t="s">
        <v>6067</v>
      </c>
    </row>
    <row r="459" spans="2:10" x14ac:dyDescent="0.2">
      <c r="B459" s="86">
        <v>456</v>
      </c>
      <c r="C459" s="86" t="s">
        <v>680</v>
      </c>
      <c r="D459" s="304">
        <f>_xlfn.IFNA(VLOOKUP(C459,Database!$D$5:$F$439,2,0),VLOOKUP(C459,logut!$C$4:$D$499,2,0))</f>
        <v>642001012</v>
      </c>
      <c r="E459" s="86" t="s">
        <v>2774</v>
      </c>
      <c r="G459" s="86" t="s">
        <v>5980</v>
      </c>
      <c r="H459" s="86" t="s">
        <v>6070</v>
      </c>
      <c r="I459" s="212">
        <v>44702</v>
      </c>
      <c r="J459" s="86" t="s">
        <v>6067</v>
      </c>
    </row>
    <row r="460" spans="2:10" x14ac:dyDescent="0.2">
      <c r="B460" s="86">
        <v>457</v>
      </c>
      <c r="C460" s="86" t="s">
        <v>2594</v>
      </c>
      <c r="D460" s="304">
        <f>_xlfn.IFNA(VLOOKUP(C460,Database!$D$5:$F$439,2,0),VLOOKUP(C460,logut!$C$4:$D$499,2,0))</f>
        <v>642002083</v>
      </c>
      <c r="E460" s="86" t="s">
        <v>6068</v>
      </c>
      <c r="G460" s="86" t="s">
        <v>5980</v>
      </c>
      <c r="H460" s="86" t="s">
        <v>30</v>
      </c>
      <c r="I460" s="212">
        <v>44702</v>
      </c>
      <c r="J460" s="86" t="s">
        <v>6067</v>
      </c>
    </row>
    <row r="461" spans="2:10" x14ac:dyDescent="0.2">
      <c r="B461" s="86">
        <v>458</v>
      </c>
      <c r="C461" s="86" t="s">
        <v>1820</v>
      </c>
      <c r="D461" s="304">
        <f>_xlfn.IFNA(VLOOKUP(C461,Database!$D$5:$F$439,2,0),VLOOKUP(C461,logut!$C$4:$D$499,2,0))</f>
        <v>641807161</v>
      </c>
      <c r="E461" s="86" t="s">
        <v>6068</v>
      </c>
      <c r="G461" s="86" t="s">
        <v>5980</v>
      </c>
      <c r="H461" s="86" t="s">
        <v>28</v>
      </c>
      <c r="I461" s="212">
        <v>44702</v>
      </c>
      <c r="J461" s="86" t="s">
        <v>6067</v>
      </c>
    </row>
    <row r="462" spans="2:10" x14ac:dyDescent="0.2">
      <c r="B462" s="86">
        <v>459</v>
      </c>
      <c r="C462" s="86" t="s">
        <v>2342</v>
      </c>
      <c r="D462" s="304">
        <f>_xlfn.IFNA(VLOOKUP(C462,Database!$D$5:$F$439,2,0),VLOOKUP(C462,logut!$C$4:$D$499,2,0))</f>
        <v>641907263</v>
      </c>
      <c r="E462" s="86" t="s">
        <v>6068</v>
      </c>
      <c r="G462" s="86" t="s">
        <v>5980</v>
      </c>
      <c r="H462" s="86" t="s">
        <v>24</v>
      </c>
      <c r="I462" s="212">
        <v>44702</v>
      </c>
      <c r="J462" s="86" t="s">
        <v>6067</v>
      </c>
    </row>
    <row r="463" spans="2:10" x14ac:dyDescent="0.2">
      <c r="B463" s="86">
        <v>460</v>
      </c>
      <c r="C463" s="86" t="s">
        <v>1277</v>
      </c>
      <c r="D463" s="304">
        <f>_xlfn.IFNA(VLOOKUP(C463,Database!$D$5:$F$439,2,0),VLOOKUP(C463,logut!$C$4:$D$499,2,0))</f>
        <v>642001042</v>
      </c>
      <c r="E463" s="86" t="s">
        <v>6068</v>
      </c>
      <c r="G463" s="86" t="s">
        <v>5980</v>
      </c>
      <c r="H463" s="86" t="s">
        <v>24</v>
      </c>
      <c r="I463" s="212">
        <v>44702</v>
      </c>
      <c r="J463" s="86" t="s">
        <v>6067</v>
      </c>
    </row>
    <row r="464" spans="2:10" x14ac:dyDescent="0.2">
      <c r="B464" s="86">
        <v>461</v>
      </c>
      <c r="C464" s="86" t="s">
        <v>2674</v>
      </c>
      <c r="D464" s="304">
        <f>_xlfn.IFNA(VLOOKUP(C464,Database!$D$5:$F$439,2,0),VLOOKUP(C464,logut!$C$4:$D$499,2,0))</f>
        <v>999500021</v>
      </c>
      <c r="E464" s="86" t="s">
        <v>5344</v>
      </c>
      <c r="G464" s="86" t="s">
        <v>5980</v>
      </c>
      <c r="H464" s="86" t="s">
        <v>6070</v>
      </c>
      <c r="I464" s="212">
        <v>44702</v>
      </c>
      <c r="J464" s="86" t="s">
        <v>6067</v>
      </c>
    </row>
    <row r="465" spans="2:10" x14ac:dyDescent="0.2">
      <c r="B465" s="86">
        <v>462</v>
      </c>
      <c r="C465" s="86" t="s">
        <v>2540</v>
      </c>
      <c r="D465" s="304">
        <f>_xlfn.IFNA(VLOOKUP(C465,Database!$D$5:$F$439,2,0),VLOOKUP(C465,logut!$C$4:$D$499,2,0))</f>
        <v>642002073</v>
      </c>
      <c r="E465" s="86" t="s">
        <v>6068</v>
      </c>
      <c r="G465" s="86" t="s">
        <v>5980</v>
      </c>
      <c r="H465" s="86" t="s">
        <v>29</v>
      </c>
      <c r="I465" s="212">
        <v>44702</v>
      </c>
      <c r="J465" s="86" t="s">
        <v>6067</v>
      </c>
    </row>
    <row r="466" spans="2:10" x14ac:dyDescent="0.2">
      <c r="B466" s="86">
        <v>463</v>
      </c>
      <c r="C466" s="86" t="s">
        <v>2472</v>
      </c>
      <c r="D466" s="304">
        <f>_xlfn.IFNA(VLOOKUP(C466,Database!$D$5:$F$439,2,0),VLOOKUP(C466,logut!$C$4:$D$499,2,0))</f>
        <v>641907248</v>
      </c>
      <c r="E466" s="86" t="s">
        <v>6068</v>
      </c>
      <c r="G466" s="86" t="s">
        <v>5980</v>
      </c>
      <c r="H466" s="86" t="s">
        <v>30</v>
      </c>
      <c r="I466" s="212">
        <v>44702</v>
      </c>
      <c r="J466" s="86" t="s">
        <v>6067</v>
      </c>
    </row>
    <row r="467" spans="2:10" x14ac:dyDescent="0.2">
      <c r="B467" s="86">
        <v>464</v>
      </c>
      <c r="C467" s="86" t="s">
        <v>2465</v>
      </c>
      <c r="D467" s="304">
        <f>_xlfn.IFNA(VLOOKUP(C467,Database!$D$5:$F$439,2,0),VLOOKUP(C467,logut!$C$4:$D$499,2,0))</f>
        <v>641907267</v>
      </c>
      <c r="E467" s="86" t="s">
        <v>6068</v>
      </c>
      <c r="G467" s="86" t="s">
        <v>5980</v>
      </c>
      <c r="H467" s="86" t="s">
        <v>2298</v>
      </c>
      <c r="I467" s="212">
        <v>44702</v>
      </c>
      <c r="J467" s="86" t="s">
        <v>6067</v>
      </c>
    </row>
    <row r="468" spans="2:10" x14ac:dyDescent="0.2">
      <c r="B468" s="86">
        <v>465</v>
      </c>
      <c r="C468" s="86" t="s">
        <v>5777</v>
      </c>
      <c r="D468" s="304">
        <f>_xlfn.IFNA(VLOOKUP(C468,Database!$D$5:$F$439,2,0),VLOOKUP(C468,logut!$C$4:$D$499,2,0))</f>
        <v>642002081</v>
      </c>
      <c r="E468" s="86" t="s">
        <v>6068</v>
      </c>
      <c r="G468" s="86" t="s">
        <v>5980</v>
      </c>
      <c r="H468" s="86" t="s">
        <v>30</v>
      </c>
      <c r="I468" s="212">
        <v>44702</v>
      </c>
      <c r="J468" s="86" t="s">
        <v>6067</v>
      </c>
    </row>
    <row r="469" spans="2:10" x14ac:dyDescent="0.2">
      <c r="B469" s="86">
        <v>466</v>
      </c>
      <c r="C469" s="86" t="s">
        <v>2124</v>
      </c>
      <c r="D469" s="304">
        <f>_xlfn.IFNA(VLOOKUP(C469,Database!$D$5:$F$439,2,0),VLOOKUP(C469,logut!$C$4:$D$499,2,0))</f>
        <v>641810188</v>
      </c>
      <c r="E469" s="86" t="s">
        <v>312</v>
      </c>
      <c r="G469" s="86" t="s">
        <v>5980</v>
      </c>
      <c r="H469" s="86" t="s">
        <v>24</v>
      </c>
      <c r="I469" s="212">
        <v>44702</v>
      </c>
      <c r="J469" s="86" t="s">
        <v>6067</v>
      </c>
    </row>
    <row r="470" spans="2:10" x14ac:dyDescent="0.2">
      <c r="B470" s="86">
        <v>467</v>
      </c>
      <c r="C470" s="86" t="s">
        <v>500</v>
      </c>
      <c r="D470" s="304">
        <f>_xlfn.IFNA(VLOOKUP(C470,Database!$D$5:$F$439,2,0),VLOOKUP(C470,logut!$C$4:$D$499,2,0))</f>
        <v>971700005</v>
      </c>
      <c r="E470" s="86" t="s">
        <v>312</v>
      </c>
      <c r="G470" s="86" t="s">
        <v>5980</v>
      </c>
      <c r="H470" s="86" t="s">
        <v>30</v>
      </c>
      <c r="I470" s="212">
        <v>44702</v>
      </c>
      <c r="J470" s="86" t="s">
        <v>6067</v>
      </c>
    </row>
    <row r="471" spans="2:10" x14ac:dyDescent="0.2">
      <c r="B471" s="86">
        <v>468</v>
      </c>
      <c r="C471" s="86" t="s">
        <v>5321</v>
      </c>
      <c r="D471" s="304">
        <f>_xlfn.IFNA(VLOOKUP(C471,Database!$D$5:$F$439,2,0),VLOOKUP(C471,logut!$C$4:$D$499,2,0))</f>
        <v>999900029</v>
      </c>
      <c r="E471" s="86" t="s">
        <v>312</v>
      </c>
      <c r="G471" s="86" t="s">
        <v>6001</v>
      </c>
      <c r="H471" s="86" t="s">
        <v>6002</v>
      </c>
      <c r="I471" s="212">
        <v>44702</v>
      </c>
      <c r="J471" s="86" t="s">
        <v>6067</v>
      </c>
    </row>
    <row r="472" spans="2:10" x14ac:dyDescent="0.2">
      <c r="B472" s="86">
        <v>469</v>
      </c>
      <c r="C472" s="86" t="s">
        <v>1303</v>
      </c>
      <c r="D472" s="304">
        <f>_xlfn.IFNA(VLOOKUP(C472,Database!$D$5:$F$439,2,0),VLOOKUP(C472,logut!$C$4:$D$499,2,0))</f>
        <v>642001039</v>
      </c>
      <c r="E472" s="86" t="s">
        <v>312</v>
      </c>
      <c r="G472" s="86" t="s">
        <v>5980</v>
      </c>
      <c r="H472" s="86" t="s">
        <v>28</v>
      </c>
      <c r="I472" s="212">
        <v>44702</v>
      </c>
      <c r="J472" s="86" t="s">
        <v>6067</v>
      </c>
    </row>
    <row r="473" spans="2:10" x14ac:dyDescent="0.2">
      <c r="B473" s="86">
        <v>470</v>
      </c>
      <c r="C473" s="86" t="s">
        <v>2732</v>
      </c>
      <c r="D473" s="304">
        <f>_xlfn.IFNA(VLOOKUP(C473,Database!$D$5:$F$439,2,0),VLOOKUP(C473,logut!$C$4:$D$499,2,0))</f>
        <v>991700024</v>
      </c>
      <c r="E473" s="86" t="s">
        <v>312</v>
      </c>
      <c r="G473" s="86" t="s">
        <v>6001</v>
      </c>
      <c r="H473" s="86" t="s">
        <v>6002</v>
      </c>
      <c r="I473" s="212">
        <v>44702</v>
      </c>
      <c r="J473" s="86" t="s">
        <v>6067</v>
      </c>
    </row>
    <row r="474" spans="2:10" x14ac:dyDescent="0.2">
      <c r="B474" s="86">
        <v>471</v>
      </c>
      <c r="C474" s="86" t="s">
        <v>913</v>
      </c>
      <c r="D474" s="304">
        <f>_xlfn.IFNA(VLOOKUP(C474,Database!$D$5:$F$439,2,0),VLOOKUP(C474,logut!$C$4:$D$499,2,0))</f>
        <v>642001061</v>
      </c>
      <c r="E474" s="86" t="s">
        <v>312</v>
      </c>
      <c r="G474" s="86" t="s">
        <v>5980</v>
      </c>
      <c r="H474" s="86" t="s">
        <v>24</v>
      </c>
      <c r="I474" s="212">
        <v>44702</v>
      </c>
      <c r="J474" s="86" t="s">
        <v>6067</v>
      </c>
    </row>
    <row r="475" spans="2:10" x14ac:dyDescent="0.2">
      <c r="B475" s="86">
        <v>472</v>
      </c>
      <c r="C475" s="86" t="s">
        <v>5841</v>
      </c>
      <c r="D475" s="304">
        <f>_xlfn.IFNA(VLOOKUP(C475,Database!$D$5:$F$439,2,0),VLOOKUP(C475,logut!$C$4:$D$499,2,0))</f>
        <v>641812210</v>
      </c>
      <c r="E475" s="86" t="s">
        <v>6068</v>
      </c>
      <c r="G475" s="86" t="s">
        <v>5980</v>
      </c>
      <c r="H475" s="86" t="s">
        <v>24</v>
      </c>
      <c r="I475" s="212">
        <v>44702</v>
      </c>
      <c r="J475" s="86" t="s">
        <v>6067</v>
      </c>
    </row>
    <row r="476" spans="2:10" x14ac:dyDescent="0.2">
      <c r="B476" s="86">
        <v>473</v>
      </c>
      <c r="C476" s="86" t="s">
        <v>2285</v>
      </c>
      <c r="D476" s="304">
        <f>_xlfn.IFNA(VLOOKUP(C476,Database!$D$5:$F$439,2,0),VLOOKUP(C476,logut!$C$4:$D$499,2,0))</f>
        <v>641907269</v>
      </c>
      <c r="E476" s="86" t="s">
        <v>6068</v>
      </c>
      <c r="G476" s="86" t="s">
        <v>5980</v>
      </c>
      <c r="H476" s="86" t="s">
        <v>28</v>
      </c>
      <c r="I476" s="212">
        <v>44702</v>
      </c>
      <c r="J476" s="86" t="s">
        <v>6067</v>
      </c>
    </row>
    <row r="477" spans="2:10" x14ac:dyDescent="0.2">
      <c r="B477" s="86">
        <v>474</v>
      </c>
      <c r="C477" s="86" t="s">
        <v>2348</v>
      </c>
      <c r="D477" s="304">
        <f>_xlfn.IFNA(VLOOKUP(C477,Database!$D$5:$F$439,2,0),VLOOKUP(C477,logut!$C$4:$D$499,2,0))</f>
        <v>641907247</v>
      </c>
      <c r="E477" s="86" t="s">
        <v>312</v>
      </c>
      <c r="G477" s="86" t="s">
        <v>5980</v>
      </c>
      <c r="H477" s="86" t="s">
        <v>30</v>
      </c>
      <c r="I477" s="212">
        <v>44702</v>
      </c>
      <c r="J477" s="86" t="s">
        <v>6067</v>
      </c>
    </row>
    <row r="478" spans="2:10" x14ac:dyDescent="0.2">
      <c r="B478" s="86">
        <v>475</v>
      </c>
      <c r="C478" s="86" t="s">
        <v>2570</v>
      </c>
      <c r="D478" s="304">
        <f>_xlfn.IFNA(VLOOKUP(C478,Database!$D$5:$F$439,2,0),VLOOKUP(C478,logut!$C$4:$D$499,2,0))</f>
        <v>642002079</v>
      </c>
      <c r="E478" s="86" t="s">
        <v>312</v>
      </c>
      <c r="G478" s="86" t="s">
        <v>5980</v>
      </c>
      <c r="H478" s="86" t="s">
        <v>2298</v>
      </c>
      <c r="I478" s="212">
        <v>44702</v>
      </c>
      <c r="J478" s="86" t="s">
        <v>6067</v>
      </c>
    </row>
    <row r="479" spans="2:10" x14ac:dyDescent="0.2">
      <c r="B479" s="86">
        <v>476</v>
      </c>
      <c r="C479" s="86" t="s">
        <v>2626</v>
      </c>
      <c r="D479" s="304">
        <f>_xlfn.IFNA(VLOOKUP(C479,Database!$D$5:$F$439,2,0),VLOOKUP(C479,logut!$C$4:$D$499,2,0))</f>
        <v>642003087</v>
      </c>
      <c r="E479" s="86" t="s">
        <v>2774</v>
      </c>
      <c r="G479" s="86" t="s">
        <v>5980</v>
      </c>
      <c r="H479" s="86" t="s">
        <v>6070</v>
      </c>
      <c r="I479" s="212">
        <v>44702</v>
      </c>
      <c r="J479" s="86" t="s">
        <v>6067</v>
      </c>
    </row>
    <row r="480" spans="2:10" x14ac:dyDescent="0.2">
      <c r="B480" s="86">
        <v>477</v>
      </c>
      <c r="C480" s="86" t="s">
        <v>1385</v>
      </c>
      <c r="D480" s="304">
        <f>_xlfn.IFNA(VLOOKUP(C480,Database!$D$5:$F$439,2,0),VLOOKUP(C480,logut!$C$4:$D$499,2,0))</f>
        <v>642001033</v>
      </c>
      <c r="E480" s="86" t="s">
        <v>312</v>
      </c>
      <c r="G480" s="86" t="s">
        <v>5980</v>
      </c>
      <c r="H480" s="86" t="s">
        <v>28</v>
      </c>
      <c r="I480" s="212">
        <v>44702</v>
      </c>
      <c r="J480" s="86" t="s">
        <v>6067</v>
      </c>
    </row>
    <row r="481" spans="2:10" x14ac:dyDescent="0.2">
      <c r="B481" s="86">
        <v>478</v>
      </c>
      <c r="C481" s="86" t="s">
        <v>476</v>
      </c>
      <c r="D481" s="304">
        <f>_xlfn.IFNA(VLOOKUP(C481,Database!$D$5:$F$439,2,0),VLOOKUP(C481,logut!$C$4:$D$499,2,0))</f>
        <v>971700006</v>
      </c>
      <c r="E481" s="86" t="s">
        <v>312</v>
      </c>
      <c r="G481" s="86" t="s">
        <v>5980</v>
      </c>
      <c r="H481" s="86" t="s">
        <v>28</v>
      </c>
      <c r="I481" s="212">
        <v>44702</v>
      </c>
      <c r="J481" s="86" t="s">
        <v>6067</v>
      </c>
    </row>
    <row r="482" spans="2:10" x14ac:dyDescent="0.2">
      <c r="B482" s="86">
        <v>479</v>
      </c>
      <c r="C482" s="86" t="s">
        <v>2376</v>
      </c>
      <c r="D482" s="304">
        <f>_xlfn.IFNA(VLOOKUP(C482,Database!$D$5:$F$439,2,0),VLOOKUP(C482,logut!$C$4:$D$499,2,0))</f>
        <v>641907272</v>
      </c>
      <c r="E482" s="86" t="s">
        <v>312</v>
      </c>
      <c r="G482" s="86" t="s">
        <v>5980</v>
      </c>
      <c r="H482" s="86" t="s">
        <v>24</v>
      </c>
      <c r="I482" s="212">
        <v>44702</v>
      </c>
      <c r="J482" s="86" t="s">
        <v>6067</v>
      </c>
    </row>
    <row r="483" spans="2:10" x14ac:dyDescent="0.2">
      <c r="B483" s="86">
        <v>480</v>
      </c>
      <c r="C483" s="86" t="s">
        <v>488</v>
      </c>
      <c r="D483" s="304">
        <f>_xlfn.IFNA(VLOOKUP(C483,Database!$D$5:$F$439,2,0),VLOOKUP(C483,logut!$C$4:$D$499,2,0))</f>
        <v>971700007</v>
      </c>
      <c r="E483" s="86" t="s">
        <v>312</v>
      </c>
      <c r="G483" s="86" t="s">
        <v>6001</v>
      </c>
      <c r="H483" s="86" t="s">
        <v>6002</v>
      </c>
      <c r="I483" s="212">
        <v>44702</v>
      </c>
      <c r="J483" s="86" t="s">
        <v>6067</v>
      </c>
    </row>
    <row r="484" spans="2:10" x14ac:dyDescent="0.2">
      <c r="B484" s="86">
        <v>481</v>
      </c>
      <c r="C484" s="86" t="s">
        <v>1226</v>
      </c>
      <c r="D484" s="304">
        <f>_xlfn.IFNA(VLOOKUP(C484,Database!$D$5:$F$439,2,0),VLOOKUP(C484,logut!$C$4:$D$499,2,0))</f>
        <v>642001038</v>
      </c>
      <c r="E484" s="86" t="s">
        <v>6068</v>
      </c>
      <c r="G484" s="86" t="s">
        <v>5980</v>
      </c>
      <c r="H484" s="86" t="s">
        <v>28</v>
      </c>
      <c r="I484" s="212">
        <v>44702</v>
      </c>
      <c r="J484" s="86" t="s">
        <v>6067</v>
      </c>
    </row>
    <row r="485" spans="2:10" x14ac:dyDescent="0.2">
      <c r="B485" s="86">
        <v>482</v>
      </c>
      <c r="C485" s="86" t="s">
        <v>592</v>
      </c>
      <c r="D485" s="304">
        <f>_xlfn.IFNA(VLOOKUP(C485,Database!$D$5:$F$439,2,0),VLOOKUP(C485,logut!$C$4:$D$499,2,0))</f>
        <v>971700008</v>
      </c>
      <c r="E485" s="86" t="s">
        <v>5344</v>
      </c>
      <c r="G485" s="86" t="s">
        <v>5980</v>
      </c>
      <c r="H485" s="86" t="s">
        <v>6071</v>
      </c>
      <c r="I485" s="212">
        <v>44702</v>
      </c>
      <c r="J485" s="86" t="s">
        <v>6067</v>
      </c>
    </row>
    <row r="486" spans="2:10" x14ac:dyDescent="0.2">
      <c r="B486" s="86">
        <v>483</v>
      </c>
      <c r="C486" s="86" t="s">
        <v>1466</v>
      </c>
      <c r="D486" s="304">
        <f>_xlfn.IFNA(VLOOKUP(C486,Database!$D$5:$F$439,2,0),VLOOKUP(C486,logut!$C$4:$D$499,2,0))</f>
        <v>642001031</v>
      </c>
      <c r="E486" s="86" t="s">
        <v>6068</v>
      </c>
      <c r="G486" s="86" t="s">
        <v>5980</v>
      </c>
      <c r="H486" s="86" t="s">
        <v>28</v>
      </c>
      <c r="I486" s="212">
        <v>44702</v>
      </c>
      <c r="J486" s="86" t="s">
        <v>6067</v>
      </c>
    </row>
    <row r="487" spans="2:10" x14ac:dyDescent="0.2">
      <c r="B487" s="86">
        <v>484</v>
      </c>
      <c r="C487" s="86" t="s">
        <v>5764</v>
      </c>
      <c r="D487" s="304">
        <f>_xlfn.IFNA(VLOOKUP(C487,Database!$D$5:$F$439,2,0),VLOOKUP(C487,logut!$C$4:$D$499,2,0))</f>
        <v>999700007</v>
      </c>
      <c r="E487" s="86" t="s">
        <v>6072</v>
      </c>
      <c r="G487" s="86" t="s">
        <v>6073</v>
      </c>
      <c r="H487" s="86" t="s">
        <v>5901</v>
      </c>
      <c r="I487" s="212">
        <v>44728</v>
      </c>
      <c r="J487" s="86" t="s">
        <v>6074</v>
      </c>
    </row>
    <row r="488" spans="2:10" x14ac:dyDescent="0.2">
      <c r="B488" s="86">
        <v>485</v>
      </c>
      <c r="C488" s="86" t="s">
        <v>1159</v>
      </c>
      <c r="D488" s="304">
        <f>_xlfn.IFNA(VLOOKUP(C488,Database!$D$5:$F$439,2,0),VLOOKUP(C488,logut!$C$4:$D$499,2,0))</f>
        <v>971800017</v>
      </c>
      <c r="E488" s="86" t="s">
        <v>6075</v>
      </c>
      <c r="G488" s="86" t="s">
        <v>6073</v>
      </c>
      <c r="H488" s="86" t="s">
        <v>5901</v>
      </c>
      <c r="I488" s="212">
        <v>44728</v>
      </c>
      <c r="J488" s="86" t="s">
        <v>6074</v>
      </c>
    </row>
    <row r="489" spans="2:10" x14ac:dyDescent="0.2">
      <c r="B489" s="86">
        <v>486</v>
      </c>
      <c r="C489" s="86" t="s">
        <v>1170</v>
      </c>
      <c r="D489" s="304">
        <f>_xlfn.IFNA(VLOOKUP(C489,Database!$D$5:$F$439,2,0),VLOOKUP(C489,logut!$C$4:$D$499,2,0))</f>
        <v>971900027</v>
      </c>
      <c r="E489" s="86" t="s">
        <v>6075</v>
      </c>
      <c r="G489" s="86" t="s">
        <v>6073</v>
      </c>
      <c r="H489" s="86" t="s">
        <v>5901</v>
      </c>
      <c r="I489" s="212">
        <v>44728</v>
      </c>
      <c r="J489" s="86" t="s">
        <v>6074</v>
      </c>
    </row>
    <row r="490" spans="2:10" x14ac:dyDescent="0.2">
      <c r="B490" s="86">
        <v>487</v>
      </c>
      <c r="C490" s="86" t="s">
        <v>5160</v>
      </c>
      <c r="D490" s="304">
        <f>_xlfn.IFNA(VLOOKUP(C490,Database!$D$5:$F$439,2,0),VLOOKUP(C490,logut!$C$4:$D$499,2,0))</f>
        <v>991000008</v>
      </c>
      <c r="E490" s="86" t="s">
        <v>6075</v>
      </c>
      <c r="G490" s="86" t="s">
        <v>6073</v>
      </c>
      <c r="H490" s="86" t="s">
        <v>5901</v>
      </c>
      <c r="I490" s="212">
        <v>44728</v>
      </c>
      <c r="J490" s="86" t="s">
        <v>6074</v>
      </c>
    </row>
    <row r="491" spans="2:10" x14ac:dyDescent="0.2">
      <c r="B491" s="86">
        <v>488</v>
      </c>
      <c r="C491" s="86" t="s">
        <v>5147</v>
      </c>
      <c r="D491" s="304">
        <f>_xlfn.IFNA(VLOOKUP(C491,Database!$D$5:$F$439,2,0),VLOOKUP(C491,logut!$C$4:$D$499,2,0))</f>
        <v>991000007</v>
      </c>
      <c r="E491" s="86" t="s">
        <v>6075</v>
      </c>
      <c r="G491" s="86" t="s">
        <v>6073</v>
      </c>
      <c r="H491" s="86" t="s">
        <v>5901</v>
      </c>
      <c r="I491" s="212">
        <v>44728</v>
      </c>
      <c r="J491" s="86" t="s">
        <v>6074</v>
      </c>
    </row>
    <row r="492" spans="2:10" x14ac:dyDescent="0.2">
      <c r="B492" s="86">
        <v>489</v>
      </c>
      <c r="C492" s="86" t="s">
        <v>90</v>
      </c>
      <c r="D492" s="304">
        <f>_xlfn.IFNA(VLOOKUP(C492,Database!$D$5:$F$439,2,0),VLOOKUP(C492,logut!$C$4:$D$499,2,0))</f>
        <v>999200022</v>
      </c>
      <c r="E492" s="86" t="s">
        <v>6075</v>
      </c>
      <c r="G492" s="86" t="s">
        <v>6073</v>
      </c>
      <c r="H492" s="86" t="s">
        <v>5901</v>
      </c>
      <c r="I492" s="212">
        <v>44728</v>
      </c>
      <c r="J492" s="86" t="s">
        <v>6074</v>
      </c>
    </row>
    <row r="493" spans="2:10" x14ac:dyDescent="0.2">
      <c r="B493" s="86">
        <v>490</v>
      </c>
      <c r="C493" s="86" t="s">
        <v>5208</v>
      </c>
      <c r="D493" s="304">
        <f>_xlfn.IFNA(VLOOKUP(C493,Database!$D$5:$F$439,2,0),VLOOKUP(C493,logut!$C$4:$D$499,2,0))</f>
        <v>999600062</v>
      </c>
      <c r="E493" s="86" t="s">
        <v>6075</v>
      </c>
      <c r="G493" s="86" t="s">
        <v>6073</v>
      </c>
      <c r="H493" s="86" t="s">
        <v>5901</v>
      </c>
      <c r="I493" s="212">
        <v>44728</v>
      </c>
      <c r="J493" s="86" t="s">
        <v>6074</v>
      </c>
    </row>
    <row r="494" spans="2:10" x14ac:dyDescent="0.2">
      <c r="B494" s="86">
        <v>491</v>
      </c>
      <c r="C494" s="86" t="s">
        <v>431</v>
      </c>
      <c r="D494" s="304">
        <f>_xlfn.IFNA(VLOOKUP(C494,Database!$D$5:$F$439,2,0),VLOOKUP(C494,logut!$C$4:$D$499,2,0))</f>
        <v>971600004</v>
      </c>
      <c r="E494" s="86" t="s">
        <v>6075</v>
      </c>
      <c r="G494" s="86" t="s">
        <v>6073</v>
      </c>
      <c r="H494" s="86" t="s">
        <v>5901</v>
      </c>
      <c r="I494" s="212">
        <v>44728</v>
      </c>
      <c r="J494" s="86" t="s">
        <v>6074</v>
      </c>
    </row>
    <row r="495" spans="2:10" x14ac:dyDescent="0.2">
      <c r="B495" s="86">
        <v>492</v>
      </c>
      <c r="C495" s="86" t="s">
        <v>2667</v>
      </c>
      <c r="D495" s="304">
        <f>_xlfn.IFNA(VLOOKUP(C495,Database!$D$5:$F$439,2,0),VLOOKUP(C495,logut!$C$4:$D$499,2,0))</f>
        <v>991100025</v>
      </c>
      <c r="E495" s="86" t="s">
        <v>6075</v>
      </c>
      <c r="G495" s="86" t="s">
        <v>6073</v>
      </c>
      <c r="H495" s="86" t="s">
        <v>5901</v>
      </c>
      <c r="I495" s="212">
        <v>44728</v>
      </c>
      <c r="J495" s="86" t="s">
        <v>6074</v>
      </c>
    </row>
    <row r="496" spans="2:10" x14ac:dyDescent="0.2">
      <c r="B496" s="86">
        <v>493</v>
      </c>
      <c r="C496" s="86" t="s">
        <v>2636</v>
      </c>
      <c r="D496" s="304">
        <f>_xlfn.IFNA(VLOOKUP(C496,Database!$D$5:$F$439,2,0),VLOOKUP(C496,logut!$C$4:$D$499,2,0))</f>
        <v>999800003</v>
      </c>
      <c r="E496" s="86" t="s">
        <v>6075</v>
      </c>
      <c r="G496" s="86" t="s">
        <v>6073</v>
      </c>
      <c r="H496" s="86" t="s">
        <v>5901</v>
      </c>
      <c r="I496" s="212">
        <v>44728</v>
      </c>
      <c r="J496" s="86" t="s">
        <v>6074</v>
      </c>
    </row>
    <row r="497" spans="2:10" x14ac:dyDescent="0.2">
      <c r="B497" s="86">
        <v>494</v>
      </c>
      <c r="C497" s="86" t="s">
        <v>2674</v>
      </c>
      <c r="D497" s="304">
        <f>_xlfn.IFNA(VLOOKUP(C497,Database!$D$5:$F$439,2,0),VLOOKUP(C497,logut!$C$4:$D$499,2,0))</f>
        <v>999500021</v>
      </c>
      <c r="E497" s="86" t="s">
        <v>6075</v>
      </c>
      <c r="G497" s="86" t="s">
        <v>6073</v>
      </c>
      <c r="H497" s="86" t="s">
        <v>5901</v>
      </c>
      <c r="I497" s="212">
        <v>44728</v>
      </c>
      <c r="J497" s="86" t="s">
        <v>6074</v>
      </c>
    </row>
    <row r="498" spans="2:10" x14ac:dyDescent="0.2">
      <c r="B498" s="86">
        <v>495</v>
      </c>
      <c r="C498" s="86" t="s">
        <v>5138</v>
      </c>
      <c r="D498" s="304">
        <f>_xlfn.IFNA(VLOOKUP(C498,Database!$D$5:$F$439,2,0),VLOOKUP(C498,logut!$C$4:$D$499,2,0))</f>
        <v>999400099</v>
      </c>
      <c r="E498" s="86" t="s">
        <v>6075</v>
      </c>
      <c r="G498" s="86" t="s">
        <v>6073</v>
      </c>
      <c r="H498" s="86" t="s">
        <v>5901</v>
      </c>
      <c r="I498" s="212">
        <v>44728</v>
      </c>
      <c r="J498" s="86" t="s">
        <v>6074</v>
      </c>
    </row>
    <row r="499" spans="2:10" x14ac:dyDescent="0.2">
      <c r="B499" s="86">
        <v>496</v>
      </c>
      <c r="C499" s="86" t="s">
        <v>5368</v>
      </c>
      <c r="D499" s="304">
        <f>_xlfn.IFNA(VLOOKUP(C499,Database!$D$5:$F$439,2,0),VLOOKUP(C499,logut!$C$4:$D$499,2,0))</f>
        <v>999400090</v>
      </c>
      <c r="E499" s="86" t="s">
        <v>6075</v>
      </c>
      <c r="G499" s="86" t="s">
        <v>6073</v>
      </c>
      <c r="H499" s="86" t="s">
        <v>5901</v>
      </c>
      <c r="I499" s="212">
        <v>44728</v>
      </c>
      <c r="J499" s="86" t="s">
        <v>6074</v>
      </c>
    </row>
    <row r="500" spans="2:10" x14ac:dyDescent="0.2">
      <c r="B500" s="86">
        <v>497</v>
      </c>
      <c r="C500" s="86" t="s">
        <v>5285</v>
      </c>
      <c r="D500" s="304">
        <f>_xlfn.IFNA(VLOOKUP(C500,Database!$D$5:$F$439,2,0),VLOOKUP(C500,logut!$C$4:$D$499,2,0))</f>
        <v>999600041</v>
      </c>
      <c r="E500" s="86" t="s">
        <v>6075</v>
      </c>
      <c r="G500" s="86" t="s">
        <v>6073</v>
      </c>
      <c r="H500" s="86" t="s">
        <v>5901</v>
      </c>
      <c r="I500" s="212">
        <v>44728</v>
      </c>
      <c r="J500" s="86" t="s">
        <v>6074</v>
      </c>
    </row>
    <row r="501" spans="2:10" x14ac:dyDescent="0.2">
      <c r="B501" s="86">
        <v>498</v>
      </c>
      <c r="C501" s="86" t="s">
        <v>380</v>
      </c>
      <c r="D501" s="304">
        <f>_xlfn.IFNA(VLOOKUP(C501,Database!$D$5:$F$439,2,0),VLOOKUP(C501,logut!$C$4:$D$499,2,0))</f>
        <v>971500002</v>
      </c>
      <c r="E501" s="86" t="s">
        <v>6075</v>
      </c>
      <c r="G501" s="86" t="s">
        <v>6073</v>
      </c>
      <c r="H501" s="86" t="s">
        <v>5901</v>
      </c>
      <c r="I501" s="212">
        <v>44728</v>
      </c>
      <c r="J501" s="86" t="s">
        <v>6074</v>
      </c>
    </row>
    <row r="502" spans="2:10" x14ac:dyDescent="0.2">
      <c r="B502" s="86">
        <v>499</v>
      </c>
      <c r="C502" s="86" t="s">
        <v>1949</v>
      </c>
      <c r="D502" s="304">
        <f>_xlfn.IFNA(VLOOKUP(C502,Database!$D$5:$F$439,2,0),VLOOKUP(C502,logut!$C$4:$D$499,2,0))</f>
        <v>971900034</v>
      </c>
      <c r="E502" s="86" t="s">
        <v>6075</v>
      </c>
      <c r="G502" s="86" t="s">
        <v>6073</v>
      </c>
      <c r="H502" s="86" t="s">
        <v>5901</v>
      </c>
      <c r="I502" s="212">
        <v>44728</v>
      </c>
      <c r="J502" s="86" t="s">
        <v>6074</v>
      </c>
    </row>
    <row r="503" spans="2:10" x14ac:dyDescent="0.2">
      <c r="B503" s="86">
        <v>500</v>
      </c>
      <c r="C503" s="86" t="s">
        <v>2704</v>
      </c>
      <c r="D503" s="304">
        <f>_xlfn.IFNA(VLOOKUP(C503,Database!$D$5:$F$439,2,0),VLOOKUP(C503,logut!$C$4:$D$499,2,0))</f>
        <v>999800078</v>
      </c>
      <c r="E503" s="86" t="s">
        <v>6075</v>
      </c>
      <c r="G503" s="86" t="s">
        <v>6073</v>
      </c>
      <c r="H503" s="86" t="s">
        <v>5901</v>
      </c>
      <c r="I503" s="212">
        <v>44728</v>
      </c>
      <c r="J503" s="86" t="s">
        <v>6074</v>
      </c>
    </row>
    <row r="504" spans="2:10" x14ac:dyDescent="0.2">
      <c r="B504" s="86">
        <v>501</v>
      </c>
      <c r="C504" s="86" t="s">
        <v>1903</v>
      </c>
      <c r="D504" s="304">
        <f>_xlfn.IFNA(VLOOKUP(C504,Database!$D$5:$F$439,2,0),VLOOKUP(C504,logut!$C$4:$D$499,2,0))</f>
        <v>971900039</v>
      </c>
      <c r="E504" s="86" t="s">
        <v>6075</v>
      </c>
      <c r="G504" s="86" t="s">
        <v>6073</v>
      </c>
      <c r="H504" s="86" t="s">
        <v>5901</v>
      </c>
      <c r="I504" s="212">
        <v>44728</v>
      </c>
      <c r="J504" s="86" t="s">
        <v>6074</v>
      </c>
    </row>
    <row r="505" spans="2:10" x14ac:dyDescent="0.2">
      <c r="B505" s="86">
        <v>502</v>
      </c>
      <c r="C505" s="86" t="s">
        <v>1475</v>
      </c>
      <c r="D505" s="304">
        <f>_xlfn.IFNA(VLOOKUP(C505,Database!$D$5:$F$439,2,0),VLOOKUP(C505,logut!$C$4:$D$499,2,0))</f>
        <v>972000053</v>
      </c>
      <c r="E505" s="86" t="s">
        <v>6075</v>
      </c>
      <c r="G505" s="86" t="s">
        <v>6073</v>
      </c>
      <c r="H505" s="86" t="s">
        <v>5901</v>
      </c>
      <c r="I505" s="212">
        <v>44728</v>
      </c>
      <c r="J505" s="86" t="s">
        <v>6074</v>
      </c>
    </row>
    <row r="506" spans="2:10" x14ac:dyDescent="0.2">
      <c r="B506" s="86">
        <v>503</v>
      </c>
      <c r="C506" s="86" t="s">
        <v>79</v>
      </c>
      <c r="D506" s="304">
        <f>_xlfn.IFNA(VLOOKUP(C506,Database!$D$5:$F$439,2,0),VLOOKUP(C506,logut!$C$4:$D$499,2,0))</f>
        <v>971900043</v>
      </c>
      <c r="E506" s="86" t="s">
        <v>6075</v>
      </c>
      <c r="G506" s="86" t="s">
        <v>6073</v>
      </c>
      <c r="H506" s="86" t="s">
        <v>5901</v>
      </c>
      <c r="I506" s="212">
        <v>44728</v>
      </c>
      <c r="J506" s="86" t="s">
        <v>6074</v>
      </c>
    </row>
    <row r="507" spans="2:10" x14ac:dyDescent="0.2">
      <c r="B507" s="86">
        <v>504</v>
      </c>
      <c r="C507" s="86" t="s">
        <v>1086</v>
      </c>
      <c r="D507" s="304">
        <f>_xlfn.IFNA(VLOOKUP(C507,Database!$D$5:$F$439,2,0),VLOOKUP(C507,logut!$C$4:$D$499,2,0))</f>
        <v>971800024</v>
      </c>
      <c r="E507" s="86" t="s">
        <v>6059</v>
      </c>
      <c r="G507" s="86" t="s">
        <v>51</v>
      </c>
      <c r="H507" s="86" t="s">
        <v>23</v>
      </c>
      <c r="I507" s="212">
        <v>44739</v>
      </c>
      <c r="J507" s="86" t="s">
        <v>6076</v>
      </c>
    </row>
    <row r="508" spans="2:10" x14ac:dyDescent="0.2">
      <c r="B508" s="86">
        <v>505</v>
      </c>
      <c r="C508" s="86" t="s">
        <v>1777</v>
      </c>
      <c r="D508" s="304">
        <f>_xlfn.IFNA(VLOOKUP(C508,Database!$D$5:$F$439,2,0),VLOOKUP(C508,logut!$C$4:$D$499,2,0))</f>
        <v>641807166</v>
      </c>
      <c r="E508" s="86" t="s">
        <v>312</v>
      </c>
      <c r="G508" s="86" t="s">
        <v>6077</v>
      </c>
      <c r="H508" s="86" t="s">
        <v>29</v>
      </c>
      <c r="I508" s="212">
        <v>44748</v>
      </c>
      <c r="J508" s="86" t="s">
        <v>6078</v>
      </c>
    </row>
    <row r="509" spans="2:10" x14ac:dyDescent="0.2">
      <c r="B509" s="86">
        <v>506</v>
      </c>
      <c r="C509" s="86" t="s">
        <v>2196</v>
      </c>
      <c r="D509" s="304">
        <f>_xlfn.IFNA(VLOOKUP(C509,Database!$D$5:$F$439,2,0),VLOOKUP(C509,logut!$C$4:$D$499,2,0))</f>
        <v>641811208</v>
      </c>
      <c r="E509" s="86" t="s">
        <v>312</v>
      </c>
      <c r="G509" s="86" t="s">
        <v>6077</v>
      </c>
      <c r="H509" s="86" t="s">
        <v>29</v>
      </c>
      <c r="I509" s="212">
        <v>44748</v>
      </c>
      <c r="J509" s="86" t="s">
        <v>6078</v>
      </c>
    </row>
    <row r="510" spans="2:10" x14ac:dyDescent="0.2">
      <c r="B510" s="86">
        <v>507</v>
      </c>
      <c r="C510" s="86" t="s">
        <v>2796</v>
      </c>
      <c r="D510" s="304">
        <f>_xlfn.IFNA(VLOOKUP(C510,Database!$D$5:$F$439,2,0),VLOOKUP(C510,logut!$C$4:$D$499,2,0))</f>
        <v>642101096</v>
      </c>
      <c r="E510" s="86" t="s">
        <v>312</v>
      </c>
      <c r="G510" s="86" t="s">
        <v>6077</v>
      </c>
      <c r="H510" s="86" t="s">
        <v>29</v>
      </c>
      <c r="I510" s="212">
        <v>44748</v>
      </c>
      <c r="J510" s="86" t="s">
        <v>6078</v>
      </c>
    </row>
    <row r="511" spans="2:10" x14ac:dyDescent="0.2">
      <c r="B511" s="86">
        <v>508</v>
      </c>
      <c r="C511" s="86" t="s">
        <v>5309</v>
      </c>
      <c r="D511" s="304">
        <f>_xlfn.IFNA(VLOOKUP(C511,Database!$D$5:$F$439,2,0),VLOOKUP(C511,logut!$C$4:$D$499,2,0))</f>
        <v>999100010</v>
      </c>
      <c r="E511" s="86" t="s">
        <v>312</v>
      </c>
      <c r="G511" s="86" t="s">
        <v>6001</v>
      </c>
      <c r="H511" s="86" t="s">
        <v>6002</v>
      </c>
      <c r="I511" s="212">
        <v>44764</v>
      </c>
      <c r="J511" s="86" t="s">
        <v>6079</v>
      </c>
    </row>
    <row r="512" spans="2:10" x14ac:dyDescent="0.2">
      <c r="B512" s="86">
        <v>509</v>
      </c>
      <c r="C512" s="86" t="s">
        <v>5356</v>
      </c>
      <c r="D512" s="304">
        <f>_xlfn.IFNA(VLOOKUP(C512,Database!$D$5:$F$439,2,0),VLOOKUP(C512,logut!$C$4:$D$499,2,0))</f>
        <v>999800152</v>
      </c>
      <c r="E512" s="86" t="s">
        <v>312</v>
      </c>
      <c r="G512" s="86" t="s">
        <v>6001</v>
      </c>
      <c r="H512" s="86" t="s">
        <v>6002</v>
      </c>
      <c r="I512" s="212">
        <v>44764</v>
      </c>
      <c r="J512" s="86" t="s">
        <v>6079</v>
      </c>
    </row>
    <row r="513" spans="2:10" x14ac:dyDescent="0.2">
      <c r="B513" s="86">
        <v>510</v>
      </c>
      <c r="C513" s="86" t="s">
        <v>95</v>
      </c>
      <c r="D513" s="304">
        <f>_xlfn.IFNA(VLOOKUP(C513,Database!$D$5:$F$439,2,0),VLOOKUP(C513,logut!$C$4:$D$499,2,0))</f>
        <v>642201127</v>
      </c>
      <c r="E513" s="86" t="s">
        <v>5900</v>
      </c>
      <c r="G513" s="86" t="s">
        <v>6080</v>
      </c>
      <c r="H513" s="86" t="s">
        <v>5901</v>
      </c>
      <c r="I513" s="212">
        <v>44764</v>
      </c>
      <c r="J513" s="86" t="s">
        <v>6081</v>
      </c>
    </row>
    <row r="514" spans="2:10" x14ac:dyDescent="0.2">
      <c r="B514" s="86">
        <v>511</v>
      </c>
      <c r="C514" s="86" t="s">
        <v>3007</v>
      </c>
      <c r="D514" s="304">
        <f>_xlfn.IFNA(VLOOKUP(C514,Database!$D$5:$F$439,2,0),VLOOKUP(C514,logut!$C$4:$D$499,2,0))</f>
        <v>642201129</v>
      </c>
      <c r="E514" s="86" t="s">
        <v>5900</v>
      </c>
      <c r="G514" s="86" t="s">
        <v>6082</v>
      </c>
      <c r="H514" s="86" t="s">
        <v>5901</v>
      </c>
      <c r="I514" s="212">
        <v>44764</v>
      </c>
      <c r="J514" s="86" t="s">
        <v>6081</v>
      </c>
    </row>
    <row r="515" spans="2:10" x14ac:dyDescent="0.2">
      <c r="B515" s="86">
        <v>512</v>
      </c>
      <c r="C515" s="86" t="s">
        <v>5608</v>
      </c>
      <c r="D515" s="304">
        <f>_xlfn.IFNA(VLOOKUP(C515,Database!$D$5:$F$439,2,0),VLOOKUP(C515,logut!$C$4:$D$499,2,0))</f>
        <v>642201173</v>
      </c>
      <c r="E515" s="86" t="s">
        <v>5900</v>
      </c>
      <c r="G515" s="86" t="s">
        <v>6083</v>
      </c>
      <c r="H515" s="86" t="s">
        <v>5901</v>
      </c>
      <c r="I515" s="212">
        <v>44764</v>
      </c>
      <c r="J515" s="86" t="s">
        <v>6081</v>
      </c>
    </row>
    <row r="516" spans="2:10" x14ac:dyDescent="0.2">
      <c r="B516" s="86">
        <v>513</v>
      </c>
      <c r="C516" s="86" t="s">
        <v>879</v>
      </c>
      <c r="D516" s="304">
        <f>_xlfn.IFNA(VLOOKUP(C516,Database!$D$5:$F$439,2,0),VLOOKUP(C516,logut!$C$4:$D$499,2,0))</f>
        <v>642001067</v>
      </c>
      <c r="E516" s="86" t="s">
        <v>5900</v>
      </c>
      <c r="G516" s="86" t="s">
        <v>6084</v>
      </c>
      <c r="H516" s="86" t="s">
        <v>5901</v>
      </c>
      <c r="I516" s="212">
        <v>44764</v>
      </c>
      <c r="J516" s="86" t="s">
        <v>6081</v>
      </c>
    </row>
    <row r="517" spans="2:10" x14ac:dyDescent="0.2">
      <c r="B517" s="86">
        <v>514</v>
      </c>
      <c r="C517" s="86" t="s">
        <v>666</v>
      </c>
      <c r="D517" s="304">
        <f>_xlfn.IFNA(VLOOKUP(C517,Database!$D$5:$F$439,2,0),VLOOKUP(C517,logut!$C$4:$D$499,2,0))</f>
        <v>642001011</v>
      </c>
      <c r="E517" s="86" t="s">
        <v>5900</v>
      </c>
      <c r="G517" s="86" t="s">
        <v>6085</v>
      </c>
      <c r="H517" s="86" t="s">
        <v>5901</v>
      </c>
      <c r="I517" s="212">
        <v>44764</v>
      </c>
      <c r="J517" s="86" t="s">
        <v>6081</v>
      </c>
    </row>
    <row r="518" spans="2:10" x14ac:dyDescent="0.2">
      <c r="B518" s="86">
        <v>515</v>
      </c>
      <c r="C518" s="86" t="s">
        <v>1488</v>
      </c>
      <c r="D518" s="304">
        <f>_xlfn.IFNA(VLOOKUP(C518,Database!$D$5:$F$439,2,0),VLOOKUP(C518,logut!$C$4:$D$499,2,0))</f>
        <v>642001034</v>
      </c>
      <c r="E518" s="86" t="s">
        <v>5900</v>
      </c>
      <c r="G518" s="86" t="s">
        <v>6083</v>
      </c>
      <c r="H518" s="86" t="s">
        <v>5901</v>
      </c>
      <c r="I518" s="212">
        <v>44764</v>
      </c>
      <c r="J518" s="86" t="s">
        <v>6081</v>
      </c>
    </row>
    <row r="519" spans="2:10" x14ac:dyDescent="0.2">
      <c r="B519" s="86">
        <v>516</v>
      </c>
      <c r="C519" s="86" t="s">
        <v>5080</v>
      </c>
      <c r="D519" s="304">
        <f>_xlfn.IFNA(VLOOKUP(C519,Database!$D$5:$F$439,2,0),VLOOKUP(C519,logut!$C$4:$D$499,2,0))</f>
        <v>642001051</v>
      </c>
      <c r="E519" s="86" t="s">
        <v>6075</v>
      </c>
      <c r="G519" s="86" t="s">
        <v>6086</v>
      </c>
      <c r="H519" s="86" t="s">
        <v>5901</v>
      </c>
      <c r="I519" s="212">
        <v>44768</v>
      </c>
      <c r="J519" s="86" t="s">
        <v>6087</v>
      </c>
    </row>
    <row r="520" spans="2:10" x14ac:dyDescent="0.2">
      <c r="B520" s="86">
        <v>517</v>
      </c>
      <c r="C520" s="86" t="s">
        <v>2826</v>
      </c>
      <c r="D520" s="304">
        <f>_xlfn.IFNA(VLOOKUP(C520,Database!$D$5:$F$439,2,0),VLOOKUP(C520,logut!$C$4:$D$499,2,0))</f>
        <v>642101093</v>
      </c>
      <c r="E520" s="86" t="s">
        <v>6075</v>
      </c>
      <c r="G520" s="86" t="s">
        <v>6086</v>
      </c>
      <c r="H520" s="86" t="s">
        <v>5901</v>
      </c>
      <c r="I520" s="212">
        <v>44768</v>
      </c>
      <c r="J520" s="86" t="s">
        <v>6087</v>
      </c>
    </row>
    <row r="521" spans="2:10" x14ac:dyDescent="0.2">
      <c r="B521" s="86">
        <v>518</v>
      </c>
      <c r="C521" s="86" t="s">
        <v>95</v>
      </c>
      <c r="D521" s="304">
        <f>_xlfn.IFNA(VLOOKUP(C521,Database!$D$5:$F$439,2,0),VLOOKUP(C521,logut!$C$4:$D$499,2,0))</f>
        <v>642201127</v>
      </c>
      <c r="E521" s="86" t="s">
        <v>6075</v>
      </c>
      <c r="G521" s="86" t="s">
        <v>6086</v>
      </c>
      <c r="H521" s="86" t="s">
        <v>5901</v>
      </c>
      <c r="I521" s="212">
        <v>44768</v>
      </c>
      <c r="J521" s="86" t="s">
        <v>6087</v>
      </c>
    </row>
    <row r="522" spans="2:10" x14ac:dyDescent="0.2">
      <c r="B522" s="86">
        <v>519</v>
      </c>
      <c r="C522" s="86" t="s">
        <v>3007</v>
      </c>
      <c r="D522" s="304">
        <f>_xlfn.IFNA(VLOOKUP(C522,Database!$D$5:$F$439,2,0),VLOOKUP(C522,logut!$C$4:$D$499,2,0))</f>
        <v>642201129</v>
      </c>
      <c r="E522" s="86" t="s">
        <v>6075</v>
      </c>
      <c r="G522" s="86" t="s">
        <v>6086</v>
      </c>
      <c r="H522" s="86" t="s">
        <v>5901</v>
      </c>
      <c r="I522" s="212">
        <v>44768</v>
      </c>
      <c r="J522" s="86" t="s">
        <v>6087</v>
      </c>
    </row>
    <row r="523" spans="2:10" x14ac:dyDescent="0.2">
      <c r="B523" s="86">
        <v>520</v>
      </c>
      <c r="C523" s="86" t="s">
        <v>3015</v>
      </c>
      <c r="D523" s="304">
        <f>_xlfn.IFNA(VLOOKUP(C523,Database!$D$5:$F$439,2,0),VLOOKUP(C523,logut!$C$4:$D$499,2,0))</f>
        <v>642201128</v>
      </c>
      <c r="E523" s="86" t="s">
        <v>6075</v>
      </c>
      <c r="G523" s="86" t="s">
        <v>6086</v>
      </c>
      <c r="H523" s="86" t="s">
        <v>5901</v>
      </c>
      <c r="I523" s="212">
        <v>44768</v>
      </c>
      <c r="J523" s="86" t="s">
        <v>6087</v>
      </c>
    </row>
    <row r="524" spans="2:10" x14ac:dyDescent="0.2">
      <c r="B524" s="86">
        <v>521</v>
      </c>
      <c r="C524" s="86" t="s">
        <v>3021</v>
      </c>
      <c r="D524" s="304">
        <f>_xlfn.IFNA(VLOOKUP(C524,Database!$D$5:$F$439,2,0),VLOOKUP(C524,logut!$C$4:$D$499,2,0))</f>
        <v>642201126</v>
      </c>
      <c r="E524" s="86" t="s">
        <v>6075</v>
      </c>
      <c r="G524" s="86" t="s">
        <v>6086</v>
      </c>
      <c r="H524" s="86" t="s">
        <v>5901</v>
      </c>
      <c r="I524" s="212">
        <v>44768</v>
      </c>
      <c r="J524" s="86" t="s">
        <v>6087</v>
      </c>
    </row>
    <row r="525" spans="2:10" x14ac:dyDescent="0.2">
      <c r="B525" s="86">
        <v>522</v>
      </c>
      <c r="C525" s="86" t="s">
        <v>2753</v>
      </c>
      <c r="D525" s="304">
        <f>_xlfn.IFNA(VLOOKUP(C525,Database!$D$5:$F$439,2,0),VLOOKUP(C525,logut!$C$4:$D$499,2,0))</f>
        <v>642007090</v>
      </c>
      <c r="E525" s="86" t="s">
        <v>6075</v>
      </c>
      <c r="G525" s="86" t="s">
        <v>6086</v>
      </c>
      <c r="H525" s="86" t="s">
        <v>5901</v>
      </c>
      <c r="I525" s="212">
        <v>44768</v>
      </c>
      <c r="J525" s="86" t="s">
        <v>6087</v>
      </c>
    </row>
    <row r="526" spans="2:10" x14ac:dyDescent="0.2">
      <c r="B526" s="86">
        <v>523</v>
      </c>
      <c r="C526" s="86" t="s">
        <v>2773</v>
      </c>
      <c r="D526" s="304">
        <f>_xlfn.IFNA(VLOOKUP(C526,Database!$D$5:$F$439,2,0),VLOOKUP(C526,logut!$C$4:$D$499,2,0))</f>
        <v>972400065</v>
      </c>
      <c r="E526" s="86" t="s">
        <v>6075</v>
      </c>
      <c r="G526" s="86" t="s">
        <v>6086</v>
      </c>
      <c r="H526" s="86" t="s">
        <v>5901</v>
      </c>
      <c r="I526" s="212">
        <v>44768</v>
      </c>
      <c r="J526" s="86" t="s">
        <v>6087</v>
      </c>
    </row>
    <row r="527" spans="2:10" x14ac:dyDescent="0.2">
      <c r="B527" s="86">
        <v>524</v>
      </c>
      <c r="C527" s="86" t="s">
        <v>5132</v>
      </c>
      <c r="D527" s="304">
        <f>_xlfn.IFNA(VLOOKUP(C527,Database!$D$5:$F$439,2,0),VLOOKUP(C527,logut!$C$4:$D$499,2,0))</f>
        <v>642201125</v>
      </c>
      <c r="E527" s="86" t="s">
        <v>6075</v>
      </c>
      <c r="G527" s="86" t="s">
        <v>6086</v>
      </c>
      <c r="H527" s="86" t="s">
        <v>5901</v>
      </c>
      <c r="I527" s="212">
        <v>44768</v>
      </c>
      <c r="J527" s="86" t="s">
        <v>6087</v>
      </c>
    </row>
    <row r="528" spans="2:10" x14ac:dyDescent="0.2">
      <c r="B528" s="86">
        <v>525</v>
      </c>
      <c r="C528" s="86" t="s">
        <v>5608</v>
      </c>
      <c r="D528" s="304">
        <f>_xlfn.IFNA(VLOOKUP(C528,Database!$D$5:$F$439,2,0),VLOOKUP(C528,logut!$C$4:$D$499,2,0))</f>
        <v>642201173</v>
      </c>
      <c r="E528" s="86" t="s">
        <v>6075</v>
      </c>
      <c r="G528" s="86" t="s">
        <v>6086</v>
      </c>
      <c r="H528" s="86" t="s">
        <v>5901</v>
      </c>
      <c r="I528" s="212">
        <v>44768</v>
      </c>
      <c r="J528" s="86" t="s">
        <v>6087</v>
      </c>
    </row>
    <row r="529" spans="2:10" x14ac:dyDescent="0.2">
      <c r="B529" s="86">
        <v>526</v>
      </c>
      <c r="C529" s="86" t="s">
        <v>5243</v>
      </c>
      <c r="D529" s="304">
        <f>_xlfn.IFNA(VLOOKUP(C529,Database!$D$5:$F$439,2,0),VLOOKUP(C529,logut!$C$4:$D$499,2,0))</f>
        <v>642007091</v>
      </c>
      <c r="E529" s="86" t="s">
        <v>6075</v>
      </c>
      <c r="G529" s="86" t="s">
        <v>6086</v>
      </c>
      <c r="H529" s="86" t="s">
        <v>5901</v>
      </c>
      <c r="I529" s="212">
        <v>44768</v>
      </c>
      <c r="J529" s="86" t="s">
        <v>6087</v>
      </c>
    </row>
    <row r="530" spans="2:10" x14ac:dyDescent="0.2">
      <c r="B530" s="86">
        <v>527</v>
      </c>
      <c r="C530" s="86" t="s">
        <v>2530</v>
      </c>
      <c r="D530" s="304">
        <f>_xlfn.IFNA(VLOOKUP(C530,Database!$D$5:$F$439,2,0),VLOOKUP(C530,logut!$C$4:$D$499,2,0))</f>
        <v>641907279</v>
      </c>
      <c r="E530" s="86" t="s">
        <v>6075</v>
      </c>
      <c r="G530" s="86" t="s">
        <v>6086</v>
      </c>
      <c r="H530" s="86" t="s">
        <v>5901</v>
      </c>
      <c r="I530" s="212">
        <v>44768</v>
      </c>
      <c r="J530" s="86" t="s">
        <v>6087</v>
      </c>
    </row>
    <row r="531" spans="2:10" x14ac:dyDescent="0.2">
      <c r="B531" s="86">
        <v>528</v>
      </c>
      <c r="C531" s="86" t="s">
        <v>1876</v>
      </c>
      <c r="D531" s="304">
        <f>_xlfn.IFNA(VLOOKUP(C531,Database!$D$5:$F$439,2,0),VLOOKUP(C531,logut!$C$4:$D$499,2,0))</f>
        <v>971900044</v>
      </c>
      <c r="E531" s="86" t="s">
        <v>6088</v>
      </c>
      <c r="G531" s="86" t="s">
        <v>6086</v>
      </c>
      <c r="H531" s="86" t="s">
        <v>5901</v>
      </c>
      <c r="I531" s="212">
        <v>44768</v>
      </c>
      <c r="J531" s="86" t="s">
        <v>6087</v>
      </c>
    </row>
    <row r="532" spans="2:10" x14ac:dyDescent="0.2">
      <c r="B532" s="86">
        <v>529</v>
      </c>
      <c r="C532" s="86" t="s">
        <v>2817</v>
      </c>
      <c r="D532" s="304">
        <f>_xlfn.IFNA(VLOOKUP(C532,Database!$D$5:$F$439,2,0),VLOOKUP(C532,logut!$C$4:$D$499,2,0))</f>
        <v>642101097</v>
      </c>
      <c r="E532" s="86" t="s">
        <v>6075</v>
      </c>
      <c r="G532" s="86" t="s">
        <v>6086</v>
      </c>
      <c r="H532" s="86" t="s">
        <v>5901</v>
      </c>
      <c r="I532" s="212">
        <v>44768</v>
      </c>
      <c r="J532" s="86" t="s">
        <v>6087</v>
      </c>
    </row>
    <row r="533" spans="2:10" x14ac:dyDescent="0.2">
      <c r="B533" s="86">
        <v>530</v>
      </c>
      <c r="C533" s="86" t="s">
        <v>3466</v>
      </c>
      <c r="D533" s="304">
        <f>_xlfn.IFNA(VLOOKUP(C533,Database!$D$5:$F$439,2,0),VLOOKUP(C533,logut!$C$4:$D$499,2,0))</f>
        <v>642301178</v>
      </c>
      <c r="E533" s="86" t="s">
        <v>6075</v>
      </c>
      <c r="G533" s="86" t="s">
        <v>6086</v>
      </c>
      <c r="H533" s="86" t="s">
        <v>5901</v>
      </c>
      <c r="I533" s="212">
        <v>44768</v>
      </c>
      <c r="J533" s="86" t="s">
        <v>6087</v>
      </c>
    </row>
    <row r="534" spans="2:10" x14ac:dyDescent="0.2">
      <c r="B534" s="86">
        <v>531</v>
      </c>
      <c r="C534" s="86" t="s">
        <v>2900</v>
      </c>
      <c r="D534" s="304">
        <f>_xlfn.IFNA(VLOOKUP(C534,Database!$D$5:$F$439,2,0),VLOOKUP(C534,logut!$C$4:$D$499,2,0))</f>
        <v>642105110</v>
      </c>
      <c r="E534" s="86" t="s">
        <v>6075</v>
      </c>
      <c r="G534" s="86" t="s">
        <v>6086</v>
      </c>
      <c r="H534" s="86" t="s">
        <v>5901</v>
      </c>
      <c r="I534" s="212">
        <v>44768</v>
      </c>
      <c r="J534" s="86" t="s">
        <v>6087</v>
      </c>
    </row>
    <row r="535" spans="2:10" x14ac:dyDescent="0.2">
      <c r="B535" s="86">
        <v>532</v>
      </c>
      <c r="C535" s="86" t="s">
        <v>1488</v>
      </c>
      <c r="D535" s="304">
        <f>_xlfn.IFNA(VLOOKUP(C535,Database!$D$5:$F$439,2,0),VLOOKUP(C535,logut!$C$4:$D$499,2,0))</f>
        <v>642001034</v>
      </c>
      <c r="E535" s="86" t="s">
        <v>6075</v>
      </c>
      <c r="G535" s="86" t="s">
        <v>6086</v>
      </c>
      <c r="H535" s="86" t="s">
        <v>5901</v>
      </c>
      <c r="I535" s="212">
        <v>44768</v>
      </c>
      <c r="J535" s="86" t="s">
        <v>6087</v>
      </c>
    </row>
    <row r="536" spans="2:10" x14ac:dyDescent="0.2">
      <c r="B536" s="86">
        <v>533</v>
      </c>
      <c r="C536" s="86" t="s">
        <v>3240</v>
      </c>
      <c r="D536" s="304">
        <f>_xlfn.IFNA(VLOOKUP(C536,Database!$D$5:$F$439,2,0),VLOOKUP(C536,logut!$C$4:$D$499,2,0))</f>
        <v>642201150</v>
      </c>
      <c r="E536" s="86" t="s">
        <v>312</v>
      </c>
      <c r="G536" s="86" t="s">
        <v>6077</v>
      </c>
      <c r="H536" s="86" t="s">
        <v>29</v>
      </c>
      <c r="I536" s="212">
        <v>44774</v>
      </c>
      <c r="J536" s="86" t="s">
        <v>6089</v>
      </c>
    </row>
    <row r="537" spans="2:10" x14ac:dyDescent="0.2">
      <c r="B537" s="86">
        <v>534</v>
      </c>
      <c r="C537" s="86" t="s">
        <v>3193</v>
      </c>
      <c r="D537" s="304">
        <f>_xlfn.IFNA(VLOOKUP(C537,Database!$D$5:$F$439,2,0),VLOOKUP(C537,logut!$C$4:$D$499,2,0))</f>
        <v>642201151</v>
      </c>
      <c r="E537" s="86" t="s">
        <v>312</v>
      </c>
      <c r="G537" s="86" t="s">
        <v>6077</v>
      </c>
      <c r="H537" s="86" t="s">
        <v>29</v>
      </c>
      <c r="I537" s="212">
        <v>44774</v>
      </c>
      <c r="J537" s="86" t="s">
        <v>6089</v>
      </c>
    </row>
    <row r="538" spans="2:10" x14ac:dyDescent="0.2">
      <c r="B538" s="86">
        <v>535</v>
      </c>
      <c r="C538" s="86" t="s">
        <v>601</v>
      </c>
      <c r="D538" s="304">
        <f>_xlfn.IFNA(VLOOKUP(C538,Database!$D$5:$F$439,2,0),VLOOKUP(C538,logut!$C$4:$D$499,2,0))</f>
        <v>971900032</v>
      </c>
      <c r="E538" s="86" t="s">
        <v>140</v>
      </c>
      <c r="G538" s="86" t="s">
        <v>51</v>
      </c>
      <c r="H538" s="86" t="s">
        <v>23</v>
      </c>
      <c r="I538" s="212">
        <v>44774</v>
      </c>
      <c r="J538" s="86" t="s">
        <v>6089</v>
      </c>
    </row>
    <row r="539" spans="2:10" x14ac:dyDescent="0.2">
      <c r="B539" s="86">
        <v>536</v>
      </c>
      <c r="C539" s="86" t="s">
        <v>5321</v>
      </c>
      <c r="D539" s="304">
        <f>_xlfn.IFNA(VLOOKUP(C539,Database!$D$5:$F$439,2,0),VLOOKUP(C539,logut!$C$4:$D$499,2,0))</f>
        <v>999900029</v>
      </c>
      <c r="E539" s="86" t="s">
        <v>312</v>
      </c>
      <c r="G539" s="86" t="s">
        <v>6001</v>
      </c>
      <c r="H539" s="86" t="s">
        <v>6002</v>
      </c>
      <c r="I539" s="212">
        <v>44819</v>
      </c>
      <c r="J539" s="86" t="s">
        <v>6090</v>
      </c>
    </row>
    <row r="540" spans="2:10" x14ac:dyDescent="0.2">
      <c r="B540" s="86">
        <v>537</v>
      </c>
      <c r="C540" s="86" t="s">
        <v>2732</v>
      </c>
      <c r="D540" s="304">
        <f>_xlfn.IFNA(VLOOKUP(C540,Database!$D$5:$F$439,2,0),VLOOKUP(C540,logut!$C$4:$D$499,2,0))</f>
        <v>991700024</v>
      </c>
      <c r="E540" s="86" t="s">
        <v>312</v>
      </c>
      <c r="G540" s="86" t="s">
        <v>6001</v>
      </c>
      <c r="H540" s="86" t="s">
        <v>6002</v>
      </c>
      <c r="I540" s="212">
        <v>44819</v>
      </c>
      <c r="J540" s="86" t="s">
        <v>6090</v>
      </c>
    </row>
    <row r="541" spans="2:10" x14ac:dyDescent="0.2">
      <c r="B541" s="86">
        <v>538</v>
      </c>
      <c r="C541" s="86" t="s">
        <v>488</v>
      </c>
      <c r="D541" s="304">
        <f>_xlfn.IFNA(VLOOKUP(C541,Database!$D$5:$F$439,2,0),VLOOKUP(C541,logut!$C$4:$D$499,2,0))</f>
        <v>971700007</v>
      </c>
      <c r="E541" s="86" t="s">
        <v>312</v>
      </c>
      <c r="G541" s="86" t="s">
        <v>6001</v>
      </c>
      <c r="H541" s="86" t="s">
        <v>6002</v>
      </c>
      <c r="I541" s="212">
        <v>44819</v>
      </c>
      <c r="J541" s="86" t="s">
        <v>6090</v>
      </c>
    </row>
    <row r="542" spans="2:10" x14ac:dyDescent="0.2">
      <c r="B542" s="86">
        <v>539</v>
      </c>
      <c r="C542" s="86" t="s">
        <v>732</v>
      </c>
      <c r="D542" s="304">
        <f>_xlfn.IFNA(VLOOKUP(C542,Database!$D$5:$F$439,2,0),VLOOKUP(C542,logut!$C$4:$D$499,2,0))</f>
        <v>642001009</v>
      </c>
      <c r="E542" s="86" t="s">
        <v>6091</v>
      </c>
      <c r="G542" s="86" t="s">
        <v>6092</v>
      </c>
      <c r="H542" s="86" t="s">
        <v>22</v>
      </c>
      <c r="I542" s="212">
        <v>44841</v>
      </c>
      <c r="J542" s="86" t="s">
        <v>6093</v>
      </c>
    </row>
    <row r="543" spans="2:10" x14ac:dyDescent="0.2">
      <c r="B543" s="86">
        <v>540</v>
      </c>
      <c r="C543" s="86" t="s">
        <v>3375</v>
      </c>
      <c r="D543" s="304">
        <f>_xlfn.IFNA(VLOOKUP(C543,Database!$D$5:$F$439,2,0),VLOOKUP(C543,logut!$C$4:$D$499,2,0))</f>
        <v>642201167</v>
      </c>
      <c r="E543" s="86" t="s">
        <v>312</v>
      </c>
      <c r="G543" s="86" t="s">
        <v>6092</v>
      </c>
      <c r="H543" s="86" t="s">
        <v>22</v>
      </c>
      <c r="I543" s="212">
        <v>44841</v>
      </c>
      <c r="J543" s="86" t="s">
        <v>6093</v>
      </c>
    </row>
    <row r="544" spans="2:10" x14ac:dyDescent="0.2">
      <c r="B544" s="86">
        <v>541</v>
      </c>
      <c r="C544" s="86" t="s">
        <v>3394</v>
      </c>
      <c r="D544" s="304">
        <f>_xlfn.IFNA(VLOOKUP(C544,Database!$D$5:$F$439,2,0),VLOOKUP(C544,logut!$C$4:$D$499,2,0))</f>
        <v>642201171</v>
      </c>
      <c r="E544" s="86" t="s">
        <v>6094</v>
      </c>
      <c r="G544" s="86" t="s">
        <v>6092</v>
      </c>
      <c r="H544" s="86" t="s">
        <v>22</v>
      </c>
      <c r="I544" s="212">
        <v>44841</v>
      </c>
      <c r="J544" s="86" t="s">
        <v>6093</v>
      </c>
    </row>
    <row r="545" spans="2:10" x14ac:dyDescent="0.2">
      <c r="B545" s="86">
        <v>542</v>
      </c>
      <c r="C545" s="86" t="s">
        <v>654</v>
      </c>
      <c r="D545" s="304">
        <f>_xlfn.IFNA(VLOOKUP(C545,Database!$D$5:$F$439,2,0),VLOOKUP(C545,logut!$C$4:$D$499,2,0))</f>
        <v>642001015</v>
      </c>
      <c r="E545" s="86" t="s">
        <v>312</v>
      </c>
      <c r="G545" s="86" t="s">
        <v>6092</v>
      </c>
      <c r="H545" s="86" t="s">
        <v>22</v>
      </c>
      <c r="I545" s="212">
        <v>44841</v>
      </c>
      <c r="J545" s="86" t="s">
        <v>6093</v>
      </c>
    </row>
    <row r="546" spans="2:10" x14ac:dyDescent="0.2">
      <c r="B546" s="86">
        <v>543</v>
      </c>
      <c r="C546" s="86" t="s">
        <v>1159</v>
      </c>
      <c r="D546" s="304">
        <f>_xlfn.IFNA(VLOOKUP(C546,Database!$D$5:$F$439,2,0),VLOOKUP(C546,logut!$C$4:$D$499,2,0))</f>
        <v>971800017</v>
      </c>
      <c r="E546" s="86" t="s">
        <v>6095</v>
      </c>
      <c r="G546" s="86" t="s">
        <v>6092</v>
      </c>
      <c r="H546" s="86" t="s">
        <v>22</v>
      </c>
      <c r="I546" s="212">
        <v>44841</v>
      </c>
      <c r="J546" s="86" t="s">
        <v>6093</v>
      </c>
    </row>
    <row r="547" spans="2:10" x14ac:dyDescent="0.2">
      <c r="B547" s="86">
        <v>544</v>
      </c>
      <c r="C547" s="86" t="s">
        <v>3466</v>
      </c>
      <c r="D547" s="304">
        <f>_xlfn.IFNA(VLOOKUP(C547,Database!$D$5:$F$439,2,0),VLOOKUP(C547,logut!$C$4:$D$499,2,0))</f>
        <v>642301178</v>
      </c>
      <c r="E547" s="86" t="s">
        <v>6096</v>
      </c>
      <c r="G547" s="86" t="s">
        <v>6092</v>
      </c>
      <c r="H547" s="86" t="s">
        <v>22</v>
      </c>
      <c r="I547" s="212">
        <v>44841</v>
      </c>
      <c r="J547" s="86" t="s">
        <v>6093</v>
      </c>
    </row>
    <row r="548" spans="2:10" x14ac:dyDescent="0.2">
      <c r="B548" s="86">
        <v>545</v>
      </c>
      <c r="C548" s="86" t="s">
        <v>2602</v>
      </c>
      <c r="D548" s="304">
        <f>_xlfn.IFNA(VLOOKUP(C548,Database!$D$5:$F$439,2,0),VLOOKUP(C548,logut!$C$4:$D$499,2,0))</f>
        <v>642002085</v>
      </c>
      <c r="E548" s="86" t="s">
        <v>312</v>
      </c>
      <c r="G548" s="86" t="s">
        <v>6092</v>
      </c>
      <c r="H548" s="86" t="s">
        <v>22</v>
      </c>
      <c r="I548" s="212">
        <v>44841</v>
      </c>
      <c r="J548" s="86" t="s">
        <v>6093</v>
      </c>
    </row>
    <row r="549" spans="2:10" x14ac:dyDescent="0.2">
      <c r="B549" s="86">
        <v>546</v>
      </c>
      <c r="C549" s="86" t="s">
        <v>3412</v>
      </c>
      <c r="D549" s="304">
        <f>_xlfn.IFNA(VLOOKUP(C549,Database!$D$5:$F$439,2,0),VLOOKUP(C549,logut!$C$4:$D$499,2,0))</f>
        <v>642201172</v>
      </c>
      <c r="E549" s="86" t="s">
        <v>6094</v>
      </c>
      <c r="G549" s="86" t="s">
        <v>6092</v>
      </c>
      <c r="H549" s="86" t="s">
        <v>22</v>
      </c>
      <c r="I549" s="212">
        <v>44841</v>
      </c>
      <c r="J549" s="86" t="s">
        <v>6093</v>
      </c>
    </row>
    <row r="550" spans="2:10" x14ac:dyDescent="0.2">
      <c r="B550" s="86">
        <v>547</v>
      </c>
      <c r="C550" s="86" t="s">
        <v>5309</v>
      </c>
      <c r="D550" s="304">
        <f>_xlfn.IFNA(VLOOKUP(C550,Database!$D$5:$F$439,2,0),VLOOKUP(C550,logut!$C$4:$D$499,2,0))</f>
        <v>999100010</v>
      </c>
      <c r="E550" s="86" t="s">
        <v>312</v>
      </c>
      <c r="G550" s="86" t="s">
        <v>6001</v>
      </c>
      <c r="H550" s="86" t="s">
        <v>6002</v>
      </c>
      <c r="I550" s="212">
        <v>44876</v>
      </c>
      <c r="J550" s="86" t="s">
        <v>6097</v>
      </c>
    </row>
    <row r="551" spans="2:10" x14ac:dyDescent="0.2">
      <c r="B551" s="86">
        <v>548</v>
      </c>
      <c r="C551" s="86" t="s">
        <v>2804</v>
      </c>
      <c r="D551" s="304">
        <f>_xlfn.IFNA(VLOOKUP(C551,Database!$D$5:$F$439,2,0),VLOOKUP(C551,logut!$C$4:$D$499,2,0))</f>
        <v>642101101</v>
      </c>
      <c r="E551" s="86" t="s">
        <v>312</v>
      </c>
      <c r="G551" s="86" t="s">
        <v>6001</v>
      </c>
      <c r="H551" s="86" t="s">
        <v>6002</v>
      </c>
      <c r="I551" s="212">
        <v>44876</v>
      </c>
      <c r="J551" s="86" t="s">
        <v>6097</v>
      </c>
    </row>
    <row r="552" spans="2:10" x14ac:dyDescent="0.2">
      <c r="B552" s="86">
        <v>549</v>
      </c>
      <c r="C552" s="86" t="s">
        <v>2137</v>
      </c>
      <c r="D552" s="304">
        <f>_xlfn.IFNA(VLOOKUP(C552,Database!$D$5:$F$439,2,0),VLOOKUP(C552,logut!$C$4:$D$499,2,0))</f>
        <v>641810190</v>
      </c>
      <c r="E552" s="86" t="s">
        <v>6098</v>
      </c>
      <c r="G552" s="86" t="s">
        <v>175</v>
      </c>
      <c r="H552" s="86" t="s">
        <v>24</v>
      </c>
      <c r="I552" s="212">
        <v>44887</v>
      </c>
      <c r="J552" s="86" t="s">
        <v>6099</v>
      </c>
    </row>
    <row r="553" spans="2:10" x14ac:dyDescent="0.2">
      <c r="B553" s="86">
        <v>550</v>
      </c>
      <c r="C553" s="86" t="s">
        <v>2465</v>
      </c>
      <c r="D553" s="304">
        <f>_xlfn.IFNA(VLOOKUP(C553,Database!$D$5:$F$439,2,0),VLOOKUP(C553,logut!$C$4:$D$499,2,0))</f>
        <v>641907267</v>
      </c>
      <c r="E553" s="86" t="s">
        <v>312</v>
      </c>
      <c r="G553" s="86" t="s">
        <v>5980</v>
      </c>
      <c r="H553" s="86" t="s">
        <v>217</v>
      </c>
      <c r="I553" s="212">
        <v>44893</v>
      </c>
      <c r="J553" s="86" t="s">
        <v>6100</v>
      </c>
    </row>
    <row r="554" spans="2:10" x14ac:dyDescent="0.2">
      <c r="B554" s="86">
        <v>551</v>
      </c>
      <c r="C554" s="86" t="s">
        <v>2570</v>
      </c>
      <c r="D554" s="304">
        <f>_xlfn.IFNA(VLOOKUP(C554,Database!$D$5:$F$439,2,0),VLOOKUP(C554,logut!$C$4:$D$499,2,0))</f>
        <v>642002079</v>
      </c>
      <c r="E554" s="86" t="s">
        <v>312</v>
      </c>
      <c r="G554" s="86" t="s">
        <v>5980</v>
      </c>
      <c r="H554" s="86" t="s">
        <v>217</v>
      </c>
      <c r="I554" s="212">
        <v>44893</v>
      </c>
      <c r="J554" s="86" t="s">
        <v>6100</v>
      </c>
    </row>
    <row r="555" spans="2:10" x14ac:dyDescent="0.2">
      <c r="B555" s="86">
        <v>552</v>
      </c>
      <c r="C555" s="86" t="s">
        <v>5391</v>
      </c>
      <c r="D555" s="304">
        <f>_xlfn.IFNA(VLOOKUP(C555,Database!$D$5:$F$439,2,0),VLOOKUP(C555,logut!$C$4:$D$499,2,0))</f>
        <v>991700049</v>
      </c>
      <c r="E555" s="86" t="s">
        <v>6101</v>
      </c>
      <c r="G555" s="86" t="s">
        <v>6102</v>
      </c>
      <c r="H555" s="86" t="s">
        <v>217</v>
      </c>
      <c r="I555" s="212">
        <v>44925</v>
      </c>
      <c r="J555" s="86" t="s">
        <v>6103</v>
      </c>
    </row>
    <row r="556" spans="2:10" x14ac:dyDescent="0.2">
      <c r="B556" s="86">
        <v>553</v>
      </c>
      <c r="C556" s="86" t="s">
        <v>732</v>
      </c>
      <c r="D556" s="304">
        <f>_xlfn.IFNA(VLOOKUP(C556,Database!$D$5:$F$439,2,0),VLOOKUP(C556,logut!$C$4:$D$499,2,0))</f>
        <v>642001009</v>
      </c>
      <c r="E556" s="86" t="s">
        <v>312</v>
      </c>
      <c r="G556" s="86" t="s">
        <v>6102</v>
      </c>
      <c r="H556" s="86" t="s">
        <v>20</v>
      </c>
      <c r="I556" s="212">
        <v>44925</v>
      </c>
      <c r="J556" s="86" t="s">
        <v>6103</v>
      </c>
    </row>
    <row r="557" spans="2:10" x14ac:dyDescent="0.2">
      <c r="B557" s="86">
        <v>554</v>
      </c>
      <c r="C557" s="86" t="s">
        <v>950</v>
      </c>
      <c r="D557" s="304">
        <f>_xlfn.IFNA(VLOOKUP(C557,Database!$D$5:$F$439,2,0),VLOOKUP(C557,logut!$C$4:$D$499,2,0))</f>
        <v>642001057</v>
      </c>
      <c r="E557" s="86" t="s">
        <v>312</v>
      </c>
      <c r="G557" s="86" t="s">
        <v>6102</v>
      </c>
      <c r="H557" s="86" t="s">
        <v>20</v>
      </c>
      <c r="I557" s="212">
        <v>44925</v>
      </c>
      <c r="J557" s="86" t="s">
        <v>6103</v>
      </c>
    </row>
    <row r="558" spans="2:10" x14ac:dyDescent="0.2">
      <c r="B558" s="86">
        <v>555</v>
      </c>
      <c r="C558" s="86" t="s">
        <v>419</v>
      </c>
      <c r="D558" s="304">
        <f>_xlfn.IFNA(VLOOKUP(C558,Database!$D$5:$F$439,2,0),VLOOKUP(C558,logut!$C$4:$D$499,2,0))</f>
        <v>642001017</v>
      </c>
      <c r="E558" s="86" t="s">
        <v>312</v>
      </c>
      <c r="G558" s="86" t="s">
        <v>6102</v>
      </c>
      <c r="H558" s="86" t="s">
        <v>20</v>
      </c>
      <c r="I558" s="212">
        <v>44925</v>
      </c>
      <c r="J558" s="86" t="s">
        <v>6103</v>
      </c>
    </row>
    <row r="559" spans="2:10" x14ac:dyDescent="0.2">
      <c r="B559" s="86">
        <v>556</v>
      </c>
      <c r="C559" s="86" t="s">
        <v>2636</v>
      </c>
      <c r="D559" s="304">
        <f>_xlfn.IFNA(VLOOKUP(C559,Database!$D$5:$F$439,2,0),VLOOKUP(C559,logut!$C$4:$D$499,2,0))</f>
        <v>999800003</v>
      </c>
      <c r="E559" s="86" t="s">
        <v>5985</v>
      </c>
      <c r="G559" s="86" t="s">
        <v>6102</v>
      </c>
      <c r="H559" s="86" t="s">
        <v>31</v>
      </c>
      <c r="I559" s="212">
        <v>44925</v>
      </c>
      <c r="J559" s="86" t="s">
        <v>6103</v>
      </c>
    </row>
    <row r="560" spans="2:10" x14ac:dyDescent="0.2">
      <c r="B560" s="86">
        <v>557</v>
      </c>
      <c r="C560" s="86" t="s">
        <v>2409</v>
      </c>
      <c r="D560" s="304">
        <f>_xlfn.IFNA(VLOOKUP(C560,Database!$D$5:$F$439,2,0),VLOOKUP(C560,logut!$C$4:$D$499,2,0))</f>
        <v>641907253</v>
      </c>
      <c r="E560" s="86" t="s">
        <v>312</v>
      </c>
      <c r="G560" s="86" t="s">
        <v>6102</v>
      </c>
      <c r="H560" s="86" t="s">
        <v>20</v>
      </c>
      <c r="I560" s="212">
        <v>44925</v>
      </c>
      <c r="J560" s="86" t="s">
        <v>6103</v>
      </c>
    </row>
    <row r="561" spans="2:10" x14ac:dyDescent="0.2">
      <c r="B561" s="86">
        <v>558</v>
      </c>
      <c r="C561" s="86" t="s">
        <v>5356</v>
      </c>
      <c r="D561" s="304">
        <f>_xlfn.IFNA(VLOOKUP(C561,Database!$D$5:$F$439,2,0),VLOOKUP(C561,logut!$C$4:$D$499,2,0))</f>
        <v>999800152</v>
      </c>
      <c r="E561" s="86" t="s">
        <v>312</v>
      </c>
      <c r="G561" s="86" t="s">
        <v>6102</v>
      </c>
      <c r="H561" s="86" t="s">
        <v>31</v>
      </c>
      <c r="I561" s="212">
        <v>44925</v>
      </c>
      <c r="J561" s="86" t="s">
        <v>6103</v>
      </c>
    </row>
    <row r="562" spans="2:10" x14ac:dyDescent="0.2">
      <c r="B562" s="86">
        <v>559</v>
      </c>
      <c r="C562" s="86" t="s">
        <v>3375</v>
      </c>
      <c r="D562" s="304">
        <f>_xlfn.IFNA(VLOOKUP(C562,Database!$D$5:$F$439,2,0),VLOOKUP(C562,logut!$C$4:$D$499,2,0))</f>
        <v>642201167</v>
      </c>
      <c r="E562" s="86" t="s">
        <v>312</v>
      </c>
      <c r="G562" s="86" t="s">
        <v>6102</v>
      </c>
      <c r="H562" s="86" t="s">
        <v>31</v>
      </c>
      <c r="I562" s="212">
        <v>44925</v>
      </c>
      <c r="J562" s="86" t="s">
        <v>6103</v>
      </c>
    </row>
    <row r="563" spans="2:10" x14ac:dyDescent="0.2">
      <c r="B563" s="86">
        <v>560</v>
      </c>
      <c r="C563" s="86" t="s">
        <v>933</v>
      </c>
      <c r="D563" s="304">
        <f>_xlfn.IFNA(VLOOKUP(C563,Database!$D$5:$F$439,2,0),VLOOKUP(C563,logut!$C$4:$D$499,2,0))</f>
        <v>642001060</v>
      </c>
      <c r="E563" s="86" t="s">
        <v>312</v>
      </c>
      <c r="G563" s="86" t="s">
        <v>6102</v>
      </c>
      <c r="H563" s="86" t="s">
        <v>20</v>
      </c>
      <c r="I563" s="212">
        <v>44925</v>
      </c>
      <c r="J563" s="86" t="s">
        <v>6103</v>
      </c>
    </row>
    <row r="564" spans="2:10" x14ac:dyDescent="0.2">
      <c r="B564" s="86">
        <v>561</v>
      </c>
      <c r="C564" s="86" t="s">
        <v>1008</v>
      </c>
      <c r="D564" s="304">
        <f>_xlfn.IFNA(VLOOKUP(C564,Database!$D$5:$F$439,2,0),VLOOKUP(C564,logut!$C$4:$D$499,2,0))</f>
        <v>642001055</v>
      </c>
      <c r="E564" s="86" t="s">
        <v>312</v>
      </c>
      <c r="G564" s="86" t="s">
        <v>6102</v>
      </c>
      <c r="H564" s="86" t="s">
        <v>31</v>
      </c>
      <c r="I564" s="212">
        <v>44925</v>
      </c>
      <c r="J564" s="86" t="s">
        <v>6103</v>
      </c>
    </row>
    <row r="565" spans="2:10" x14ac:dyDescent="0.2">
      <c r="B565" s="86">
        <v>562</v>
      </c>
      <c r="C565" s="86" t="s">
        <v>403</v>
      </c>
      <c r="D565" s="304">
        <f>_xlfn.IFNA(VLOOKUP(C565,Database!$D$5:$F$439,2,0),VLOOKUP(C565,logut!$C$4:$D$499,2,0))</f>
        <v>642001016</v>
      </c>
      <c r="E565" s="86" t="s">
        <v>312</v>
      </c>
      <c r="G565" s="86" t="s">
        <v>6102</v>
      </c>
      <c r="H565" s="86" t="s">
        <v>31</v>
      </c>
      <c r="I565" s="212">
        <v>44925</v>
      </c>
      <c r="J565" s="86" t="s">
        <v>6103</v>
      </c>
    </row>
    <row r="566" spans="2:10" x14ac:dyDescent="0.2">
      <c r="B566" s="86">
        <v>563</v>
      </c>
      <c r="C566" s="86" t="s">
        <v>2465</v>
      </c>
      <c r="D566" s="304">
        <f>_xlfn.IFNA(VLOOKUP(C566,Database!$D$5:$F$439,2,0),VLOOKUP(C566,logut!$C$4:$D$499,2,0))</f>
        <v>641907267</v>
      </c>
      <c r="E566" s="86" t="s">
        <v>312</v>
      </c>
      <c r="G566" s="86" t="s">
        <v>6102</v>
      </c>
      <c r="H566" s="86" t="s">
        <v>20</v>
      </c>
      <c r="I566" s="212">
        <v>44925</v>
      </c>
      <c r="J566" s="86" t="s">
        <v>6103</v>
      </c>
    </row>
    <row r="567" spans="2:10" x14ac:dyDescent="0.2">
      <c r="B567" s="86">
        <v>564</v>
      </c>
      <c r="C567" s="86" t="s">
        <v>1106</v>
      </c>
      <c r="D567" s="304">
        <f>_xlfn.IFNA(VLOOKUP(C567,Database!$D$5:$F$439,2,0),VLOOKUP(C567,logut!$C$4:$D$499,2,0))</f>
        <v>642001047</v>
      </c>
      <c r="E567" s="86" t="s">
        <v>312</v>
      </c>
      <c r="G567" s="86" t="s">
        <v>6102</v>
      </c>
      <c r="H567" s="86" t="s">
        <v>31</v>
      </c>
      <c r="I567" s="212">
        <v>44925</v>
      </c>
      <c r="J567" s="86" t="s">
        <v>6103</v>
      </c>
    </row>
    <row r="568" spans="2:10" x14ac:dyDescent="0.2">
      <c r="B568" s="86">
        <v>565</v>
      </c>
      <c r="C568" s="86" t="s">
        <v>904</v>
      </c>
      <c r="D568" s="304">
        <f>_xlfn.IFNA(VLOOKUP(C568,Database!$D$5:$F$439,2,0),VLOOKUP(C568,logut!$C$4:$D$499,2,0))</f>
        <v>642001062</v>
      </c>
      <c r="E568" s="86" t="s">
        <v>312</v>
      </c>
      <c r="G568" s="86" t="s">
        <v>6102</v>
      </c>
      <c r="H568" s="86" t="s">
        <v>31</v>
      </c>
      <c r="I568" s="212">
        <v>44925</v>
      </c>
      <c r="J568" s="86" t="s">
        <v>6103</v>
      </c>
    </row>
    <row r="569" spans="2:10" x14ac:dyDescent="0.2">
      <c r="B569" s="86">
        <v>566</v>
      </c>
      <c r="C569" s="86" t="s">
        <v>5608</v>
      </c>
      <c r="D569" s="304">
        <f>_xlfn.IFNA(VLOOKUP(C569,Database!$D$5:$F$439,2,0),VLOOKUP(C569,logut!$C$4:$D$499,2,0))</f>
        <v>642201173</v>
      </c>
      <c r="E569" s="86" t="s">
        <v>6104</v>
      </c>
      <c r="G569" s="86" t="s">
        <v>6102</v>
      </c>
      <c r="H569" s="86" t="s">
        <v>20</v>
      </c>
      <c r="I569" s="212">
        <v>44925</v>
      </c>
      <c r="J569" s="86" t="s">
        <v>6103</v>
      </c>
    </row>
    <row r="570" spans="2:10" x14ac:dyDescent="0.2">
      <c r="B570" s="86">
        <v>567</v>
      </c>
      <c r="C570" s="86" t="s">
        <v>2732</v>
      </c>
      <c r="D570" s="304">
        <f>_xlfn.IFNA(VLOOKUP(C570,Database!$D$5:$F$439,2,0),VLOOKUP(C570,logut!$C$4:$D$499,2,0))</f>
        <v>991700024</v>
      </c>
      <c r="E570" s="86" t="s">
        <v>6105</v>
      </c>
      <c r="G570" s="86" t="s">
        <v>6102</v>
      </c>
      <c r="H570" s="86" t="s">
        <v>20</v>
      </c>
      <c r="I570" s="212">
        <v>44925</v>
      </c>
      <c r="J570" s="86" t="s">
        <v>6103</v>
      </c>
    </row>
    <row r="571" spans="2:10" x14ac:dyDescent="0.2">
      <c r="B571" s="86">
        <v>568</v>
      </c>
      <c r="C571" s="86" t="s">
        <v>1021</v>
      </c>
      <c r="D571" s="304">
        <f>_xlfn.IFNA(VLOOKUP(C571,Database!$D$5:$F$439,2,0),VLOOKUP(C571,logut!$C$4:$D$499,2,0))</f>
        <v>642001059</v>
      </c>
      <c r="E571" s="86" t="s">
        <v>312</v>
      </c>
      <c r="G571" s="86" t="s">
        <v>6102</v>
      </c>
      <c r="H571" s="86" t="s">
        <v>31</v>
      </c>
      <c r="I571" s="212">
        <v>44925</v>
      </c>
      <c r="J571" s="86" t="s">
        <v>6103</v>
      </c>
    </row>
    <row r="572" spans="2:10" x14ac:dyDescent="0.2">
      <c r="B572" s="86">
        <v>569</v>
      </c>
      <c r="C572" s="86" t="s">
        <v>2530</v>
      </c>
      <c r="D572" s="304">
        <f>_xlfn.IFNA(VLOOKUP(C572,Database!$D$5:$F$439,2,0),VLOOKUP(C572,logut!$C$4:$D$499,2,0))</f>
        <v>641907279</v>
      </c>
      <c r="E572" s="86" t="s">
        <v>6101</v>
      </c>
      <c r="G572" s="86" t="s">
        <v>6102</v>
      </c>
      <c r="H572" s="86" t="s">
        <v>217</v>
      </c>
      <c r="I572" s="212">
        <v>44925</v>
      </c>
      <c r="J572" s="86" t="s">
        <v>6103</v>
      </c>
    </row>
    <row r="573" spans="2:10" x14ac:dyDescent="0.2">
      <c r="B573" s="86">
        <v>570</v>
      </c>
      <c r="C573" s="86" t="s">
        <v>2718</v>
      </c>
      <c r="D573" s="304">
        <f>_xlfn.IFNA(VLOOKUP(C573,Database!$D$5:$F$439,2,0),VLOOKUP(C573,logut!$C$4:$D$499,2,0))</f>
        <v>999800090</v>
      </c>
      <c r="E573" s="86" t="s">
        <v>6106</v>
      </c>
      <c r="G573" s="86" t="s">
        <v>6102</v>
      </c>
      <c r="H573" s="86" t="s">
        <v>31</v>
      </c>
      <c r="I573" s="212">
        <v>44925</v>
      </c>
      <c r="J573" s="86" t="s">
        <v>6103</v>
      </c>
    </row>
    <row r="574" spans="2:10" x14ac:dyDescent="0.2">
      <c r="B574" s="86">
        <v>571</v>
      </c>
      <c r="C574" s="86" t="s">
        <v>488</v>
      </c>
      <c r="D574" s="304">
        <f>_xlfn.IFNA(VLOOKUP(C574,Database!$D$5:$F$439,2,0),VLOOKUP(C574,logut!$C$4:$D$499,2,0))</f>
        <v>971700007</v>
      </c>
      <c r="E574" s="86" t="s">
        <v>312</v>
      </c>
      <c r="G574" s="86" t="s">
        <v>6102</v>
      </c>
      <c r="H574" s="86" t="s">
        <v>20</v>
      </c>
      <c r="I574" s="212">
        <v>44925</v>
      </c>
      <c r="J574" s="86" t="s">
        <v>6103</v>
      </c>
    </row>
    <row r="575" spans="2:10" x14ac:dyDescent="0.2">
      <c r="B575" s="86">
        <v>572</v>
      </c>
      <c r="C575" s="86" t="s">
        <v>2391</v>
      </c>
      <c r="D575" s="304">
        <f>_xlfn.IFNA(VLOOKUP(C575,Database!$D$5:$F$439,2,0),VLOOKUP(C575,logut!$C$4:$D$499,2,0))</f>
        <v>641907252</v>
      </c>
      <c r="E575" s="86" t="s">
        <v>312</v>
      </c>
      <c r="G575" s="86" t="s">
        <v>6107</v>
      </c>
      <c r="H575" s="86" t="s">
        <v>22</v>
      </c>
      <c r="I575" s="212">
        <v>44927</v>
      </c>
      <c r="J575" s="86" t="s">
        <v>6108</v>
      </c>
    </row>
    <row r="576" spans="2:10" x14ac:dyDescent="0.2">
      <c r="B576" s="86">
        <v>573</v>
      </c>
      <c r="C576" s="86" t="s">
        <v>723</v>
      </c>
      <c r="D576" s="304">
        <f>_xlfn.IFNA(VLOOKUP(C576,Database!$D$5:$F$439,2,0),VLOOKUP(C576,logut!$C$4:$D$499,2,0))</f>
        <v>971900049</v>
      </c>
      <c r="E576" s="86" t="s">
        <v>140</v>
      </c>
      <c r="G576" s="86" t="s">
        <v>6107</v>
      </c>
      <c r="H576" s="86" t="s">
        <v>22</v>
      </c>
      <c r="I576" s="212">
        <v>44927</v>
      </c>
      <c r="J576" s="86" t="s">
        <v>6108</v>
      </c>
    </row>
    <row r="577" spans="2:10" x14ac:dyDescent="0.2">
      <c r="B577" s="86">
        <v>574</v>
      </c>
      <c r="C577" s="86" t="s">
        <v>1125</v>
      </c>
      <c r="D577" s="304">
        <f>_xlfn.IFNA(VLOOKUP(C577,Database!$D$5:$F$439,2,0),VLOOKUP(C577,logut!$C$4:$D$499,2,0))</f>
        <v>642001048</v>
      </c>
      <c r="E577" s="86" t="s">
        <v>312</v>
      </c>
      <c r="G577" s="86" t="s">
        <v>6107</v>
      </c>
      <c r="H577" s="86" t="s">
        <v>22</v>
      </c>
      <c r="I577" s="212">
        <v>44927</v>
      </c>
      <c r="J577" s="86" t="s">
        <v>6108</v>
      </c>
    </row>
    <row r="578" spans="2:10" x14ac:dyDescent="0.2">
      <c r="B578" s="86">
        <v>575</v>
      </c>
      <c r="C578" s="86" t="s">
        <v>2448</v>
      </c>
      <c r="D578" s="304">
        <f>_xlfn.IFNA(VLOOKUP(C578,Database!$D$5:$F$439,2,0),VLOOKUP(C578,logut!$C$4:$D$499,2,0))</f>
        <v>641907251</v>
      </c>
      <c r="E578" s="86" t="s">
        <v>312</v>
      </c>
      <c r="G578" s="86" t="s">
        <v>6107</v>
      </c>
      <c r="H578" s="86" t="s">
        <v>22</v>
      </c>
      <c r="I578" s="212">
        <v>44927</v>
      </c>
      <c r="J578" s="86" t="s">
        <v>6108</v>
      </c>
    </row>
    <row r="579" spans="2:10" x14ac:dyDescent="0.2">
      <c r="B579" s="86">
        <v>576</v>
      </c>
      <c r="C579" s="86" t="s">
        <v>5309</v>
      </c>
      <c r="D579" s="304">
        <f>_xlfn.IFNA(VLOOKUP(C579,Database!$D$5:$F$439,2,0),VLOOKUP(C579,logut!$C$4:$D$499,2,0))</f>
        <v>999100010</v>
      </c>
      <c r="E579" s="86" t="s">
        <v>312</v>
      </c>
      <c r="G579" s="86" t="s">
        <v>6001</v>
      </c>
      <c r="H579" s="86" t="s">
        <v>6002</v>
      </c>
      <c r="I579" s="212">
        <v>44937</v>
      </c>
      <c r="J579" s="86" t="s">
        <v>6109</v>
      </c>
    </row>
    <row r="580" spans="2:10" x14ac:dyDescent="0.2">
      <c r="B580" s="86">
        <v>577</v>
      </c>
      <c r="C580" s="86" t="s">
        <v>2804</v>
      </c>
      <c r="D580" s="304">
        <f>_xlfn.IFNA(VLOOKUP(C580,Database!$D$5:$F$439,2,0),VLOOKUP(C580,logut!$C$4:$D$499,2,0))</f>
        <v>642101101</v>
      </c>
      <c r="E580" s="86" t="s">
        <v>312</v>
      </c>
      <c r="G580" s="86" t="s">
        <v>6001</v>
      </c>
      <c r="H580" s="86" t="s">
        <v>6002</v>
      </c>
      <c r="I580" s="212">
        <v>44937</v>
      </c>
      <c r="J580" s="86" t="s">
        <v>6109</v>
      </c>
    </row>
    <row r="581" spans="2:10" x14ac:dyDescent="0.2">
      <c r="B581" s="86">
        <v>578</v>
      </c>
      <c r="C581" s="86" t="s">
        <v>86</v>
      </c>
      <c r="D581" s="304">
        <f>_xlfn.IFNA(VLOOKUP(C581,Database!$D$5:$F$439,2,0),VLOOKUP(C581,logut!$C$4:$D$499,2,0))</f>
        <v>991000017</v>
      </c>
      <c r="E581" s="86" t="s">
        <v>6110</v>
      </c>
      <c r="G581" s="86" t="s">
        <v>6111</v>
      </c>
      <c r="H581" s="86" t="s">
        <v>5901</v>
      </c>
      <c r="I581" s="212">
        <v>44978</v>
      </c>
      <c r="J581" s="86" t="s">
        <v>6112</v>
      </c>
    </row>
    <row r="582" spans="2:10" x14ac:dyDescent="0.2">
      <c r="B582" s="86">
        <v>579</v>
      </c>
      <c r="C582" s="86" t="s">
        <v>1903</v>
      </c>
      <c r="D582" s="304">
        <f>_xlfn.IFNA(VLOOKUP(C582,Database!$D$5:$F$439,2,0),VLOOKUP(C582,logut!$C$4:$D$499,2,0))</f>
        <v>971900039</v>
      </c>
      <c r="E582" s="86" t="s">
        <v>6110</v>
      </c>
      <c r="G582" s="86" t="s">
        <v>1150</v>
      </c>
      <c r="H582" s="86" t="s">
        <v>5901</v>
      </c>
      <c r="I582" s="212">
        <v>44978</v>
      </c>
      <c r="J582" s="86" t="s">
        <v>6112</v>
      </c>
    </row>
    <row r="583" spans="2:10" x14ac:dyDescent="0.2">
      <c r="B583" s="86">
        <v>580</v>
      </c>
      <c r="C583" s="86" t="s">
        <v>5297</v>
      </c>
      <c r="D583" s="304">
        <f>_xlfn.IFNA(VLOOKUP(C583,Database!$D$5:$F$439,2,0),VLOOKUP(C583,logut!$C$4:$D$499,2,0))</f>
        <v>991800022</v>
      </c>
      <c r="E583" s="86" t="s">
        <v>5935</v>
      </c>
      <c r="G583" s="86" t="s">
        <v>1115</v>
      </c>
      <c r="H583" s="86" t="s">
        <v>5901</v>
      </c>
      <c r="I583" s="212">
        <v>44978</v>
      </c>
      <c r="J583" s="86" t="s">
        <v>6112</v>
      </c>
    </row>
    <row r="584" spans="2:10" x14ac:dyDescent="0.2">
      <c r="B584" s="86">
        <v>581</v>
      </c>
      <c r="C584" s="86" t="s">
        <v>762</v>
      </c>
      <c r="D584" s="304">
        <f>_xlfn.IFNA(VLOOKUP(C584,Database!$D$5:$F$439,2,0),VLOOKUP(C584,logut!$C$4:$D$499,2,0))</f>
        <v>971900033</v>
      </c>
      <c r="E584" s="86" t="s">
        <v>312</v>
      </c>
      <c r="G584" s="86" t="s">
        <v>5980</v>
      </c>
      <c r="H584" s="86" t="s">
        <v>6113</v>
      </c>
      <c r="I584" s="212">
        <v>44988</v>
      </c>
      <c r="J584" s="86" t="s">
        <v>6114</v>
      </c>
    </row>
    <row r="585" spans="2:10" x14ac:dyDescent="0.2">
      <c r="B585" s="86">
        <v>582</v>
      </c>
      <c r="C585" s="86" t="s">
        <v>680</v>
      </c>
      <c r="D585" s="304">
        <f>_xlfn.IFNA(VLOOKUP(C585,Database!$D$5:$F$439,2,0),VLOOKUP(C585,logut!$C$4:$D$499,2,0))</f>
        <v>642001012</v>
      </c>
      <c r="E585" s="86" t="s">
        <v>2774</v>
      </c>
      <c r="G585" s="86" t="s">
        <v>5980</v>
      </c>
      <c r="H585" s="86" t="s">
        <v>28</v>
      </c>
      <c r="I585" s="212">
        <v>44988</v>
      </c>
      <c r="J585" s="86" t="s">
        <v>6114</v>
      </c>
    </row>
    <row r="586" spans="2:10" x14ac:dyDescent="0.2">
      <c r="B586" s="86">
        <v>583</v>
      </c>
      <c r="C586" s="86" t="s">
        <v>1820</v>
      </c>
      <c r="D586" s="304">
        <f>_xlfn.IFNA(VLOOKUP(C586,Database!$D$5:$F$439,2,0),VLOOKUP(C586,logut!$C$4:$D$499,2,0))</f>
        <v>641807161</v>
      </c>
      <c r="E586" s="86" t="s">
        <v>312</v>
      </c>
      <c r="G586" s="86" t="s">
        <v>5980</v>
      </c>
      <c r="H586" s="86" t="s">
        <v>28</v>
      </c>
      <c r="I586" s="212">
        <v>44988</v>
      </c>
      <c r="J586" s="86" t="s">
        <v>6114</v>
      </c>
    </row>
    <row r="587" spans="2:10" x14ac:dyDescent="0.2">
      <c r="B587" s="86">
        <v>584</v>
      </c>
      <c r="C587" s="86" t="s">
        <v>1843</v>
      </c>
      <c r="D587" s="304">
        <f>_xlfn.IFNA(VLOOKUP(C587,Database!$D$5:$F$439,2,0),VLOOKUP(C587,logut!$C$4:$D$499,2,0))</f>
        <v>641808176</v>
      </c>
      <c r="E587" s="86" t="s">
        <v>312</v>
      </c>
      <c r="G587" s="86" t="s">
        <v>5980</v>
      </c>
      <c r="H587" s="86" t="s">
        <v>29</v>
      </c>
      <c r="I587" s="212">
        <v>44988</v>
      </c>
      <c r="J587" s="86" t="s">
        <v>6114</v>
      </c>
    </row>
    <row r="588" spans="2:10" x14ac:dyDescent="0.2">
      <c r="B588" s="86">
        <v>585</v>
      </c>
      <c r="C588" s="86" t="s">
        <v>2674</v>
      </c>
      <c r="D588" s="304">
        <f>_xlfn.IFNA(VLOOKUP(C588,Database!$D$5:$F$439,2,0),VLOOKUP(C588,logut!$C$4:$D$499,2,0))</f>
        <v>999500021</v>
      </c>
      <c r="E588" s="86" t="s">
        <v>5344</v>
      </c>
      <c r="G588" s="86" t="s">
        <v>5980</v>
      </c>
      <c r="H588" s="86" t="s">
        <v>217</v>
      </c>
      <c r="I588" s="212">
        <v>44988</v>
      </c>
      <c r="J588" s="86" t="s">
        <v>6114</v>
      </c>
    </row>
    <row r="589" spans="2:10" x14ac:dyDescent="0.2">
      <c r="B589" s="86">
        <v>586</v>
      </c>
      <c r="C589" s="86" t="s">
        <v>2540</v>
      </c>
      <c r="D589" s="304">
        <f>_xlfn.IFNA(VLOOKUP(C589,Database!$D$5:$F$439,2,0),VLOOKUP(C589,logut!$C$4:$D$499,2,0))</f>
        <v>642002073</v>
      </c>
      <c r="E589" s="86" t="s">
        <v>312</v>
      </c>
      <c r="G589" s="86" t="s">
        <v>5980</v>
      </c>
      <c r="H589" s="86" t="s">
        <v>29</v>
      </c>
      <c r="I589" s="212">
        <v>44988</v>
      </c>
      <c r="J589" s="86" t="s">
        <v>6114</v>
      </c>
    </row>
    <row r="590" spans="2:10" x14ac:dyDescent="0.2">
      <c r="B590" s="86">
        <v>587</v>
      </c>
      <c r="C590" s="86" t="s">
        <v>2472</v>
      </c>
      <c r="D590" s="304">
        <f>_xlfn.IFNA(VLOOKUP(C590,Database!$D$5:$F$439,2,0),VLOOKUP(C590,logut!$C$4:$D$499,2,0))</f>
        <v>641907248</v>
      </c>
      <c r="E590" s="86" t="s">
        <v>312</v>
      </c>
      <c r="G590" s="86" t="s">
        <v>5980</v>
      </c>
      <c r="H590" s="86" t="s">
        <v>30</v>
      </c>
      <c r="I590" s="212">
        <v>44988</v>
      </c>
      <c r="J590" s="86" t="s">
        <v>6114</v>
      </c>
    </row>
    <row r="591" spans="2:10" x14ac:dyDescent="0.2">
      <c r="B591" s="86">
        <v>588</v>
      </c>
      <c r="C591" s="86" t="s">
        <v>1303</v>
      </c>
      <c r="D591" s="304">
        <f>_xlfn.IFNA(VLOOKUP(C591,Database!$D$5:$F$439,2,0),VLOOKUP(C591,logut!$C$4:$D$499,2,0))</f>
        <v>642001039</v>
      </c>
      <c r="E591" s="86" t="s">
        <v>312</v>
      </c>
      <c r="G591" s="86" t="s">
        <v>5980</v>
      </c>
      <c r="H591" s="86" t="s">
        <v>28</v>
      </c>
      <c r="I591" s="212">
        <v>44988</v>
      </c>
      <c r="J591" s="86" t="s">
        <v>6114</v>
      </c>
    </row>
    <row r="592" spans="2:10" x14ac:dyDescent="0.2">
      <c r="B592" s="86">
        <v>589</v>
      </c>
      <c r="C592" s="86" t="s">
        <v>913</v>
      </c>
      <c r="D592" s="304">
        <f>_xlfn.IFNA(VLOOKUP(C592,Database!$D$5:$F$439,2,0),VLOOKUP(C592,logut!$C$4:$D$499,2,0))</f>
        <v>642001061</v>
      </c>
      <c r="E592" s="86" t="s">
        <v>312</v>
      </c>
      <c r="G592" s="86" t="s">
        <v>5980</v>
      </c>
      <c r="H592" s="86" t="s">
        <v>28</v>
      </c>
      <c r="I592" s="212">
        <v>44988</v>
      </c>
      <c r="J592" s="86" t="s">
        <v>6114</v>
      </c>
    </row>
    <row r="593" spans="2:10" x14ac:dyDescent="0.2">
      <c r="B593" s="86">
        <v>590</v>
      </c>
      <c r="C593" s="86" t="s">
        <v>1995</v>
      </c>
      <c r="D593" s="304">
        <f>_xlfn.IFNA(VLOOKUP(C593,Database!$D$5:$F$439,2,0),VLOOKUP(C593,logut!$C$4:$D$499,2,0))</f>
        <v>641810206</v>
      </c>
      <c r="E593" s="86" t="s">
        <v>312</v>
      </c>
      <c r="G593" s="86" t="s">
        <v>5980</v>
      </c>
      <c r="H593" s="86" t="s">
        <v>30</v>
      </c>
      <c r="I593" s="212">
        <v>44988</v>
      </c>
      <c r="J593" s="86" t="s">
        <v>6114</v>
      </c>
    </row>
    <row r="594" spans="2:10" x14ac:dyDescent="0.2">
      <c r="B594" s="86">
        <v>591</v>
      </c>
      <c r="C594" s="86" t="s">
        <v>3308</v>
      </c>
      <c r="D594" s="304">
        <f>_xlfn.IFNA(VLOOKUP(C594,Database!$D$5:$F$439,2,0),VLOOKUP(C594,logut!$C$4:$D$499,2,0))</f>
        <v>642201159</v>
      </c>
      <c r="E594" s="86" t="s">
        <v>312</v>
      </c>
      <c r="G594" s="86" t="s">
        <v>5980</v>
      </c>
      <c r="H594" s="86" t="s">
        <v>6113</v>
      </c>
      <c r="I594" s="212">
        <v>44988</v>
      </c>
      <c r="J594" s="86" t="s">
        <v>6114</v>
      </c>
    </row>
    <row r="595" spans="2:10" x14ac:dyDescent="0.2">
      <c r="B595" s="86">
        <v>592</v>
      </c>
      <c r="C595" s="86" t="s">
        <v>1226</v>
      </c>
      <c r="D595" s="304">
        <f>_xlfn.IFNA(VLOOKUP(C595,Database!$D$5:$F$439,2,0),VLOOKUP(C595,logut!$C$4:$D$499,2,0))</f>
        <v>642001038</v>
      </c>
      <c r="E595" s="86" t="s">
        <v>312</v>
      </c>
      <c r="G595" s="86" t="s">
        <v>5980</v>
      </c>
      <c r="H595" s="86" t="s">
        <v>28</v>
      </c>
      <c r="I595" s="212">
        <v>44988</v>
      </c>
      <c r="J595" s="86" t="s">
        <v>6114</v>
      </c>
    </row>
    <row r="596" spans="2:10" x14ac:dyDescent="0.2">
      <c r="B596" s="86">
        <v>593</v>
      </c>
      <c r="C596" s="86" t="s">
        <v>5160</v>
      </c>
      <c r="D596" s="304">
        <f>_xlfn.IFNA(VLOOKUP(C596,Database!$D$5:$F$439,2,0),VLOOKUP(C596,logut!$C$4:$D$499,2,0))</f>
        <v>991000008</v>
      </c>
      <c r="E596" s="86" t="s">
        <v>142</v>
      </c>
      <c r="G596" s="86" t="s">
        <v>6004</v>
      </c>
      <c r="H596" s="86" t="s">
        <v>5901</v>
      </c>
      <c r="I596" s="212">
        <v>45006</v>
      </c>
      <c r="J596" s="86" t="s">
        <v>6115</v>
      </c>
    </row>
    <row r="597" spans="2:10" x14ac:dyDescent="0.2">
      <c r="B597" s="86">
        <v>594</v>
      </c>
      <c r="C597" s="86" t="s">
        <v>5272</v>
      </c>
      <c r="D597" s="304">
        <f>_xlfn.IFNA(VLOOKUP(C597,Database!$D$5:$F$439,2,0),VLOOKUP(C597,logut!$C$4:$D$499,2,0))</f>
        <v>999600008</v>
      </c>
      <c r="E597" s="86" t="s">
        <v>142</v>
      </c>
      <c r="G597" s="86" t="s">
        <v>6116</v>
      </c>
      <c r="H597" s="86" t="s">
        <v>5901</v>
      </c>
      <c r="I597" s="212">
        <v>45006</v>
      </c>
      <c r="J597" s="86" t="s">
        <v>6115</v>
      </c>
    </row>
    <row r="598" spans="2:10" x14ac:dyDescent="0.2">
      <c r="B598" s="86">
        <v>595</v>
      </c>
      <c r="C598" s="86" t="s">
        <v>5208</v>
      </c>
      <c r="D598" s="304">
        <f>_xlfn.IFNA(VLOOKUP(C598,Database!$D$5:$F$439,2,0),VLOOKUP(C598,logut!$C$4:$D$499,2,0))</f>
        <v>999600062</v>
      </c>
      <c r="E598" s="86" t="s">
        <v>142</v>
      </c>
      <c r="G598" s="86" t="s">
        <v>59</v>
      </c>
      <c r="H598" s="86" t="s">
        <v>5901</v>
      </c>
      <c r="I598" s="212">
        <v>45006</v>
      </c>
      <c r="J598" s="86" t="s">
        <v>6115</v>
      </c>
    </row>
    <row r="599" spans="2:10" x14ac:dyDescent="0.2">
      <c r="B599" s="86">
        <v>596</v>
      </c>
      <c r="C599" s="86" t="s">
        <v>5224</v>
      </c>
      <c r="D599" s="304">
        <f>_xlfn.IFNA(VLOOKUP(C599,Database!$D$5:$F$439,2,0),VLOOKUP(C599,logut!$C$4:$D$499,2,0))</f>
        <v>991100039</v>
      </c>
      <c r="E599" s="86" t="s">
        <v>6117</v>
      </c>
      <c r="G599" s="86" t="s">
        <v>120</v>
      </c>
      <c r="H599" s="86" t="s">
        <v>5901</v>
      </c>
      <c r="I599" s="212">
        <v>45006</v>
      </c>
      <c r="J599" s="86" t="s">
        <v>6115</v>
      </c>
    </row>
    <row r="600" spans="2:10" x14ac:dyDescent="0.2">
      <c r="B600" s="86">
        <v>597</v>
      </c>
      <c r="C600" s="86" t="s">
        <v>5195</v>
      </c>
      <c r="D600" s="304">
        <f>_xlfn.IFNA(VLOOKUP(C600,Database!$D$5:$F$439,2,0),VLOOKUP(C600,logut!$C$4:$D$499,2,0))</f>
        <v>999900116</v>
      </c>
      <c r="E600" s="86" t="s">
        <v>142</v>
      </c>
      <c r="G600" s="86" t="s">
        <v>121</v>
      </c>
      <c r="H600" s="86" t="s">
        <v>5901</v>
      </c>
      <c r="I600" s="212">
        <v>45006</v>
      </c>
      <c r="J600" s="86" t="s">
        <v>6115</v>
      </c>
    </row>
    <row r="601" spans="2:10" x14ac:dyDescent="0.2">
      <c r="B601" s="86">
        <v>598</v>
      </c>
      <c r="C601" s="86" t="s">
        <v>90</v>
      </c>
      <c r="D601" s="304">
        <f>_xlfn.IFNA(VLOOKUP(C601,Database!$D$5:$F$439,2,0),VLOOKUP(C601,logut!$C$4:$D$499,2,0))</f>
        <v>999200022</v>
      </c>
      <c r="E601" s="86" t="s">
        <v>142</v>
      </c>
      <c r="G601" s="86" t="s">
        <v>122</v>
      </c>
      <c r="H601" s="86" t="s">
        <v>5901</v>
      </c>
      <c r="I601" s="212">
        <v>45006</v>
      </c>
      <c r="J601" s="86" t="s">
        <v>6115</v>
      </c>
    </row>
    <row r="602" spans="2:10" x14ac:dyDescent="0.2">
      <c r="B602" s="86">
        <v>599</v>
      </c>
      <c r="C602" s="86" t="s">
        <v>5764</v>
      </c>
      <c r="D602" s="304">
        <f>_xlfn.IFNA(VLOOKUP(C602,Database!$D$5:$F$439,2,0),VLOOKUP(C602,logut!$C$4:$D$499,2,0))</f>
        <v>999700007</v>
      </c>
      <c r="E602" s="86" t="s">
        <v>142</v>
      </c>
      <c r="G602" s="86" t="s">
        <v>18</v>
      </c>
      <c r="H602" s="86" t="s">
        <v>5901</v>
      </c>
      <c r="I602" s="212">
        <v>45006</v>
      </c>
      <c r="J602" s="86" t="s">
        <v>6115</v>
      </c>
    </row>
    <row r="603" spans="2:10" x14ac:dyDescent="0.2">
      <c r="B603" s="86">
        <v>600</v>
      </c>
      <c r="C603" s="86" t="s">
        <v>2636</v>
      </c>
      <c r="D603" s="304">
        <f>_xlfn.IFNA(VLOOKUP(C603,Database!$D$5:$F$439,2,0),VLOOKUP(C603,logut!$C$4:$D$499,2,0))</f>
        <v>999800003</v>
      </c>
      <c r="E603" s="86" t="s">
        <v>5984</v>
      </c>
      <c r="G603" s="86" t="s">
        <v>6118</v>
      </c>
      <c r="H603" s="86" t="s">
        <v>5901</v>
      </c>
      <c r="I603" s="212">
        <v>45006</v>
      </c>
      <c r="J603" s="86" t="s">
        <v>6115</v>
      </c>
    </row>
    <row r="604" spans="2:10" x14ac:dyDescent="0.2">
      <c r="B604" s="86">
        <v>601</v>
      </c>
      <c r="C604" s="86" t="s">
        <v>2219</v>
      </c>
      <c r="D604" s="304">
        <f>_xlfn.IFNA(VLOOKUP(C604,Database!$D$5:$F$439,2,0),VLOOKUP(C604,logut!$C$4:$D$499,2,0))</f>
        <v>972000052</v>
      </c>
      <c r="E604" s="86" t="s">
        <v>5984</v>
      </c>
      <c r="G604" s="86" t="s">
        <v>115</v>
      </c>
      <c r="H604" s="86" t="s">
        <v>5901</v>
      </c>
      <c r="I604" s="212">
        <v>45006</v>
      </c>
      <c r="J604" s="86" t="s">
        <v>6115</v>
      </c>
    </row>
    <row r="605" spans="2:10" x14ac:dyDescent="0.2">
      <c r="B605" s="86">
        <v>602</v>
      </c>
      <c r="C605" s="86" t="s">
        <v>2674</v>
      </c>
      <c r="D605" s="304">
        <f>_xlfn.IFNA(VLOOKUP(C605,Database!$D$5:$F$439,2,0),VLOOKUP(C605,logut!$C$4:$D$499,2,0))</f>
        <v>999500021</v>
      </c>
      <c r="E605" s="86" t="s">
        <v>137</v>
      </c>
      <c r="G605" s="86" t="s">
        <v>65</v>
      </c>
      <c r="H605" s="86" t="s">
        <v>5901</v>
      </c>
      <c r="I605" s="212">
        <v>45006</v>
      </c>
      <c r="J605" s="86" t="s">
        <v>6115</v>
      </c>
    </row>
    <row r="606" spans="2:10" x14ac:dyDescent="0.2">
      <c r="B606" s="86">
        <v>603</v>
      </c>
      <c r="C606" s="86" t="s">
        <v>747</v>
      </c>
      <c r="D606" s="304">
        <f>_xlfn.IFNA(VLOOKUP(C606,Database!$D$5:$F$439,2,0),VLOOKUP(C606,logut!$C$4:$D$499,2,0))</f>
        <v>971900030</v>
      </c>
      <c r="E606" s="86" t="s">
        <v>137</v>
      </c>
      <c r="G606" s="86" t="s">
        <v>73</v>
      </c>
      <c r="H606" s="86" t="s">
        <v>5901</v>
      </c>
      <c r="I606" s="212">
        <v>45006</v>
      </c>
      <c r="J606" s="86" t="s">
        <v>6115</v>
      </c>
    </row>
    <row r="607" spans="2:10" x14ac:dyDescent="0.2">
      <c r="B607" s="86">
        <v>604</v>
      </c>
      <c r="C607" s="86" t="s">
        <v>5592</v>
      </c>
      <c r="D607" s="304">
        <f>_xlfn.IFNA(VLOOKUP(C607,Database!$D$5:$F$439,2,0),VLOOKUP(C607,logut!$C$4:$D$499,2,0))</f>
        <v>991200023</v>
      </c>
      <c r="E607" s="86" t="s">
        <v>137</v>
      </c>
      <c r="G607" s="86" t="s">
        <v>43</v>
      </c>
      <c r="H607" s="86" t="s">
        <v>5901</v>
      </c>
      <c r="I607" s="212">
        <v>45006</v>
      </c>
      <c r="J607" s="86" t="s">
        <v>6115</v>
      </c>
    </row>
    <row r="608" spans="2:10" x14ac:dyDescent="0.2">
      <c r="B608" s="86">
        <v>605</v>
      </c>
      <c r="C608" s="86" t="s">
        <v>5368</v>
      </c>
      <c r="D608" s="304">
        <f>_xlfn.IFNA(VLOOKUP(C608,Database!$D$5:$F$439,2,0),VLOOKUP(C608,logut!$C$4:$D$499,2,0))</f>
        <v>999400090</v>
      </c>
      <c r="E608" s="86" t="s">
        <v>137</v>
      </c>
      <c r="G608" s="86" t="s">
        <v>6012</v>
      </c>
      <c r="H608" s="86" t="s">
        <v>5901</v>
      </c>
      <c r="I608" s="212">
        <v>45006</v>
      </c>
      <c r="J608" s="86" t="s">
        <v>6115</v>
      </c>
    </row>
    <row r="609" spans="2:10" x14ac:dyDescent="0.2">
      <c r="B609" s="86">
        <v>606</v>
      </c>
      <c r="C609" s="86" t="s">
        <v>5285</v>
      </c>
      <c r="D609" s="304">
        <f>_xlfn.IFNA(VLOOKUP(C609,Database!$D$5:$F$439,2,0),VLOOKUP(C609,logut!$C$4:$D$499,2,0))</f>
        <v>999600041</v>
      </c>
      <c r="E609" s="86" t="s">
        <v>137</v>
      </c>
      <c r="G609" s="86" t="s">
        <v>5286</v>
      </c>
      <c r="H609" s="86" t="s">
        <v>5901</v>
      </c>
      <c r="I609" s="212">
        <v>45006</v>
      </c>
      <c r="J609" s="86" t="s">
        <v>6115</v>
      </c>
    </row>
    <row r="610" spans="2:10" x14ac:dyDescent="0.2">
      <c r="B610" s="86">
        <v>607</v>
      </c>
      <c r="C610" s="86" t="s">
        <v>2667</v>
      </c>
      <c r="D610" s="304">
        <f>_xlfn.IFNA(VLOOKUP(C610,Database!$D$5:$F$439,2,0),VLOOKUP(C610,logut!$C$4:$D$499,2,0))</f>
        <v>991100025</v>
      </c>
      <c r="E610" s="86" t="s">
        <v>137</v>
      </c>
      <c r="G610" s="86" t="s">
        <v>119</v>
      </c>
      <c r="H610" s="86" t="s">
        <v>5901</v>
      </c>
      <c r="I610" s="212">
        <v>45006</v>
      </c>
      <c r="J610" s="86" t="s">
        <v>6115</v>
      </c>
    </row>
    <row r="611" spans="2:10" x14ac:dyDescent="0.2">
      <c r="B611" s="86">
        <v>608</v>
      </c>
      <c r="C611" s="86" t="s">
        <v>380</v>
      </c>
      <c r="D611" s="304">
        <f>_xlfn.IFNA(VLOOKUP(C611,Database!$D$5:$F$439,2,0),VLOOKUP(C611,logut!$C$4:$D$499,2,0))</f>
        <v>971500002</v>
      </c>
      <c r="E611" s="86" t="s">
        <v>137</v>
      </c>
      <c r="G611" s="86" t="s">
        <v>6014</v>
      </c>
      <c r="H611" s="86" t="s">
        <v>5901</v>
      </c>
      <c r="I611" s="212">
        <v>45006</v>
      </c>
      <c r="J611" s="86" t="s">
        <v>6115</v>
      </c>
    </row>
    <row r="612" spans="2:10" x14ac:dyDescent="0.2">
      <c r="B612" s="86">
        <v>609</v>
      </c>
      <c r="C612" s="86" t="s">
        <v>1949</v>
      </c>
      <c r="D612" s="304">
        <f>_xlfn.IFNA(VLOOKUP(C612,Database!$D$5:$F$439,2,0),VLOOKUP(C612,logut!$C$4:$D$499,2,0))</f>
        <v>971900034</v>
      </c>
      <c r="E612" s="86" t="s">
        <v>137</v>
      </c>
      <c r="G612" s="86" t="s">
        <v>50</v>
      </c>
      <c r="H612" s="86" t="s">
        <v>5901</v>
      </c>
      <c r="I612" s="212">
        <v>45006</v>
      </c>
      <c r="J612" s="86" t="s">
        <v>6115</v>
      </c>
    </row>
    <row r="613" spans="2:10" x14ac:dyDescent="0.2">
      <c r="B613" s="86">
        <v>610</v>
      </c>
      <c r="C613" s="86" t="s">
        <v>86</v>
      </c>
      <c r="D613" s="304">
        <f>_xlfn.IFNA(VLOOKUP(C613,Database!$D$5:$F$439,2,0),VLOOKUP(C613,logut!$C$4:$D$499,2,0))</f>
        <v>991000017</v>
      </c>
      <c r="E613" s="86" t="s">
        <v>5957</v>
      </c>
      <c r="G613" s="86" t="s">
        <v>6119</v>
      </c>
      <c r="H613" s="86" t="s">
        <v>5901</v>
      </c>
      <c r="I613" s="212">
        <v>45006</v>
      </c>
      <c r="J613" s="86" t="s">
        <v>6115</v>
      </c>
    </row>
    <row r="614" spans="2:10" x14ac:dyDescent="0.2">
      <c r="B614" s="86">
        <v>611</v>
      </c>
      <c r="C614" s="86" t="s">
        <v>1903</v>
      </c>
      <c r="D614" s="304">
        <f>_xlfn.IFNA(VLOOKUP(C614,Database!$D$5:$F$439,2,0),VLOOKUP(C614,logut!$C$4:$D$499,2,0))</f>
        <v>971900039</v>
      </c>
      <c r="E614" s="86" t="s">
        <v>5957</v>
      </c>
      <c r="G614" s="86" t="s">
        <v>1150</v>
      </c>
      <c r="H614" s="86" t="s">
        <v>5901</v>
      </c>
      <c r="I614" s="212">
        <v>45006</v>
      </c>
      <c r="J614" s="86" t="s">
        <v>6115</v>
      </c>
    </row>
    <row r="615" spans="2:10" x14ac:dyDescent="0.2">
      <c r="B615" s="86">
        <v>612</v>
      </c>
      <c r="C615" s="86" t="s">
        <v>5713</v>
      </c>
      <c r="D615" s="304">
        <f>_xlfn.IFNA(VLOOKUP(C615,Database!$D$5:$F$439,2,0),VLOOKUP(C615,logut!$C$4:$D$499,2,0))</f>
        <v>999200040</v>
      </c>
      <c r="E615" s="86" t="s">
        <v>5957</v>
      </c>
      <c r="G615" s="86" t="s">
        <v>54</v>
      </c>
      <c r="H615" s="86" t="s">
        <v>5901</v>
      </c>
      <c r="I615" s="212">
        <v>45006</v>
      </c>
      <c r="J615" s="86" t="s">
        <v>6115</v>
      </c>
    </row>
    <row r="616" spans="2:10" x14ac:dyDescent="0.2">
      <c r="B616" s="86">
        <v>613</v>
      </c>
      <c r="C616" s="86" t="s">
        <v>431</v>
      </c>
      <c r="D616" s="304">
        <f>_xlfn.IFNA(VLOOKUP(C616,Database!$D$5:$F$439,2,0),VLOOKUP(C616,logut!$C$4:$D$499,2,0))</f>
        <v>971600004</v>
      </c>
      <c r="E616" s="86" t="s">
        <v>5984</v>
      </c>
      <c r="G616" s="86" t="s">
        <v>6120</v>
      </c>
      <c r="H616" s="86" t="s">
        <v>5901</v>
      </c>
      <c r="I616" s="212">
        <v>45006</v>
      </c>
      <c r="J616" s="86" t="s">
        <v>6115</v>
      </c>
    </row>
    <row r="617" spans="2:10" x14ac:dyDescent="0.2">
      <c r="B617" s="86">
        <v>614</v>
      </c>
      <c r="C617" s="86" t="s">
        <v>3287</v>
      </c>
      <c r="D617" s="304">
        <f>_xlfn.IFNA(VLOOKUP(C617,Database!$D$5:$F$439,2,0),VLOOKUP(C617,logut!$C$4:$D$499,2,0))</f>
        <v>990900010</v>
      </c>
      <c r="E617" s="86" t="s">
        <v>5944</v>
      </c>
      <c r="G617" s="86" t="s">
        <v>6121</v>
      </c>
      <c r="H617" s="86" t="s">
        <v>5901</v>
      </c>
      <c r="I617" s="212">
        <v>45006</v>
      </c>
      <c r="J617" s="86" t="s">
        <v>6115</v>
      </c>
    </row>
    <row r="618" spans="2:10" x14ac:dyDescent="0.2">
      <c r="B618" s="86">
        <v>615</v>
      </c>
      <c r="C618" s="86" t="s">
        <v>5425</v>
      </c>
      <c r="D618" s="304">
        <f>_xlfn.IFNA(VLOOKUP(C618,Database!$D$5:$F$439,2,0),VLOOKUP(C618,logut!$C$4:$D$499,2,0))</f>
        <v>999800040</v>
      </c>
      <c r="E618" s="86" t="s">
        <v>138</v>
      </c>
      <c r="G618" s="86" t="s">
        <v>6122</v>
      </c>
      <c r="H618" s="86" t="s">
        <v>5901</v>
      </c>
      <c r="I618" s="212">
        <v>45006</v>
      </c>
      <c r="J618" s="86" t="s">
        <v>6115</v>
      </c>
    </row>
    <row r="619" spans="2:10" x14ac:dyDescent="0.2">
      <c r="B619" s="86">
        <v>616</v>
      </c>
      <c r="C619" s="86" t="s">
        <v>5480</v>
      </c>
      <c r="D619" s="304">
        <f>_xlfn.IFNA(VLOOKUP(C619,Database!$D$5:$F$439,2,0),VLOOKUP(C619,logut!$C$4:$D$499,2,0))</f>
        <v>999800044</v>
      </c>
      <c r="E619" s="86" t="s">
        <v>138</v>
      </c>
      <c r="G619" s="86" t="s">
        <v>6123</v>
      </c>
      <c r="H619" s="86" t="s">
        <v>5901</v>
      </c>
      <c r="I619" s="212">
        <v>45006</v>
      </c>
      <c r="J619" s="86" t="s">
        <v>6115</v>
      </c>
    </row>
    <row r="620" spans="2:10" x14ac:dyDescent="0.2">
      <c r="B620" s="86">
        <v>617</v>
      </c>
      <c r="C620" s="86" t="s">
        <v>5503</v>
      </c>
      <c r="D620" s="304">
        <f>_xlfn.IFNA(VLOOKUP(C620,Database!$D$5:$F$439,2,0),VLOOKUP(C620,logut!$C$4:$D$499,2,0))</f>
        <v>999800080</v>
      </c>
      <c r="E620" s="86" t="s">
        <v>138</v>
      </c>
      <c r="G620" s="86" t="s">
        <v>6124</v>
      </c>
      <c r="H620" s="86" t="s">
        <v>5901</v>
      </c>
      <c r="I620" s="212">
        <v>45006</v>
      </c>
      <c r="J620" s="86" t="s">
        <v>6115</v>
      </c>
    </row>
    <row r="621" spans="2:10" x14ac:dyDescent="0.2">
      <c r="B621" s="86">
        <v>618</v>
      </c>
      <c r="C621" s="86" t="s">
        <v>5297</v>
      </c>
      <c r="D621" s="304">
        <f>_xlfn.IFNA(VLOOKUP(C621,Database!$D$5:$F$439,2,0),VLOOKUP(C621,logut!$C$4:$D$499,2,0))</f>
        <v>991800022</v>
      </c>
      <c r="E621" s="86" t="s">
        <v>138</v>
      </c>
      <c r="G621" s="86" t="s">
        <v>1115</v>
      </c>
      <c r="H621" s="86" t="s">
        <v>5901</v>
      </c>
      <c r="I621" s="212">
        <v>45006</v>
      </c>
      <c r="J621" s="86" t="s">
        <v>6115</v>
      </c>
    </row>
    <row r="622" spans="2:10" x14ac:dyDescent="0.2">
      <c r="B622" s="86">
        <v>619</v>
      </c>
      <c r="C622" s="86" t="s">
        <v>1159</v>
      </c>
      <c r="D622" s="304">
        <f>_xlfn.IFNA(VLOOKUP(C622,Database!$D$5:$F$439,2,0),VLOOKUP(C622,logut!$C$4:$D$499,2,0))</f>
        <v>971800017</v>
      </c>
      <c r="E622" s="86" t="s">
        <v>5998</v>
      </c>
      <c r="G622" s="86" t="s">
        <v>6125</v>
      </c>
      <c r="H622" s="86" t="s">
        <v>5901</v>
      </c>
      <c r="I622" s="212">
        <v>45006</v>
      </c>
      <c r="J622" s="86" t="s">
        <v>6115</v>
      </c>
    </row>
    <row r="623" spans="2:10" x14ac:dyDescent="0.2">
      <c r="B623" s="86">
        <v>620</v>
      </c>
      <c r="C623" s="86" t="s">
        <v>391</v>
      </c>
      <c r="D623" s="304">
        <f>_xlfn.IFNA(VLOOKUP(C623,Database!$D$5:$F$439,2,0),VLOOKUP(C623,logut!$C$4:$D$499,2,0))</f>
        <v>971500003</v>
      </c>
      <c r="E623" s="86" t="s">
        <v>5998</v>
      </c>
      <c r="G623" s="86" t="s">
        <v>65</v>
      </c>
      <c r="H623" s="86" t="s">
        <v>5901</v>
      </c>
      <c r="I623" s="212">
        <v>45006</v>
      </c>
      <c r="J623" s="86" t="s">
        <v>6115</v>
      </c>
    </row>
    <row r="624" spans="2:10" x14ac:dyDescent="0.2">
      <c r="B624" s="86">
        <v>621</v>
      </c>
      <c r="C624" s="86" t="s">
        <v>1895</v>
      </c>
      <c r="D624" s="304">
        <f>_xlfn.IFNA(VLOOKUP(C624,Database!$D$5:$F$439,2,0),VLOOKUP(C624,logut!$C$4:$D$499,2,0))</f>
        <v>971900040</v>
      </c>
      <c r="E624" s="86" t="s">
        <v>5998</v>
      </c>
      <c r="G624" s="86" t="s">
        <v>73</v>
      </c>
      <c r="H624" s="86" t="s">
        <v>5901</v>
      </c>
      <c r="I624" s="212">
        <v>45006</v>
      </c>
      <c r="J624" s="86" t="s">
        <v>6115</v>
      </c>
    </row>
    <row r="625" spans="2:10" x14ac:dyDescent="0.2">
      <c r="B625" s="86">
        <v>622</v>
      </c>
      <c r="C625" s="86" t="s">
        <v>5703</v>
      </c>
      <c r="D625" s="304">
        <f>_xlfn.IFNA(VLOOKUP(C625,Database!$D$5:$F$439,2,0),VLOOKUP(C625,logut!$C$4:$D$499,2,0))</f>
        <v>991800001</v>
      </c>
      <c r="E625" s="86" t="s">
        <v>5998</v>
      </c>
      <c r="G625" s="86" t="s">
        <v>59</v>
      </c>
      <c r="H625" s="86" t="s">
        <v>5901</v>
      </c>
      <c r="I625" s="212">
        <v>45006</v>
      </c>
      <c r="J625" s="86" t="s">
        <v>6115</v>
      </c>
    </row>
    <row r="626" spans="2:10" x14ac:dyDescent="0.2">
      <c r="B626" s="86">
        <v>623</v>
      </c>
      <c r="C626" s="86" t="s">
        <v>1086</v>
      </c>
      <c r="D626" s="304">
        <f>_xlfn.IFNA(VLOOKUP(C626,Database!$D$5:$F$439,2,0),VLOOKUP(C626,logut!$C$4:$D$499,2,0))</f>
        <v>971800024</v>
      </c>
      <c r="E626" s="86" t="s">
        <v>5998</v>
      </c>
      <c r="G626" s="86" t="s">
        <v>59</v>
      </c>
      <c r="H626" s="86" t="s">
        <v>5901</v>
      </c>
      <c r="I626" s="212">
        <v>45006</v>
      </c>
      <c r="J626" s="86" t="s">
        <v>6115</v>
      </c>
    </row>
    <row r="627" spans="2:10" x14ac:dyDescent="0.2">
      <c r="B627" s="86">
        <v>624</v>
      </c>
      <c r="C627" s="86" t="s">
        <v>5343</v>
      </c>
      <c r="D627" s="304">
        <f>_xlfn.IFNA(VLOOKUP(C627,Database!$D$5:$F$439,2,0),VLOOKUP(C627,logut!$C$4:$D$499,2,0))</f>
        <v>999400075</v>
      </c>
      <c r="E627" s="86" t="s">
        <v>5998</v>
      </c>
      <c r="G627" s="86" t="s">
        <v>6126</v>
      </c>
      <c r="H627" s="86" t="s">
        <v>5901</v>
      </c>
      <c r="I627" s="212">
        <v>45006</v>
      </c>
      <c r="J627" s="86" t="s">
        <v>6115</v>
      </c>
    </row>
    <row r="628" spans="2:10" x14ac:dyDescent="0.2">
      <c r="B628" s="86">
        <v>625</v>
      </c>
      <c r="C628" s="86" t="s">
        <v>5402</v>
      </c>
      <c r="D628" s="304">
        <f>_xlfn.IFNA(VLOOKUP(C628,Database!$D$5:$F$439,2,0),VLOOKUP(C628,logut!$C$4:$D$499,2,0))</f>
        <v>999900027</v>
      </c>
      <c r="E628" s="86" t="s">
        <v>5998</v>
      </c>
      <c r="G628" s="86" t="s">
        <v>6126</v>
      </c>
      <c r="H628" s="86" t="s">
        <v>5901</v>
      </c>
      <c r="I628" s="212">
        <v>45006</v>
      </c>
      <c r="J628" s="86" t="s">
        <v>6115</v>
      </c>
    </row>
    <row r="629" spans="2:10" x14ac:dyDescent="0.2">
      <c r="B629" s="86">
        <v>626</v>
      </c>
      <c r="C629" s="86" t="s">
        <v>3528</v>
      </c>
      <c r="D629" s="304">
        <f>_xlfn.IFNA(VLOOKUP(C629,Database!$D$5:$F$439,2,0),VLOOKUP(C629,logut!$C$4:$D$499,2,0))</f>
        <v>642301193</v>
      </c>
      <c r="E629" s="86" t="s">
        <v>5900</v>
      </c>
      <c r="G629" s="86" t="s">
        <v>6127</v>
      </c>
      <c r="H629" s="86" t="s">
        <v>5901</v>
      </c>
      <c r="I629" s="212">
        <v>45009</v>
      </c>
      <c r="J629" s="86" t="s">
        <v>6128</v>
      </c>
    </row>
    <row r="630" spans="2:10" x14ac:dyDescent="0.2">
      <c r="B630" s="86">
        <v>627</v>
      </c>
      <c r="C630" s="86" t="s">
        <v>98</v>
      </c>
      <c r="D630" s="304">
        <f>_xlfn.IFNA(VLOOKUP(C630,Database!$D$5:$F$439,2,0),VLOOKUP(C630,logut!$C$4:$D$499,2,0))</f>
        <v>642301191</v>
      </c>
      <c r="E630" s="86" t="s">
        <v>5900</v>
      </c>
      <c r="G630" s="86" t="s">
        <v>6129</v>
      </c>
      <c r="H630" s="86" t="s">
        <v>5901</v>
      </c>
      <c r="I630" s="212">
        <v>45009</v>
      </c>
      <c r="J630" s="86" t="s">
        <v>6128</v>
      </c>
    </row>
    <row r="631" spans="2:10" x14ac:dyDescent="0.2">
      <c r="B631" s="86">
        <v>628</v>
      </c>
      <c r="C631" s="86" t="s">
        <v>3576</v>
      </c>
      <c r="D631" s="304">
        <f>_xlfn.IFNA(VLOOKUP(C631,Database!$D$5:$F$439,2,0),VLOOKUP(C631,logut!$C$4:$D$499,2,0))</f>
        <v>642301196</v>
      </c>
      <c r="E631" s="86" t="s">
        <v>5900</v>
      </c>
      <c r="G631" s="86" t="s">
        <v>6127</v>
      </c>
      <c r="H631" s="86" t="s">
        <v>5901</v>
      </c>
      <c r="I631" s="212">
        <v>45009</v>
      </c>
      <c r="J631" s="86" t="s">
        <v>6128</v>
      </c>
    </row>
    <row r="632" spans="2:10" x14ac:dyDescent="0.2">
      <c r="B632" s="86">
        <v>629</v>
      </c>
      <c r="C632" s="86" t="s">
        <v>2826</v>
      </c>
      <c r="D632" s="304">
        <f>_xlfn.IFNA(VLOOKUP(C632,Database!$D$5:$F$439,2,0),VLOOKUP(C632,logut!$C$4:$D$499,2,0))</f>
        <v>642101093</v>
      </c>
      <c r="E632" s="86" t="s">
        <v>5900</v>
      </c>
      <c r="G632" s="86" t="s">
        <v>6130</v>
      </c>
      <c r="H632" s="86" t="s">
        <v>5901</v>
      </c>
      <c r="I632" s="212">
        <v>45009</v>
      </c>
      <c r="J632" s="86" t="s">
        <v>6128</v>
      </c>
    </row>
    <row r="633" spans="2:10" x14ac:dyDescent="0.2">
      <c r="B633" s="86">
        <v>630</v>
      </c>
      <c r="C633" s="86" t="s">
        <v>95</v>
      </c>
      <c r="D633" s="304">
        <f>_xlfn.IFNA(VLOOKUP(C633,Database!$D$5:$F$439,2,0),VLOOKUP(C633,logut!$C$4:$D$499,2,0))</f>
        <v>642201127</v>
      </c>
      <c r="E633" s="86" t="s">
        <v>5900</v>
      </c>
      <c r="G633" s="86" t="s">
        <v>6131</v>
      </c>
      <c r="H633" s="86" t="s">
        <v>5901</v>
      </c>
      <c r="I633" s="212">
        <v>45009</v>
      </c>
      <c r="J633" s="86" t="s">
        <v>6128</v>
      </c>
    </row>
    <row r="634" spans="2:10" x14ac:dyDescent="0.2">
      <c r="B634" s="86">
        <v>631</v>
      </c>
      <c r="C634" s="86" t="s">
        <v>3007</v>
      </c>
      <c r="D634" s="304">
        <f>_xlfn.IFNA(VLOOKUP(C634,Database!$D$5:$F$439,2,0),VLOOKUP(C634,logut!$C$4:$D$499,2,0))</f>
        <v>642201129</v>
      </c>
      <c r="E634" s="86" t="s">
        <v>5900</v>
      </c>
      <c r="G634" s="86" t="s">
        <v>6132</v>
      </c>
      <c r="H634" s="86" t="s">
        <v>5901</v>
      </c>
      <c r="I634" s="212">
        <v>45009</v>
      </c>
      <c r="J634" s="86" t="s">
        <v>6128</v>
      </c>
    </row>
    <row r="635" spans="2:10" x14ac:dyDescent="0.2">
      <c r="B635" s="86">
        <v>632</v>
      </c>
      <c r="C635" s="86" t="s">
        <v>3543</v>
      </c>
      <c r="D635" s="304">
        <f>_xlfn.IFNA(VLOOKUP(C635,Database!$D$5:$F$439,2,0),VLOOKUP(C635,logut!$C$4:$D$499,2,0))</f>
        <v>642301192</v>
      </c>
      <c r="E635" s="86" t="s">
        <v>5900</v>
      </c>
      <c r="G635" s="86" t="s">
        <v>6133</v>
      </c>
      <c r="H635" s="86" t="s">
        <v>5901</v>
      </c>
      <c r="I635" s="212">
        <v>45009</v>
      </c>
      <c r="J635" s="86" t="s">
        <v>6128</v>
      </c>
    </row>
    <row r="636" spans="2:10" x14ac:dyDescent="0.2">
      <c r="B636" s="86">
        <v>633</v>
      </c>
      <c r="C636" s="86" t="s">
        <v>3015</v>
      </c>
      <c r="D636" s="304">
        <f>_xlfn.IFNA(VLOOKUP(C636,Database!$D$5:$F$439,2,0),VLOOKUP(C636,logut!$C$4:$D$499,2,0))</f>
        <v>642201128</v>
      </c>
      <c r="E636" s="86" t="s">
        <v>5900</v>
      </c>
      <c r="G636" s="86" t="s">
        <v>6134</v>
      </c>
      <c r="H636" s="86" t="s">
        <v>5901</v>
      </c>
      <c r="I636" s="212">
        <v>45009</v>
      </c>
      <c r="J636" s="86" t="s">
        <v>6128</v>
      </c>
    </row>
    <row r="637" spans="2:10" x14ac:dyDescent="0.2">
      <c r="B637" s="86">
        <v>634</v>
      </c>
      <c r="C637" s="86" t="s">
        <v>2763</v>
      </c>
      <c r="D637" s="304">
        <f>_xlfn.IFNA(VLOOKUP(C637,Database!$D$5:$F$439,2,0),VLOOKUP(C637,logut!$C$4:$D$499,2,0))</f>
        <v>642007089</v>
      </c>
      <c r="E637" s="86" t="s">
        <v>5900</v>
      </c>
      <c r="G637" s="86" t="s">
        <v>6135</v>
      </c>
      <c r="H637" s="86" t="s">
        <v>5901</v>
      </c>
      <c r="I637" s="212">
        <v>45009</v>
      </c>
      <c r="J637" s="86" t="s">
        <v>6128</v>
      </c>
    </row>
    <row r="638" spans="2:10" x14ac:dyDescent="0.2">
      <c r="B638" s="86">
        <v>635</v>
      </c>
      <c r="C638" s="86" t="s">
        <v>2857</v>
      </c>
      <c r="D638" s="304">
        <f>_xlfn.IFNA(VLOOKUP(C638,Database!$D$5:$F$439,2,0),VLOOKUP(C638,logut!$C$4:$D$499,2,0))</f>
        <v>642102105</v>
      </c>
      <c r="E638" s="86" t="s">
        <v>5900</v>
      </c>
      <c r="G638" s="86" t="s">
        <v>6135</v>
      </c>
      <c r="H638" s="86" t="s">
        <v>5901</v>
      </c>
      <c r="I638" s="212">
        <v>45009</v>
      </c>
      <c r="J638" s="86" t="s">
        <v>6128</v>
      </c>
    </row>
    <row r="639" spans="2:10" x14ac:dyDescent="0.2">
      <c r="B639" s="86">
        <v>636</v>
      </c>
      <c r="C639" s="86" t="s">
        <v>3552</v>
      </c>
      <c r="D639" s="304">
        <f>_xlfn.IFNA(VLOOKUP(C639,Database!$D$5:$F$439,2,0),VLOOKUP(C639,logut!$C$4:$D$499,2,0))</f>
        <v>642301188</v>
      </c>
      <c r="E639" s="86" t="s">
        <v>5900</v>
      </c>
      <c r="G639" s="86" t="s">
        <v>6127</v>
      </c>
      <c r="H639" s="86" t="s">
        <v>5901</v>
      </c>
      <c r="I639" s="212">
        <v>45009</v>
      </c>
      <c r="J639" s="86" t="s">
        <v>6128</v>
      </c>
    </row>
    <row r="640" spans="2:10" x14ac:dyDescent="0.2">
      <c r="B640" s="86">
        <v>637</v>
      </c>
      <c r="C640" s="86" t="s">
        <v>3021</v>
      </c>
      <c r="D640" s="304">
        <f>_xlfn.IFNA(VLOOKUP(C640,Database!$D$5:$F$439,2,0),VLOOKUP(C640,logut!$C$4:$D$499,2,0))</f>
        <v>642201126</v>
      </c>
      <c r="E640" s="86" t="s">
        <v>5900</v>
      </c>
      <c r="G640" s="86" t="s">
        <v>6133</v>
      </c>
      <c r="H640" s="86" t="s">
        <v>5901</v>
      </c>
      <c r="I640" s="212">
        <v>45009</v>
      </c>
      <c r="J640" s="86" t="s">
        <v>6128</v>
      </c>
    </row>
    <row r="641" spans="2:10" x14ac:dyDescent="0.2">
      <c r="B641" s="86">
        <v>638</v>
      </c>
      <c r="C641" s="86" t="s">
        <v>2753</v>
      </c>
      <c r="D641" s="304">
        <f>_xlfn.IFNA(VLOOKUP(C641,Database!$D$5:$F$439,2,0),VLOOKUP(C641,logut!$C$4:$D$499,2,0))</f>
        <v>642007090</v>
      </c>
      <c r="E641" s="86" t="s">
        <v>5900</v>
      </c>
      <c r="G641" s="86" t="s">
        <v>6136</v>
      </c>
      <c r="H641" s="86" t="s">
        <v>5901</v>
      </c>
      <c r="I641" s="212">
        <v>45009</v>
      </c>
      <c r="J641" s="86" t="s">
        <v>6128</v>
      </c>
    </row>
    <row r="642" spans="2:10" x14ac:dyDescent="0.2">
      <c r="B642" s="86">
        <v>639</v>
      </c>
      <c r="C642" s="86" t="s">
        <v>2773</v>
      </c>
      <c r="D642" s="304">
        <f>_xlfn.IFNA(VLOOKUP(C642,Database!$D$5:$F$439,2,0),VLOOKUP(C642,logut!$C$4:$D$499,2,0))</f>
        <v>972400065</v>
      </c>
      <c r="E642" s="86" t="s">
        <v>5900</v>
      </c>
      <c r="G642" s="86" t="s">
        <v>6137</v>
      </c>
      <c r="H642" s="86" t="s">
        <v>5901</v>
      </c>
      <c r="I642" s="212">
        <v>45009</v>
      </c>
      <c r="J642" s="86" t="s">
        <v>6128</v>
      </c>
    </row>
    <row r="643" spans="2:10" x14ac:dyDescent="0.2">
      <c r="B643" s="86">
        <v>640</v>
      </c>
      <c r="C643" s="86" t="s">
        <v>5614</v>
      </c>
      <c r="D643" s="304">
        <f>_xlfn.IFNA(VLOOKUP(C643,Database!$D$5:$F$439,2,0),VLOOKUP(C643,logut!$C$4:$D$499,2,0))</f>
        <v>642301194</v>
      </c>
      <c r="E643" s="86" t="s">
        <v>5900</v>
      </c>
      <c r="G643" s="86" t="s">
        <v>6127</v>
      </c>
      <c r="H643" s="86" t="s">
        <v>5901</v>
      </c>
      <c r="I643" s="212">
        <v>45009</v>
      </c>
      <c r="J643" s="86" t="s">
        <v>6128</v>
      </c>
    </row>
    <row r="644" spans="2:10" x14ac:dyDescent="0.2">
      <c r="B644" s="86">
        <v>641</v>
      </c>
      <c r="C644" s="86" t="s">
        <v>5608</v>
      </c>
      <c r="D644" s="304">
        <f>_xlfn.IFNA(VLOOKUP(C644,Database!$D$5:$F$439,2,0),VLOOKUP(C644,logut!$C$4:$D$499,2,0))</f>
        <v>642201173</v>
      </c>
      <c r="E644" s="86" t="s">
        <v>5900</v>
      </c>
      <c r="G644" s="86" t="s">
        <v>6138</v>
      </c>
      <c r="H644" s="86" t="s">
        <v>5901</v>
      </c>
      <c r="I644" s="212">
        <v>45009</v>
      </c>
      <c r="J644" s="86" t="s">
        <v>6128</v>
      </c>
    </row>
    <row r="645" spans="2:10" x14ac:dyDescent="0.2">
      <c r="B645" s="86">
        <v>642</v>
      </c>
      <c r="C645" s="86" t="s">
        <v>793</v>
      </c>
      <c r="D645" s="304">
        <f>_xlfn.IFNA(VLOOKUP(C645,Database!$D$5:$F$439,2,0),VLOOKUP(C645,logut!$C$4:$D$499,2,0))</f>
        <v>642001008</v>
      </c>
      <c r="E645" s="86" t="s">
        <v>5900</v>
      </c>
      <c r="G645" s="86" t="s">
        <v>6139</v>
      </c>
      <c r="H645" s="86" t="s">
        <v>5901</v>
      </c>
      <c r="I645" s="212">
        <v>45009</v>
      </c>
      <c r="J645" s="86" t="s">
        <v>6128</v>
      </c>
    </row>
    <row r="646" spans="2:10" x14ac:dyDescent="0.2">
      <c r="B646" s="86">
        <v>643</v>
      </c>
      <c r="C646" s="86" t="s">
        <v>2867</v>
      </c>
      <c r="D646" s="304">
        <f>_xlfn.IFNA(VLOOKUP(C646,Database!$D$5:$F$439,2,0),VLOOKUP(C646,logut!$C$4:$D$499,2,0))</f>
        <v>642102106</v>
      </c>
      <c r="E646" s="86" t="s">
        <v>5900</v>
      </c>
      <c r="G646" s="86" t="s">
        <v>6135</v>
      </c>
      <c r="H646" s="86" t="s">
        <v>5901</v>
      </c>
      <c r="I646" s="212">
        <v>45009</v>
      </c>
      <c r="J646" s="86" t="s">
        <v>6128</v>
      </c>
    </row>
    <row r="647" spans="2:10" x14ac:dyDescent="0.2">
      <c r="B647" s="86">
        <v>644</v>
      </c>
      <c r="C647" s="86" t="s">
        <v>5243</v>
      </c>
      <c r="D647" s="304">
        <f>_xlfn.IFNA(VLOOKUP(C647,Database!$D$5:$F$439,2,0),VLOOKUP(C647,logut!$C$4:$D$499,2,0))</f>
        <v>642007091</v>
      </c>
      <c r="E647" s="86" t="s">
        <v>5900</v>
      </c>
      <c r="G647" s="86" t="s">
        <v>6140</v>
      </c>
      <c r="H647" s="86" t="s">
        <v>5901</v>
      </c>
      <c r="I647" s="212">
        <v>45009</v>
      </c>
      <c r="J647" s="86" t="s">
        <v>6128</v>
      </c>
    </row>
    <row r="648" spans="2:10" x14ac:dyDescent="0.2">
      <c r="B648" s="86">
        <v>645</v>
      </c>
      <c r="C648" s="86" t="s">
        <v>879</v>
      </c>
      <c r="D648" s="304">
        <f>_xlfn.IFNA(VLOOKUP(C648,Database!$D$5:$F$439,2,0),VLOOKUP(C648,logut!$C$4:$D$499,2,0))</f>
        <v>642001067</v>
      </c>
      <c r="E648" s="86" t="s">
        <v>5900</v>
      </c>
      <c r="G648" s="86" t="s">
        <v>6139</v>
      </c>
      <c r="H648" s="86" t="s">
        <v>5901</v>
      </c>
      <c r="I648" s="212">
        <v>45009</v>
      </c>
      <c r="J648" s="86" t="s">
        <v>6128</v>
      </c>
    </row>
    <row r="649" spans="2:10" x14ac:dyDescent="0.2">
      <c r="B649" s="86">
        <v>646</v>
      </c>
      <c r="C649" s="86" t="s">
        <v>2530</v>
      </c>
      <c r="D649" s="304">
        <f>_xlfn.IFNA(VLOOKUP(C649,Database!$D$5:$F$439,2,0),VLOOKUP(C649,logut!$C$4:$D$499,2,0))</f>
        <v>641907279</v>
      </c>
      <c r="E649" s="86" t="s">
        <v>5900</v>
      </c>
      <c r="G649" s="86" t="s">
        <v>6138</v>
      </c>
      <c r="H649" s="86" t="s">
        <v>5901</v>
      </c>
      <c r="I649" s="212">
        <v>45009</v>
      </c>
      <c r="J649" s="86" t="s">
        <v>6128</v>
      </c>
    </row>
    <row r="650" spans="2:10" x14ac:dyDescent="0.2">
      <c r="B650" s="86">
        <v>647</v>
      </c>
      <c r="C650" s="86" t="s">
        <v>2817</v>
      </c>
      <c r="D650" s="304">
        <f>_xlfn.IFNA(VLOOKUP(C650,Database!$D$5:$F$439,2,0),VLOOKUP(C650,logut!$C$4:$D$499,2,0))</f>
        <v>642101097</v>
      </c>
      <c r="E650" s="86" t="s">
        <v>5900</v>
      </c>
      <c r="G650" s="86" t="s">
        <v>6137</v>
      </c>
      <c r="H650" s="86" t="s">
        <v>5901</v>
      </c>
      <c r="I650" s="212">
        <v>45009</v>
      </c>
      <c r="J650" s="86" t="s">
        <v>6128</v>
      </c>
    </row>
    <row r="651" spans="2:10" x14ac:dyDescent="0.2">
      <c r="B651" s="86">
        <v>648</v>
      </c>
      <c r="C651" s="86" t="s">
        <v>666</v>
      </c>
      <c r="D651" s="304">
        <f>_xlfn.IFNA(VLOOKUP(C651,Database!$D$5:$F$439,2,0),VLOOKUP(C651,logut!$C$4:$D$499,2,0))</f>
        <v>642001011</v>
      </c>
      <c r="E651" s="86" t="s">
        <v>5900</v>
      </c>
      <c r="G651" s="86" t="s">
        <v>6135</v>
      </c>
      <c r="H651" s="86" t="s">
        <v>5901</v>
      </c>
      <c r="I651" s="212">
        <v>45009</v>
      </c>
      <c r="J651" s="86" t="s">
        <v>6128</v>
      </c>
    </row>
    <row r="652" spans="2:10" x14ac:dyDescent="0.2">
      <c r="B652" s="86">
        <v>649</v>
      </c>
      <c r="C652" s="86" t="s">
        <v>2879</v>
      </c>
      <c r="D652" s="304">
        <f>_xlfn.IFNA(VLOOKUP(C652,Database!$D$5:$F$439,2,0),VLOOKUP(C652,logut!$C$4:$D$499,2,0))</f>
        <v>642102103</v>
      </c>
      <c r="E652" s="86" t="s">
        <v>5900</v>
      </c>
      <c r="G652" s="86" t="s">
        <v>6135</v>
      </c>
      <c r="H652" s="86" t="s">
        <v>5901</v>
      </c>
      <c r="I652" s="212">
        <v>45009</v>
      </c>
      <c r="J652" s="86" t="s">
        <v>6128</v>
      </c>
    </row>
    <row r="653" spans="2:10" x14ac:dyDescent="0.2">
      <c r="B653" s="86">
        <v>650</v>
      </c>
      <c r="C653" s="86" t="s">
        <v>3466</v>
      </c>
      <c r="D653" s="304">
        <f>_xlfn.IFNA(VLOOKUP(C653,Database!$D$5:$F$439,2,0),VLOOKUP(C653,logut!$C$4:$D$499,2,0))</f>
        <v>642301178</v>
      </c>
      <c r="E653" s="86" t="s">
        <v>5900</v>
      </c>
      <c r="G653" s="86" t="s">
        <v>6138</v>
      </c>
      <c r="H653" s="86" t="s">
        <v>5901</v>
      </c>
      <c r="I653" s="212">
        <v>45009</v>
      </c>
      <c r="J653" s="86" t="s">
        <v>6128</v>
      </c>
    </row>
    <row r="654" spans="2:10" x14ac:dyDescent="0.2">
      <c r="B654" s="86">
        <v>651</v>
      </c>
      <c r="C654" s="86" t="s">
        <v>2889</v>
      </c>
      <c r="D654" s="304">
        <f>_xlfn.IFNA(VLOOKUP(C654,Database!$D$5:$F$439,2,0),VLOOKUP(C654,logut!$C$4:$D$499,2,0))</f>
        <v>642102104</v>
      </c>
      <c r="E654" s="86" t="s">
        <v>5900</v>
      </c>
      <c r="G654" s="86" t="s">
        <v>6135</v>
      </c>
      <c r="H654" s="86" t="s">
        <v>5901</v>
      </c>
      <c r="I654" s="212">
        <v>45009</v>
      </c>
      <c r="J654" s="86" t="s">
        <v>6128</v>
      </c>
    </row>
    <row r="655" spans="2:10" x14ac:dyDescent="0.2">
      <c r="B655" s="86">
        <v>652</v>
      </c>
      <c r="C655" s="86" t="s">
        <v>2900</v>
      </c>
      <c r="D655" s="304">
        <f>_xlfn.IFNA(VLOOKUP(C655,Database!$D$5:$F$439,2,0),VLOOKUP(C655,logut!$C$4:$D$499,2,0))</f>
        <v>642105110</v>
      </c>
      <c r="E655" s="86" t="s">
        <v>5900</v>
      </c>
      <c r="G655" s="86" t="s">
        <v>6135</v>
      </c>
      <c r="H655" s="86" t="s">
        <v>5901</v>
      </c>
      <c r="I655" s="212">
        <v>45009</v>
      </c>
      <c r="J655" s="86" t="s">
        <v>6128</v>
      </c>
    </row>
    <row r="656" spans="2:10" x14ac:dyDescent="0.2">
      <c r="B656" s="86">
        <v>653</v>
      </c>
      <c r="C656" s="86" t="s">
        <v>1488</v>
      </c>
      <c r="D656" s="304">
        <f>_xlfn.IFNA(VLOOKUP(C656,Database!$D$5:$F$439,2,0),VLOOKUP(C656,logut!$C$4:$D$499,2,0))</f>
        <v>642001034</v>
      </c>
      <c r="E656" s="86" t="s">
        <v>5900</v>
      </c>
      <c r="G656" s="86" t="s">
        <v>6133</v>
      </c>
      <c r="H656" s="86" t="s">
        <v>5901</v>
      </c>
      <c r="I656" s="212">
        <v>45009</v>
      </c>
      <c r="J656" s="86" t="s">
        <v>6128</v>
      </c>
    </row>
    <row r="657" spans="2:10" x14ac:dyDescent="0.2">
      <c r="B657" s="86">
        <v>654</v>
      </c>
      <c r="C657" s="86" t="s">
        <v>3570</v>
      </c>
      <c r="D657" s="304">
        <f>_xlfn.IFNA(VLOOKUP(C657,Database!$D$5:$F$439,2,0),VLOOKUP(C657,logut!$C$4:$D$499,2,0))</f>
        <v>642301187</v>
      </c>
      <c r="E657" s="86" t="s">
        <v>5900</v>
      </c>
      <c r="G657" s="86" t="s">
        <v>6127</v>
      </c>
      <c r="H657" s="86" t="s">
        <v>5901</v>
      </c>
      <c r="I657" s="212">
        <v>45009</v>
      </c>
      <c r="J657" s="86" t="s">
        <v>6128</v>
      </c>
    </row>
    <row r="658" spans="2:10" x14ac:dyDescent="0.2">
      <c r="B658" s="86">
        <v>655</v>
      </c>
      <c r="C658" s="86" t="s">
        <v>1580</v>
      </c>
      <c r="D658" s="304">
        <f>_xlfn.IFNA(VLOOKUP(C658,Database!$D$5:$F$439,2,0),VLOOKUP(C658,logut!$C$4:$D$499,2,0))</f>
        <v>972400061</v>
      </c>
      <c r="E658" s="86" t="s">
        <v>140</v>
      </c>
      <c r="G658" s="86" t="s">
        <v>748</v>
      </c>
      <c r="H658" s="86" t="s">
        <v>25</v>
      </c>
      <c r="I658" s="212">
        <v>45016</v>
      </c>
      <c r="J658" s="86" t="s">
        <v>6141</v>
      </c>
    </row>
    <row r="659" spans="2:10" x14ac:dyDescent="0.2">
      <c r="B659" s="86">
        <v>656</v>
      </c>
      <c r="C659" s="86" t="s">
        <v>2594</v>
      </c>
      <c r="D659" s="304">
        <f>_xlfn.IFNA(VLOOKUP(C659,Database!$D$5:$F$439,2,0),VLOOKUP(C659,logut!$C$4:$D$499,2,0))</f>
        <v>642002083</v>
      </c>
      <c r="E659" s="86" t="s">
        <v>312</v>
      </c>
      <c r="G659" s="86" t="s">
        <v>748</v>
      </c>
      <c r="H659" s="86" t="s">
        <v>25</v>
      </c>
      <c r="I659" s="212">
        <v>45016</v>
      </c>
      <c r="J659" s="86" t="s">
        <v>6141</v>
      </c>
    </row>
    <row r="660" spans="2:10" x14ac:dyDescent="0.2">
      <c r="B660" s="86">
        <v>657</v>
      </c>
      <c r="C660" s="86" t="s">
        <v>5777</v>
      </c>
      <c r="D660" s="304">
        <f>_xlfn.IFNA(VLOOKUP(C660,Database!$D$5:$F$439,2,0),VLOOKUP(C660,logut!$C$4:$D$499,2,0))</f>
        <v>642002081</v>
      </c>
      <c r="E660" s="86" t="s">
        <v>312</v>
      </c>
      <c r="G660" s="86" t="s">
        <v>748</v>
      </c>
      <c r="H660" s="86" t="s">
        <v>25</v>
      </c>
      <c r="I660" s="212">
        <v>45016</v>
      </c>
      <c r="J660" s="86" t="s">
        <v>6141</v>
      </c>
    </row>
    <row r="661" spans="2:10" x14ac:dyDescent="0.2">
      <c r="B661" s="86">
        <v>658</v>
      </c>
      <c r="C661" s="86" t="s">
        <v>2348</v>
      </c>
      <c r="D661" s="304">
        <f>_xlfn.IFNA(VLOOKUP(C661,Database!$D$5:$F$439,2,0),VLOOKUP(C661,logut!$C$4:$D$499,2,0))</f>
        <v>641907247</v>
      </c>
      <c r="E661" s="86" t="s">
        <v>312</v>
      </c>
      <c r="G661" s="86" t="s">
        <v>748</v>
      </c>
      <c r="H661" s="86" t="s">
        <v>25</v>
      </c>
      <c r="I661" s="212">
        <v>45016</v>
      </c>
      <c r="J661" s="86" t="s">
        <v>6141</v>
      </c>
    </row>
    <row r="662" spans="2:10" x14ac:dyDescent="0.2">
      <c r="B662" s="86">
        <v>659</v>
      </c>
      <c r="C662" s="86" t="s">
        <v>3431</v>
      </c>
      <c r="D662" s="304">
        <f>_xlfn.IFNA(VLOOKUP(C662,Database!$D$5:$F$439,2,0),VLOOKUP(C662,logut!$C$4:$D$499,2,0))</f>
        <v>642201174</v>
      </c>
      <c r="E662" s="86" t="s">
        <v>312</v>
      </c>
      <c r="G662" s="86" t="s">
        <v>748</v>
      </c>
      <c r="H662" s="86" t="s">
        <v>25</v>
      </c>
      <c r="I662" s="212">
        <v>45016</v>
      </c>
      <c r="J662" s="86" t="s">
        <v>6141</v>
      </c>
    </row>
    <row r="663" spans="2:10" x14ac:dyDescent="0.2">
      <c r="B663" s="86">
        <v>660</v>
      </c>
      <c r="C663" s="86" t="s">
        <v>3504</v>
      </c>
      <c r="D663" s="304">
        <f>_xlfn.IFNA(VLOOKUP(C663,Database!$D$5:$F$439,2,0),VLOOKUP(C663,logut!$C$4:$D$499,2,0))</f>
        <v>642301186</v>
      </c>
      <c r="E663" s="86" t="s">
        <v>5900</v>
      </c>
      <c r="G663" s="86" t="s">
        <v>6138</v>
      </c>
      <c r="H663" s="86" t="s">
        <v>217</v>
      </c>
      <c r="I663" s="212">
        <v>45020</v>
      </c>
      <c r="J663" s="86" t="s">
        <v>6142</v>
      </c>
    </row>
    <row r="664" spans="2:10" x14ac:dyDescent="0.2">
      <c r="B664" s="86">
        <v>661</v>
      </c>
      <c r="C664" s="86" t="s">
        <v>2626</v>
      </c>
      <c r="D664" s="304">
        <f>_xlfn.IFNA(VLOOKUP(C664,Database!$D$5:$F$439,2,0),VLOOKUP(C664,logut!$C$4:$D$499,2,0))</f>
        <v>642003087</v>
      </c>
      <c r="E664" s="86" t="s">
        <v>5900</v>
      </c>
      <c r="G664" s="86" t="s">
        <v>6138</v>
      </c>
      <c r="H664" s="86" t="s">
        <v>217</v>
      </c>
      <c r="I664" s="212">
        <v>45020</v>
      </c>
      <c r="J664" s="86" t="s">
        <v>6142</v>
      </c>
    </row>
    <row r="665" spans="2:10" x14ac:dyDescent="0.2">
      <c r="B665" s="86">
        <v>662</v>
      </c>
      <c r="C665" s="86" t="s">
        <v>5764</v>
      </c>
      <c r="D665" s="304">
        <f>_xlfn.IFNA(VLOOKUP(C665,Database!$D$5:$F$439,2,0),VLOOKUP(C665,logut!$C$4:$D$499,2,0))</f>
        <v>999700007</v>
      </c>
      <c r="E665" s="86" t="s">
        <v>142</v>
      </c>
      <c r="G665" s="86" t="s">
        <v>6004</v>
      </c>
      <c r="H665" s="86" t="s">
        <v>5901</v>
      </c>
      <c r="I665" s="212">
        <v>45029</v>
      </c>
      <c r="J665" s="86" t="s">
        <v>6143</v>
      </c>
    </row>
    <row r="666" spans="2:10" x14ac:dyDescent="0.2">
      <c r="B666" s="86">
        <v>663</v>
      </c>
      <c r="C666" s="86" t="s">
        <v>2674</v>
      </c>
      <c r="D666" s="304">
        <f>_xlfn.IFNA(VLOOKUP(C666,Database!$D$5:$F$439,2,0),VLOOKUP(C666,logut!$C$4:$D$499,2,0))</f>
        <v>999500021</v>
      </c>
      <c r="E666" s="86" t="s">
        <v>142</v>
      </c>
      <c r="G666" s="86" t="s">
        <v>18</v>
      </c>
      <c r="H666" s="86" t="s">
        <v>5901</v>
      </c>
      <c r="I666" s="212">
        <v>45029</v>
      </c>
      <c r="J666" s="86" t="s">
        <v>6143</v>
      </c>
    </row>
    <row r="667" spans="2:10" x14ac:dyDescent="0.2">
      <c r="B667" s="86">
        <v>664</v>
      </c>
      <c r="C667" s="86" t="s">
        <v>2124</v>
      </c>
      <c r="D667" s="304">
        <f>_xlfn.IFNA(VLOOKUP(C667,Database!$D$5:$F$439,2,0),VLOOKUP(C667,logut!$C$4:$D$499,2,0))</f>
        <v>641810188</v>
      </c>
      <c r="E667" s="86" t="s">
        <v>312</v>
      </c>
      <c r="G667" s="86" t="s">
        <v>175</v>
      </c>
      <c r="H667" s="86" t="s">
        <v>24</v>
      </c>
      <c r="I667" s="212">
        <v>45065</v>
      </c>
      <c r="J667" s="86" t="s">
        <v>6144</v>
      </c>
    </row>
    <row r="668" spans="2:10" x14ac:dyDescent="0.2">
      <c r="B668" s="86">
        <v>665</v>
      </c>
      <c r="C668" s="86" t="s">
        <v>2376</v>
      </c>
      <c r="D668" s="304">
        <f>_xlfn.IFNA(VLOOKUP(C668,Database!$D$5:$F$439,2,0),VLOOKUP(C668,logut!$C$4:$D$499,2,0))</f>
        <v>641907272</v>
      </c>
      <c r="E668" s="86" t="s">
        <v>312</v>
      </c>
      <c r="G668" s="86" t="s">
        <v>175</v>
      </c>
      <c r="H668" s="86" t="s">
        <v>24</v>
      </c>
      <c r="I668" s="212">
        <v>45065</v>
      </c>
      <c r="J668" s="86" t="s">
        <v>6144</v>
      </c>
    </row>
    <row r="669" spans="2:10" x14ac:dyDescent="0.2">
      <c r="B669" s="86">
        <v>666</v>
      </c>
      <c r="C669" s="86" t="s">
        <v>2674</v>
      </c>
      <c r="D669" s="304">
        <f>_xlfn.IFNA(VLOOKUP(C669,Database!$D$5:$F$439,2,0),VLOOKUP(C669,logut!$C$4:$D$499,2,0))</f>
        <v>999500021</v>
      </c>
      <c r="E669" s="86" t="s">
        <v>142</v>
      </c>
      <c r="G669" s="86" t="s">
        <v>59</v>
      </c>
      <c r="H669" s="86" t="s">
        <v>5901</v>
      </c>
      <c r="I669" s="212">
        <v>45070</v>
      </c>
      <c r="J669" s="86" t="s">
        <v>6145</v>
      </c>
    </row>
    <row r="670" spans="2:10" x14ac:dyDescent="0.2">
      <c r="B670" s="86">
        <v>667</v>
      </c>
      <c r="C670" s="86" t="s">
        <v>2704</v>
      </c>
      <c r="D670" s="304">
        <f>_xlfn.IFNA(VLOOKUP(C670,Database!$D$5:$F$439,2,0),VLOOKUP(C670,logut!$C$4:$D$499,2,0))</f>
        <v>999800078</v>
      </c>
      <c r="E670" s="86" t="s">
        <v>142</v>
      </c>
      <c r="G670" s="86" t="s">
        <v>121</v>
      </c>
      <c r="H670" s="86" t="s">
        <v>5901</v>
      </c>
      <c r="I670" s="212">
        <v>45070</v>
      </c>
      <c r="J670" s="86" t="s">
        <v>6145</v>
      </c>
    </row>
    <row r="671" spans="2:10" x14ac:dyDescent="0.2">
      <c r="B671" s="86">
        <v>668</v>
      </c>
      <c r="C671" s="86" t="s">
        <v>5368</v>
      </c>
      <c r="D671" s="304">
        <f>_xlfn.IFNA(VLOOKUP(C671,Database!$D$5:$F$439,2,0),VLOOKUP(C671,logut!$C$4:$D$499,2,0))</f>
        <v>999400090</v>
      </c>
      <c r="E671" s="86" t="s">
        <v>142</v>
      </c>
      <c r="G671" s="86" t="s">
        <v>18</v>
      </c>
      <c r="H671" s="86" t="s">
        <v>5901</v>
      </c>
      <c r="I671" s="212">
        <v>45070</v>
      </c>
      <c r="J671" s="86" t="s">
        <v>6145</v>
      </c>
    </row>
    <row r="672" spans="2:10" x14ac:dyDescent="0.2">
      <c r="B672" s="86">
        <v>669</v>
      </c>
      <c r="C672" s="86" t="s">
        <v>3287</v>
      </c>
      <c r="D672" s="304">
        <f>_xlfn.IFNA(VLOOKUP(C672,Database!$D$5:$F$439,2,0),VLOOKUP(C672,logut!$C$4:$D$499,2,0))</f>
        <v>990900010</v>
      </c>
      <c r="E672" s="86" t="s">
        <v>137</v>
      </c>
      <c r="G672" s="86" t="s">
        <v>121</v>
      </c>
      <c r="H672" s="86" t="s">
        <v>5901</v>
      </c>
      <c r="I672" s="212">
        <v>45070</v>
      </c>
      <c r="J672" s="86" t="s">
        <v>6145</v>
      </c>
    </row>
    <row r="673" spans="2:10" x14ac:dyDescent="0.2">
      <c r="B673" s="86">
        <v>670</v>
      </c>
      <c r="C673" s="86" t="s">
        <v>5703</v>
      </c>
      <c r="D673" s="304">
        <f>_xlfn.IFNA(VLOOKUP(C673,Database!$D$5:$F$439,2,0),VLOOKUP(C673,logut!$C$4:$D$499,2,0))</f>
        <v>991800001</v>
      </c>
      <c r="E673" s="86" t="s">
        <v>137</v>
      </c>
      <c r="G673" s="86" t="s">
        <v>122</v>
      </c>
      <c r="H673" s="86" t="s">
        <v>5901</v>
      </c>
      <c r="I673" s="212">
        <v>45070</v>
      </c>
      <c r="J673" s="86" t="s">
        <v>6145</v>
      </c>
    </row>
    <row r="674" spans="2:10" x14ac:dyDescent="0.2">
      <c r="B674" s="86">
        <v>671</v>
      </c>
      <c r="C674" s="86" t="s">
        <v>1063</v>
      </c>
      <c r="D674" s="304">
        <f>_xlfn.IFNA(VLOOKUP(C674,Database!$D$5:$F$439,2,0),VLOOKUP(C674,logut!$C$4:$D$499,2,0))</f>
        <v>971800015</v>
      </c>
      <c r="E674" s="86" t="s">
        <v>5900</v>
      </c>
      <c r="G674" s="86" t="s">
        <v>1074</v>
      </c>
      <c r="H674" s="86" t="s">
        <v>5901</v>
      </c>
      <c r="I674" s="212">
        <v>45070</v>
      </c>
      <c r="J674" s="86" t="s">
        <v>6146</v>
      </c>
    </row>
    <row r="675" spans="2:10" x14ac:dyDescent="0.2">
      <c r="B675" s="86">
        <v>672</v>
      </c>
      <c r="C675" s="86" t="s">
        <v>842</v>
      </c>
      <c r="D675" s="304">
        <f>_xlfn.IFNA(VLOOKUP(C675,Database!$D$5:$F$439,2,0),VLOOKUP(C675,logut!$C$4:$D$499,2,0))</f>
        <v>971700011</v>
      </c>
      <c r="E675" s="86" t="s">
        <v>5900</v>
      </c>
      <c r="G675" s="86" t="s">
        <v>563</v>
      </c>
      <c r="H675" s="86" t="s">
        <v>5901</v>
      </c>
      <c r="I675" s="212">
        <v>45070</v>
      </c>
      <c r="J675" s="86" t="s">
        <v>6146</v>
      </c>
    </row>
    <row r="676" spans="2:10" x14ac:dyDescent="0.2">
      <c r="B676" s="86">
        <v>673</v>
      </c>
      <c r="C676" s="86" t="s">
        <v>5655</v>
      </c>
      <c r="D676" s="304">
        <f>_xlfn.IFNA(VLOOKUP(C676,Database!$D$5:$F$439,2,0),VLOOKUP(C676,logut!$C$4:$D$499,2,0))</f>
        <v>991900020</v>
      </c>
      <c r="E676" s="86" t="s">
        <v>5900</v>
      </c>
      <c r="G676" s="86" t="s">
        <v>6035</v>
      </c>
      <c r="H676" s="86" t="s">
        <v>5901</v>
      </c>
      <c r="I676" s="212">
        <v>45070</v>
      </c>
      <c r="J676" s="86" t="s">
        <v>6146</v>
      </c>
    </row>
    <row r="677" spans="2:10" x14ac:dyDescent="0.2">
      <c r="B677" s="86">
        <v>674</v>
      </c>
      <c r="C677" s="86" t="s">
        <v>1170</v>
      </c>
      <c r="D677" s="304">
        <f>_xlfn.IFNA(VLOOKUP(C677,Database!$D$5:$F$439,2,0),VLOOKUP(C677,logut!$C$4:$D$499,2,0))</f>
        <v>971900027</v>
      </c>
      <c r="E677" s="86" t="s">
        <v>5900</v>
      </c>
      <c r="G677" s="86" t="s">
        <v>122</v>
      </c>
      <c r="H677" s="86" t="s">
        <v>5901</v>
      </c>
      <c r="I677" s="212">
        <v>45077</v>
      </c>
      <c r="J677" s="86" t="s">
        <v>6147</v>
      </c>
    </row>
    <row r="678" spans="2:10" x14ac:dyDescent="0.2">
      <c r="B678" s="86">
        <v>675</v>
      </c>
      <c r="C678" s="86" t="s">
        <v>1502</v>
      </c>
      <c r="D678" s="304">
        <f>_xlfn.IFNA(VLOOKUP(C678,Database!$D$5:$F$439,2,0),VLOOKUP(C678,logut!$C$4:$D$499,2,0))</f>
        <v>972000055</v>
      </c>
      <c r="E678" s="86" t="s">
        <v>5900</v>
      </c>
      <c r="G678" s="86" t="s">
        <v>121</v>
      </c>
      <c r="H678" s="86" t="s">
        <v>5901</v>
      </c>
      <c r="I678" s="212">
        <v>45077</v>
      </c>
      <c r="J678" s="86" t="s">
        <v>6147</v>
      </c>
    </row>
    <row r="679" spans="2:10" x14ac:dyDescent="0.2">
      <c r="B679" s="86">
        <v>676</v>
      </c>
      <c r="C679" s="86" t="s">
        <v>2741</v>
      </c>
      <c r="D679" s="304">
        <f>_xlfn.IFNA(VLOOKUP(C679,Database!$D$5:$F$439,2,0),VLOOKUP(C679,logut!$C$4:$D$499,2,0))</f>
        <v>999800030</v>
      </c>
      <c r="E679" s="86" t="s">
        <v>5900</v>
      </c>
      <c r="G679" s="86" t="s">
        <v>49</v>
      </c>
      <c r="H679" s="86" t="s">
        <v>5901</v>
      </c>
      <c r="I679" s="212">
        <v>45077</v>
      </c>
      <c r="J679" s="86" t="s">
        <v>6147</v>
      </c>
    </row>
    <row r="680" spans="2:10" x14ac:dyDescent="0.2">
      <c r="B680" s="86">
        <v>677</v>
      </c>
      <c r="C680" s="86" t="s">
        <v>5638</v>
      </c>
      <c r="D680" s="304">
        <f>_xlfn.IFNA(VLOOKUP(C680,Database!$D$5:$F$439,2,0),VLOOKUP(C680,logut!$C$4:$D$499,2,0))</f>
        <v>642301120</v>
      </c>
      <c r="E680" s="86" t="s">
        <v>312</v>
      </c>
      <c r="G680" s="86" t="s">
        <v>444</v>
      </c>
      <c r="H680" s="86" t="s">
        <v>24</v>
      </c>
      <c r="I680" s="212">
        <v>45086</v>
      </c>
      <c r="J680" s="86" t="s">
        <v>6148</v>
      </c>
    </row>
    <row r="681" spans="2:10" x14ac:dyDescent="0.2">
      <c r="B681" s="86">
        <v>678</v>
      </c>
      <c r="C681" s="86" t="s">
        <v>2667</v>
      </c>
      <c r="D681" s="304">
        <f>_xlfn.IFNA(VLOOKUP(C681,Database!$D$5:$F$439,2,0),VLOOKUP(C681,logut!$C$4:$D$499,2,0))</f>
        <v>991100025</v>
      </c>
      <c r="E681" s="86" t="s">
        <v>142</v>
      </c>
      <c r="G681" s="86" t="s">
        <v>120</v>
      </c>
      <c r="H681" s="86" t="s">
        <v>5901</v>
      </c>
      <c r="I681" s="212">
        <v>45090</v>
      </c>
      <c r="J681" s="86" t="s">
        <v>6149</v>
      </c>
    </row>
    <row r="682" spans="2:10" x14ac:dyDescent="0.2">
      <c r="B682" s="86">
        <v>679</v>
      </c>
      <c r="C682" s="86" t="s">
        <v>2636</v>
      </c>
      <c r="D682" s="304">
        <f>_xlfn.IFNA(VLOOKUP(C682,Database!$D$5:$F$439,2,0),VLOOKUP(C682,logut!$C$4:$D$499,2,0))</f>
        <v>999800003</v>
      </c>
      <c r="E682" s="86" t="s">
        <v>137</v>
      </c>
      <c r="G682" s="86" t="s">
        <v>119</v>
      </c>
      <c r="H682" s="86" t="s">
        <v>5901</v>
      </c>
      <c r="I682" s="212">
        <v>45090</v>
      </c>
      <c r="J682" s="86" t="s">
        <v>6149</v>
      </c>
    </row>
    <row r="683" spans="2:10" x14ac:dyDescent="0.2">
      <c r="B683" s="86">
        <v>680</v>
      </c>
      <c r="C683" s="86" t="s">
        <v>3543</v>
      </c>
      <c r="D683" s="304">
        <f>_xlfn.IFNA(VLOOKUP(C683,Database!$D$5:$F$439,2,0),VLOOKUP(C683,logut!$C$4:$D$499,2,0))</f>
        <v>642301192</v>
      </c>
      <c r="E683" s="86" t="s">
        <v>312</v>
      </c>
      <c r="G683" s="86" t="s">
        <v>175</v>
      </c>
      <c r="H683" s="86" t="s">
        <v>24</v>
      </c>
      <c r="I683" s="212">
        <v>45110</v>
      </c>
      <c r="J683" s="86" t="s">
        <v>6150</v>
      </c>
    </row>
    <row r="684" spans="2:10" x14ac:dyDescent="0.2">
      <c r="B684" s="86">
        <v>681</v>
      </c>
      <c r="C684" s="86" t="s">
        <v>102</v>
      </c>
      <c r="D684" s="304">
        <f>_xlfn.IFNA(VLOOKUP(C684,Database!$D$5:$F$439,2,0),VLOOKUP(C684,logut!$C$4:$D$499,2,0))</f>
        <v>991500018</v>
      </c>
      <c r="E684" s="86" t="s">
        <v>5900</v>
      </c>
      <c r="G684" s="86" t="s">
        <v>6035</v>
      </c>
      <c r="H684" s="86" t="s">
        <v>5901</v>
      </c>
      <c r="I684" s="212">
        <v>45138</v>
      </c>
      <c r="J684" s="86" t="s">
        <v>6151</v>
      </c>
    </row>
    <row r="685" spans="2:10" x14ac:dyDescent="0.2">
      <c r="B685" s="86">
        <v>682</v>
      </c>
      <c r="C685" s="86" t="s">
        <v>2219</v>
      </c>
      <c r="D685" s="304">
        <f>_xlfn.IFNA(VLOOKUP(C685,Database!$D$5:$F$439,2,0),VLOOKUP(C685,logut!$C$4:$D$499,2,0))</f>
        <v>972000052</v>
      </c>
      <c r="E685" s="86" t="s">
        <v>5988</v>
      </c>
      <c r="G685" s="86" t="s">
        <v>5989</v>
      </c>
      <c r="H685" s="86" t="s">
        <v>5901</v>
      </c>
      <c r="I685" s="212">
        <v>45145</v>
      </c>
      <c r="J685" s="86" t="s">
        <v>6152</v>
      </c>
    </row>
    <row r="686" spans="2:10" x14ac:dyDescent="0.2">
      <c r="B686" s="86">
        <v>683</v>
      </c>
      <c r="C686" s="86" t="s">
        <v>5885</v>
      </c>
      <c r="D686" s="304">
        <f>_xlfn.IFNA(VLOOKUP(C686,Database!$D$5:$F$439,2,0),VLOOKUP(C686,logut!$C$4:$D$499,2,0))</f>
        <v>642301199</v>
      </c>
      <c r="E686" s="86" t="s">
        <v>6072</v>
      </c>
      <c r="G686" s="86" t="s">
        <v>5989</v>
      </c>
      <c r="H686" s="86" t="s">
        <v>5901</v>
      </c>
      <c r="I686" s="212">
        <v>45145</v>
      </c>
      <c r="J686" s="86" t="s">
        <v>6152</v>
      </c>
    </row>
    <row r="687" spans="2:10" x14ac:dyDescent="0.2">
      <c r="B687" s="86">
        <v>684</v>
      </c>
      <c r="C687" s="86" t="s">
        <v>380</v>
      </c>
      <c r="D687" s="304">
        <f>_xlfn.IFNA(VLOOKUP(C687,Database!$D$5:$F$439,2,0),VLOOKUP(C687,logut!$C$4:$D$499,2,0))</f>
        <v>971500002</v>
      </c>
      <c r="E687" s="86" t="s">
        <v>5991</v>
      </c>
      <c r="G687" s="86" t="s">
        <v>5989</v>
      </c>
      <c r="H687" s="86" t="s">
        <v>5901</v>
      </c>
      <c r="I687" s="212">
        <v>45145</v>
      </c>
      <c r="J687" s="86" t="s">
        <v>6152</v>
      </c>
    </row>
    <row r="688" spans="2:10" x14ac:dyDescent="0.2">
      <c r="B688" s="86">
        <v>685</v>
      </c>
      <c r="C688" s="86" t="s">
        <v>1351</v>
      </c>
      <c r="D688" s="304">
        <f>_xlfn.IFNA(VLOOKUP(C688,Database!$D$5:$F$439,2,0),VLOOKUP(C688,logut!$C$4:$D$499,2,0))</f>
        <v>971800020</v>
      </c>
      <c r="E688" s="86" t="s">
        <v>5991</v>
      </c>
      <c r="G688" s="86" t="s">
        <v>5989</v>
      </c>
      <c r="H688" s="86" t="s">
        <v>5901</v>
      </c>
      <c r="I688" s="212">
        <v>45145</v>
      </c>
      <c r="J688" s="86" t="s">
        <v>6152</v>
      </c>
    </row>
    <row r="689" spans="2:10" x14ac:dyDescent="0.2">
      <c r="B689" s="86">
        <v>686</v>
      </c>
      <c r="C689" s="86" t="s">
        <v>1941</v>
      </c>
      <c r="D689" s="304">
        <f>_xlfn.IFNA(VLOOKUP(C689,Database!$D$5:$F$439,2,0),VLOOKUP(C689,logut!$C$4:$D$499,2,0))</f>
        <v>971900045</v>
      </c>
      <c r="E689" s="86" t="s">
        <v>5991</v>
      </c>
      <c r="G689" s="86" t="s">
        <v>5989</v>
      </c>
      <c r="H689" s="86" t="s">
        <v>5901</v>
      </c>
      <c r="I689" s="212">
        <v>45145</v>
      </c>
      <c r="J689" s="86" t="s">
        <v>6152</v>
      </c>
    </row>
    <row r="690" spans="2:10" x14ac:dyDescent="0.2">
      <c r="B690" s="86">
        <v>687</v>
      </c>
      <c r="C690" s="86" t="s">
        <v>79</v>
      </c>
      <c r="D690" s="304">
        <f>_xlfn.IFNA(VLOOKUP(C690,Database!$D$5:$F$439,2,0),VLOOKUP(C690,logut!$C$4:$D$499,2,0))</f>
        <v>971900043</v>
      </c>
      <c r="E690" s="86" t="s">
        <v>5991</v>
      </c>
      <c r="G690" s="86" t="s">
        <v>5989</v>
      </c>
      <c r="H690" s="86" t="s">
        <v>5901</v>
      </c>
      <c r="I690" s="212">
        <v>45145</v>
      </c>
      <c r="J690" s="86" t="s">
        <v>6152</v>
      </c>
    </row>
    <row r="691" spans="2:10" x14ac:dyDescent="0.2">
      <c r="B691" s="86">
        <v>688</v>
      </c>
      <c r="C691" s="86" t="s">
        <v>1949</v>
      </c>
      <c r="D691" s="304">
        <f>_xlfn.IFNA(VLOOKUP(C691,Database!$D$5:$F$439,2,0),VLOOKUP(C691,logut!$C$4:$D$499,2,0))</f>
        <v>971900034</v>
      </c>
      <c r="E691" s="86" t="s">
        <v>5992</v>
      </c>
      <c r="G691" s="86" t="s">
        <v>5989</v>
      </c>
      <c r="H691" s="86" t="s">
        <v>5901</v>
      </c>
      <c r="I691" s="212">
        <v>45145</v>
      </c>
      <c r="J691" s="86" t="s">
        <v>6152</v>
      </c>
    </row>
    <row r="692" spans="2:10" x14ac:dyDescent="0.2">
      <c r="B692" s="86">
        <v>689</v>
      </c>
      <c r="C692" s="86" t="s">
        <v>1331</v>
      </c>
      <c r="D692" s="304">
        <f>_xlfn.IFNA(VLOOKUP(C692,Database!$D$5:$F$439,2,0),VLOOKUP(C692,logut!$C$4:$D$499,2,0))</f>
        <v>971800018</v>
      </c>
      <c r="E692" s="86" t="s">
        <v>5992</v>
      </c>
      <c r="G692" s="86" t="s">
        <v>5989</v>
      </c>
      <c r="H692" s="86" t="s">
        <v>5901</v>
      </c>
      <c r="I692" s="212">
        <v>45145</v>
      </c>
      <c r="J692" s="86" t="s">
        <v>6152</v>
      </c>
    </row>
    <row r="693" spans="2:10" x14ac:dyDescent="0.2">
      <c r="B693" s="86">
        <v>690</v>
      </c>
      <c r="C693" s="86" t="s">
        <v>1063</v>
      </c>
      <c r="D693" s="304">
        <f>_xlfn.IFNA(VLOOKUP(C693,Database!$D$5:$F$439,2,0),VLOOKUP(C693,logut!$C$4:$D$499,2,0))</f>
        <v>971800015</v>
      </c>
      <c r="E693" s="86" t="s">
        <v>5992</v>
      </c>
      <c r="G693" s="86" t="s">
        <v>5989</v>
      </c>
      <c r="H693" s="86" t="s">
        <v>5901</v>
      </c>
      <c r="I693" s="212">
        <v>45145</v>
      </c>
      <c r="J693" s="86" t="s">
        <v>6152</v>
      </c>
    </row>
    <row r="694" spans="2:10" x14ac:dyDescent="0.2">
      <c r="B694" s="86">
        <v>691</v>
      </c>
      <c r="C694" s="86" t="s">
        <v>1159</v>
      </c>
      <c r="D694" s="304">
        <f>_xlfn.IFNA(VLOOKUP(C694,Database!$D$5:$F$439,2,0),VLOOKUP(C694,logut!$C$4:$D$499,2,0))</f>
        <v>971800017</v>
      </c>
      <c r="E694" s="86" t="s">
        <v>5993</v>
      </c>
      <c r="G694" s="86" t="s">
        <v>5989</v>
      </c>
      <c r="H694" s="86" t="s">
        <v>5901</v>
      </c>
      <c r="I694" s="212">
        <v>45145</v>
      </c>
      <c r="J694" s="86" t="s">
        <v>6152</v>
      </c>
    </row>
    <row r="695" spans="2:10" x14ac:dyDescent="0.2">
      <c r="B695" s="86">
        <v>692</v>
      </c>
      <c r="C695" s="86" t="s">
        <v>1073</v>
      </c>
      <c r="D695" s="304">
        <f>_xlfn.IFNA(VLOOKUP(C695,Database!$D$5:$F$439,2,0),VLOOKUP(C695,logut!$C$4:$D$499,2,0))</f>
        <v>971800016</v>
      </c>
      <c r="E695" s="86" t="s">
        <v>5993</v>
      </c>
      <c r="G695" s="86" t="s">
        <v>5989</v>
      </c>
      <c r="H695" s="86" t="s">
        <v>5901</v>
      </c>
      <c r="I695" s="212">
        <v>45145</v>
      </c>
      <c r="J695" s="86" t="s">
        <v>6152</v>
      </c>
    </row>
    <row r="696" spans="2:10" x14ac:dyDescent="0.2">
      <c r="B696" s="86">
        <v>693</v>
      </c>
      <c r="C696" s="86" t="s">
        <v>1086</v>
      </c>
      <c r="D696" s="304">
        <f>_xlfn.IFNA(VLOOKUP(C696,Database!$D$5:$F$439,2,0),VLOOKUP(C696,logut!$C$4:$D$499,2,0))</f>
        <v>971800024</v>
      </c>
      <c r="E696" s="86" t="s">
        <v>6153</v>
      </c>
      <c r="G696" s="86" t="s">
        <v>5989</v>
      </c>
      <c r="H696" s="86" t="s">
        <v>5901</v>
      </c>
      <c r="I696" s="212">
        <v>45145</v>
      </c>
      <c r="J696" s="86" t="s">
        <v>6152</v>
      </c>
    </row>
    <row r="697" spans="2:10" x14ac:dyDescent="0.2">
      <c r="B697" s="86">
        <v>694</v>
      </c>
      <c r="C697" s="86" t="s">
        <v>561</v>
      </c>
      <c r="D697" s="304">
        <f>_xlfn.IFNA(VLOOKUP(C697,Database!$D$5:$F$439,2,0),VLOOKUP(C697,logut!$C$4:$D$499,2,0))</f>
        <v>971800023</v>
      </c>
      <c r="E697" s="86" t="s">
        <v>6153</v>
      </c>
      <c r="G697" s="86" t="s">
        <v>5989</v>
      </c>
      <c r="H697" s="86" t="s">
        <v>5901</v>
      </c>
      <c r="I697" s="212">
        <v>45145</v>
      </c>
      <c r="J697" s="86" t="s">
        <v>6152</v>
      </c>
    </row>
    <row r="698" spans="2:10" x14ac:dyDescent="0.2">
      <c r="B698" s="86">
        <v>695</v>
      </c>
      <c r="C698" s="86" t="s">
        <v>2826</v>
      </c>
      <c r="D698" s="304">
        <f>_xlfn.IFNA(VLOOKUP(C698,Database!$D$5:$F$439,2,0),VLOOKUP(C698,logut!$C$4:$D$499,2,0))</f>
        <v>642101093</v>
      </c>
      <c r="E698" s="86" t="s">
        <v>6153</v>
      </c>
      <c r="G698" s="86" t="s">
        <v>5989</v>
      </c>
      <c r="H698" s="86" t="s">
        <v>5901</v>
      </c>
      <c r="I698" s="212">
        <v>45145</v>
      </c>
      <c r="J698" s="86" t="s">
        <v>6152</v>
      </c>
    </row>
    <row r="699" spans="2:10" x14ac:dyDescent="0.2">
      <c r="B699" s="86">
        <v>696</v>
      </c>
      <c r="C699" s="86" t="s">
        <v>3015</v>
      </c>
      <c r="D699" s="304">
        <f>_xlfn.IFNA(VLOOKUP(C699,Database!$D$5:$F$439,2,0),VLOOKUP(C699,logut!$C$4:$D$499,2,0))</f>
        <v>642201128</v>
      </c>
      <c r="E699" s="86" t="s">
        <v>6153</v>
      </c>
      <c r="G699" s="86" t="s">
        <v>5989</v>
      </c>
      <c r="H699" s="86" t="s">
        <v>5901</v>
      </c>
      <c r="I699" s="212">
        <v>45145</v>
      </c>
      <c r="J699" s="86" t="s">
        <v>6152</v>
      </c>
    </row>
    <row r="700" spans="2:10" x14ac:dyDescent="0.2">
      <c r="B700" s="86">
        <v>697</v>
      </c>
      <c r="C700" s="86" t="s">
        <v>82</v>
      </c>
      <c r="D700" s="304">
        <f>_xlfn.IFNA(VLOOKUP(C700,Database!$D$5:$F$439,2,0),VLOOKUP(C700,logut!$C$4:$D$499,2,0))</f>
        <v>971900036</v>
      </c>
      <c r="E700" s="86" t="s">
        <v>5994</v>
      </c>
      <c r="G700" s="86" t="s">
        <v>5989</v>
      </c>
      <c r="H700" s="86" t="s">
        <v>5901</v>
      </c>
      <c r="I700" s="212">
        <v>45145</v>
      </c>
      <c r="J700" s="86" t="s">
        <v>6152</v>
      </c>
    </row>
    <row r="701" spans="2:10" x14ac:dyDescent="0.2">
      <c r="B701" s="86">
        <v>698</v>
      </c>
      <c r="C701" s="86" t="s">
        <v>2660</v>
      </c>
      <c r="D701" s="304">
        <f>_xlfn.IFNA(VLOOKUP(C701,Database!$D$5:$F$439,2,0),VLOOKUP(C701,logut!$C$4:$D$499,2,0))</f>
        <v>999200045</v>
      </c>
      <c r="E701" s="86" t="s">
        <v>5994</v>
      </c>
      <c r="G701" s="86" t="s">
        <v>5989</v>
      </c>
      <c r="H701" s="86" t="s">
        <v>5901</v>
      </c>
      <c r="I701" s="212">
        <v>45145</v>
      </c>
      <c r="J701" s="86" t="s">
        <v>6152</v>
      </c>
    </row>
    <row r="702" spans="2:10" x14ac:dyDescent="0.2">
      <c r="B702" s="86">
        <v>699</v>
      </c>
      <c r="C702" s="86" t="s">
        <v>1149</v>
      </c>
      <c r="D702" s="304">
        <f>_xlfn.IFNA(VLOOKUP(C702,Database!$D$5:$F$439,2,0),VLOOKUP(C702,logut!$C$4:$D$499,2,0))</f>
        <v>971800019</v>
      </c>
      <c r="E702" s="86" t="s">
        <v>5994</v>
      </c>
      <c r="G702" s="86" t="s">
        <v>5989</v>
      </c>
      <c r="H702" s="86" t="s">
        <v>5901</v>
      </c>
      <c r="I702" s="212">
        <v>45145</v>
      </c>
      <c r="J702" s="86" t="s">
        <v>6152</v>
      </c>
    </row>
    <row r="703" spans="2:10" x14ac:dyDescent="0.2">
      <c r="B703" s="86">
        <v>700</v>
      </c>
      <c r="C703" s="86" t="s">
        <v>1475</v>
      </c>
      <c r="D703" s="304">
        <f>_xlfn.IFNA(VLOOKUP(C703,Database!$D$5:$F$439,2,0),VLOOKUP(C703,logut!$C$4:$D$499,2,0))</f>
        <v>972000053</v>
      </c>
      <c r="E703" s="86" t="s">
        <v>5994</v>
      </c>
      <c r="G703" s="86" t="s">
        <v>5989</v>
      </c>
      <c r="H703" s="86" t="s">
        <v>5901</v>
      </c>
      <c r="I703" s="212">
        <v>45145</v>
      </c>
      <c r="J703" s="86" t="s">
        <v>6152</v>
      </c>
    </row>
    <row r="704" spans="2:10" x14ac:dyDescent="0.2">
      <c r="B704" s="86">
        <v>701</v>
      </c>
      <c r="C704" s="86" t="s">
        <v>3466</v>
      </c>
      <c r="D704" s="304">
        <f>_xlfn.IFNA(VLOOKUP(C704,Database!$D$5:$F$439,2,0),VLOOKUP(C704,logut!$C$4:$D$499,2,0))</f>
        <v>642301178</v>
      </c>
      <c r="E704" s="86" t="s">
        <v>5994</v>
      </c>
      <c r="G704" s="86" t="s">
        <v>5989</v>
      </c>
      <c r="H704" s="86" t="s">
        <v>5901</v>
      </c>
      <c r="I704" s="212">
        <v>45145</v>
      </c>
      <c r="J704" s="86" t="s">
        <v>6152</v>
      </c>
    </row>
    <row r="705" spans="2:10" x14ac:dyDescent="0.2">
      <c r="B705" s="86">
        <v>702</v>
      </c>
      <c r="C705" s="86" t="s">
        <v>1903</v>
      </c>
      <c r="D705" s="304">
        <f>_xlfn.IFNA(VLOOKUP(C705,Database!$D$5:$F$439,2,0),VLOOKUP(C705,logut!$C$4:$D$499,2,0))</f>
        <v>971900039</v>
      </c>
      <c r="E705" s="86" t="s">
        <v>5995</v>
      </c>
      <c r="G705" s="86" t="s">
        <v>5989</v>
      </c>
      <c r="H705" s="86" t="s">
        <v>5901</v>
      </c>
      <c r="I705" s="212">
        <v>45145</v>
      </c>
      <c r="J705" s="86" t="s">
        <v>6152</v>
      </c>
    </row>
    <row r="706" spans="2:10" x14ac:dyDescent="0.2">
      <c r="B706" s="86">
        <v>703</v>
      </c>
      <c r="C706" s="86" t="s">
        <v>95</v>
      </c>
      <c r="D706" s="304">
        <f>_xlfn.IFNA(VLOOKUP(C706,Database!$D$5:$F$439,2,0),VLOOKUP(C706,logut!$C$4:$D$499,2,0))</f>
        <v>642201127</v>
      </c>
      <c r="E706" s="86" t="s">
        <v>5995</v>
      </c>
      <c r="G706" s="86" t="s">
        <v>5989</v>
      </c>
      <c r="H706" s="86" t="s">
        <v>5901</v>
      </c>
      <c r="I706" s="212">
        <v>45145</v>
      </c>
      <c r="J706" s="86" t="s">
        <v>6152</v>
      </c>
    </row>
    <row r="707" spans="2:10" x14ac:dyDescent="0.2">
      <c r="B707" s="86">
        <v>704</v>
      </c>
      <c r="C707" s="86" t="s">
        <v>431</v>
      </c>
      <c r="D707" s="304">
        <f>_xlfn.IFNA(VLOOKUP(C707,Database!$D$5:$F$439,2,0),VLOOKUP(C707,logut!$C$4:$D$499,2,0))</f>
        <v>971600004</v>
      </c>
      <c r="E707" s="86" t="s">
        <v>5996</v>
      </c>
      <c r="G707" s="86" t="s">
        <v>5989</v>
      </c>
      <c r="H707" s="86" t="s">
        <v>5901</v>
      </c>
      <c r="I707" s="212">
        <v>45145</v>
      </c>
      <c r="J707" s="86" t="s">
        <v>6152</v>
      </c>
    </row>
    <row r="708" spans="2:10" x14ac:dyDescent="0.2">
      <c r="B708" s="86">
        <v>705</v>
      </c>
      <c r="C708" s="86" t="s">
        <v>3007</v>
      </c>
      <c r="D708" s="304">
        <f>_xlfn.IFNA(VLOOKUP(C708,Database!$D$5:$F$439,2,0),VLOOKUP(C708,logut!$C$4:$D$499,2,0))</f>
        <v>642201129</v>
      </c>
      <c r="E708" s="86" t="s">
        <v>5996</v>
      </c>
      <c r="G708" s="86" t="s">
        <v>5989</v>
      </c>
      <c r="H708" s="86" t="s">
        <v>5901</v>
      </c>
      <c r="I708" s="212">
        <v>45145</v>
      </c>
      <c r="J708" s="86" t="s">
        <v>6152</v>
      </c>
    </row>
    <row r="709" spans="2:10" x14ac:dyDescent="0.2">
      <c r="B709" s="86">
        <v>706</v>
      </c>
      <c r="C709" s="86" t="s">
        <v>82</v>
      </c>
      <c r="D709" s="304">
        <f>_xlfn.IFNA(VLOOKUP(C709,Database!$D$5:$F$439,2,0),VLOOKUP(C709,logut!$C$4:$D$499,2,0))</f>
        <v>971900036</v>
      </c>
      <c r="E709" s="86" t="s">
        <v>6075</v>
      </c>
      <c r="G709" s="86" t="s">
        <v>6154</v>
      </c>
      <c r="H709" s="86" t="s">
        <v>5901</v>
      </c>
      <c r="I709" s="212">
        <v>45149</v>
      </c>
      <c r="J709" s="86" t="s">
        <v>6155</v>
      </c>
    </row>
    <row r="710" spans="2:10" x14ac:dyDescent="0.2">
      <c r="B710" s="86">
        <v>707</v>
      </c>
      <c r="C710" s="86" t="s">
        <v>1941</v>
      </c>
      <c r="D710" s="304">
        <f>_xlfn.IFNA(VLOOKUP(C710,Database!$D$5:$F$439,2,0),VLOOKUP(C710,logut!$C$4:$D$499,2,0))</f>
        <v>971900045</v>
      </c>
      <c r="E710" s="86" t="s">
        <v>6075</v>
      </c>
      <c r="G710" s="86" t="s">
        <v>6154</v>
      </c>
      <c r="H710" s="86" t="s">
        <v>5901</v>
      </c>
      <c r="I710" s="212">
        <v>45149</v>
      </c>
      <c r="J710" s="86" t="s">
        <v>6155</v>
      </c>
    </row>
    <row r="711" spans="2:10" x14ac:dyDescent="0.2">
      <c r="B711" s="86">
        <v>708</v>
      </c>
      <c r="C711" s="86" t="s">
        <v>1475</v>
      </c>
      <c r="D711" s="304">
        <f>_xlfn.IFNA(VLOOKUP(C711,Database!$D$5:$F$439,2,0),VLOOKUP(C711,logut!$C$4:$D$499,2,0))</f>
        <v>972000053</v>
      </c>
      <c r="E711" s="86" t="s">
        <v>6075</v>
      </c>
      <c r="G711" s="86" t="s">
        <v>6154</v>
      </c>
      <c r="H711" s="86" t="s">
        <v>5901</v>
      </c>
      <c r="I711" s="212">
        <v>45149</v>
      </c>
      <c r="J711" s="86" t="s">
        <v>6155</v>
      </c>
    </row>
    <row r="712" spans="2:10" x14ac:dyDescent="0.2">
      <c r="B712" s="86">
        <v>709</v>
      </c>
      <c r="C712" s="86" t="s">
        <v>1170</v>
      </c>
      <c r="D712" s="304">
        <f>_xlfn.IFNA(VLOOKUP(C712,Database!$D$5:$F$439,2,0),VLOOKUP(C712,logut!$C$4:$D$499,2,0))</f>
        <v>971900027</v>
      </c>
      <c r="E712" s="86" t="s">
        <v>6075</v>
      </c>
      <c r="G712" s="86" t="s">
        <v>6154</v>
      </c>
      <c r="H712" s="86" t="s">
        <v>5901</v>
      </c>
      <c r="I712" s="212">
        <v>45149</v>
      </c>
      <c r="J712" s="86" t="s">
        <v>6155</v>
      </c>
    </row>
    <row r="713" spans="2:10" x14ac:dyDescent="0.2">
      <c r="B713" s="86">
        <v>710</v>
      </c>
      <c r="C713" s="86" t="s">
        <v>561</v>
      </c>
      <c r="D713" s="304">
        <f>_xlfn.IFNA(VLOOKUP(C713,Database!$D$5:$F$439,2,0),VLOOKUP(C713,logut!$C$4:$D$499,2,0))</f>
        <v>971800023</v>
      </c>
      <c r="E713" s="86" t="s">
        <v>6075</v>
      </c>
      <c r="G713" s="86" t="s">
        <v>6154</v>
      </c>
      <c r="H713" s="86" t="s">
        <v>5901</v>
      </c>
      <c r="I713" s="212">
        <v>45149</v>
      </c>
      <c r="J713" s="86" t="s">
        <v>6155</v>
      </c>
    </row>
    <row r="714" spans="2:10" x14ac:dyDescent="0.2">
      <c r="B714" s="86">
        <v>711</v>
      </c>
      <c r="C714" s="86" t="s">
        <v>1351</v>
      </c>
      <c r="D714" s="304">
        <f>_xlfn.IFNA(VLOOKUP(C714,Database!$D$5:$F$439,2,0),VLOOKUP(C714,logut!$C$4:$D$499,2,0))</f>
        <v>971800020</v>
      </c>
      <c r="E714" s="86" t="s">
        <v>6075</v>
      </c>
      <c r="G714" s="86" t="s">
        <v>6154</v>
      </c>
      <c r="H714" s="86" t="s">
        <v>5901</v>
      </c>
      <c r="I714" s="212">
        <v>45149</v>
      </c>
      <c r="J714" s="86" t="s">
        <v>6155</v>
      </c>
    </row>
    <row r="715" spans="2:10" x14ac:dyDescent="0.2">
      <c r="B715" s="86">
        <v>712</v>
      </c>
      <c r="C715" s="86" t="s">
        <v>1331</v>
      </c>
      <c r="D715" s="304">
        <f>_xlfn.IFNA(VLOOKUP(C715,Database!$D$5:$F$439,2,0),VLOOKUP(C715,logut!$C$4:$D$499,2,0))</f>
        <v>971800018</v>
      </c>
      <c r="E715" s="86" t="s">
        <v>6075</v>
      </c>
      <c r="G715" s="86" t="s">
        <v>6154</v>
      </c>
      <c r="H715" s="86" t="s">
        <v>5901</v>
      </c>
      <c r="I715" s="212">
        <v>45149</v>
      </c>
      <c r="J715" s="86" t="s">
        <v>6155</v>
      </c>
    </row>
    <row r="716" spans="2:10" x14ac:dyDescent="0.2">
      <c r="B716" s="86">
        <v>713</v>
      </c>
      <c r="C716" s="86" t="s">
        <v>1502</v>
      </c>
      <c r="D716" s="304">
        <f>_xlfn.IFNA(VLOOKUP(C716,Database!$D$5:$F$439,2,0),VLOOKUP(C716,logut!$C$4:$D$499,2,0))</f>
        <v>972000055</v>
      </c>
      <c r="E716" s="86" t="s">
        <v>6088</v>
      </c>
      <c r="G716" s="86" t="s">
        <v>6154</v>
      </c>
      <c r="H716" s="86" t="s">
        <v>5901</v>
      </c>
      <c r="I716" s="212">
        <v>45149</v>
      </c>
      <c r="J716" s="86" t="s">
        <v>6155</v>
      </c>
    </row>
    <row r="717" spans="2:10" x14ac:dyDescent="0.2">
      <c r="B717" s="86">
        <v>714</v>
      </c>
      <c r="C717" s="86" t="s">
        <v>1073</v>
      </c>
      <c r="D717" s="304">
        <f>_xlfn.IFNA(VLOOKUP(C717,Database!$D$5:$F$439,2,0),VLOOKUP(C717,logut!$C$4:$D$499,2,0))</f>
        <v>971800016</v>
      </c>
      <c r="E717" s="86" t="s">
        <v>6075</v>
      </c>
      <c r="G717" s="86" t="s">
        <v>6154</v>
      </c>
      <c r="H717" s="86" t="s">
        <v>5901</v>
      </c>
      <c r="I717" s="212">
        <v>45149</v>
      </c>
      <c r="J717" s="86" t="s">
        <v>6155</v>
      </c>
    </row>
    <row r="718" spans="2:10" x14ac:dyDescent="0.2">
      <c r="B718" s="86">
        <v>715</v>
      </c>
      <c r="C718" s="86" t="s">
        <v>1322</v>
      </c>
      <c r="D718" s="304">
        <f>_xlfn.IFNA(VLOOKUP(C718,Database!$D$5:$F$439,2,0),VLOOKUP(C718,logut!$C$4:$D$499,2,0))</f>
        <v>972000051</v>
      </c>
      <c r="E718" s="86" t="s">
        <v>6075</v>
      </c>
      <c r="G718" s="86" t="s">
        <v>6154</v>
      </c>
      <c r="H718" s="86" t="s">
        <v>5901</v>
      </c>
      <c r="I718" s="212">
        <v>45149</v>
      </c>
      <c r="J718" s="86" t="s">
        <v>6155</v>
      </c>
    </row>
    <row r="719" spans="2:10" x14ac:dyDescent="0.2">
      <c r="B719" s="86">
        <v>716</v>
      </c>
      <c r="C719" s="86" t="s">
        <v>1932</v>
      </c>
      <c r="D719" s="304">
        <f>_xlfn.IFNA(VLOOKUP(C719,Database!$D$5:$F$439,2,0),VLOOKUP(C719,logut!$C$4:$D$499,2,0))</f>
        <v>971900035</v>
      </c>
      <c r="E719" s="86" t="s">
        <v>6075</v>
      </c>
      <c r="G719" s="86" t="s">
        <v>6154</v>
      </c>
      <c r="H719" s="86" t="s">
        <v>5901</v>
      </c>
      <c r="I719" s="212">
        <v>45149</v>
      </c>
      <c r="J719" s="86" t="s">
        <v>6155</v>
      </c>
    </row>
    <row r="720" spans="2:10" x14ac:dyDescent="0.2">
      <c r="B720" s="86">
        <v>717</v>
      </c>
      <c r="C720" s="86" t="s">
        <v>1159</v>
      </c>
      <c r="D720" s="304">
        <f>_xlfn.IFNA(VLOOKUP(C720,Database!$D$5:$F$439,2,0),VLOOKUP(C720,logut!$C$4:$D$499,2,0))</f>
        <v>971800017</v>
      </c>
      <c r="E720" s="86" t="s">
        <v>6075</v>
      </c>
      <c r="G720" s="86" t="s">
        <v>6154</v>
      </c>
      <c r="H720" s="86" t="s">
        <v>5901</v>
      </c>
      <c r="I720" s="212">
        <v>45149</v>
      </c>
      <c r="J720" s="86" t="s">
        <v>6155</v>
      </c>
    </row>
    <row r="721" spans="2:10" x14ac:dyDescent="0.2">
      <c r="B721" s="86">
        <v>718</v>
      </c>
      <c r="C721" s="86" t="s">
        <v>1914</v>
      </c>
      <c r="D721" s="304">
        <f>_xlfn.IFNA(VLOOKUP(C721,Database!$D$5:$F$439,2,0),VLOOKUP(C721,logut!$C$4:$D$499,2,0))</f>
        <v>971900037</v>
      </c>
      <c r="E721" s="86" t="s">
        <v>6075</v>
      </c>
      <c r="G721" s="86" t="s">
        <v>6154</v>
      </c>
      <c r="H721" s="86" t="s">
        <v>5901</v>
      </c>
      <c r="I721" s="212">
        <v>45149</v>
      </c>
      <c r="J721" s="86" t="s">
        <v>6155</v>
      </c>
    </row>
    <row r="722" spans="2:10" x14ac:dyDescent="0.2">
      <c r="B722" s="86">
        <v>719</v>
      </c>
      <c r="C722" s="86" t="s">
        <v>391</v>
      </c>
      <c r="D722" s="304">
        <f>_xlfn.IFNA(VLOOKUP(C722,Database!$D$5:$F$439,2,0),VLOOKUP(C722,logut!$C$4:$D$499,2,0))</f>
        <v>971500003</v>
      </c>
      <c r="E722" s="86" t="s">
        <v>6075</v>
      </c>
      <c r="G722" s="86" t="s">
        <v>6154</v>
      </c>
      <c r="H722" s="86" t="s">
        <v>5901</v>
      </c>
      <c r="I722" s="212">
        <v>45149</v>
      </c>
      <c r="J722" s="86" t="s">
        <v>6155</v>
      </c>
    </row>
    <row r="723" spans="2:10" x14ac:dyDescent="0.2">
      <c r="B723" s="86">
        <v>720</v>
      </c>
      <c r="C723" s="86" t="s">
        <v>5655</v>
      </c>
      <c r="D723" s="304">
        <f>_xlfn.IFNA(VLOOKUP(C723,Database!$D$5:$F$439,2,0),VLOOKUP(C723,logut!$C$4:$D$499,2,0))</f>
        <v>991900020</v>
      </c>
      <c r="E723" s="86" t="s">
        <v>6075</v>
      </c>
      <c r="G723" s="86" t="s">
        <v>6154</v>
      </c>
      <c r="H723" s="86" t="s">
        <v>5901</v>
      </c>
      <c r="I723" s="212">
        <v>45149</v>
      </c>
      <c r="J723" s="86" t="s">
        <v>6155</v>
      </c>
    </row>
    <row r="724" spans="2:10" x14ac:dyDescent="0.2">
      <c r="B724" s="86">
        <v>721</v>
      </c>
      <c r="C724" s="86" t="s">
        <v>2522</v>
      </c>
      <c r="D724" s="304">
        <f>_xlfn.IFNA(VLOOKUP(C724,Database!$D$5:$F$439,2,0),VLOOKUP(C724,logut!$C$4:$D$499,2,0))</f>
        <v>972000057</v>
      </c>
      <c r="E724" s="86" t="s">
        <v>6075</v>
      </c>
      <c r="G724" s="86" t="s">
        <v>6154</v>
      </c>
      <c r="H724" s="86" t="s">
        <v>5901</v>
      </c>
      <c r="I724" s="212">
        <v>45149</v>
      </c>
      <c r="J724" s="86" t="s">
        <v>6155</v>
      </c>
    </row>
    <row r="725" spans="2:10" x14ac:dyDescent="0.2">
      <c r="B725" s="86">
        <v>722</v>
      </c>
      <c r="C725" s="86" t="s">
        <v>98</v>
      </c>
      <c r="D725" s="304">
        <f>_xlfn.IFNA(VLOOKUP(C725,Database!$D$5:$F$439,2,0),VLOOKUP(C725,logut!$C$4:$D$499,2,0))</f>
        <v>642301191</v>
      </c>
      <c r="E725" s="86" t="s">
        <v>6075</v>
      </c>
      <c r="G725" s="86" t="s">
        <v>6156</v>
      </c>
      <c r="H725" s="86" t="s">
        <v>5901</v>
      </c>
      <c r="I725" s="212">
        <v>45161</v>
      </c>
      <c r="J725" s="86" t="s">
        <v>6157</v>
      </c>
    </row>
    <row r="726" spans="2:10" x14ac:dyDescent="0.2">
      <c r="B726" s="86">
        <v>723</v>
      </c>
      <c r="C726" s="86" t="s">
        <v>3576</v>
      </c>
      <c r="D726" s="304">
        <f>_xlfn.IFNA(VLOOKUP(C726,Database!$D$5:$F$439,2,0),VLOOKUP(C726,logut!$C$4:$D$499,2,0))</f>
        <v>642301196</v>
      </c>
      <c r="E726" s="86" t="s">
        <v>6075</v>
      </c>
      <c r="G726" s="86" t="s">
        <v>6158</v>
      </c>
      <c r="H726" s="86" t="s">
        <v>5901</v>
      </c>
      <c r="I726" s="212">
        <v>45161</v>
      </c>
      <c r="J726" s="86" t="s">
        <v>6157</v>
      </c>
    </row>
    <row r="727" spans="2:10" x14ac:dyDescent="0.2">
      <c r="B727" s="86">
        <v>724</v>
      </c>
      <c r="C727" s="86" t="s">
        <v>2826</v>
      </c>
      <c r="D727" s="304">
        <f>_xlfn.IFNA(VLOOKUP(C727,Database!$D$5:$F$439,2,0),VLOOKUP(C727,logut!$C$4:$D$499,2,0))</f>
        <v>642101093</v>
      </c>
      <c r="E727" s="86" t="s">
        <v>6075</v>
      </c>
      <c r="G727" s="86" t="s">
        <v>6159</v>
      </c>
      <c r="H727" s="86" t="s">
        <v>5901</v>
      </c>
      <c r="I727" s="212">
        <v>45161</v>
      </c>
      <c r="J727" s="86" t="s">
        <v>6157</v>
      </c>
    </row>
    <row r="728" spans="2:10" x14ac:dyDescent="0.2">
      <c r="B728" s="86">
        <v>725</v>
      </c>
      <c r="C728" s="86" t="s">
        <v>1475</v>
      </c>
      <c r="D728" s="304">
        <f>_xlfn.IFNA(VLOOKUP(C728,Database!$D$5:$F$439,2,0),VLOOKUP(C728,logut!$C$4:$D$499,2,0))</f>
        <v>972000053</v>
      </c>
      <c r="E728" s="86" t="s">
        <v>6075</v>
      </c>
      <c r="G728" s="86" t="s">
        <v>6160</v>
      </c>
      <c r="H728" s="86" t="s">
        <v>5901</v>
      </c>
      <c r="I728" s="212">
        <v>45161</v>
      </c>
      <c r="J728" s="86" t="s">
        <v>6157</v>
      </c>
    </row>
    <row r="729" spans="2:10" x14ac:dyDescent="0.2">
      <c r="B729" s="86">
        <v>726</v>
      </c>
      <c r="C729" s="86" t="s">
        <v>95</v>
      </c>
      <c r="D729" s="304">
        <f>_xlfn.IFNA(VLOOKUP(C729,Database!$D$5:$F$439,2,0),VLOOKUP(C729,logut!$C$4:$D$499,2,0))</f>
        <v>642201127</v>
      </c>
      <c r="E729" s="86" t="s">
        <v>6075</v>
      </c>
      <c r="G729" s="86" t="s">
        <v>6161</v>
      </c>
      <c r="H729" s="86" t="s">
        <v>5901</v>
      </c>
      <c r="I729" s="212">
        <v>45161</v>
      </c>
      <c r="J729" s="86" t="s">
        <v>6157</v>
      </c>
    </row>
    <row r="730" spans="2:10" x14ac:dyDescent="0.2">
      <c r="B730" s="86">
        <v>727</v>
      </c>
      <c r="C730" s="86" t="s">
        <v>3007</v>
      </c>
      <c r="D730" s="304">
        <f>_xlfn.IFNA(VLOOKUP(C730,Database!$D$5:$F$439,2,0),VLOOKUP(C730,logut!$C$4:$D$499,2,0))</f>
        <v>642201129</v>
      </c>
      <c r="E730" s="86" t="s">
        <v>6075</v>
      </c>
      <c r="G730" s="86" t="s">
        <v>6162</v>
      </c>
      <c r="H730" s="86" t="s">
        <v>5901</v>
      </c>
      <c r="I730" s="212">
        <v>45161</v>
      </c>
      <c r="J730" s="86" t="s">
        <v>6157</v>
      </c>
    </row>
    <row r="731" spans="2:10" x14ac:dyDescent="0.2">
      <c r="B731" s="86">
        <v>728</v>
      </c>
      <c r="C731" s="86" t="s">
        <v>1149</v>
      </c>
      <c r="D731" s="304">
        <f>_xlfn.IFNA(VLOOKUP(C731,Database!$D$5:$F$439,2,0),VLOOKUP(C731,logut!$C$4:$D$499,2,0))</f>
        <v>971800019</v>
      </c>
      <c r="E731" s="86" t="s">
        <v>6088</v>
      </c>
      <c r="G731" s="86" t="s">
        <v>6163</v>
      </c>
      <c r="H731" s="86" t="s">
        <v>5901</v>
      </c>
      <c r="I731" s="212">
        <v>45161</v>
      </c>
      <c r="J731" s="86" t="s">
        <v>6157</v>
      </c>
    </row>
    <row r="732" spans="2:10" x14ac:dyDescent="0.2">
      <c r="B732" s="86">
        <v>729</v>
      </c>
      <c r="C732" s="86" t="s">
        <v>3015</v>
      </c>
      <c r="D732" s="304">
        <f>_xlfn.IFNA(VLOOKUP(C732,Database!$D$5:$F$439,2,0),VLOOKUP(C732,logut!$C$4:$D$499,2,0))</f>
        <v>642201128</v>
      </c>
      <c r="E732" s="86" t="s">
        <v>6075</v>
      </c>
      <c r="G732" s="86" t="s">
        <v>6164</v>
      </c>
      <c r="H732" s="86" t="s">
        <v>5901</v>
      </c>
      <c r="I732" s="212">
        <v>45161</v>
      </c>
      <c r="J732" s="86" t="s">
        <v>6157</v>
      </c>
    </row>
    <row r="733" spans="2:10" x14ac:dyDescent="0.2">
      <c r="B733" s="86">
        <v>730</v>
      </c>
      <c r="C733" s="86" t="s">
        <v>1502</v>
      </c>
      <c r="D733" s="304">
        <f>_xlfn.IFNA(VLOOKUP(C733,Database!$D$5:$F$439,2,0),VLOOKUP(C733,logut!$C$4:$D$499,2,0))</f>
        <v>972000055</v>
      </c>
      <c r="E733" s="86" t="s">
        <v>6075</v>
      </c>
      <c r="G733" s="86" t="s">
        <v>6165</v>
      </c>
      <c r="H733" s="86" t="s">
        <v>5901</v>
      </c>
      <c r="I733" s="212">
        <v>45161</v>
      </c>
      <c r="J733" s="86" t="s">
        <v>6157</v>
      </c>
    </row>
    <row r="734" spans="2:10" x14ac:dyDescent="0.2">
      <c r="B734" s="86">
        <v>731</v>
      </c>
      <c r="C734" s="86" t="s">
        <v>3021</v>
      </c>
      <c r="D734" s="304">
        <f>_xlfn.IFNA(VLOOKUP(C734,Database!$D$5:$F$439,2,0),VLOOKUP(C734,logut!$C$4:$D$499,2,0))</f>
        <v>642201126</v>
      </c>
      <c r="E734" s="86" t="s">
        <v>6075</v>
      </c>
      <c r="G734" s="86" t="s">
        <v>6166</v>
      </c>
      <c r="H734" s="86" t="s">
        <v>5901</v>
      </c>
      <c r="I734" s="212">
        <v>45161</v>
      </c>
      <c r="J734" s="86" t="s">
        <v>6157</v>
      </c>
    </row>
    <row r="735" spans="2:10" x14ac:dyDescent="0.2">
      <c r="B735" s="86">
        <v>732</v>
      </c>
      <c r="C735" s="86" t="s">
        <v>3504</v>
      </c>
      <c r="D735" s="304">
        <f>_xlfn.IFNA(VLOOKUP(C735,Database!$D$5:$F$439,2,0),VLOOKUP(C735,logut!$C$4:$D$499,2,0))</f>
        <v>642301186</v>
      </c>
      <c r="E735" s="86" t="s">
        <v>6075</v>
      </c>
      <c r="G735" s="86" t="s">
        <v>6167</v>
      </c>
      <c r="H735" s="86" t="s">
        <v>5901</v>
      </c>
      <c r="I735" s="212">
        <v>45161</v>
      </c>
      <c r="J735" s="86" t="s">
        <v>6157</v>
      </c>
    </row>
    <row r="736" spans="2:10" x14ac:dyDescent="0.2">
      <c r="B736" s="86">
        <v>733</v>
      </c>
      <c r="C736" s="86" t="s">
        <v>1063</v>
      </c>
      <c r="D736" s="304">
        <f>_xlfn.IFNA(VLOOKUP(C736,Database!$D$5:$F$439,2,0),VLOOKUP(C736,logut!$C$4:$D$499,2,0))</f>
        <v>971800015</v>
      </c>
      <c r="E736" s="86" t="s">
        <v>6075</v>
      </c>
      <c r="G736" s="86" t="s">
        <v>6168</v>
      </c>
      <c r="H736" s="86" t="s">
        <v>5901</v>
      </c>
      <c r="I736" s="212">
        <v>45161</v>
      </c>
      <c r="J736" s="86" t="s">
        <v>6157</v>
      </c>
    </row>
    <row r="737" spans="2:10" x14ac:dyDescent="0.2">
      <c r="B737" s="86">
        <v>734</v>
      </c>
      <c r="C737" s="86" t="s">
        <v>2626</v>
      </c>
      <c r="D737" s="304">
        <f>_xlfn.IFNA(VLOOKUP(C737,Database!$D$5:$F$439,2,0),VLOOKUP(C737,logut!$C$4:$D$499,2,0))</f>
        <v>642003087</v>
      </c>
      <c r="E737" s="86" t="s">
        <v>6075</v>
      </c>
      <c r="G737" s="86" t="s">
        <v>6169</v>
      </c>
      <c r="H737" s="86" t="s">
        <v>5901</v>
      </c>
      <c r="I737" s="212">
        <v>45161</v>
      </c>
      <c r="J737" s="86" t="s">
        <v>6157</v>
      </c>
    </row>
    <row r="738" spans="2:10" x14ac:dyDescent="0.2">
      <c r="B738" s="86">
        <v>735</v>
      </c>
      <c r="C738" s="86" t="s">
        <v>79</v>
      </c>
      <c r="D738" s="304">
        <f>_xlfn.IFNA(VLOOKUP(C738,Database!$D$5:$F$439,2,0),VLOOKUP(C738,logut!$C$4:$D$499,2,0))</f>
        <v>971900043</v>
      </c>
      <c r="E738" s="86" t="s">
        <v>6075</v>
      </c>
      <c r="G738" s="86" t="s">
        <v>6170</v>
      </c>
      <c r="H738" s="86" t="s">
        <v>5901</v>
      </c>
      <c r="I738" s="212">
        <v>45161</v>
      </c>
      <c r="J738" s="86" t="s">
        <v>6157</v>
      </c>
    </row>
    <row r="739" spans="2:10" x14ac:dyDescent="0.2">
      <c r="B739" s="86">
        <v>736</v>
      </c>
      <c r="C739" s="86" t="s">
        <v>3466</v>
      </c>
      <c r="D739" s="304">
        <f>_xlfn.IFNA(VLOOKUP(C739,Database!$D$5:$F$439,2,0),VLOOKUP(C739,logut!$C$4:$D$499,2,0))</f>
        <v>642301178</v>
      </c>
      <c r="E739" s="86" t="s">
        <v>6075</v>
      </c>
      <c r="G739" s="86" t="s">
        <v>6171</v>
      </c>
      <c r="H739" s="86" t="s">
        <v>5901</v>
      </c>
      <c r="I739" s="212">
        <v>45161</v>
      </c>
      <c r="J739" s="86" t="s">
        <v>6157</v>
      </c>
    </row>
    <row r="740" spans="2:10" x14ac:dyDescent="0.2">
      <c r="B740" s="86">
        <v>737</v>
      </c>
      <c r="C740" s="86" t="s">
        <v>4159</v>
      </c>
      <c r="D740" s="304">
        <f>_xlfn.IFNA(VLOOKUP(C740,Database!$D$5:$F$439,2,0),VLOOKUP(C740,logut!$C$4:$D$499,2,0))</f>
        <v>642401204</v>
      </c>
      <c r="E740" s="86" t="s">
        <v>6075</v>
      </c>
      <c r="G740" s="86" t="s">
        <v>6172</v>
      </c>
      <c r="H740" s="86" t="s">
        <v>5901</v>
      </c>
      <c r="I740" s="212">
        <v>45161</v>
      </c>
      <c r="J740" s="86" t="s">
        <v>6157</v>
      </c>
    </row>
    <row r="741" spans="2:10" x14ac:dyDescent="0.2">
      <c r="B741" s="86">
        <v>738</v>
      </c>
      <c r="C741" s="86" t="s">
        <v>3570</v>
      </c>
      <c r="D741" s="304">
        <f>_xlfn.IFNA(VLOOKUP(C741,Database!$D$5:$F$439,2,0),VLOOKUP(C741,logut!$C$4:$D$499,2,0))</f>
        <v>642301187</v>
      </c>
      <c r="E741" s="86" t="s">
        <v>6075</v>
      </c>
      <c r="G741" s="86" t="s">
        <v>6173</v>
      </c>
      <c r="H741" s="86" t="s">
        <v>5901</v>
      </c>
      <c r="I741" s="212">
        <v>45161</v>
      </c>
      <c r="J741" s="86" t="s">
        <v>6157</v>
      </c>
    </row>
    <row r="742" spans="2:10" x14ac:dyDescent="0.2">
      <c r="B742" s="86">
        <v>739</v>
      </c>
      <c r="C742" s="86" t="s">
        <v>1876</v>
      </c>
      <c r="D742" s="304">
        <f>_xlfn.IFNA(VLOOKUP(C742,Database!$D$5:$F$439,2,0),VLOOKUP(C742,logut!$C$4:$D$499,2,0))</f>
        <v>971900044</v>
      </c>
      <c r="E742" s="86" t="s">
        <v>138</v>
      </c>
      <c r="G742" s="86" t="s">
        <v>43</v>
      </c>
      <c r="H742" s="86" t="s">
        <v>5901</v>
      </c>
      <c r="I742" s="212">
        <v>45191</v>
      </c>
      <c r="J742" s="86" t="s">
        <v>6174</v>
      </c>
    </row>
    <row r="743" spans="2:10" x14ac:dyDescent="0.2">
      <c r="B743" s="86">
        <v>740</v>
      </c>
      <c r="C743" s="86" t="s">
        <v>2212</v>
      </c>
      <c r="D743" s="304">
        <f>_xlfn.IFNA(VLOOKUP(C743,Database!$D$5:$F$439,2,0),VLOOKUP(C743,logut!$C$4:$D$499,2,0))</f>
        <v>972000050</v>
      </c>
      <c r="E743" s="86" t="s">
        <v>138</v>
      </c>
      <c r="G743" s="86" t="s">
        <v>1074</v>
      </c>
      <c r="H743" s="86" t="s">
        <v>5901</v>
      </c>
      <c r="I743" s="212">
        <v>45191</v>
      </c>
      <c r="J743" s="86" t="s">
        <v>6174</v>
      </c>
    </row>
    <row r="744" spans="2:10" x14ac:dyDescent="0.2">
      <c r="B744" s="86">
        <v>741</v>
      </c>
      <c r="C744" s="86" t="s">
        <v>5885</v>
      </c>
      <c r="D744" s="304">
        <f>_xlfn.IFNA(VLOOKUP(C744,Database!$D$5:$F$439,2,0),VLOOKUP(C744,logut!$C$4:$D$499,2,0))</f>
        <v>642301199</v>
      </c>
      <c r="E744" s="86" t="s">
        <v>6075</v>
      </c>
      <c r="G744" s="86" t="s">
        <v>6175</v>
      </c>
      <c r="H744" s="86" t="s">
        <v>5901</v>
      </c>
      <c r="I744" s="212">
        <v>45229</v>
      </c>
      <c r="J744" s="86" t="s">
        <v>6176</v>
      </c>
    </row>
    <row r="745" spans="2:10" x14ac:dyDescent="0.2">
      <c r="B745" s="86">
        <v>742</v>
      </c>
      <c r="C745" s="86" t="s">
        <v>1475</v>
      </c>
      <c r="D745" s="304">
        <f>_xlfn.IFNA(VLOOKUP(C745,Database!$D$5:$F$439,2,0),VLOOKUP(C745,logut!$C$4:$D$499,2,0))</f>
        <v>972000053</v>
      </c>
      <c r="E745" s="86" t="s">
        <v>6075</v>
      </c>
      <c r="G745" s="86" t="s">
        <v>6175</v>
      </c>
      <c r="H745" s="86" t="s">
        <v>5901</v>
      </c>
      <c r="I745" s="212">
        <v>45229</v>
      </c>
      <c r="J745" s="86" t="s">
        <v>6176</v>
      </c>
    </row>
    <row r="746" spans="2:10" x14ac:dyDescent="0.2">
      <c r="B746" s="86">
        <v>743</v>
      </c>
      <c r="C746" s="86" t="s">
        <v>1170</v>
      </c>
      <c r="D746" s="304">
        <f>_xlfn.IFNA(VLOOKUP(C746,Database!$D$5:$F$439,2,0),VLOOKUP(C746,logut!$C$4:$D$499,2,0))</f>
        <v>971900027</v>
      </c>
      <c r="E746" s="86" t="s">
        <v>6075</v>
      </c>
      <c r="G746" s="86" t="s">
        <v>6175</v>
      </c>
      <c r="H746" s="86" t="s">
        <v>5901</v>
      </c>
      <c r="I746" s="212">
        <v>45229</v>
      </c>
      <c r="J746" s="86" t="s">
        <v>6176</v>
      </c>
    </row>
    <row r="747" spans="2:10" x14ac:dyDescent="0.2">
      <c r="B747" s="86">
        <v>744</v>
      </c>
      <c r="C747" s="86" t="s">
        <v>1351</v>
      </c>
      <c r="D747" s="304">
        <f>_xlfn.IFNA(VLOOKUP(C747,Database!$D$5:$F$439,2,0),VLOOKUP(C747,logut!$C$4:$D$499,2,0))</f>
        <v>971800020</v>
      </c>
      <c r="E747" s="86" t="s">
        <v>6075</v>
      </c>
      <c r="G747" s="86" t="s">
        <v>6175</v>
      </c>
      <c r="H747" s="86" t="s">
        <v>5901</v>
      </c>
      <c r="I747" s="212">
        <v>45229</v>
      </c>
      <c r="J747" s="86" t="s">
        <v>6176</v>
      </c>
    </row>
    <row r="748" spans="2:10" x14ac:dyDescent="0.2">
      <c r="B748" s="86">
        <v>745</v>
      </c>
      <c r="C748" s="86" t="s">
        <v>3007</v>
      </c>
      <c r="D748" s="304">
        <f>_xlfn.IFNA(VLOOKUP(C748,Database!$D$5:$F$439,2,0),VLOOKUP(C748,logut!$C$4:$D$499,2,0))</f>
        <v>642201129</v>
      </c>
      <c r="E748" s="86" t="s">
        <v>6075</v>
      </c>
      <c r="G748" s="86" t="s">
        <v>6175</v>
      </c>
      <c r="H748" s="86" t="s">
        <v>5901</v>
      </c>
      <c r="I748" s="212">
        <v>45229</v>
      </c>
      <c r="J748" s="86" t="s">
        <v>6176</v>
      </c>
    </row>
    <row r="749" spans="2:10" x14ac:dyDescent="0.2">
      <c r="B749" s="86">
        <v>746</v>
      </c>
      <c r="C749" s="86" t="s">
        <v>1149</v>
      </c>
      <c r="D749" s="304">
        <f>_xlfn.IFNA(VLOOKUP(C749,Database!$D$5:$F$439,2,0),VLOOKUP(C749,logut!$C$4:$D$499,2,0))</f>
        <v>971800019</v>
      </c>
      <c r="E749" s="86" t="s">
        <v>6075</v>
      </c>
      <c r="G749" s="86" t="s">
        <v>6175</v>
      </c>
      <c r="H749" s="86" t="s">
        <v>5901</v>
      </c>
      <c r="I749" s="212">
        <v>45229</v>
      </c>
      <c r="J749" s="86" t="s">
        <v>6176</v>
      </c>
    </row>
    <row r="750" spans="2:10" x14ac:dyDescent="0.2">
      <c r="B750" s="86">
        <v>747</v>
      </c>
      <c r="C750" s="86" t="s">
        <v>2219</v>
      </c>
      <c r="D750" s="304">
        <f>_xlfn.IFNA(VLOOKUP(C750,Database!$D$5:$F$439,2,0),VLOOKUP(C750,logut!$C$4:$D$499,2,0))</f>
        <v>972000052</v>
      </c>
      <c r="E750" s="86" t="s">
        <v>6088</v>
      </c>
      <c r="G750" s="86" t="s">
        <v>6175</v>
      </c>
      <c r="H750" s="86" t="s">
        <v>5901</v>
      </c>
      <c r="I750" s="212">
        <v>45229</v>
      </c>
      <c r="J750" s="86" t="s">
        <v>6176</v>
      </c>
    </row>
    <row r="751" spans="2:10" x14ac:dyDescent="0.2">
      <c r="B751" s="86">
        <v>748</v>
      </c>
      <c r="C751" s="86" t="s">
        <v>1322</v>
      </c>
      <c r="D751" s="304">
        <f>_xlfn.IFNA(VLOOKUP(C751,Database!$D$5:$F$439,2,0),VLOOKUP(C751,logut!$C$4:$D$499,2,0))</f>
        <v>972000051</v>
      </c>
      <c r="E751" s="86" t="s">
        <v>6075</v>
      </c>
      <c r="G751" s="86" t="s">
        <v>6175</v>
      </c>
      <c r="H751" s="86" t="s">
        <v>5901</v>
      </c>
      <c r="I751" s="212">
        <v>45229</v>
      </c>
      <c r="J751" s="86" t="s">
        <v>6176</v>
      </c>
    </row>
    <row r="752" spans="2:10" x14ac:dyDescent="0.2">
      <c r="B752" s="86">
        <v>749</v>
      </c>
      <c r="C752" s="86" t="s">
        <v>1063</v>
      </c>
      <c r="D752" s="304">
        <f>_xlfn.IFNA(VLOOKUP(C752,Database!$D$5:$F$439,2,0),VLOOKUP(C752,logut!$C$4:$D$499,2,0))</f>
        <v>971800015</v>
      </c>
      <c r="E752" s="86" t="s">
        <v>6075</v>
      </c>
      <c r="G752" s="86" t="s">
        <v>6175</v>
      </c>
      <c r="H752" s="86" t="s">
        <v>5901</v>
      </c>
      <c r="I752" s="212">
        <v>45229</v>
      </c>
      <c r="J752" s="86" t="s">
        <v>6176</v>
      </c>
    </row>
    <row r="753" spans="2:10" x14ac:dyDescent="0.2">
      <c r="B753" s="86">
        <v>750</v>
      </c>
      <c r="C753" s="86" t="s">
        <v>2732</v>
      </c>
      <c r="D753" s="304">
        <f>_xlfn.IFNA(VLOOKUP(C753,Database!$D$5:$F$439,2,0),VLOOKUP(C753,logut!$C$4:$D$499,2,0))</f>
        <v>991700024</v>
      </c>
      <c r="E753" s="86" t="s">
        <v>5900</v>
      </c>
      <c r="G753" s="86" t="s">
        <v>6138</v>
      </c>
      <c r="H753" s="86" t="s">
        <v>5901</v>
      </c>
      <c r="I753" s="212">
        <v>45246</v>
      </c>
      <c r="J753" s="86" t="s">
        <v>6177</v>
      </c>
    </row>
    <row r="754" spans="2:10" x14ac:dyDescent="0.2">
      <c r="B754" s="86">
        <v>751</v>
      </c>
      <c r="C754" s="86" t="s">
        <v>546</v>
      </c>
      <c r="D754" s="304">
        <f>_xlfn.IFNA(VLOOKUP(C754,Database!$D$5:$F$439,2,0),VLOOKUP(C754,logut!$C$4:$D$499,2,0))</f>
        <v>971900046</v>
      </c>
      <c r="E754" s="86" t="s">
        <v>312</v>
      </c>
      <c r="G754" s="86" t="s">
        <v>42</v>
      </c>
      <c r="I754" s="212">
        <v>45246</v>
      </c>
      <c r="J754" s="86" t="s">
        <v>6177</v>
      </c>
    </row>
    <row r="755" spans="2:10" x14ac:dyDescent="0.2">
      <c r="B755" s="86">
        <v>752</v>
      </c>
      <c r="C755" s="86" t="s">
        <v>5740</v>
      </c>
      <c r="D755" s="304">
        <f>_xlfn.IFNA(VLOOKUP(C755,Database!$D$5:$F$439,2,0),VLOOKUP(C755,logut!$C$4:$D$499,2,0))</f>
        <v>999300024</v>
      </c>
      <c r="E755" s="86" t="s">
        <v>6178</v>
      </c>
      <c r="G755" s="86" t="s">
        <v>6073</v>
      </c>
      <c r="H755" s="86" t="s">
        <v>5901</v>
      </c>
      <c r="I755" s="212">
        <v>45268</v>
      </c>
      <c r="J755" s="86" t="s">
        <v>6179</v>
      </c>
    </row>
    <row r="756" spans="2:10" x14ac:dyDescent="0.2">
      <c r="B756" s="86">
        <v>753</v>
      </c>
      <c r="C756" s="86" t="s">
        <v>3028</v>
      </c>
      <c r="D756" s="304">
        <f>_xlfn.IFNA(VLOOKUP(C756,Database!$D$5:$F$439,2,0),VLOOKUP(C756,logut!$C$4:$D$499,2,0))</f>
        <v>991000002</v>
      </c>
      <c r="E756" s="86" t="s">
        <v>5988</v>
      </c>
      <c r="G756" s="86" t="s">
        <v>6073</v>
      </c>
      <c r="H756" s="86" t="s">
        <v>5901</v>
      </c>
      <c r="I756" s="212">
        <v>45268</v>
      </c>
      <c r="J756" s="86" t="s">
        <v>6179</v>
      </c>
    </row>
    <row r="757" spans="2:10" x14ac:dyDescent="0.2">
      <c r="B757" s="86">
        <v>754</v>
      </c>
      <c r="C757" s="86" t="s">
        <v>2219</v>
      </c>
      <c r="D757" s="304">
        <f>_xlfn.IFNA(VLOOKUP(C757,Database!$D$5:$F$439,2,0),VLOOKUP(C757,logut!$C$4:$D$499,2,0))</f>
        <v>972000052</v>
      </c>
      <c r="E757" s="86" t="s">
        <v>6072</v>
      </c>
      <c r="G757" s="86" t="s">
        <v>6073</v>
      </c>
      <c r="H757" s="86" t="s">
        <v>5901</v>
      </c>
      <c r="I757" s="212">
        <v>45268</v>
      </c>
      <c r="J757" s="86" t="s">
        <v>6179</v>
      </c>
    </row>
    <row r="758" spans="2:10" x14ac:dyDescent="0.2">
      <c r="B758" s="86">
        <v>755</v>
      </c>
      <c r="C758" s="86" t="s">
        <v>1159</v>
      </c>
      <c r="D758" s="304">
        <f>_xlfn.IFNA(VLOOKUP(C758,Database!$D$5:$F$439,2,0),VLOOKUP(C758,logut!$C$4:$D$499,2,0))</f>
        <v>971800017</v>
      </c>
      <c r="E758" s="86" t="s">
        <v>6180</v>
      </c>
      <c r="G758" s="86" t="s">
        <v>6073</v>
      </c>
      <c r="H758" s="86" t="s">
        <v>5901</v>
      </c>
      <c r="I758" s="212">
        <v>45268</v>
      </c>
      <c r="J758" s="86" t="s">
        <v>6179</v>
      </c>
    </row>
    <row r="759" spans="2:10" x14ac:dyDescent="0.2">
      <c r="B759" s="86">
        <v>756</v>
      </c>
      <c r="C759" s="86" t="s">
        <v>1170</v>
      </c>
      <c r="D759" s="304">
        <f>_xlfn.IFNA(VLOOKUP(C759,Database!$D$5:$F$439,2,0),VLOOKUP(C759,logut!$C$4:$D$499,2,0))</f>
        <v>971900027</v>
      </c>
      <c r="E759" s="86" t="s">
        <v>6180</v>
      </c>
      <c r="G759" s="86" t="s">
        <v>6073</v>
      </c>
      <c r="H759" s="86" t="s">
        <v>5901</v>
      </c>
      <c r="I759" s="212">
        <v>45268</v>
      </c>
      <c r="J759" s="86" t="s">
        <v>6179</v>
      </c>
    </row>
    <row r="760" spans="2:10" x14ac:dyDescent="0.2">
      <c r="B760" s="86">
        <v>757</v>
      </c>
      <c r="C760" s="86" t="s">
        <v>5764</v>
      </c>
      <c r="D760" s="304">
        <f>_xlfn.IFNA(VLOOKUP(C760,Database!$D$5:$F$439,2,0),VLOOKUP(C760,logut!$C$4:$D$499,2,0))</f>
        <v>999700007</v>
      </c>
      <c r="E760" s="86" t="s">
        <v>6075</v>
      </c>
      <c r="G760" s="86" t="s">
        <v>6073</v>
      </c>
      <c r="H760" s="86" t="s">
        <v>5901</v>
      </c>
      <c r="I760" s="212">
        <v>45268</v>
      </c>
      <c r="J760" s="86" t="s">
        <v>6179</v>
      </c>
    </row>
    <row r="761" spans="2:10" x14ac:dyDescent="0.2">
      <c r="B761" s="86">
        <v>758</v>
      </c>
      <c r="C761" s="86" t="s">
        <v>2704</v>
      </c>
      <c r="D761" s="304">
        <f>_xlfn.IFNA(VLOOKUP(C761,Database!$D$5:$F$439,2,0),VLOOKUP(C761,logut!$C$4:$D$499,2,0))</f>
        <v>999800078</v>
      </c>
      <c r="E761" s="86" t="s">
        <v>6075</v>
      </c>
      <c r="G761" s="86" t="s">
        <v>6073</v>
      </c>
      <c r="H761" s="86" t="s">
        <v>5901</v>
      </c>
      <c r="I761" s="212">
        <v>45268</v>
      </c>
      <c r="J761" s="86" t="s">
        <v>6179</v>
      </c>
    </row>
    <row r="762" spans="2:10" x14ac:dyDescent="0.2">
      <c r="B762" s="86">
        <v>759</v>
      </c>
      <c r="C762" s="86" t="s">
        <v>90</v>
      </c>
      <c r="D762" s="304">
        <f>_xlfn.IFNA(VLOOKUP(C762,Database!$D$5:$F$439,2,0),VLOOKUP(C762,logut!$C$4:$D$499,2,0))</f>
        <v>999200022</v>
      </c>
      <c r="E762" s="86" t="s">
        <v>6075</v>
      </c>
      <c r="G762" s="86" t="s">
        <v>6073</v>
      </c>
      <c r="H762" s="86" t="s">
        <v>5901</v>
      </c>
      <c r="I762" s="212">
        <v>45268</v>
      </c>
      <c r="J762" s="86" t="s">
        <v>6179</v>
      </c>
    </row>
    <row r="763" spans="2:10" x14ac:dyDescent="0.2">
      <c r="B763" s="86">
        <v>760</v>
      </c>
      <c r="C763" s="86" t="s">
        <v>5368</v>
      </c>
      <c r="D763" s="304">
        <f>_xlfn.IFNA(VLOOKUP(C763,Database!$D$5:$F$439,2,0),VLOOKUP(C763,logut!$C$4:$D$499,2,0))</f>
        <v>999400090</v>
      </c>
      <c r="E763" s="86" t="s">
        <v>6075</v>
      </c>
      <c r="G763" s="86" t="s">
        <v>6073</v>
      </c>
      <c r="H763" s="86" t="s">
        <v>5901</v>
      </c>
      <c r="I763" s="212">
        <v>45268</v>
      </c>
      <c r="J763" s="86" t="s">
        <v>6179</v>
      </c>
    </row>
    <row r="764" spans="2:10" x14ac:dyDescent="0.2">
      <c r="B764" s="86">
        <v>761</v>
      </c>
      <c r="C764" s="86" t="s">
        <v>5224</v>
      </c>
      <c r="D764" s="304">
        <f>_xlfn.IFNA(VLOOKUP(C764,Database!$D$5:$F$439,2,0),VLOOKUP(C764,logut!$C$4:$D$499,2,0))</f>
        <v>991100039</v>
      </c>
      <c r="E764" s="86" t="s">
        <v>6075</v>
      </c>
      <c r="G764" s="86" t="s">
        <v>6073</v>
      </c>
      <c r="H764" s="86" t="s">
        <v>5901</v>
      </c>
      <c r="I764" s="212">
        <v>45268</v>
      </c>
      <c r="J764" s="86" t="s">
        <v>6179</v>
      </c>
    </row>
    <row r="765" spans="2:10" x14ac:dyDescent="0.2">
      <c r="B765" s="86">
        <v>762</v>
      </c>
      <c r="C765" s="86" t="s">
        <v>431</v>
      </c>
      <c r="D765" s="304">
        <f>_xlfn.IFNA(VLOOKUP(C765,Database!$D$5:$F$439,2,0),VLOOKUP(C765,logut!$C$4:$D$499,2,0))</f>
        <v>971600004</v>
      </c>
      <c r="E765" s="86" t="s">
        <v>6075</v>
      </c>
      <c r="G765" s="86" t="s">
        <v>6073</v>
      </c>
      <c r="H765" s="86" t="s">
        <v>5901</v>
      </c>
      <c r="I765" s="212">
        <v>45268</v>
      </c>
      <c r="J765" s="86" t="s">
        <v>6179</v>
      </c>
    </row>
    <row r="766" spans="2:10" x14ac:dyDescent="0.2">
      <c r="B766" s="86">
        <v>763</v>
      </c>
      <c r="C766" s="86" t="s">
        <v>2667</v>
      </c>
      <c r="D766" s="304">
        <f>_xlfn.IFNA(VLOOKUP(C766,Database!$D$5:$F$439,2,0),VLOOKUP(C766,logut!$C$4:$D$499,2,0))</f>
        <v>991100025</v>
      </c>
      <c r="E766" s="86" t="s">
        <v>6075</v>
      </c>
      <c r="G766" s="86" t="s">
        <v>6073</v>
      </c>
      <c r="H766" s="86" t="s">
        <v>5901</v>
      </c>
      <c r="I766" s="212">
        <v>45268</v>
      </c>
      <c r="J766" s="86" t="s">
        <v>6179</v>
      </c>
    </row>
    <row r="767" spans="2:10" x14ac:dyDescent="0.2">
      <c r="B767" s="86">
        <v>764</v>
      </c>
      <c r="C767" s="86" t="s">
        <v>5285</v>
      </c>
      <c r="D767" s="304">
        <f>_xlfn.IFNA(VLOOKUP(C767,Database!$D$5:$F$439,2,0),VLOOKUP(C767,logut!$C$4:$D$499,2,0))</f>
        <v>999600041</v>
      </c>
      <c r="E767" s="86" t="s">
        <v>6075</v>
      </c>
      <c r="G767" s="86" t="s">
        <v>6073</v>
      </c>
      <c r="H767" s="86" t="s">
        <v>5901</v>
      </c>
      <c r="I767" s="212">
        <v>45268</v>
      </c>
      <c r="J767" s="86" t="s">
        <v>6179</v>
      </c>
    </row>
    <row r="768" spans="2:10" x14ac:dyDescent="0.2">
      <c r="B768" s="86">
        <v>765</v>
      </c>
      <c r="C768" s="86" t="s">
        <v>380</v>
      </c>
      <c r="D768" s="304">
        <f>_xlfn.IFNA(VLOOKUP(C768,Database!$D$5:$F$439,2,0),VLOOKUP(C768,logut!$C$4:$D$499,2,0))</f>
        <v>971500002</v>
      </c>
      <c r="E768" s="86" t="s">
        <v>6075</v>
      </c>
      <c r="G768" s="86" t="s">
        <v>6073</v>
      </c>
      <c r="H768" s="86" t="s">
        <v>5901</v>
      </c>
      <c r="I768" s="212">
        <v>45268</v>
      </c>
      <c r="J768" s="86" t="s">
        <v>6179</v>
      </c>
    </row>
    <row r="769" spans="2:10" x14ac:dyDescent="0.2">
      <c r="B769" s="86">
        <v>766</v>
      </c>
      <c r="C769" s="86" t="s">
        <v>1949</v>
      </c>
      <c r="D769" s="304">
        <f>_xlfn.IFNA(VLOOKUP(C769,Database!$D$5:$F$439,2,0),VLOOKUP(C769,logut!$C$4:$D$499,2,0))</f>
        <v>971900034</v>
      </c>
      <c r="E769" s="86" t="s">
        <v>6075</v>
      </c>
      <c r="G769" s="86" t="s">
        <v>6073</v>
      </c>
      <c r="H769" s="86" t="s">
        <v>5901</v>
      </c>
      <c r="I769" s="212">
        <v>45268</v>
      </c>
      <c r="J769" s="86" t="s">
        <v>6179</v>
      </c>
    </row>
    <row r="770" spans="2:10" x14ac:dyDescent="0.2">
      <c r="B770" s="86">
        <v>767</v>
      </c>
      <c r="C770" s="86" t="s">
        <v>3287</v>
      </c>
      <c r="D770" s="304">
        <f>_xlfn.IFNA(VLOOKUP(C770,Database!$D$5:$F$439,2,0),VLOOKUP(C770,logut!$C$4:$D$499,2,0))</f>
        <v>990900010</v>
      </c>
      <c r="E770" s="86" t="s">
        <v>6075</v>
      </c>
      <c r="G770" s="86" t="s">
        <v>6073</v>
      </c>
      <c r="H770" s="86" t="s">
        <v>5901</v>
      </c>
      <c r="I770" s="212">
        <v>45268</v>
      </c>
      <c r="J770" s="86" t="s">
        <v>6179</v>
      </c>
    </row>
    <row r="771" spans="2:10" x14ac:dyDescent="0.2">
      <c r="B771" s="86">
        <v>768</v>
      </c>
      <c r="C771" s="86" t="s">
        <v>5703</v>
      </c>
      <c r="D771" s="304">
        <f>_xlfn.IFNA(VLOOKUP(C771,Database!$D$5:$F$439,2,0),VLOOKUP(C771,logut!$C$4:$D$499,2,0))</f>
        <v>991800001</v>
      </c>
      <c r="E771" s="86" t="s">
        <v>6075</v>
      </c>
      <c r="G771" s="86" t="s">
        <v>6073</v>
      </c>
      <c r="H771" s="86" t="s">
        <v>5901</v>
      </c>
      <c r="I771" s="212">
        <v>45268</v>
      </c>
      <c r="J771" s="86" t="s">
        <v>6179</v>
      </c>
    </row>
    <row r="772" spans="2:10" x14ac:dyDescent="0.2">
      <c r="B772" s="86">
        <v>769</v>
      </c>
      <c r="C772" s="86" t="s">
        <v>86</v>
      </c>
      <c r="D772" s="304">
        <f>_xlfn.IFNA(VLOOKUP(C772,Database!$D$5:$F$439,2,0),VLOOKUP(C772,logut!$C$4:$D$499,2,0))</f>
        <v>991000017</v>
      </c>
      <c r="E772" s="86" t="s">
        <v>6075</v>
      </c>
      <c r="G772" s="86" t="s">
        <v>6073</v>
      </c>
      <c r="H772" s="86" t="s">
        <v>5901</v>
      </c>
      <c r="I772" s="212">
        <v>45268</v>
      </c>
      <c r="J772" s="86" t="s">
        <v>6179</v>
      </c>
    </row>
    <row r="773" spans="2:10" x14ac:dyDescent="0.2">
      <c r="B773" s="86">
        <v>770</v>
      </c>
      <c r="C773" s="86" t="s">
        <v>1903</v>
      </c>
      <c r="D773" s="304">
        <f>_xlfn.IFNA(VLOOKUP(C773,Database!$D$5:$F$439,2,0),VLOOKUP(C773,logut!$C$4:$D$499,2,0))</f>
        <v>971900039</v>
      </c>
      <c r="E773" s="86" t="s">
        <v>6075</v>
      </c>
      <c r="G773" s="86" t="s">
        <v>6073</v>
      </c>
      <c r="H773" s="86" t="s">
        <v>5901</v>
      </c>
      <c r="I773" s="212">
        <v>45268</v>
      </c>
      <c r="J773" s="86" t="s">
        <v>6179</v>
      </c>
    </row>
    <row r="774" spans="2:10" x14ac:dyDescent="0.2">
      <c r="B774" s="86">
        <v>771</v>
      </c>
      <c r="C774" s="86" t="s">
        <v>391</v>
      </c>
      <c r="D774" s="304">
        <f>_xlfn.IFNA(VLOOKUP(C774,Database!$D$5:$F$439,2,0),VLOOKUP(C774,logut!$C$4:$D$499,2,0))</f>
        <v>971500003</v>
      </c>
      <c r="E774" s="86" t="s">
        <v>6075</v>
      </c>
      <c r="G774" s="86" t="s">
        <v>6073</v>
      </c>
      <c r="H774" s="86" t="s">
        <v>5901</v>
      </c>
      <c r="I774" s="212">
        <v>45268</v>
      </c>
      <c r="J774" s="86" t="s">
        <v>6179</v>
      </c>
    </row>
    <row r="775" spans="2:10" x14ac:dyDescent="0.2">
      <c r="B775" s="86">
        <v>772</v>
      </c>
      <c r="C775" s="86" t="s">
        <v>1895</v>
      </c>
      <c r="D775" s="304">
        <f>_xlfn.IFNA(VLOOKUP(C775,Database!$D$5:$F$439,2,0),VLOOKUP(C775,logut!$C$4:$D$499,2,0))</f>
        <v>971900040</v>
      </c>
      <c r="E775" s="86" t="s">
        <v>6075</v>
      </c>
      <c r="G775" s="86" t="s">
        <v>6073</v>
      </c>
      <c r="H775" s="86" t="s">
        <v>5901</v>
      </c>
      <c r="I775" s="212">
        <v>45268</v>
      </c>
      <c r="J775" s="86" t="s">
        <v>6179</v>
      </c>
    </row>
    <row r="776" spans="2:10" x14ac:dyDescent="0.2">
      <c r="B776" s="86">
        <v>773</v>
      </c>
      <c r="C776" s="86" t="s">
        <v>1475</v>
      </c>
      <c r="D776" s="304">
        <f>_xlfn.IFNA(VLOOKUP(C776,Database!$D$5:$F$439,2,0),VLOOKUP(C776,logut!$C$4:$D$499,2,0))</f>
        <v>972000053</v>
      </c>
      <c r="E776" s="86" t="s">
        <v>6075</v>
      </c>
      <c r="G776" s="86" t="s">
        <v>6073</v>
      </c>
      <c r="H776" s="86" t="s">
        <v>5901</v>
      </c>
      <c r="I776" s="212">
        <v>45268</v>
      </c>
      <c r="J776" s="86" t="s">
        <v>6179</v>
      </c>
    </row>
    <row r="777" spans="2:10" x14ac:dyDescent="0.2">
      <c r="B777" s="86">
        <v>774</v>
      </c>
      <c r="C777" s="86" t="s">
        <v>1149</v>
      </c>
      <c r="D777" s="304">
        <f>_xlfn.IFNA(VLOOKUP(C777,Database!$D$5:$F$439,2,0),VLOOKUP(C777,logut!$C$4:$D$499,2,0))</f>
        <v>971800019</v>
      </c>
      <c r="E777" s="86" t="s">
        <v>6075</v>
      </c>
      <c r="G777" s="86" t="s">
        <v>6073</v>
      </c>
      <c r="H777" s="86" t="s">
        <v>5901</v>
      </c>
      <c r="I777" s="212">
        <v>45268</v>
      </c>
      <c r="J777" s="86" t="s">
        <v>6179</v>
      </c>
    </row>
    <row r="778" spans="2:10" x14ac:dyDescent="0.2">
      <c r="B778" s="86">
        <v>775</v>
      </c>
      <c r="C778" s="86" t="s">
        <v>5885</v>
      </c>
      <c r="D778" s="304">
        <f>_xlfn.IFNA(VLOOKUP(C778,Database!$D$5:$F$439,2,0),VLOOKUP(C778,logut!$C$4:$D$499,2,0))</f>
        <v>642301199</v>
      </c>
      <c r="E778" s="86" t="s">
        <v>6075</v>
      </c>
      <c r="G778" s="86" t="s">
        <v>6073</v>
      </c>
      <c r="H778" s="86" t="s">
        <v>5901</v>
      </c>
      <c r="I778" s="212">
        <v>45268</v>
      </c>
      <c r="J778" s="86" t="s">
        <v>6179</v>
      </c>
    </row>
    <row r="779" spans="2:10" x14ac:dyDescent="0.2">
      <c r="B779" s="86">
        <v>776</v>
      </c>
      <c r="C779" s="86" t="s">
        <v>747</v>
      </c>
      <c r="D779" s="304">
        <f>_xlfn.IFNA(VLOOKUP(C779,Database!$D$5:$F$439,2,0),VLOOKUP(C779,logut!$C$4:$D$499,2,0))</f>
        <v>971900030</v>
      </c>
      <c r="E779" s="86" t="s">
        <v>6075</v>
      </c>
      <c r="G779" s="86" t="s">
        <v>6073</v>
      </c>
      <c r="H779" s="86" t="s">
        <v>5901</v>
      </c>
      <c r="I779" s="212">
        <v>45268</v>
      </c>
      <c r="J779" s="86" t="s">
        <v>6179</v>
      </c>
    </row>
    <row r="780" spans="2:10" x14ac:dyDescent="0.2">
      <c r="B780" s="86">
        <v>777</v>
      </c>
      <c r="C780" s="86" t="s">
        <v>592</v>
      </c>
      <c r="D780" s="304">
        <f>_xlfn.IFNA(VLOOKUP(C780,Database!$D$5:$F$439,2,0),VLOOKUP(C780,logut!$C$4:$D$499,2,0))</f>
        <v>971700008</v>
      </c>
      <c r="E780" s="86" t="s">
        <v>6075</v>
      </c>
      <c r="G780" s="86" t="s">
        <v>6073</v>
      </c>
      <c r="H780" s="86" t="s">
        <v>5901</v>
      </c>
      <c r="I780" s="212">
        <v>45268</v>
      </c>
      <c r="J780" s="86" t="s">
        <v>6179</v>
      </c>
    </row>
    <row r="781" spans="2:10" x14ac:dyDescent="0.2">
      <c r="B781" s="86">
        <v>778</v>
      </c>
      <c r="C781" s="86" t="s">
        <v>705</v>
      </c>
      <c r="D781" s="304">
        <f>_xlfn.IFNA(VLOOKUP(C781,Database!$D$5:$F$439,2,0),VLOOKUP(C781,logut!$C$4:$D$499,2,0))</f>
        <v>972400066</v>
      </c>
      <c r="E781" s="86" t="s">
        <v>6075</v>
      </c>
      <c r="G781" s="86" t="s">
        <v>6073</v>
      </c>
      <c r="H781" s="86" t="s">
        <v>5901</v>
      </c>
      <c r="I781" s="212">
        <v>45268</v>
      </c>
      <c r="J781" s="86" t="s">
        <v>6179</v>
      </c>
    </row>
    <row r="782" spans="2:10" x14ac:dyDescent="0.2">
      <c r="B782" s="86">
        <v>779</v>
      </c>
      <c r="C782" s="86" t="s">
        <v>694</v>
      </c>
      <c r="D782" s="304">
        <f>_xlfn.IFNA(VLOOKUP(C782,Database!$D$5:$F$439,2,0),VLOOKUP(C782,logut!$C$4:$D$499,2,0))</f>
        <v>971900028</v>
      </c>
      <c r="E782" s="86" t="s">
        <v>6075</v>
      </c>
      <c r="G782" s="86" t="s">
        <v>6073</v>
      </c>
      <c r="H782" s="86" t="s">
        <v>5901</v>
      </c>
      <c r="I782" s="212">
        <v>45268</v>
      </c>
      <c r="J782" s="86" t="s">
        <v>6179</v>
      </c>
    </row>
    <row r="783" spans="2:10" x14ac:dyDescent="0.2">
      <c r="B783" s="86">
        <v>780</v>
      </c>
      <c r="C783" s="86" t="s">
        <v>1843</v>
      </c>
      <c r="D783" s="304">
        <f>_xlfn.IFNA(VLOOKUP(C783,Database!$D$5:$F$439,2,0),VLOOKUP(C783,logut!$C$4:$D$499,2,0))</f>
        <v>641808176</v>
      </c>
      <c r="E783" s="86" t="s">
        <v>6075</v>
      </c>
      <c r="G783" s="86" t="s">
        <v>6073</v>
      </c>
      <c r="H783" s="86" t="s">
        <v>5901</v>
      </c>
      <c r="I783" s="212">
        <v>45268</v>
      </c>
      <c r="J783" s="86" t="s">
        <v>6179</v>
      </c>
    </row>
    <row r="784" spans="2:10" x14ac:dyDescent="0.2">
      <c r="B784" s="86">
        <v>781</v>
      </c>
      <c r="C784" s="86" t="s">
        <v>762</v>
      </c>
      <c r="D784" s="304">
        <f>_xlfn.IFNA(VLOOKUP(C784,Database!$D$5:$F$439,2,0),VLOOKUP(C784,logut!$C$4:$D$499,2,0))</f>
        <v>971900033</v>
      </c>
      <c r="E784" s="86" t="s">
        <v>6075</v>
      </c>
      <c r="G784" s="86" t="s">
        <v>6073</v>
      </c>
      <c r="H784" s="86" t="s">
        <v>5901</v>
      </c>
      <c r="I784" s="212">
        <v>45268</v>
      </c>
      <c r="J784" s="86" t="s">
        <v>6179</v>
      </c>
    </row>
    <row r="785" spans="2:10" x14ac:dyDescent="0.2">
      <c r="B785" s="86">
        <v>782</v>
      </c>
      <c r="C785" s="86" t="s">
        <v>1661</v>
      </c>
      <c r="D785" s="304">
        <f>_xlfn.IFNA(VLOOKUP(C785,Database!$D$5:$F$439,2,0),VLOOKUP(C785,logut!$C$4:$D$499,2,0))</f>
        <v>972400062</v>
      </c>
      <c r="E785" s="86" t="s">
        <v>6075</v>
      </c>
      <c r="G785" s="86" t="s">
        <v>6073</v>
      </c>
      <c r="H785" s="86" t="s">
        <v>5901</v>
      </c>
      <c r="I785" s="212">
        <v>45268</v>
      </c>
      <c r="J785" s="86" t="s">
        <v>6179</v>
      </c>
    </row>
    <row r="786" spans="2:10" x14ac:dyDescent="0.2">
      <c r="B786" s="86">
        <v>783</v>
      </c>
      <c r="C786" s="86" t="s">
        <v>1303</v>
      </c>
      <c r="D786" s="304">
        <f>_xlfn.IFNA(VLOOKUP(C786,Database!$D$5:$F$439,2,0),VLOOKUP(C786,logut!$C$4:$D$499,2,0))</f>
        <v>642001039</v>
      </c>
      <c r="E786" s="86" t="s">
        <v>6075</v>
      </c>
      <c r="G786" s="86" t="s">
        <v>6073</v>
      </c>
      <c r="H786" s="86" t="s">
        <v>5901</v>
      </c>
      <c r="I786" s="212">
        <v>45268</v>
      </c>
      <c r="J786" s="86" t="s">
        <v>6179</v>
      </c>
    </row>
    <row r="787" spans="2:10" x14ac:dyDescent="0.2">
      <c r="B787" s="86">
        <v>784</v>
      </c>
      <c r="C787" s="86" t="s">
        <v>575</v>
      </c>
      <c r="D787" s="304">
        <f>_xlfn.IFNA(VLOOKUP(C787,Database!$D$5:$F$439,2,0),VLOOKUP(C787,logut!$C$4:$D$499,2,0))</f>
        <v>971900031</v>
      </c>
      <c r="E787" s="86" t="s">
        <v>6075</v>
      </c>
      <c r="G787" s="86" t="s">
        <v>6073</v>
      </c>
      <c r="H787" s="86" t="s">
        <v>5901</v>
      </c>
      <c r="I787" s="212">
        <v>45268</v>
      </c>
      <c r="J787" s="86" t="s">
        <v>6179</v>
      </c>
    </row>
    <row r="788" spans="2:10" x14ac:dyDescent="0.2">
      <c r="B788" s="86">
        <v>785</v>
      </c>
      <c r="C788" s="86" t="s">
        <v>546</v>
      </c>
      <c r="D788" s="304">
        <f>_xlfn.IFNA(VLOOKUP(C788,Database!$D$5:$F$439,2,0),VLOOKUP(C788,logut!$C$4:$D$499,2,0))</f>
        <v>971900046</v>
      </c>
      <c r="E788" s="86" t="s">
        <v>6075</v>
      </c>
      <c r="G788" s="86" t="s">
        <v>6073</v>
      </c>
      <c r="H788" s="86" t="s">
        <v>5901</v>
      </c>
      <c r="I788" s="212">
        <v>45268</v>
      </c>
      <c r="J788" s="86" t="s">
        <v>6179</v>
      </c>
    </row>
    <row r="789" spans="2:10" x14ac:dyDescent="0.2">
      <c r="B789" s="86">
        <v>786</v>
      </c>
      <c r="C789" s="86" t="s">
        <v>1995</v>
      </c>
      <c r="D789" s="304">
        <f>_xlfn.IFNA(VLOOKUP(C789,Database!$D$5:$F$439,2,0),VLOOKUP(C789,logut!$C$4:$D$499,2,0))</f>
        <v>641810206</v>
      </c>
      <c r="E789" s="86" t="s">
        <v>6075</v>
      </c>
      <c r="G789" s="86" t="s">
        <v>6073</v>
      </c>
      <c r="H789" s="86" t="s">
        <v>5901</v>
      </c>
      <c r="I789" s="212">
        <v>45268</v>
      </c>
      <c r="J789" s="86" t="s">
        <v>6179</v>
      </c>
    </row>
    <row r="790" spans="2:10" x14ac:dyDescent="0.2">
      <c r="B790" s="86">
        <v>787</v>
      </c>
      <c r="C790" s="86" t="s">
        <v>440</v>
      </c>
      <c r="D790" s="304">
        <f>_xlfn.IFNA(VLOOKUP(C790,Database!$D$5:$F$439,2,0),VLOOKUP(C790,logut!$C$4:$D$499,2,0))</f>
        <v>971800022</v>
      </c>
      <c r="E790" s="86" t="s">
        <v>6075</v>
      </c>
      <c r="G790" s="86" t="s">
        <v>6073</v>
      </c>
      <c r="H790" s="86" t="s">
        <v>5901</v>
      </c>
      <c r="I790" s="212">
        <v>45268</v>
      </c>
      <c r="J790" s="86" t="s">
        <v>6179</v>
      </c>
    </row>
    <row r="791" spans="2:10" x14ac:dyDescent="0.2">
      <c r="B791" s="86">
        <v>788</v>
      </c>
      <c r="C791" s="86" t="s">
        <v>5821</v>
      </c>
      <c r="D791" s="304">
        <f>_xlfn.IFNA(VLOOKUP(C791,Database!$D$5:$F$439,2,0),VLOOKUP(C791,logut!$C$4:$D$499,2,0))</f>
        <v>642002072</v>
      </c>
      <c r="E791" s="86" t="s">
        <v>6075</v>
      </c>
      <c r="G791" s="86" t="s">
        <v>6073</v>
      </c>
      <c r="H791" s="86" t="s">
        <v>5901</v>
      </c>
      <c r="I791" s="212">
        <v>45268</v>
      </c>
      <c r="J791" s="86" t="s">
        <v>6179</v>
      </c>
    </row>
    <row r="792" spans="2:10" x14ac:dyDescent="0.2">
      <c r="B792" s="86">
        <v>789</v>
      </c>
      <c r="C792" s="86" t="s">
        <v>2137</v>
      </c>
      <c r="D792" s="304">
        <f>_xlfn.IFNA(VLOOKUP(C792,Database!$D$5:$F$439,2,0),VLOOKUP(C792,logut!$C$4:$D$499,2,0))</f>
        <v>641810190</v>
      </c>
      <c r="E792" s="86" t="s">
        <v>6075</v>
      </c>
      <c r="G792" s="86" t="s">
        <v>6073</v>
      </c>
      <c r="H792" s="86" t="s">
        <v>5901</v>
      </c>
      <c r="I792" s="212">
        <v>45268</v>
      </c>
      <c r="J792" s="86" t="s">
        <v>6179</v>
      </c>
    </row>
    <row r="793" spans="2:10" x14ac:dyDescent="0.2">
      <c r="B793" s="86">
        <v>790</v>
      </c>
      <c r="C793" s="86" t="s">
        <v>2804</v>
      </c>
      <c r="D793" s="304">
        <f>_xlfn.IFNA(VLOOKUP(C793,Database!$D$5:$F$439,2,0),VLOOKUP(C793,logut!$C$4:$D$499,2,0))</f>
        <v>642101101</v>
      </c>
      <c r="E793" s="86" t="s">
        <v>6075</v>
      </c>
      <c r="G793" s="86" t="s">
        <v>6073</v>
      </c>
      <c r="H793" s="86" t="s">
        <v>5901</v>
      </c>
      <c r="I793" s="212">
        <v>45268</v>
      </c>
      <c r="J793" s="86" t="s">
        <v>6179</v>
      </c>
    </row>
    <row r="794" spans="2:10" x14ac:dyDescent="0.2">
      <c r="B794" s="86">
        <v>791</v>
      </c>
      <c r="C794" s="86" t="s">
        <v>3756</v>
      </c>
      <c r="D794" s="304">
        <f>_xlfn.IFNA(VLOOKUP(C794,Database!$D$5:$F$439,2,0),VLOOKUP(C794,logut!$C$4:$D$499,2,0))</f>
        <v>642312140</v>
      </c>
      <c r="E794" s="86" t="s">
        <v>5900</v>
      </c>
      <c r="G794" s="86" t="s">
        <v>3757</v>
      </c>
      <c r="H794" s="86" t="s">
        <v>5901</v>
      </c>
      <c r="I794" s="212">
        <v>45280</v>
      </c>
    </row>
    <row r="795" spans="2:10" x14ac:dyDescent="0.2">
      <c r="B795" s="86">
        <v>792</v>
      </c>
      <c r="C795" s="86" t="s">
        <v>108</v>
      </c>
      <c r="D795" s="304">
        <f>_xlfn.IFNA(VLOOKUP(C795,Database!$D$5:$F$439,2,0),VLOOKUP(C795,logut!$C$4:$D$499,2,0))</f>
        <v>642312142</v>
      </c>
      <c r="E795" s="86" t="s">
        <v>5900</v>
      </c>
      <c r="G795" s="86" t="s">
        <v>59</v>
      </c>
      <c r="H795" s="86" t="s">
        <v>5901</v>
      </c>
      <c r="I795" s="212">
        <v>45280</v>
      </c>
    </row>
    <row r="796" spans="2:10" x14ac:dyDescent="0.2">
      <c r="B796" s="86">
        <v>793</v>
      </c>
      <c r="C796" s="86" t="s">
        <v>3818</v>
      </c>
      <c r="D796" s="304">
        <f>_xlfn.IFNA(VLOOKUP(C796,Database!$D$5:$F$439,2,0),VLOOKUP(C796,logut!$C$4:$D$499,2,0))</f>
        <v>642312148</v>
      </c>
      <c r="E796" s="86" t="s">
        <v>5900</v>
      </c>
      <c r="G796" s="86" t="s">
        <v>6116</v>
      </c>
      <c r="H796" s="86" t="s">
        <v>5901</v>
      </c>
      <c r="I796" s="212">
        <v>45280</v>
      </c>
    </row>
    <row r="797" spans="2:10" x14ac:dyDescent="0.2">
      <c r="B797" s="86">
        <v>794</v>
      </c>
      <c r="C797" s="86" t="s">
        <v>113</v>
      </c>
      <c r="D797" s="304">
        <f>_xlfn.IFNA(VLOOKUP(C797,Database!$D$5:$F$439,2,0),VLOOKUP(C797,logut!$C$4:$D$499,2,0))</f>
        <v>642312143</v>
      </c>
      <c r="E797" s="86" t="s">
        <v>5900</v>
      </c>
      <c r="G797" s="86" t="s">
        <v>59</v>
      </c>
      <c r="H797" s="86" t="s">
        <v>5901</v>
      </c>
      <c r="I797" s="212">
        <v>45280</v>
      </c>
    </row>
    <row r="798" spans="2:10" x14ac:dyDescent="0.2">
      <c r="B798" s="86">
        <v>795</v>
      </c>
      <c r="C798" s="86" t="s">
        <v>3803</v>
      </c>
      <c r="D798" s="304">
        <f>_xlfn.IFNA(VLOOKUP(C798,Database!$D$5:$F$439,2,0),VLOOKUP(C798,logut!$C$4:$D$499,2,0))</f>
        <v>642312146</v>
      </c>
      <c r="E798" s="86" t="s">
        <v>5900</v>
      </c>
      <c r="G798" s="86" t="s">
        <v>1115</v>
      </c>
      <c r="H798" s="86" t="s">
        <v>5901</v>
      </c>
      <c r="I798" s="212">
        <v>45280</v>
      </c>
    </row>
    <row r="799" spans="2:10" x14ac:dyDescent="0.2">
      <c r="B799" s="86">
        <v>796</v>
      </c>
      <c r="C799" s="86" t="s">
        <v>3766</v>
      </c>
      <c r="D799" s="304">
        <f>_xlfn.IFNA(VLOOKUP(C799,Database!$D$5:$F$439,2,0),VLOOKUP(C799,logut!$C$4:$D$499,2,0))</f>
        <v>642312141</v>
      </c>
      <c r="E799" s="86" t="s">
        <v>5900</v>
      </c>
      <c r="G799" s="86" t="s">
        <v>2827</v>
      </c>
      <c r="H799" s="86" t="s">
        <v>5901</v>
      </c>
      <c r="I799" s="212">
        <v>45280</v>
      </c>
    </row>
    <row r="800" spans="2:10" x14ac:dyDescent="0.2">
      <c r="B800" s="86">
        <v>797</v>
      </c>
      <c r="C800" s="86" t="s">
        <v>3810</v>
      </c>
      <c r="D800" s="304">
        <f>_xlfn.IFNA(VLOOKUP(C800,Database!$D$5:$F$439,2,0),VLOOKUP(C800,logut!$C$4:$D$499,2,0))</f>
        <v>642312147</v>
      </c>
      <c r="E800" s="86" t="s">
        <v>5900</v>
      </c>
      <c r="G800" s="86" t="s">
        <v>3811</v>
      </c>
      <c r="H800" s="86" t="s">
        <v>5901</v>
      </c>
      <c r="I800" s="212">
        <v>45280</v>
      </c>
    </row>
    <row r="801" spans="2:10" x14ac:dyDescent="0.2">
      <c r="B801" s="86">
        <v>798</v>
      </c>
      <c r="C801" s="86" t="s">
        <v>3795</v>
      </c>
      <c r="D801" s="304">
        <f>_xlfn.IFNA(VLOOKUP(C801,Database!$D$5:$F$439,2,0),VLOOKUP(C801,logut!$C$4:$D$499,2,0))</f>
        <v>642312145</v>
      </c>
      <c r="E801" s="86" t="s">
        <v>5900</v>
      </c>
      <c r="G801" s="86" t="s">
        <v>1115</v>
      </c>
      <c r="H801" s="86" t="s">
        <v>5901</v>
      </c>
      <c r="I801" s="212">
        <v>45280</v>
      </c>
    </row>
    <row r="802" spans="2:10" x14ac:dyDescent="0.2">
      <c r="B802" s="86">
        <v>799</v>
      </c>
      <c r="C802" s="86" t="s">
        <v>3785</v>
      </c>
      <c r="D802" s="304">
        <f>_xlfn.IFNA(VLOOKUP(C802,Database!$D$5:$F$439,2,0),VLOOKUP(C802,logut!$C$4:$D$499,2,0))</f>
        <v>642312144</v>
      </c>
      <c r="E802" s="86" t="s">
        <v>5900</v>
      </c>
      <c r="G802" s="86" t="s">
        <v>1115</v>
      </c>
      <c r="H802" s="86" t="s">
        <v>5901</v>
      </c>
      <c r="I802" s="212">
        <v>45280</v>
      </c>
    </row>
    <row r="803" spans="2:10" x14ac:dyDescent="0.2">
      <c r="B803" s="86">
        <v>800</v>
      </c>
      <c r="C803" s="86" t="s">
        <v>3824</v>
      </c>
      <c r="D803" s="304">
        <f>_xlfn.IFNA(VLOOKUP(C803,Database!$D$5:$F$439,2,0),VLOOKUP(C803,logut!$C$4:$D$499,2,0))</f>
        <v>642312149</v>
      </c>
      <c r="E803" s="86" t="s">
        <v>5900</v>
      </c>
      <c r="G803" s="86" t="s">
        <v>1150</v>
      </c>
      <c r="H803" s="86" t="s">
        <v>5901</v>
      </c>
      <c r="I803" s="212">
        <v>45280</v>
      </c>
    </row>
    <row r="804" spans="2:10" x14ac:dyDescent="0.2">
      <c r="B804" s="86">
        <v>801</v>
      </c>
      <c r="C804" s="86" t="s">
        <v>105</v>
      </c>
      <c r="D804" s="304">
        <f>_xlfn.IFNA(VLOOKUP(C804,Database!$D$5:$F$439,2,0),VLOOKUP(C804,logut!$C$4:$D$499,2,0))</f>
        <v>991700061</v>
      </c>
      <c r="E804" s="86" t="s">
        <v>5900</v>
      </c>
      <c r="G804" s="86" t="s">
        <v>6111</v>
      </c>
      <c r="I804" s="212">
        <v>45282</v>
      </c>
      <c r="J804" s="86" t="s">
        <v>6181</v>
      </c>
    </row>
    <row r="805" spans="2:10" x14ac:dyDescent="0.2">
      <c r="B805" s="86">
        <v>802</v>
      </c>
      <c r="C805" s="86" t="s">
        <v>1843</v>
      </c>
      <c r="D805" s="304">
        <f>_xlfn.IFNA(VLOOKUP(C805,Database!$D$5:$F$439,2,0),VLOOKUP(C805,logut!$C$4:$D$499,2,0))</f>
        <v>641808176</v>
      </c>
      <c r="E805" s="86" t="s">
        <v>312</v>
      </c>
      <c r="G805" s="86" t="s">
        <v>41</v>
      </c>
      <c r="H805" s="86" t="s">
        <v>29</v>
      </c>
      <c r="I805" s="212">
        <v>45287</v>
      </c>
      <c r="J805" s="86" t="s">
        <v>6182</v>
      </c>
    </row>
    <row r="806" spans="2:10" x14ac:dyDescent="0.2">
      <c r="B806" s="86">
        <v>803</v>
      </c>
      <c r="C806" s="86" t="s">
        <v>2540</v>
      </c>
      <c r="D806" s="304">
        <f>_xlfn.IFNA(VLOOKUP(C806,Database!$D$5:$F$439,2,0),VLOOKUP(C806,logut!$C$4:$D$499,2,0))</f>
        <v>642002073</v>
      </c>
      <c r="E806" s="86" t="s">
        <v>312</v>
      </c>
      <c r="G806" s="86" t="s">
        <v>41</v>
      </c>
      <c r="H806" s="86" t="s">
        <v>29</v>
      </c>
      <c r="I806" s="212">
        <v>45287</v>
      </c>
      <c r="J806" s="86" t="s">
        <v>6182</v>
      </c>
    </row>
    <row r="807" spans="2:10" x14ac:dyDescent="0.2">
      <c r="B807" s="86">
        <v>804</v>
      </c>
      <c r="C807" s="86" t="s">
        <v>4141</v>
      </c>
      <c r="D807" s="304">
        <f>_xlfn.IFNA(VLOOKUP(C807,Database!$D$5:$F$439,2,0),VLOOKUP(C807,logut!$C$4:$D$499,2,0))</f>
        <v>642401202</v>
      </c>
      <c r="E807" s="86" t="s">
        <v>312</v>
      </c>
      <c r="G807" s="86" t="s">
        <v>6183</v>
      </c>
      <c r="H807" s="86" t="s">
        <v>217</v>
      </c>
      <c r="I807" s="212">
        <v>45295</v>
      </c>
      <c r="J807" s="86" t="s">
        <v>6184</v>
      </c>
    </row>
    <row r="808" spans="2:10" x14ac:dyDescent="0.2">
      <c r="B808" s="86">
        <v>805</v>
      </c>
      <c r="C808" s="86" t="s">
        <v>4116</v>
      </c>
      <c r="D808" s="304">
        <f>_xlfn.IFNA(VLOOKUP(C808,Database!$D$5:$F$439,2,0),VLOOKUP(C808,logut!$C$4:$D$499,2,0))</f>
        <v>642401199</v>
      </c>
      <c r="E808" s="86" t="s">
        <v>312</v>
      </c>
      <c r="G808" s="86" t="s">
        <v>6185</v>
      </c>
      <c r="H808" s="86" t="s">
        <v>32</v>
      </c>
      <c r="I808" s="212">
        <v>45295</v>
      </c>
      <c r="J808" s="86" t="s">
        <v>6184</v>
      </c>
    </row>
    <row r="809" spans="2:10" x14ac:dyDescent="0.2">
      <c r="B809" s="86">
        <v>806</v>
      </c>
      <c r="C809" s="86" t="s">
        <v>3842</v>
      </c>
      <c r="D809" s="304">
        <f>_xlfn.IFNA(VLOOKUP(C809,Database!$D$5:$F$439,2,0),VLOOKUP(C809,logut!$C$4:$D$499,2,0))</f>
        <v>642401152</v>
      </c>
      <c r="E809" s="86" t="s">
        <v>312</v>
      </c>
      <c r="G809" s="86" t="s">
        <v>6186</v>
      </c>
      <c r="H809" s="86" t="s">
        <v>6187</v>
      </c>
      <c r="I809" s="212">
        <v>45295</v>
      </c>
      <c r="J809" s="86" t="s">
        <v>6184</v>
      </c>
    </row>
    <row r="810" spans="2:10" x14ac:dyDescent="0.2">
      <c r="B810" s="86">
        <v>807</v>
      </c>
      <c r="C810" s="86" t="s">
        <v>3848</v>
      </c>
      <c r="D810" s="304">
        <f>_xlfn.IFNA(VLOOKUP(C810,Database!$D$5:$F$439,2,0),VLOOKUP(C810,logut!$C$4:$D$499,2,0))</f>
        <v>642401153</v>
      </c>
      <c r="E810" s="86" t="s">
        <v>6068</v>
      </c>
      <c r="G810" s="86" t="s">
        <v>6188</v>
      </c>
      <c r="H810" s="86" t="s">
        <v>217</v>
      </c>
      <c r="I810" s="212">
        <v>45295</v>
      </c>
      <c r="J810" s="86" t="s">
        <v>6184</v>
      </c>
    </row>
    <row r="811" spans="2:10" x14ac:dyDescent="0.2">
      <c r="B811" s="86">
        <v>808</v>
      </c>
      <c r="C811" s="86" t="s">
        <v>4110</v>
      </c>
      <c r="D811" s="304">
        <f>_xlfn.IFNA(VLOOKUP(C811,Database!$D$5:$F$439,2,0),VLOOKUP(C811,logut!$C$4:$D$499,2,0))</f>
        <v>642401198</v>
      </c>
      <c r="E811" s="86" t="s">
        <v>312</v>
      </c>
      <c r="G811" s="86" t="s">
        <v>177</v>
      </c>
      <c r="H811" s="86" t="s">
        <v>217</v>
      </c>
      <c r="I811" s="212">
        <v>45295</v>
      </c>
      <c r="J811" s="86" t="s">
        <v>6184</v>
      </c>
    </row>
    <row r="812" spans="2:10" x14ac:dyDescent="0.2">
      <c r="B812" s="86">
        <v>809</v>
      </c>
      <c r="C812" s="86" t="s">
        <v>3854</v>
      </c>
      <c r="D812" s="304">
        <f>_xlfn.IFNA(VLOOKUP(C812,Database!$D$5:$F$439,2,0),VLOOKUP(C812,logut!$C$4:$D$499,2,0))</f>
        <v>642401154</v>
      </c>
      <c r="E812" s="86" t="s">
        <v>312</v>
      </c>
      <c r="G812" s="86" t="s">
        <v>6186</v>
      </c>
      <c r="H812" s="86" t="s">
        <v>6187</v>
      </c>
      <c r="I812" s="212">
        <v>45295</v>
      </c>
      <c r="J812" s="86" t="s">
        <v>6184</v>
      </c>
    </row>
    <row r="813" spans="2:10" x14ac:dyDescent="0.2">
      <c r="B813" s="86">
        <v>810</v>
      </c>
      <c r="C813" s="86" t="s">
        <v>4130</v>
      </c>
      <c r="D813" s="304">
        <f>_xlfn.IFNA(VLOOKUP(C813,Database!$D$5:$F$439,2,0),VLOOKUP(C813,logut!$C$4:$D$499,2,0))</f>
        <v>642401201</v>
      </c>
      <c r="E813" s="86" t="s">
        <v>312</v>
      </c>
      <c r="G813" s="86" t="s">
        <v>6186</v>
      </c>
      <c r="H813" s="86" t="s">
        <v>6187</v>
      </c>
      <c r="I813" s="212">
        <v>45295</v>
      </c>
      <c r="J813" s="86" t="s">
        <v>6184</v>
      </c>
    </row>
    <row r="814" spans="2:10" x14ac:dyDescent="0.2">
      <c r="B814" s="86">
        <v>811</v>
      </c>
      <c r="C814" s="86" t="s">
        <v>3860</v>
      </c>
      <c r="D814" s="304">
        <f>_xlfn.IFNA(VLOOKUP(C814,Database!$D$5:$F$439,2,0),VLOOKUP(C814,logut!$C$4:$D$499,2,0))</f>
        <v>642401155</v>
      </c>
      <c r="E814" s="86" t="s">
        <v>6068</v>
      </c>
      <c r="G814" s="86" t="s">
        <v>6188</v>
      </c>
      <c r="H814" s="86" t="s">
        <v>217</v>
      </c>
      <c r="I814" s="212">
        <v>45295</v>
      </c>
      <c r="J814" s="86" t="s">
        <v>6184</v>
      </c>
    </row>
    <row r="815" spans="2:10" x14ac:dyDescent="0.2">
      <c r="B815" s="86">
        <v>812</v>
      </c>
      <c r="C815" s="86" t="s">
        <v>4078</v>
      </c>
      <c r="D815" s="304">
        <f>_xlfn.IFNA(VLOOKUP(C815,Database!$D$5:$F$439,2,0),VLOOKUP(C815,logut!$C$4:$D$499,2,0))</f>
        <v>642401193</v>
      </c>
      <c r="E815" s="86" t="s">
        <v>312</v>
      </c>
      <c r="G815" s="86" t="s">
        <v>177</v>
      </c>
      <c r="H815" s="86" t="s">
        <v>217</v>
      </c>
      <c r="I815" s="212">
        <v>45295</v>
      </c>
      <c r="J815" s="86" t="s">
        <v>6184</v>
      </c>
    </row>
    <row r="816" spans="2:10" x14ac:dyDescent="0.2">
      <c r="B816" s="86">
        <v>813</v>
      </c>
      <c r="C816" s="86" t="s">
        <v>3872</v>
      </c>
      <c r="D816" s="304">
        <f>_xlfn.IFNA(VLOOKUP(C816,Database!$D$5:$F$439,2,0),VLOOKUP(C816,logut!$C$4:$D$499,2,0))</f>
        <v>642401157</v>
      </c>
      <c r="E816" s="86" t="s">
        <v>6068</v>
      </c>
      <c r="G816" s="86" t="s">
        <v>6188</v>
      </c>
      <c r="H816" s="86" t="s">
        <v>217</v>
      </c>
      <c r="I816" s="212">
        <v>45295</v>
      </c>
      <c r="J816" s="86" t="s">
        <v>6184</v>
      </c>
    </row>
    <row r="817" spans="2:10" x14ac:dyDescent="0.2">
      <c r="B817" s="86">
        <v>814</v>
      </c>
      <c r="C817" s="86" t="s">
        <v>3878</v>
      </c>
      <c r="D817" s="304">
        <f>_xlfn.IFNA(VLOOKUP(C817,Database!$D$5:$F$439,2,0),VLOOKUP(C817,logut!$C$4:$D$499,2,0))</f>
        <v>642401158</v>
      </c>
      <c r="E817" s="86" t="s">
        <v>312</v>
      </c>
      <c r="G817" s="86" t="s">
        <v>6183</v>
      </c>
      <c r="H817" s="86" t="s">
        <v>217</v>
      </c>
      <c r="I817" s="212">
        <v>45295</v>
      </c>
      <c r="J817" s="86" t="s">
        <v>6184</v>
      </c>
    </row>
    <row r="818" spans="2:10" x14ac:dyDescent="0.2">
      <c r="B818" s="86">
        <v>815</v>
      </c>
      <c r="C818" s="86" t="s">
        <v>3885</v>
      </c>
      <c r="D818" s="304">
        <f>_xlfn.IFNA(VLOOKUP(C818,Database!$D$5:$F$439,2,0),VLOOKUP(C818,logut!$C$4:$D$499,2,0))</f>
        <v>642401159</v>
      </c>
      <c r="E818" s="86" t="s">
        <v>312</v>
      </c>
      <c r="G818" s="86" t="s">
        <v>6183</v>
      </c>
      <c r="H818" s="86" t="s">
        <v>217</v>
      </c>
      <c r="I818" s="212">
        <v>45295</v>
      </c>
      <c r="J818" s="86" t="s">
        <v>6184</v>
      </c>
    </row>
    <row r="819" spans="2:10" x14ac:dyDescent="0.2">
      <c r="B819" s="86">
        <v>816</v>
      </c>
      <c r="C819" s="86" t="s">
        <v>3891</v>
      </c>
      <c r="D819" s="304">
        <f>_xlfn.IFNA(VLOOKUP(C819,Database!$D$5:$F$439,2,0),VLOOKUP(C819,logut!$C$4:$D$499,2,0))</f>
        <v>642401160</v>
      </c>
      <c r="E819" s="86" t="s">
        <v>312</v>
      </c>
      <c r="G819" s="86" t="s">
        <v>6186</v>
      </c>
      <c r="H819" s="86" t="s">
        <v>6187</v>
      </c>
      <c r="I819" s="212">
        <v>45295</v>
      </c>
      <c r="J819" s="86" t="s">
        <v>6184</v>
      </c>
    </row>
    <row r="820" spans="2:10" x14ac:dyDescent="0.2">
      <c r="B820" s="86">
        <v>817</v>
      </c>
      <c r="C820" s="86" t="s">
        <v>3900</v>
      </c>
      <c r="D820" s="304">
        <f>_xlfn.IFNA(VLOOKUP(C820,Database!$D$5:$F$439,2,0),VLOOKUP(C820,logut!$C$4:$D$499,2,0))</f>
        <v>642401161</v>
      </c>
      <c r="E820" s="86" t="s">
        <v>312</v>
      </c>
      <c r="G820" s="86" t="s">
        <v>6186</v>
      </c>
      <c r="H820" s="86" t="s">
        <v>6187</v>
      </c>
      <c r="I820" s="212">
        <v>45295</v>
      </c>
      <c r="J820" s="86" t="s">
        <v>6184</v>
      </c>
    </row>
    <row r="821" spans="2:10" x14ac:dyDescent="0.2">
      <c r="B821" s="86">
        <v>818</v>
      </c>
      <c r="C821" s="86" t="s">
        <v>5725</v>
      </c>
      <c r="D821" s="304">
        <f>_xlfn.IFNA(VLOOKUP(C821,Database!$D$5:$F$439,2,0),VLOOKUP(C821,logut!$C$4:$D$499,2,0))</f>
        <v>642401190</v>
      </c>
      <c r="E821" s="86" t="s">
        <v>6068</v>
      </c>
      <c r="G821" s="86" t="s">
        <v>6188</v>
      </c>
      <c r="H821" s="86" t="s">
        <v>217</v>
      </c>
      <c r="I821" s="212">
        <v>45295</v>
      </c>
      <c r="J821" s="86" t="s">
        <v>6184</v>
      </c>
    </row>
    <row r="822" spans="2:10" x14ac:dyDescent="0.2">
      <c r="B822" s="86">
        <v>819</v>
      </c>
      <c r="C822" s="86" t="s">
        <v>3906</v>
      </c>
      <c r="D822" s="304">
        <f>_xlfn.IFNA(VLOOKUP(C822,Database!$D$5:$F$439,2,0),VLOOKUP(C822,logut!$C$4:$D$499,2,0))</f>
        <v>642401162</v>
      </c>
      <c r="E822" s="86" t="s">
        <v>312</v>
      </c>
      <c r="G822" s="86" t="s">
        <v>6183</v>
      </c>
      <c r="H822" s="86" t="s">
        <v>217</v>
      </c>
      <c r="I822" s="212">
        <v>45295</v>
      </c>
      <c r="J822" s="86" t="s">
        <v>6184</v>
      </c>
    </row>
    <row r="823" spans="2:10" x14ac:dyDescent="0.2">
      <c r="B823" s="86">
        <v>820</v>
      </c>
      <c r="C823" s="86" t="s">
        <v>1820</v>
      </c>
      <c r="D823" s="304">
        <f>_xlfn.IFNA(VLOOKUP(C823,Database!$D$5:$F$439,2,0),VLOOKUP(C823,logut!$C$4:$D$499,2,0))</f>
        <v>641807161</v>
      </c>
      <c r="E823" s="86" t="s">
        <v>140</v>
      </c>
      <c r="G823" s="86" t="s">
        <v>6188</v>
      </c>
      <c r="H823" s="86" t="s">
        <v>217</v>
      </c>
      <c r="I823" s="212">
        <v>45295</v>
      </c>
      <c r="J823" s="86" t="s">
        <v>6184</v>
      </c>
    </row>
    <row r="824" spans="2:10" x14ac:dyDescent="0.2">
      <c r="B824" s="86">
        <v>821</v>
      </c>
      <c r="C824" s="86" t="s">
        <v>3912</v>
      </c>
      <c r="D824" s="304">
        <f>_xlfn.IFNA(VLOOKUP(C824,Database!$D$5:$F$439,2,0),VLOOKUP(C824,logut!$C$4:$D$499,2,0))</f>
        <v>642401163</v>
      </c>
      <c r="E824" s="86" t="s">
        <v>312</v>
      </c>
      <c r="G824" s="86" t="s">
        <v>6186</v>
      </c>
      <c r="H824" s="86" t="s">
        <v>6187</v>
      </c>
      <c r="I824" s="212">
        <v>45295</v>
      </c>
      <c r="J824" s="86" t="s">
        <v>6184</v>
      </c>
    </row>
    <row r="825" spans="2:10" x14ac:dyDescent="0.2">
      <c r="B825" s="86">
        <v>822</v>
      </c>
      <c r="C825" s="86" t="s">
        <v>3924</v>
      </c>
      <c r="D825" s="304">
        <f>_xlfn.IFNA(VLOOKUP(C825,Database!$D$5:$F$439,2,0),VLOOKUP(C825,logut!$C$4:$D$499,2,0))</f>
        <v>642401165</v>
      </c>
      <c r="E825" s="86" t="s">
        <v>312</v>
      </c>
      <c r="G825" s="86" t="s">
        <v>6183</v>
      </c>
      <c r="H825" s="86" t="s">
        <v>217</v>
      </c>
      <c r="I825" s="212">
        <v>45295</v>
      </c>
      <c r="J825" s="86" t="s">
        <v>6184</v>
      </c>
    </row>
    <row r="826" spans="2:10" x14ac:dyDescent="0.2">
      <c r="B826" s="86">
        <v>823</v>
      </c>
      <c r="C826" s="86" t="s">
        <v>3918</v>
      </c>
      <c r="D826" s="304">
        <f>_xlfn.IFNA(VLOOKUP(C826,Database!$D$5:$F$439,2,0),VLOOKUP(C826,logut!$C$4:$D$499,2,0))</f>
        <v>642401164</v>
      </c>
      <c r="E826" s="86" t="s">
        <v>312</v>
      </c>
      <c r="G826" s="86" t="s">
        <v>177</v>
      </c>
      <c r="H826" s="86" t="s">
        <v>217</v>
      </c>
      <c r="I826" s="212">
        <v>45295</v>
      </c>
      <c r="J826" s="86" t="s">
        <v>6184</v>
      </c>
    </row>
    <row r="827" spans="2:10" x14ac:dyDescent="0.2">
      <c r="B827" s="86">
        <v>824</v>
      </c>
      <c r="C827" s="86" t="s">
        <v>3930</v>
      </c>
      <c r="D827" s="304">
        <f>_xlfn.IFNA(VLOOKUP(C827,Database!$D$5:$F$439,2,0),VLOOKUP(C827,logut!$C$4:$D$499,2,0))</f>
        <v>642401166</v>
      </c>
      <c r="E827" s="86" t="s">
        <v>312</v>
      </c>
      <c r="G827" s="86" t="s">
        <v>177</v>
      </c>
      <c r="H827" s="86" t="s">
        <v>217</v>
      </c>
      <c r="I827" s="212">
        <v>45295</v>
      </c>
      <c r="J827" s="86" t="s">
        <v>6184</v>
      </c>
    </row>
    <row r="828" spans="2:10" x14ac:dyDescent="0.2">
      <c r="B828" s="86">
        <v>825</v>
      </c>
      <c r="C828" s="86" t="s">
        <v>3936</v>
      </c>
      <c r="D828" s="304">
        <f>_xlfn.IFNA(VLOOKUP(C828,Database!$D$5:$F$439,2,0),VLOOKUP(C828,logut!$C$4:$D$499,2,0))</f>
        <v>642401167</v>
      </c>
      <c r="E828" s="86" t="s">
        <v>312</v>
      </c>
      <c r="G828" s="86" t="s">
        <v>6185</v>
      </c>
      <c r="H828" s="86" t="s">
        <v>32</v>
      </c>
      <c r="I828" s="212">
        <v>45295</v>
      </c>
      <c r="J828" s="86" t="s">
        <v>6184</v>
      </c>
    </row>
    <row r="829" spans="2:10" x14ac:dyDescent="0.2">
      <c r="B829" s="86">
        <v>826</v>
      </c>
      <c r="C829" s="86" t="s">
        <v>4148</v>
      </c>
      <c r="D829" s="304">
        <f>_xlfn.IFNA(VLOOKUP(C829,Database!$D$5:$F$439,2,0),VLOOKUP(C829,logut!$C$4:$D$499,2,0))</f>
        <v>642401203</v>
      </c>
      <c r="E829" s="86" t="s">
        <v>312</v>
      </c>
      <c r="G829" s="86" t="s">
        <v>6183</v>
      </c>
      <c r="H829" s="86" t="s">
        <v>217</v>
      </c>
      <c r="I829" s="212">
        <v>45295</v>
      </c>
      <c r="J829" s="86" t="s">
        <v>6184</v>
      </c>
    </row>
    <row r="830" spans="2:10" x14ac:dyDescent="0.2">
      <c r="B830" s="86">
        <v>827</v>
      </c>
      <c r="C830" s="86" t="s">
        <v>4103</v>
      </c>
      <c r="D830" s="304">
        <f>_xlfn.IFNA(VLOOKUP(C830,Database!$D$5:$F$439,2,0),VLOOKUP(C830,logut!$C$4:$D$499,2,0))</f>
        <v>642401197</v>
      </c>
      <c r="E830" s="86" t="s">
        <v>312</v>
      </c>
      <c r="G830" s="86" t="s">
        <v>177</v>
      </c>
      <c r="H830" s="86" t="s">
        <v>217</v>
      </c>
      <c r="I830" s="212">
        <v>45295</v>
      </c>
      <c r="J830" s="86" t="s">
        <v>6184</v>
      </c>
    </row>
    <row r="831" spans="2:10" x14ac:dyDescent="0.2">
      <c r="B831" s="86">
        <v>828</v>
      </c>
      <c r="C831" s="86" t="s">
        <v>3942</v>
      </c>
      <c r="D831" s="304">
        <f>_xlfn.IFNA(VLOOKUP(C831,Database!$D$5:$F$439,2,0),VLOOKUP(C831,logut!$C$4:$D$499,2,0))</f>
        <v>642401168</v>
      </c>
      <c r="E831" s="86" t="s">
        <v>312</v>
      </c>
      <c r="G831" s="86" t="s">
        <v>177</v>
      </c>
      <c r="H831" s="86" t="s">
        <v>217</v>
      </c>
      <c r="I831" s="212">
        <v>45295</v>
      </c>
      <c r="J831" s="86" t="s">
        <v>6184</v>
      </c>
    </row>
    <row r="832" spans="2:10" x14ac:dyDescent="0.2">
      <c r="B832" s="86">
        <v>829</v>
      </c>
      <c r="C832" s="86" t="s">
        <v>3948</v>
      </c>
      <c r="D832" s="304">
        <f>_xlfn.IFNA(VLOOKUP(C832,Database!$D$5:$F$439,2,0),VLOOKUP(C832,logut!$C$4:$D$499,2,0))</f>
        <v>642401169</v>
      </c>
      <c r="E832" s="86" t="s">
        <v>312</v>
      </c>
      <c r="G832" s="86" t="s">
        <v>177</v>
      </c>
      <c r="H832" s="86" t="s">
        <v>217</v>
      </c>
      <c r="I832" s="212">
        <v>45295</v>
      </c>
      <c r="J832" s="86" t="s">
        <v>6184</v>
      </c>
    </row>
    <row r="833" spans="2:10" x14ac:dyDescent="0.2">
      <c r="B833" s="86">
        <v>830</v>
      </c>
      <c r="C833" s="86" t="s">
        <v>3962</v>
      </c>
      <c r="D833" s="304" t="e">
        <f>_xlfn.IFNA(VLOOKUP(C833,Database!$D$5:$F$439,2,0),VLOOKUP(C833,logut!$C$4:$D$499,2,0))</f>
        <v>#N/A</v>
      </c>
      <c r="E833" s="86" t="s">
        <v>6068</v>
      </c>
      <c r="G833" s="86" t="s">
        <v>6188</v>
      </c>
      <c r="H833" s="86" t="s">
        <v>217</v>
      </c>
      <c r="I833" s="212">
        <v>45295</v>
      </c>
      <c r="J833" s="86" t="s">
        <v>6184</v>
      </c>
    </row>
    <row r="834" spans="2:10" x14ac:dyDescent="0.2">
      <c r="B834" s="86">
        <v>831</v>
      </c>
      <c r="C834" s="86" t="s">
        <v>4123</v>
      </c>
      <c r="D834" s="304">
        <f>_xlfn.IFNA(VLOOKUP(C834,Database!$D$5:$F$439,2,0),VLOOKUP(C834,logut!$C$4:$D$499,2,0))</f>
        <v>642401200</v>
      </c>
      <c r="E834" s="86" t="s">
        <v>312</v>
      </c>
      <c r="G834" s="86" t="s">
        <v>6186</v>
      </c>
      <c r="H834" s="86" t="s">
        <v>6187</v>
      </c>
      <c r="I834" s="212">
        <v>45295</v>
      </c>
      <c r="J834" s="86" t="s">
        <v>6184</v>
      </c>
    </row>
    <row r="835" spans="2:10" x14ac:dyDescent="0.2">
      <c r="B835" s="86">
        <v>832</v>
      </c>
      <c r="C835" s="86" t="s">
        <v>3955</v>
      </c>
      <c r="D835" s="304">
        <f>_xlfn.IFNA(VLOOKUP(C835,Database!$D$5:$F$439,2,0),VLOOKUP(C835,logut!$C$4:$D$499,2,0))</f>
        <v>642401170</v>
      </c>
      <c r="E835" s="86" t="s">
        <v>312</v>
      </c>
      <c r="G835" s="86" t="s">
        <v>177</v>
      </c>
      <c r="H835" s="86" t="s">
        <v>217</v>
      </c>
      <c r="I835" s="212">
        <v>45295</v>
      </c>
      <c r="J835" s="86" t="s">
        <v>6184</v>
      </c>
    </row>
    <row r="836" spans="2:10" x14ac:dyDescent="0.2">
      <c r="B836" s="86">
        <v>833</v>
      </c>
      <c r="C836" s="86" t="s">
        <v>4097</v>
      </c>
      <c r="D836" s="304">
        <f>_xlfn.IFNA(VLOOKUP(C836,Database!$D$5:$F$439,2,0),VLOOKUP(C836,logut!$C$4:$D$499,2,0))</f>
        <v>642401196</v>
      </c>
      <c r="E836" s="86" t="s">
        <v>312</v>
      </c>
      <c r="G836" s="86" t="s">
        <v>177</v>
      </c>
      <c r="H836" s="86" t="s">
        <v>217</v>
      </c>
      <c r="I836" s="212">
        <v>45295</v>
      </c>
      <c r="J836" s="86" t="s">
        <v>6184</v>
      </c>
    </row>
    <row r="837" spans="2:10" x14ac:dyDescent="0.2">
      <c r="B837" s="86">
        <v>834</v>
      </c>
      <c r="C837" s="86" t="s">
        <v>3980</v>
      </c>
      <c r="D837" s="304">
        <f>_xlfn.IFNA(VLOOKUP(C837,Database!$D$5:$F$439,2,0),VLOOKUP(C837,logut!$C$4:$D$499,2,0))</f>
        <v>642401174</v>
      </c>
      <c r="E837" s="86" t="s">
        <v>312</v>
      </c>
      <c r="G837" s="86" t="s">
        <v>177</v>
      </c>
      <c r="H837" s="86" t="s">
        <v>217</v>
      </c>
      <c r="I837" s="212">
        <v>45295</v>
      </c>
      <c r="J837" s="86" t="s">
        <v>6184</v>
      </c>
    </row>
    <row r="838" spans="2:10" x14ac:dyDescent="0.2">
      <c r="B838" s="86">
        <v>835</v>
      </c>
      <c r="C838" s="86" t="s">
        <v>3974</v>
      </c>
      <c r="D838" s="304">
        <f>_xlfn.IFNA(VLOOKUP(C838,Database!$D$5:$F$439,2,0),VLOOKUP(C838,logut!$C$4:$D$499,2,0))</f>
        <v>642401173</v>
      </c>
      <c r="E838" s="86" t="s">
        <v>6068</v>
      </c>
      <c r="G838" s="86" t="s">
        <v>6188</v>
      </c>
      <c r="H838" s="86" t="s">
        <v>217</v>
      </c>
      <c r="I838" s="212">
        <v>45295</v>
      </c>
      <c r="J838" s="86" t="s">
        <v>6184</v>
      </c>
    </row>
    <row r="839" spans="2:10" x14ac:dyDescent="0.2">
      <c r="B839" s="86">
        <v>836</v>
      </c>
      <c r="C839" s="86" t="s">
        <v>3968</v>
      </c>
      <c r="D839" s="304">
        <f>_xlfn.IFNA(VLOOKUP(C839,Database!$D$5:$F$439,2,0),VLOOKUP(C839,logut!$C$4:$D$499,2,0))</f>
        <v>642401172</v>
      </c>
      <c r="E839" s="86" t="s">
        <v>312</v>
      </c>
      <c r="G839" s="86" t="s">
        <v>6186</v>
      </c>
      <c r="H839" s="86" t="s">
        <v>6187</v>
      </c>
      <c r="I839" s="212">
        <v>45295</v>
      </c>
      <c r="J839" s="86" t="s">
        <v>6184</v>
      </c>
    </row>
    <row r="840" spans="2:10" x14ac:dyDescent="0.2">
      <c r="B840" s="86">
        <v>837</v>
      </c>
      <c r="C840" s="86" t="s">
        <v>4058</v>
      </c>
      <c r="D840" s="304">
        <f>_xlfn.IFNA(VLOOKUP(C840,Database!$D$5:$F$439,2,0),VLOOKUP(C840,logut!$C$4:$D$499,2,0))</f>
        <v>642401189</v>
      </c>
      <c r="E840" s="86" t="s">
        <v>6068</v>
      </c>
      <c r="G840" s="86" t="s">
        <v>6188</v>
      </c>
      <c r="H840" s="86" t="s">
        <v>217</v>
      </c>
      <c r="I840" s="212">
        <v>45295</v>
      </c>
      <c r="J840" s="86" t="s">
        <v>6184</v>
      </c>
    </row>
    <row r="841" spans="2:10" x14ac:dyDescent="0.2">
      <c r="B841" s="86">
        <v>838</v>
      </c>
      <c r="C841" s="86" t="s">
        <v>1303</v>
      </c>
      <c r="D841" s="304">
        <f>_xlfn.IFNA(VLOOKUP(C841,Database!$D$5:$F$439,2,0),VLOOKUP(C841,logut!$C$4:$D$499,2,0))</f>
        <v>642001039</v>
      </c>
      <c r="E841" s="86" t="s">
        <v>312</v>
      </c>
      <c r="G841" s="86" t="s">
        <v>6189</v>
      </c>
      <c r="H841" s="86" t="s">
        <v>217</v>
      </c>
      <c r="I841" s="212">
        <v>45295</v>
      </c>
      <c r="J841" s="86" t="s">
        <v>6184</v>
      </c>
    </row>
    <row r="842" spans="2:10" x14ac:dyDescent="0.2">
      <c r="B842" s="86">
        <v>839</v>
      </c>
      <c r="C842" s="86" t="s">
        <v>5814</v>
      </c>
      <c r="D842" s="304">
        <f>_xlfn.IFNA(VLOOKUP(C842,Database!$D$5:$F$439,2,0),VLOOKUP(C842,logut!$C$4:$D$499,2,0))</f>
        <v>642401175</v>
      </c>
      <c r="E842" s="86" t="s">
        <v>312</v>
      </c>
      <c r="G842" s="86" t="s">
        <v>6183</v>
      </c>
      <c r="H842" s="86" t="s">
        <v>217</v>
      </c>
      <c r="I842" s="212">
        <v>45295</v>
      </c>
      <c r="J842" s="86" t="s">
        <v>6184</v>
      </c>
    </row>
    <row r="843" spans="2:10" x14ac:dyDescent="0.2">
      <c r="B843" s="86">
        <v>840</v>
      </c>
      <c r="C843" s="86" t="s">
        <v>1425</v>
      </c>
      <c r="D843" s="304">
        <f>_xlfn.IFNA(VLOOKUP(C843,Database!$D$5:$F$439,2,0),VLOOKUP(C843,logut!$C$4:$D$499,2,0))</f>
        <v>642001032</v>
      </c>
      <c r="E843" s="86" t="s">
        <v>6068</v>
      </c>
      <c r="G843" s="86" t="s">
        <v>6188</v>
      </c>
      <c r="H843" s="86" t="s">
        <v>217</v>
      </c>
      <c r="I843" s="212">
        <v>45295</v>
      </c>
      <c r="J843" s="86" t="s">
        <v>6184</v>
      </c>
    </row>
    <row r="844" spans="2:10" x14ac:dyDescent="0.2">
      <c r="B844" s="86">
        <v>841</v>
      </c>
      <c r="C844" s="86" t="s">
        <v>913</v>
      </c>
      <c r="D844" s="304">
        <f>_xlfn.IFNA(VLOOKUP(C844,Database!$D$5:$F$439,2,0),VLOOKUP(C844,logut!$C$4:$D$499,2,0))</f>
        <v>642001061</v>
      </c>
      <c r="E844" s="86" t="s">
        <v>312</v>
      </c>
      <c r="G844" s="86" t="s">
        <v>6189</v>
      </c>
      <c r="H844" s="86" t="s">
        <v>217</v>
      </c>
      <c r="I844" s="212">
        <v>45295</v>
      </c>
      <c r="J844" s="86" t="s">
        <v>6184</v>
      </c>
    </row>
    <row r="845" spans="2:10" x14ac:dyDescent="0.2">
      <c r="B845" s="86">
        <v>842</v>
      </c>
      <c r="C845" s="86" t="s">
        <v>3866</v>
      </c>
      <c r="D845" s="304">
        <f>_xlfn.IFNA(VLOOKUP(C845,Database!$D$5:$F$439,2,0),VLOOKUP(C845,logut!$C$4:$D$499,2,0))</f>
        <v>642401156</v>
      </c>
      <c r="E845" s="86" t="s">
        <v>312</v>
      </c>
      <c r="G845" s="86" t="s">
        <v>177</v>
      </c>
      <c r="H845" s="86" t="s">
        <v>217</v>
      </c>
      <c r="I845" s="212">
        <v>45295</v>
      </c>
      <c r="J845" s="86" t="s">
        <v>6184</v>
      </c>
    </row>
    <row r="846" spans="2:10" x14ac:dyDescent="0.2">
      <c r="B846" s="86">
        <v>843</v>
      </c>
      <c r="C846" s="86" t="s">
        <v>3986</v>
      </c>
      <c r="D846" s="304">
        <f>_xlfn.IFNA(VLOOKUP(C846,Database!$D$5:$F$439,2,0),VLOOKUP(C846,logut!$C$4:$D$499,2,0))</f>
        <v>642401177</v>
      </c>
      <c r="E846" s="86" t="s">
        <v>312</v>
      </c>
      <c r="G846" s="86" t="s">
        <v>6185</v>
      </c>
      <c r="H846" s="86" t="s">
        <v>32</v>
      </c>
      <c r="I846" s="212">
        <v>45295</v>
      </c>
      <c r="J846" s="86" t="s">
        <v>6184</v>
      </c>
    </row>
    <row r="847" spans="2:10" x14ac:dyDescent="0.2">
      <c r="B847" s="86">
        <v>844</v>
      </c>
      <c r="C847" s="86" t="s">
        <v>4065</v>
      </c>
      <c r="D847" s="304">
        <f>_xlfn.IFNA(VLOOKUP(C847,Database!$D$5:$F$439,2,0),VLOOKUP(C847,logut!$C$4:$D$499,2,0))</f>
        <v>642401191</v>
      </c>
      <c r="E847" s="86" t="s">
        <v>6068</v>
      </c>
      <c r="G847" s="86" t="s">
        <v>6188</v>
      </c>
      <c r="H847" s="86" t="s">
        <v>217</v>
      </c>
      <c r="I847" s="212">
        <v>45295</v>
      </c>
      <c r="J847" s="86" t="s">
        <v>6184</v>
      </c>
    </row>
    <row r="848" spans="2:10" x14ac:dyDescent="0.2">
      <c r="B848" s="86">
        <v>845</v>
      </c>
      <c r="C848" s="86" t="s">
        <v>4051</v>
      </c>
      <c r="D848" s="304">
        <f>_xlfn.IFNA(VLOOKUP(C848,Database!$D$5:$F$439,2,0),VLOOKUP(C848,logut!$C$4:$D$499,2,0))</f>
        <v>642401188</v>
      </c>
      <c r="E848" s="86" t="s">
        <v>6068</v>
      </c>
      <c r="G848" s="86" t="s">
        <v>6188</v>
      </c>
      <c r="H848" s="86" t="s">
        <v>217</v>
      </c>
      <c r="I848" s="212">
        <v>45295</v>
      </c>
      <c r="J848" s="86" t="s">
        <v>6184</v>
      </c>
    </row>
    <row r="849" spans="2:10" x14ac:dyDescent="0.2">
      <c r="B849" s="86">
        <v>846</v>
      </c>
      <c r="C849" s="86" t="s">
        <v>4071</v>
      </c>
      <c r="D849" s="304">
        <f>_xlfn.IFNA(VLOOKUP(C849,Database!$D$5:$F$439,2,0),VLOOKUP(C849,logut!$C$4:$D$499,2,0))</f>
        <v>642401192</v>
      </c>
      <c r="E849" s="86" t="s">
        <v>312</v>
      </c>
      <c r="G849" s="86" t="s">
        <v>177</v>
      </c>
      <c r="H849" s="86" t="s">
        <v>217</v>
      </c>
      <c r="I849" s="212">
        <v>45295</v>
      </c>
      <c r="J849" s="86" t="s">
        <v>6184</v>
      </c>
    </row>
    <row r="850" spans="2:10" x14ac:dyDescent="0.2">
      <c r="B850" s="86">
        <v>847</v>
      </c>
      <c r="C850" s="86" t="s">
        <v>3993</v>
      </c>
      <c r="D850" s="304">
        <f>_xlfn.IFNA(VLOOKUP(C850,Database!$D$5:$F$439,2,0),VLOOKUP(C850,logut!$C$4:$D$499,2,0))</f>
        <v>642401178</v>
      </c>
      <c r="E850" s="86" t="s">
        <v>312</v>
      </c>
      <c r="G850" s="86" t="s">
        <v>177</v>
      </c>
      <c r="H850" s="86" t="s">
        <v>217</v>
      </c>
      <c r="I850" s="212">
        <v>45295</v>
      </c>
      <c r="J850" s="86" t="s">
        <v>6184</v>
      </c>
    </row>
    <row r="851" spans="2:10" x14ac:dyDescent="0.2">
      <c r="B851" s="86">
        <v>848</v>
      </c>
      <c r="C851" s="86" t="s">
        <v>4090</v>
      </c>
      <c r="D851" s="304">
        <f>_xlfn.IFNA(VLOOKUP(C851,Database!$D$5:$F$439,2,0),VLOOKUP(C851,logut!$C$4:$D$499,2,0))</f>
        <v>642401195</v>
      </c>
      <c r="E851" s="86" t="s">
        <v>312</v>
      </c>
      <c r="G851" s="86" t="s">
        <v>177</v>
      </c>
      <c r="H851" s="86" t="s">
        <v>217</v>
      </c>
      <c r="I851" s="212">
        <v>45295</v>
      </c>
      <c r="J851" s="86" t="s">
        <v>6184</v>
      </c>
    </row>
    <row r="852" spans="2:10" x14ac:dyDescent="0.2">
      <c r="B852" s="86">
        <v>849</v>
      </c>
      <c r="C852" s="86" t="s">
        <v>5756</v>
      </c>
      <c r="D852" s="304">
        <f>_xlfn.IFNA(VLOOKUP(C852,Database!$D$5:$F$439,2,0),VLOOKUP(C852,logut!$C$4:$D$499,2,0))</f>
        <v>642401179</v>
      </c>
      <c r="E852" s="86" t="s">
        <v>312</v>
      </c>
      <c r="G852" s="86" t="s">
        <v>6186</v>
      </c>
      <c r="H852" s="86" t="s">
        <v>6187</v>
      </c>
      <c r="I852" s="212">
        <v>45295</v>
      </c>
      <c r="J852" s="86" t="s">
        <v>6184</v>
      </c>
    </row>
    <row r="853" spans="2:10" x14ac:dyDescent="0.2">
      <c r="B853" s="86">
        <v>850</v>
      </c>
      <c r="C853" s="86" t="s">
        <v>4017</v>
      </c>
      <c r="D853" s="304">
        <f>_xlfn.IFNA(VLOOKUP(C853,Database!$D$5:$F$439,2,0),VLOOKUP(C853,logut!$C$4:$D$499,2,0))</f>
        <v>642401183</v>
      </c>
      <c r="E853" s="86" t="s">
        <v>312</v>
      </c>
      <c r="G853" s="86" t="s">
        <v>6183</v>
      </c>
      <c r="H853" s="86" t="s">
        <v>217</v>
      </c>
      <c r="I853" s="212">
        <v>45295</v>
      </c>
      <c r="J853" s="86" t="s">
        <v>6184</v>
      </c>
    </row>
    <row r="854" spans="2:10" x14ac:dyDescent="0.2">
      <c r="B854" s="86">
        <v>851</v>
      </c>
      <c r="C854" s="86" t="s">
        <v>4084</v>
      </c>
      <c r="D854" s="304">
        <f>_xlfn.IFNA(VLOOKUP(C854,Database!$D$5:$F$439,2,0),VLOOKUP(C854,logut!$C$4:$D$499,2,0))</f>
        <v>642401194</v>
      </c>
      <c r="E854" s="86" t="s">
        <v>312</v>
      </c>
      <c r="G854" s="86" t="s">
        <v>177</v>
      </c>
      <c r="H854" s="86" t="s">
        <v>217</v>
      </c>
      <c r="I854" s="212">
        <v>45295</v>
      </c>
      <c r="J854" s="86" t="s">
        <v>6184</v>
      </c>
    </row>
    <row r="855" spans="2:10" x14ac:dyDescent="0.2">
      <c r="B855" s="86">
        <v>852</v>
      </c>
      <c r="C855" s="86" t="s">
        <v>3998</v>
      </c>
      <c r="D855" s="304">
        <f>_xlfn.IFNA(VLOOKUP(C855,Database!$D$5:$F$439,2,0),VLOOKUP(C855,logut!$C$4:$D$499,2,0))</f>
        <v>642401180</v>
      </c>
      <c r="E855" s="86" t="s">
        <v>312</v>
      </c>
      <c r="G855" s="86" t="s">
        <v>6183</v>
      </c>
      <c r="H855" s="86" t="s">
        <v>217</v>
      </c>
      <c r="I855" s="212">
        <v>45295</v>
      </c>
      <c r="J855" s="86" t="s">
        <v>6184</v>
      </c>
    </row>
    <row r="856" spans="2:10" x14ac:dyDescent="0.2">
      <c r="B856" s="86">
        <v>853</v>
      </c>
      <c r="C856" s="86" t="s">
        <v>4045</v>
      </c>
      <c r="D856" s="304">
        <f>_xlfn.IFNA(VLOOKUP(C856,Database!$D$5:$F$439,2,0),VLOOKUP(C856,logut!$C$4:$D$499,2,0))</f>
        <v>642401187</v>
      </c>
      <c r="E856" s="86" t="s">
        <v>312</v>
      </c>
      <c r="G856" s="86" t="s">
        <v>6183</v>
      </c>
      <c r="H856" s="86" t="s">
        <v>217</v>
      </c>
      <c r="I856" s="212">
        <v>45295</v>
      </c>
      <c r="J856" s="86" t="s">
        <v>6184</v>
      </c>
    </row>
    <row r="857" spans="2:10" x14ac:dyDescent="0.2">
      <c r="B857" s="86">
        <v>854</v>
      </c>
      <c r="C857" s="86" t="s">
        <v>1226</v>
      </c>
      <c r="D857" s="304">
        <f>_xlfn.IFNA(VLOOKUP(C857,Database!$D$5:$F$439,2,0),VLOOKUP(C857,logut!$C$4:$D$499,2,0))</f>
        <v>642001038</v>
      </c>
      <c r="E857" s="86" t="s">
        <v>140</v>
      </c>
      <c r="G857" s="86" t="s">
        <v>6188</v>
      </c>
      <c r="H857" s="86" t="s">
        <v>217</v>
      </c>
      <c r="I857" s="212">
        <v>45295</v>
      </c>
      <c r="J857" s="86" t="s">
        <v>6184</v>
      </c>
    </row>
    <row r="858" spans="2:10" x14ac:dyDescent="0.2">
      <c r="B858" s="86">
        <v>855</v>
      </c>
      <c r="C858" s="86" t="s">
        <v>4004</v>
      </c>
      <c r="D858" s="304">
        <f>_xlfn.IFNA(VLOOKUP(C858,Database!$D$5:$F$439,2,0),VLOOKUP(C858,logut!$C$4:$D$499,2,0))</f>
        <v>642401181</v>
      </c>
      <c r="E858" s="86" t="s">
        <v>312</v>
      </c>
      <c r="G858" s="86" t="s">
        <v>6183</v>
      </c>
      <c r="H858" s="86" t="s">
        <v>217</v>
      </c>
      <c r="I858" s="212">
        <v>45295</v>
      </c>
      <c r="J858" s="86" t="s">
        <v>6184</v>
      </c>
    </row>
    <row r="859" spans="2:10" x14ac:dyDescent="0.2">
      <c r="B859" s="86">
        <v>856</v>
      </c>
      <c r="C859" s="86" t="s">
        <v>3832</v>
      </c>
      <c r="D859" s="304">
        <f>_xlfn.IFNA(VLOOKUP(C859,Database!$D$5:$F$439,2,0),VLOOKUP(C859,logut!$C$4:$D$499,2,0))</f>
        <v>642401151</v>
      </c>
      <c r="E859" s="86" t="s">
        <v>312</v>
      </c>
      <c r="G859" s="86" t="s">
        <v>6185</v>
      </c>
      <c r="H859" s="86" t="s">
        <v>32</v>
      </c>
      <c r="I859" s="212">
        <v>45295</v>
      </c>
      <c r="J859" s="86" t="s">
        <v>6184</v>
      </c>
    </row>
    <row r="860" spans="2:10" x14ac:dyDescent="0.2">
      <c r="B860" s="86">
        <v>857</v>
      </c>
      <c r="C860" s="86" t="s">
        <v>4011</v>
      </c>
      <c r="D860" s="304">
        <f>_xlfn.IFNA(VLOOKUP(C860,Database!$D$5:$F$439,2,0),VLOOKUP(C860,logut!$C$4:$D$499,2,0))</f>
        <v>642401182</v>
      </c>
      <c r="E860" s="86" t="s">
        <v>312</v>
      </c>
      <c r="G860" s="86" t="s">
        <v>6183</v>
      </c>
      <c r="H860" s="86" t="s">
        <v>217</v>
      </c>
      <c r="I860" s="212">
        <v>45295</v>
      </c>
      <c r="J860" s="86" t="s">
        <v>6184</v>
      </c>
    </row>
    <row r="861" spans="2:10" x14ac:dyDescent="0.2">
      <c r="B861" s="86">
        <v>858</v>
      </c>
      <c r="C861" s="86" t="s">
        <v>4027</v>
      </c>
      <c r="D861" s="304">
        <f>_xlfn.IFNA(VLOOKUP(C861,Database!$D$5:$F$439,2,0),VLOOKUP(C861,logut!$C$4:$D$499,2,0))</f>
        <v>642401184</v>
      </c>
      <c r="E861" s="86" t="s">
        <v>6068</v>
      </c>
      <c r="G861" s="86" t="s">
        <v>6188</v>
      </c>
      <c r="H861" s="86" t="s">
        <v>217</v>
      </c>
      <c r="I861" s="212">
        <v>45295</v>
      </c>
      <c r="J861" s="86" t="s">
        <v>6184</v>
      </c>
    </row>
    <row r="862" spans="2:10" x14ac:dyDescent="0.2">
      <c r="B862" s="86">
        <v>859</v>
      </c>
      <c r="C862" s="86" t="s">
        <v>4033</v>
      </c>
      <c r="D862" s="304">
        <f>_xlfn.IFNA(VLOOKUP(C862,Database!$D$5:$F$439,2,0),VLOOKUP(C862,logut!$C$4:$D$499,2,0))</f>
        <v>642401185</v>
      </c>
      <c r="E862" s="86" t="s">
        <v>6068</v>
      </c>
      <c r="G862" s="86" t="s">
        <v>6188</v>
      </c>
      <c r="H862" s="86" t="s">
        <v>217</v>
      </c>
      <c r="I862" s="212">
        <v>45295</v>
      </c>
      <c r="J862" s="86" t="s">
        <v>6184</v>
      </c>
    </row>
    <row r="863" spans="2:10" x14ac:dyDescent="0.2">
      <c r="B863" s="86">
        <v>860</v>
      </c>
      <c r="C863" s="86" t="s">
        <v>4039</v>
      </c>
      <c r="D863" s="304">
        <f>_xlfn.IFNA(VLOOKUP(C863,Database!$D$5:$F$439,2,0),VLOOKUP(C863,logut!$C$4:$D$499,2,0))</f>
        <v>642401186</v>
      </c>
      <c r="E863" s="86" t="s">
        <v>6068</v>
      </c>
      <c r="G863" s="86" t="s">
        <v>6188</v>
      </c>
      <c r="H863" s="86" t="s">
        <v>217</v>
      </c>
      <c r="I863" s="212">
        <v>45295</v>
      </c>
      <c r="J863" s="86" t="s">
        <v>6184</v>
      </c>
    </row>
    <row r="864" spans="2:10" x14ac:dyDescent="0.2">
      <c r="B864" s="86">
        <v>861</v>
      </c>
      <c r="C864" s="86" t="s">
        <v>3885</v>
      </c>
      <c r="D864" s="304">
        <f>_xlfn.IFNA(VLOOKUP(C864,Database!$D$5:$F$439,2,0),VLOOKUP(C864,logut!$C$4:$D$499,2,0))</f>
        <v>642401159</v>
      </c>
      <c r="E864" s="86" t="s">
        <v>312</v>
      </c>
      <c r="G864" s="86" t="s">
        <v>6183</v>
      </c>
      <c r="H864" s="86" t="s">
        <v>27</v>
      </c>
      <c r="I864" s="212">
        <v>45303</v>
      </c>
      <c r="J864" s="86" t="s">
        <v>6190</v>
      </c>
    </row>
    <row r="865" spans="2:10" x14ac:dyDescent="0.2">
      <c r="B865" s="86">
        <v>862</v>
      </c>
      <c r="C865" s="86" t="s">
        <v>1262</v>
      </c>
      <c r="D865" s="304">
        <f>_xlfn.IFNA(VLOOKUP(C865,Database!$D$5:$F$439,2,0),VLOOKUP(C865,logut!$C$4:$D$499,2,0))</f>
        <v>642001043</v>
      </c>
      <c r="E865" s="86" t="s">
        <v>312</v>
      </c>
      <c r="G865" s="86" t="s">
        <v>6183</v>
      </c>
      <c r="H865" s="86" t="s">
        <v>27</v>
      </c>
      <c r="I865" s="212">
        <v>45303</v>
      </c>
      <c r="J865" s="86" t="s">
        <v>6190</v>
      </c>
    </row>
    <row r="866" spans="2:10" x14ac:dyDescent="0.2">
      <c r="B866" s="86">
        <v>863</v>
      </c>
      <c r="C866" s="86" t="s">
        <v>3906</v>
      </c>
      <c r="D866" s="304">
        <f>_xlfn.IFNA(VLOOKUP(C866,Database!$D$5:$F$439,2,0),VLOOKUP(C866,logut!$C$4:$D$499,2,0))</f>
        <v>642401162</v>
      </c>
      <c r="E866" s="86" t="s">
        <v>312</v>
      </c>
      <c r="G866" s="86" t="s">
        <v>6183</v>
      </c>
      <c r="H866" s="86" t="s">
        <v>27</v>
      </c>
      <c r="I866" s="212">
        <v>45303</v>
      </c>
      <c r="J866" s="86" t="s">
        <v>6190</v>
      </c>
    </row>
    <row r="867" spans="2:10" x14ac:dyDescent="0.2">
      <c r="B867" s="86">
        <v>864</v>
      </c>
      <c r="C867" s="86" t="s">
        <v>3558</v>
      </c>
      <c r="D867" s="304">
        <f>_xlfn.IFNA(VLOOKUP(C867,Database!$D$5:$F$439,2,0),VLOOKUP(C867,logut!$C$4:$D$499,2,0))</f>
        <v>642301190</v>
      </c>
      <c r="E867" s="86" t="s">
        <v>312</v>
      </c>
      <c r="G867" s="86" t="s">
        <v>6183</v>
      </c>
      <c r="H867" s="86" t="s">
        <v>33</v>
      </c>
      <c r="I867" s="212">
        <v>45303</v>
      </c>
      <c r="J867" s="86" t="s">
        <v>6190</v>
      </c>
    </row>
    <row r="868" spans="2:10" x14ac:dyDescent="0.2">
      <c r="B868" s="86">
        <v>865</v>
      </c>
      <c r="C868" s="86" t="s">
        <v>5814</v>
      </c>
      <c r="D868" s="304">
        <f>_xlfn.IFNA(VLOOKUP(C868,Database!$D$5:$F$439,2,0),VLOOKUP(C868,logut!$C$4:$D$499,2,0))</f>
        <v>642401175</v>
      </c>
      <c r="E868" s="86" t="s">
        <v>312</v>
      </c>
      <c r="G868" s="86" t="s">
        <v>6183</v>
      </c>
      <c r="H868" s="86" t="s">
        <v>33</v>
      </c>
      <c r="I868" s="212">
        <v>45303</v>
      </c>
      <c r="J868" s="86" t="s">
        <v>6190</v>
      </c>
    </row>
    <row r="869" spans="2:10" x14ac:dyDescent="0.2">
      <c r="B869" s="86">
        <v>866</v>
      </c>
      <c r="C869" s="86" t="s">
        <v>4045</v>
      </c>
      <c r="D869" s="304">
        <f>_xlfn.IFNA(VLOOKUP(C869,Database!$D$5:$F$439,2,0),VLOOKUP(C869,logut!$C$4:$D$499,2,0))</f>
        <v>642401187</v>
      </c>
      <c r="E869" s="86" t="s">
        <v>312</v>
      </c>
      <c r="G869" s="86" t="s">
        <v>6183</v>
      </c>
      <c r="H869" s="86" t="s">
        <v>33</v>
      </c>
      <c r="I869" s="212">
        <v>45303</v>
      </c>
      <c r="J869" s="86" t="s">
        <v>6190</v>
      </c>
    </row>
    <row r="870" spans="2:10" x14ac:dyDescent="0.2">
      <c r="B870" s="86">
        <v>867</v>
      </c>
      <c r="C870" s="86" t="s">
        <v>4004</v>
      </c>
      <c r="D870" s="304">
        <f>_xlfn.IFNA(VLOOKUP(C870,Database!$D$5:$F$439,2,0),VLOOKUP(C870,logut!$C$4:$D$499,2,0))</f>
        <v>642401181</v>
      </c>
      <c r="E870" s="86" t="s">
        <v>312</v>
      </c>
      <c r="G870" s="86" t="s">
        <v>6183</v>
      </c>
      <c r="H870" s="86" t="s">
        <v>27</v>
      </c>
      <c r="I870" s="212">
        <v>45303</v>
      </c>
      <c r="J870" s="86" t="s">
        <v>6190</v>
      </c>
    </row>
    <row r="871" spans="2:10" x14ac:dyDescent="0.2">
      <c r="B871" s="86">
        <v>868</v>
      </c>
      <c r="C871" s="86" t="s">
        <v>4011</v>
      </c>
      <c r="D871" s="304">
        <f>_xlfn.IFNA(VLOOKUP(C871,Database!$D$5:$F$439,2,0),VLOOKUP(C871,logut!$C$4:$D$499,2,0))</f>
        <v>642401182</v>
      </c>
      <c r="E871" s="86" t="s">
        <v>312</v>
      </c>
      <c r="G871" s="86" t="s">
        <v>6183</v>
      </c>
      <c r="H871" s="86" t="s">
        <v>33</v>
      </c>
      <c r="I871" s="212">
        <v>45303</v>
      </c>
      <c r="J871" s="86" t="s">
        <v>6190</v>
      </c>
    </row>
    <row r="872" spans="2:10" x14ac:dyDescent="0.2">
      <c r="B872" s="86">
        <v>869</v>
      </c>
      <c r="C872" s="86" t="s">
        <v>90</v>
      </c>
      <c r="D872" s="304">
        <f>_xlfn.IFNA(VLOOKUP(C872,Database!$D$5:$F$439,2,0),VLOOKUP(C872,logut!$C$4:$D$499,2,0))</f>
        <v>999200022</v>
      </c>
      <c r="E872" s="86" t="s">
        <v>142</v>
      </c>
      <c r="G872" s="86" t="s">
        <v>59</v>
      </c>
      <c r="H872" s="86" t="s">
        <v>5901</v>
      </c>
      <c r="I872" s="212">
        <v>45303</v>
      </c>
      <c r="J872" s="86" t="s">
        <v>5676</v>
      </c>
    </row>
    <row r="873" spans="2:10" x14ac:dyDescent="0.2">
      <c r="B873" s="86">
        <v>870</v>
      </c>
      <c r="C873" s="86" t="s">
        <v>2674</v>
      </c>
      <c r="D873" s="304">
        <f>_xlfn.IFNA(VLOOKUP(C873,Database!$D$5:$F$439,2,0),VLOOKUP(C873,logut!$C$4:$D$499,2,0))</f>
        <v>999500021</v>
      </c>
      <c r="E873" s="86" t="s">
        <v>142</v>
      </c>
      <c r="G873" s="86" t="s">
        <v>122</v>
      </c>
      <c r="H873" s="86" t="s">
        <v>5901</v>
      </c>
      <c r="I873" s="212">
        <v>45303</v>
      </c>
      <c r="J873" s="86" t="s">
        <v>5676</v>
      </c>
    </row>
    <row r="874" spans="2:10" x14ac:dyDescent="0.2">
      <c r="B874" s="86">
        <v>871</v>
      </c>
      <c r="C874" s="86" t="s">
        <v>4141</v>
      </c>
      <c r="D874" s="304">
        <f>_xlfn.IFNA(VLOOKUP(C874,Database!$D$5:$F$439,2,0),VLOOKUP(C874,logut!$C$4:$D$499,2,0))</f>
        <v>642401202</v>
      </c>
      <c r="E874" s="86" t="s">
        <v>312</v>
      </c>
      <c r="G874" s="86" t="s">
        <v>6183</v>
      </c>
      <c r="H874" s="86" t="s">
        <v>24</v>
      </c>
      <c r="I874" s="212">
        <v>45309</v>
      </c>
      <c r="J874" s="86" t="s">
        <v>6191</v>
      </c>
    </row>
    <row r="875" spans="2:10" x14ac:dyDescent="0.2">
      <c r="B875" s="86">
        <v>872</v>
      </c>
      <c r="C875" s="86" t="s">
        <v>1959</v>
      </c>
      <c r="D875" s="304">
        <f>_xlfn.IFNA(VLOOKUP(C875,Database!$D$5:$F$439,2,0),VLOOKUP(C875,logut!$C$4:$D$499,2,0))</f>
        <v>641809178</v>
      </c>
      <c r="E875" s="86" t="s">
        <v>312</v>
      </c>
      <c r="G875" s="86" t="s">
        <v>6183</v>
      </c>
      <c r="H875" s="86" t="s">
        <v>24</v>
      </c>
      <c r="I875" s="212">
        <v>45309</v>
      </c>
      <c r="J875" s="86" t="s">
        <v>6191</v>
      </c>
    </row>
    <row r="876" spans="2:10" x14ac:dyDescent="0.2">
      <c r="B876" s="86">
        <v>873</v>
      </c>
      <c r="C876" s="86" t="s">
        <v>1995</v>
      </c>
      <c r="D876" s="304">
        <f>_xlfn.IFNA(VLOOKUP(C876,Database!$D$5:$F$439,2,0),VLOOKUP(C876,logut!$C$4:$D$499,2,0))</f>
        <v>641810206</v>
      </c>
      <c r="E876" s="86" t="s">
        <v>312</v>
      </c>
      <c r="G876" s="86" t="s">
        <v>5955</v>
      </c>
      <c r="H876" s="86" t="s">
        <v>26</v>
      </c>
      <c r="I876" s="212">
        <v>45309</v>
      </c>
      <c r="J876" s="86" t="s">
        <v>6191</v>
      </c>
    </row>
    <row r="877" spans="2:10" x14ac:dyDescent="0.2">
      <c r="B877" s="86">
        <v>874</v>
      </c>
      <c r="C877" s="86" t="s">
        <v>4017</v>
      </c>
      <c r="D877" s="304">
        <f>_xlfn.IFNA(VLOOKUP(C877,Database!$D$5:$F$439,2,0),VLOOKUP(C877,logut!$C$4:$D$499,2,0))</f>
        <v>642401183</v>
      </c>
      <c r="E877" s="86" t="s">
        <v>312</v>
      </c>
      <c r="G877" s="86" t="s">
        <v>444</v>
      </c>
      <c r="H877" s="86" t="s">
        <v>24</v>
      </c>
      <c r="I877" s="212">
        <v>45309</v>
      </c>
      <c r="J877" s="86" t="s">
        <v>6191</v>
      </c>
    </row>
    <row r="878" spans="2:10" x14ac:dyDescent="0.2">
      <c r="B878" s="86">
        <v>875</v>
      </c>
      <c r="C878" s="86" t="s">
        <v>3878</v>
      </c>
      <c r="D878" s="304">
        <f>_xlfn.IFNA(VLOOKUP(C878,Database!$D$5:$F$439,2,0),VLOOKUP(C878,logut!$C$4:$D$499,2,0))</f>
        <v>642401158</v>
      </c>
      <c r="E878" s="86" t="s">
        <v>312</v>
      </c>
      <c r="G878" s="86" t="s">
        <v>6183</v>
      </c>
      <c r="H878" s="86" t="s">
        <v>24</v>
      </c>
      <c r="I878" s="212">
        <v>45310</v>
      </c>
      <c r="J878" s="86" t="s">
        <v>6192</v>
      </c>
    </row>
    <row r="879" spans="2:10" x14ac:dyDescent="0.2">
      <c r="B879" s="86">
        <v>876</v>
      </c>
      <c r="C879" s="86" t="s">
        <v>3924</v>
      </c>
      <c r="D879" s="304">
        <f>_xlfn.IFNA(VLOOKUP(C879,Database!$D$5:$F$439,2,0),VLOOKUP(C879,logut!$C$4:$D$499,2,0))</f>
        <v>642401165</v>
      </c>
      <c r="E879" s="86" t="s">
        <v>312</v>
      </c>
      <c r="G879" s="86" t="s">
        <v>6183</v>
      </c>
      <c r="H879" s="86" t="s">
        <v>33</v>
      </c>
      <c r="I879" s="212">
        <v>45310</v>
      </c>
      <c r="J879" s="86" t="s">
        <v>6192</v>
      </c>
    </row>
    <row r="880" spans="2:10" x14ac:dyDescent="0.2">
      <c r="B880" s="86">
        <v>877</v>
      </c>
      <c r="C880" s="86" t="s">
        <v>3998</v>
      </c>
      <c r="D880" s="304">
        <f>_xlfn.IFNA(VLOOKUP(C880,Database!$D$5:$F$439,2,0),VLOOKUP(C880,logut!$C$4:$D$499,2,0))</f>
        <v>642401180</v>
      </c>
      <c r="E880" s="86" t="s">
        <v>312</v>
      </c>
      <c r="G880" s="86" t="s">
        <v>6183</v>
      </c>
      <c r="H880" s="86" t="s">
        <v>27</v>
      </c>
      <c r="I880" s="212">
        <v>45310</v>
      </c>
      <c r="J880" s="86" t="s">
        <v>6192</v>
      </c>
    </row>
    <row r="881" spans="2:10" x14ac:dyDescent="0.2">
      <c r="B881" s="86">
        <v>878</v>
      </c>
      <c r="C881" s="86" t="s">
        <v>4167</v>
      </c>
      <c r="D881" s="304">
        <f>_xlfn.IFNA(VLOOKUP(C881,Database!$D$5:$F$439,2,0),VLOOKUP(C881,logut!$C$4:$D$499,2,0))</f>
        <v>642402189</v>
      </c>
      <c r="E881" s="86" t="s">
        <v>312</v>
      </c>
      <c r="G881" s="86" t="s">
        <v>6185</v>
      </c>
      <c r="H881" s="86" t="s">
        <v>32</v>
      </c>
      <c r="I881" s="212">
        <v>45322</v>
      </c>
      <c r="J881" s="86" t="s">
        <v>6193</v>
      </c>
    </row>
    <row r="882" spans="2:10" x14ac:dyDescent="0.2">
      <c r="B882" s="86">
        <v>879</v>
      </c>
      <c r="C882" s="86" t="s">
        <v>3936</v>
      </c>
      <c r="D882" s="304">
        <f>_xlfn.IFNA(VLOOKUP(C882,Database!$D$5:$F$439,2,0),VLOOKUP(C882,logut!$C$4:$D$499,2,0))</f>
        <v>642401167</v>
      </c>
      <c r="E882" s="86" t="s">
        <v>312</v>
      </c>
      <c r="G882" s="86" t="s">
        <v>6183</v>
      </c>
      <c r="H882" s="86" t="s">
        <v>24</v>
      </c>
      <c r="I882" s="212">
        <v>45322</v>
      </c>
      <c r="J882" s="86" t="s">
        <v>6193</v>
      </c>
    </row>
    <row r="883" spans="2:10" x14ac:dyDescent="0.2">
      <c r="B883" s="86">
        <v>880</v>
      </c>
      <c r="C883" s="86" t="s">
        <v>1226</v>
      </c>
      <c r="D883" s="304">
        <f>_xlfn.IFNA(VLOOKUP(C883,Database!$D$5:$F$439,2,0),VLOOKUP(C883,logut!$C$4:$D$499,2,0))</f>
        <v>642001038</v>
      </c>
      <c r="E883" s="86" t="s">
        <v>312</v>
      </c>
      <c r="G883" s="86" t="s">
        <v>6183</v>
      </c>
      <c r="H883" s="86" t="s">
        <v>33</v>
      </c>
      <c r="I883" s="212">
        <v>45322</v>
      </c>
      <c r="J883" s="86" t="s">
        <v>6193</v>
      </c>
    </row>
    <row r="884" spans="2:10" x14ac:dyDescent="0.2">
      <c r="B884" s="86">
        <v>881</v>
      </c>
      <c r="C884" s="86" t="s">
        <v>4011</v>
      </c>
      <c r="D884" s="304">
        <f>_xlfn.IFNA(VLOOKUP(C884,Database!$D$5:$F$439,2,0),VLOOKUP(C884,logut!$C$4:$D$499,2,0))</f>
        <v>642401182</v>
      </c>
      <c r="E884" s="86" t="s">
        <v>312</v>
      </c>
      <c r="G884" s="86" t="s">
        <v>6188</v>
      </c>
      <c r="H884" s="86" t="s">
        <v>217</v>
      </c>
      <c r="I884" s="212">
        <v>45322</v>
      </c>
      <c r="J884" s="86" t="s">
        <v>6193</v>
      </c>
    </row>
    <row r="885" spans="2:10" x14ac:dyDescent="0.2">
      <c r="B885" s="86">
        <v>882</v>
      </c>
      <c r="C885" s="86" t="s">
        <v>431</v>
      </c>
      <c r="D885" s="304">
        <f>_xlfn.IFNA(VLOOKUP(C885,Database!$D$5:$F$439,2,0),VLOOKUP(C885,logut!$C$4:$D$499,2,0))</f>
        <v>971600004</v>
      </c>
      <c r="E885" s="86" t="s">
        <v>6194</v>
      </c>
      <c r="G885" s="86" t="s">
        <v>297</v>
      </c>
      <c r="H885" s="87" t="s">
        <v>5901</v>
      </c>
      <c r="I885" s="212">
        <v>45323</v>
      </c>
      <c r="J885" s="86" t="s">
        <v>6195</v>
      </c>
    </row>
    <row r="886" spans="2:10" x14ac:dyDescent="0.2">
      <c r="B886" s="86">
        <v>883</v>
      </c>
      <c r="C886" s="86" t="s">
        <v>2116</v>
      </c>
      <c r="D886" s="304">
        <f>_xlfn.IFNA(VLOOKUP(C886,Database!$D$5:$F$439,2,0),VLOOKUP(C886,logut!$C$4:$D$499,2,0))</f>
        <v>641810205</v>
      </c>
      <c r="E886" s="86" t="s">
        <v>312</v>
      </c>
      <c r="G886" s="86" t="s">
        <v>171</v>
      </c>
      <c r="H886" s="86" t="s">
        <v>20</v>
      </c>
      <c r="I886" s="212">
        <v>45329</v>
      </c>
      <c r="J886" s="86" t="s">
        <v>6196</v>
      </c>
    </row>
    <row r="887" spans="2:10" x14ac:dyDescent="0.2">
      <c r="B887" s="86">
        <v>884</v>
      </c>
      <c r="C887" s="86" t="s">
        <v>3308</v>
      </c>
      <c r="D887" s="304">
        <f>_xlfn.IFNA(VLOOKUP(C887,Database!$D$5:$F$439,2,0),VLOOKUP(C887,logut!$C$4:$D$499,2,0))</f>
        <v>642201159</v>
      </c>
      <c r="E887" s="86" t="s">
        <v>5955</v>
      </c>
      <c r="G887" s="86" t="s">
        <v>171</v>
      </c>
      <c r="H887" s="86" t="s">
        <v>26</v>
      </c>
      <c r="I887" s="212">
        <v>45329</v>
      </c>
      <c r="J887" s="86" t="s">
        <v>6196</v>
      </c>
    </row>
    <row r="888" spans="2:10" x14ac:dyDescent="0.2">
      <c r="B888" s="86">
        <v>885</v>
      </c>
      <c r="C888" s="86" t="s">
        <v>1073</v>
      </c>
      <c r="D888" s="304">
        <f>_xlfn.IFNA(VLOOKUP(C888,Database!$D$5:$F$439,2,0),VLOOKUP(C888,logut!$C$4:$D$499,2,0))</f>
        <v>971800016</v>
      </c>
      <c r="E888" s="86" t="s">
        <v>5900</v>
      </c>
      <c r="G888" s="86" t="s">
        <v>6197</v>
      </c>
      <c r="H888" s="86" t="s">
        <v>5901</v>
      </c>
      <c r="I888" s="212">
        <v>45330</v>
      </c>
      <c r="J888" s="86" t="s">
        <v>6198</v>
      </c>
    </row>
    <row r="889" spans="2:10" x14ac:dyDescent="0.2">
      <c r="B889" s="86">
        <v>886</v>
      </c>
      <c r="C889" s="86" t="s">
        <v>1063</v>
      </c>
      <c r="D889" s="304">
        <f>_xlfn.IFNA(VLOOKUP(C889,Database!$D$5:$F$439,2,0),VLOOKUP(C889,logut!$C$4:$D$499,2,0))</f>
        <v>971800015</v>
      </c>
      <c r="E889" s="86" t="s">
        <v>6199</v>
      </c>
      <c r="G889" s="86" t="s">
        <v>297</v>
      </c>
      <c r="I889" s="212">
        <v>45330</v>
      </c>
      <c r="J889" s="86" t="s">
        <v>6200</v>
      </c>
    </row>
    <row r="890" spans="2:10" x14ac:dyDescent="0.2">
      <c r="B890" s="86">
        <v>887</v>
      </c>
      <c r="C890" s="86" t="s">
        <v>1949</v>
      </c>
      <c r="D890" s="304">
        <f>_xlfn.IFNA(VLOOKUP(C890,Database!$D$5:$F$439,2,0),VLOOKUP(C890,logut!$C$4:$D$499,2,0))</f>
        <v>971900034</v>
      </c>
      <c r="E890" s="86" t="s">
        <v>142</v>
      </c>
      <c r="G890" s="86" t="s">
        <v>6116</v>
      </c>
      <c r="H890" s="86" t="s">
        <v>5901</v>
      </c>
      <c r="I890" s="212">
        <v>45341</v>
      </c>
      <c r="J890" s="86" t="s">
        <v>6201</v>
      </c>
    </row>
    <row r="891" spans="2:10" x14ac:dyDescent="0.2">
      <c r="B891" s="86">
        <v>888</v>
      </c>
      <c r="C891" s="86" t="s">
        <v>4197</v>
      </c>
      <c r="D891" s="304">
        <f>_xlfn.IFNA(VLOOKUP(C891,Database!$D$5:$F$439,2,0),VLOOKUP(C891,logut!$C$4:$D$499,2,0))</f>
        <v>642402191</v>
      </c>
      <c r="E891" s="86" t="s">
        <v>312</v>
      </c>
      <c r="G891" s="86" t="s">
        <v>171</v>
      </c>
      <c r="H891" s="86" t="s">
        <v>31</v>
      </c>
      <c r="I891" s="212">
        <v>45343</v>
      </c>
      <c r="J891" s="86" t="s">
        <v>6202</v>
      </c>
    </row>
    <row r="892" spans="2:10" x14ac:dyDescent="0.2">
      <c r="B892" s="86">
        <v>889</v>
      </c>
      <c r="C892" s="86" t="s">
        <v>5733</v>
      </c>
      <c r="D892" s="304">
        <f>_xlfn.IFNA(VLOOKUP(C892,Database!$D$5:$F$439,2,0),VLOOKUP(C892,logut!$C$4:$D$499,2,0))</f>
        <v>642002076</v>
      </c>
      <c r="E892" s="86" t="s">
        <v>312</v>
      </c>
      <c r="G892" s="86" t="s">
        <v>171</v>
      </c>
      <c r="H892" s="86" t="s">
        <v>31</v>
      </c>
      <c r="I892" s="212">
        <v>45343</v>
      </c>
      <c r="J892" s="86" t="s">
        <v>6202</v>
      </c>
    </row>
    <row r="893" spans="2:10" x14ac:dyDescent="0.2">
      <c r="B893" s="86">
        <v>890</v>
      </c>
      <c r="C893" s="86" t="s">
        <v>4188</v>
      </c>
      <c r="D893" s="304">
        <f>_xlfn.IFNA(VLOOKUP(C893,Database!$D$5:$F$439,2,0),VLOOKUP(C893,logut!$C$4:$D$499,2,0))</f>
        <v>642402190</v>
      </c>
      <c r="E893" s="86" t="s">
        <v>312</v>
      </c>
      <c r="G893" s="86" t="s">
        <v>171</v>
      </c>
      <c r="H893" s="86" t="s">
        <v>20</v>
      </c>
      <c r="I893" s="212">
        <v>45343</v>
      </c>
      <c r="J893" s="86" t="s">
        <v>6202</v>
      </c>
    </row>
    <row r="894" spans="2:10" x14ac:dyDescent="0.2">
      <c r="B894" s="86">
        <v>891</v>
      </c>
      <c r="C894" s="86" t="s">
        <v>2116</v>
      </c>
      <c r="D894" s="304">
        <f>_xlfn.IFNA(VLOOKUP(C894,Database!$D$5:$F$439,2,0),VLOOKUP(C894,logut!$C$4:$D$499,2,0))</f>
        <v>641810205</v>
      </c>
      <c r="E894" s="86" t="s">
        <v>312</v>
      </c>
      <c r="G894" s="86" t="s">
        <v>171</v>
      </c>
      <c r="H894" s="86" t="s">
        <v>20</v>
      </c>
      <c r="I894" s="212">
        <v>45343</v>
      </c>
      <c r="J894" s="86" t="s">
        <v>6202</v>
      </c>
    </row>
    <row r="895" spans="2:10" x14ac:dyDescent="0.2">
      <c r="B895" s="86">
        <v>892</v>
      </c>
      <c r="C895" s="86" t="s">
        <v>638</v>
      </c>
      <c r="D895" s="304">
        <f>_xlfn.IFNA(VLOOKUP(C895,Database!$D$5:$F$439,2,0),VLOOKUP(C895,logut!$C$4:$D$499,2,0))</f>
        <v>642001005</v>
      </c>
      <c r="E895" s="86" t="s">
        <v>140</v>
      </c>
      <c r="G895" s="86" t="s">
        <v>171</v>
      </c>
      <c r="H895" s="86" t="s">
        <v>6203</v>
      </c>
      <c r="I895" s="212">
        <v>45343</v>
      </c>
      <c r="J895" s="86" t="s">
        <v>6202</v>
      </c>
    </row>
    <row r="896" spans="2:10" x14ac:dyDescent="0.2">
      <c r="B896" s="86">
        <v>893</v>
      </c>
      <c r="C896" s="86" t="s">
        <v>1277</v>
      </c>
      <c r="D896" s="304">
        <f>_xlfn.IFNA(VLOOKUP(C896,Database!$D$5:$F$439,2,0),VLOOKUP(C896,logut!$C$4:$D$499,2,0))</f>
        <v>642001042</v>
      </c>
      <c r="E896" s="86" t="s">
        <v>140</v>
      </c>
      <c r="G896" s="86" t="s">
        <v>171</v>
      </c>
      <c r="H896" s="86" t="s">
        <v>20</v>
      </c>
      <c r="I896" s="212">
        <v>45343</v>
      </c>
      <c r="J896" s="86" t="s">
        <v>6202</v>
      </c>
    </row>
    <row r="897" spans="2:10" x14ac:dyDescent="0.2">
      <c r="B897" s="86">
        <v>894</v>
      </c>
      <c r="C897" s="86" t="s">
        <v>2472</v>
      </c>
      <c r="D897" s="304">
        <f>_xlfn.IFNA(VLOOKUP(C897,Database!$D$5:$F$439,2,0),VLOOKUP(C897,logut!$C$4:$D$499,2,0))</f>
        <v>641907248</v>
      </c>
      <c r="E897" s="86" t="s">
        <v>312</v>
      </c>
      <c r="G897" s="86" t="s">
        <v>171</v>
      </c>
      <c r="H897" s="86" t="s">
        <v>31</v>
      </c>
      <c r="I897" s="212">
        <v>45343</v>
      </c>
      <c r="J897" s="86" t="s">
        <v>6202</v>
      </c>
    </row>
    <row r="898" spans="2:10" x14ac:dyDescent="0.2">
      <c r="B898" s="86">
        <v>895</v>
      </c>
      <c r="C898" s="86" t="s">
        <v>500</v>
      </c>
      <c r="D898" s="304">
        <f>_xlfn.IFNA(VLOOKUP(C898,Database!$D$5:$F$439,2,0),VLOOKUP(C898,logut!$C$4:$D$499,2,0))</f>
        <v>971700005</v>
      </c>
      <c r="E898" s="86" t="s">
        <v>312</v>
      </c>
      <c r="G898" s="86" t="s">
        <v>171</v>
      </c>
      <c r="H898" s="86" t="s">
        <v>20</v>
      </c>
      <c r="I898" s="212">
        <v>45343</v>
      </c>
      <c r="J898" s="86" t="s">
        <v>6202</v>
      </c>
    </row>
    <row r="899" spans="2:10" x14ac:dyDescent="0.2">
      <c r="B899" s="86">
        <v>896</v>
      </c>
      <c r="C899" s="86" t="s">
        <v>831</v>
      </c>
      <c r="D899" s="304">
        <f>_xlfn.IFNA(VLOOKUP(C899,Database!$D$5:$F$439,2,0),VLOOKUP(C899,logut!$C$4:$D$499,2,0))</f>
        <v>642001014</v>
      </c>
      <c r="E899" s="86" t="s">
        <v>312</v>
      </c>
      <c r="G899" s="86" t="s">
        <v>171</v>
      </c>
      <c r="H899" s="86" t="s">
        <v>20</v>
      </c>
      <c r="I899" s="212">
        <v>45343</v>
      </c>
      <c r="J899" s="86" t="s">
        <v>6202</v>
      </c>
    </row>
    <row r="900" spans="2:10" x14ac:dyDescent="0.2">
      <c r="B900" s="86">
        <v>897</v>
      </c>
      <c r="C900" s="86" t="s">
        <v>3558</v>
      </c>
      <c r="D900" s="304">
        <f>_xlfn.IFNA(VLOOKUP(C900,Database!$D$5:$F$439,2,0),VLOOKUP(C900,logut!$C$4:$D$499,2,0))</f>
        <v>642301190</v>
      </c>
      <c r="E900" s="86" t="s">
        <v>312</v>
      </c>
      <c r="G900" s="86" t="s">
        <v>171</v>
      </c>
      <c r="H900" s="86" t="s">
        <v>31</v>
      </c>
      <c r="I900" s="212">
        <v>45343</v>
      </c>
      <c r="J900" s="86" t="s">
        <v>6202</v>
      </c>
    </row>
    <row r="901" spans="2:10" x14ac:dyDescent="0.2">
      <c r="B901" s="86">
        <v>898</v>
      </c>
      <c r="C901" s="86" t="s">
        <v>3728</v>
      </c>
      <c r="D901" s="304">
        <f>_xlfn.IFNA(VLOOKUP(C901,Database!$D$5:$F$439,2,0),VLOOKUP(C901,logut!$C$4:$D$499,2,0))</f>
        <v>642311137</v>
      </c>
      <c r="E901" s="86" t="s">
        <v>312</v>
      </c>
      <c r="G901" s="86" t="s">
        <v>171</v>
      </c>
      <c r="H901" s="86" t="s">
        <v>20</v>
      </c>
      <c r="I901" s="212">
        <v>45343</v>
      </c>
      <c r="J901" s="86" t="s">
        <v>6202</v>
      </c>
    </row>
    <row r="902" spans="2:10" x14ac:dyDescent="0.2">
      <c r="B902" s="86">
        <v>899</v>
      </c>
      <c r="C902" s="86" t="s">
        <v>2732</v>
      </c>
      <c r="D902" s="304">
        <f>_xlfn.IFNA(VLOOKUP(C902,Database!$D$5:$F$439,2,0),VLOOKUP(C902,logut!$C$4:$D$499,2,0))</f>
        <v>991700024</v>
      </c>
      <c r="E902" s="86" t="s">
        <v>5900</v>
      </c>
      <c r="G902" s="86" t="s">
        <v>6138</v>
      </c>
      <c r="H902" s="86" t="s">
        <v>5901</v>
      </c>
      <c r="I902" s="212">
        <v>45343</v>
      </c>
      <c r="J902" s="86" t="s">
        <v>6202</v>
      </c>
    </row>
    <row r="903" spans="2:10" x14ac:dyDescent="0.2">
      <c r="B903" s="86">
        <v>900</v>
      </c>
      <c r="C903" s="86" t="s">
        <v>4223</v>
      </c>
      <c r="D903" s="304">
        <f>_xlfn.IFNA(VLOOKUP(C903,Database!$D$5:$F$439,2,0),VLOOKUP(C903,logut!$C$4:$D$499,2,0))</f>
        <v>642402193</v>
      </c>
      <c r="E903" s="86" t="s">
        <v>312</v>
      </c>
      <c r="G903" s="86" t="s">
        <v>171</v>
      </c>
      <c r="H903" s="86" t="s">
        <v>31</v>
      </c>
      <c r="I903" s="212">
        <v>45343</v>
      </c>
      <c r="J903" s="86" t="s">
        <v>6202</v>
      </c>
    </row>
    <row r="904" spans="2:10" x14ac:dyDescent="0.2">
      <c r="B904" s="86">
        <v>901</v>
      </c>
      <c r="C904" s="86" t="s">
        <v>2727</v>
      </c>
      <c r="D904" s="304">
        <f>_xlfn.IFNA(VLOOKUP(C904,Database!$D$5:$F$439,2,0),VLOOKUP(C904,logut!$C$4:$D$499,2,0))</f>
        <v>642311138</v>
      </c>
      <c r="E904" s="86" t="s">
        <v>312</v>
      </c>
      <c r="G904" s="86" t="s">
        <v>171</v>
      </c>
      <c r="H904" s="86" t="s">
        <v>31</v>
      </c>
      <c r="I904" s="212">
        <v>45343</v>
      </c>
      <c r="J904" s="86" t="s">
        <v>6202</v>
      </c>
    </row>
    <row r="905" spans="2:10" x14ac:dyDescent="0.2">
      <c r="B905" s="86">
        <v>902</v>
      </c>
      <c r="C905" s="86" t="s">
        <v>2363</v>
      </c>
      <c r="D905" s="304">
        <f>_xlfn.IFNA(VLOOKUP(C905,Database!$D$5:$F$439,2,0),VLOOKUP(C905,logut!$C$4:$D$499,2,0))</f>
        <v>641907278</v>
      </c>
      <c r="E905" s="86" t="s">
        <v>312</v>
      </c>
      <c r="G905" s="86" t="s">
        <v>171</v>
      </c>
      <c r="H905" s="86" t="s">
        <v>20</v>
      </c>
      <c r="I905" s="212">
        <v>45343</v>
      </c>
      <c r="J905" s="86" t="s">
        <v>6202</v>
      </c>
    </row>
    <row r="906" spans="2:10" x14ac:dyDescent="0.2">
      <c r="B906" s="86">
        <v>903</v>
      </c>
      <c r="C906" s="86" t="s">
        <v>4209</v>
      </c>
      <c r="D906" s="304">
        <f>_xlfn.IFNA(VLOOKUP(C906,Database!$D$5:$F$439,2,0),VLOOKUP(C906,logut!$C$4:$D$499,2,0))</f>
        <v>642402192</v>
      </c>
      <c r="E906" s="86" t="s">
        <v>312</v>
      </c>
      <c r="G906" s="86" t="s">
        <v>171</v>
      </c>
      <c r="H906" s="86" t="s">
        <v>31</v>
      </c>
      <c r="I906" s="212">
        <v>45343</v>
      </c>
      <c r="J906" s="86" t="s">
        <v>6202</v>
      </c>
    </row>
    <row r="907" spans="2:10" x14ac:dyDescent="0.2">
      <c r="B907" s="86">
        <v>904</v>
      </c>
      <c r="C907" s="86" t="s">
        <v>2718</v>
      </c>
      <c r="D907" s="304">
        <f>_xlfn.IFNA(VLOOKUP(C907,Database!$D$5:$F$439,2,0),VLOOKUP(C907,logut!$C$4:$D$499,2,0))</f>
        <v>999800090</v>
      </c>
      <c r="E907" s="86" t="s">
        <v>5985</v>
      </c>
      <c r="G907" s="86" t="s">
        <v>171</v>
      </c>
      <c r="H907" s="86" t="s">
        <v>217</v>
      </c>
      <c r="I907" s="212">
        <v>45343</v>
      </c>
      <c r="J907" s="86" t="s">
        <v>6202</v>
      </c>
    </row>
    <row r="908" spans="2:10" x14ac:dyDescent="0.2">
      <c r="B908" s="86">
        <v>905</v>
      </c>
      <c r="C908" s="86" t="s">
        <v>530</v>
      </c>
      <c r="D908" s="304">
        <f>_xlfn.IFNA(VLOOKUP(C908,Database!$D$5:$F$439,2,0),VLOOKUP(C908,logut!$C$4:$D$499,2,0))</f>
        <v>971900047</v>
      </c>
      <c r="E908" s="86" t="s">
        <v>5985</v>
      </c>
      <c r="G908" s="86" t="s">
        <v>444</v>
      </c>
      <c r="H908" s="86" t="s">
        <v>24</v>
      </c>
      <c r="I908" s="212">
        <v>45349</v>
      </c>
      <c r="J908" s="86" t="s">
        <v>6204</v>
      </c>
    </row>
    <row r="909" spans="2:10" x14ac:dyDescent="0.2">
      <c r="B909" s="86">
        <v>906</v>
      </c>
      <c r="C909" s="86" t="s">
        <v>1475</v>
      </c>
      <c r="D909" s="304">
        <f>_xlfn.IFNA(VLOOKUP(C909,Database!$D$5:$F$439,2,0),VLOOKUP(C909,logut!$C$4:$D$499,2,0))</f>
        <v>972000053</v>
      </c>
      <c r="E909" s="86" t="s">
        <v>5987</v>
      </c>
      <c r="G909" s="86" t="s">
        <v>444</v>
      </c>
      <c r="H909" s="86" t="s">
        <v>24</v>
      </c>
      <c r="I909" s="212">
        <v>45349</v>
      </c>
      <c r="J909" s="86" t="s">
        <v>6204</v>
      </c>
    </row>
    <row r="910" spans="2:10" x14ac:dyDescent="0.2">
      <c r="B910" s="86">
        <v>907</v>
      </c>
      <c r="C910" s="86" t="s">
        <v>440</v>
      </c>
      <c r="D910" s="304">
        <f>_xlfn.IFNA(VLOOKUP(C910,Database!$D$5:$F$439,2,0),VLOOKUP(C910,logut!$C$4:$D$499,2,0))</f>
        <v>971800022</v>
      </c>
      <c r="E910" s="86" t="s">
        <v>5344</v>
      </c>
      <c r="G910" s="86" t="s">
        <v>444</v>
      </c>
      <c r="H910" s="86" t="s">
        <v>24</v>
      </c>
      <c r="I910" s="212">
        <v>45349</v>
      </c>
      <c r="J910" s="86" t="s">
        <v>6204</v>
      </c>
    </row>
    <row r="911" spans="2:10" x14ac:dyDescent="0.2">
      <c r="B911" s="86">
        <v>908</v>
      </c>
      <c r="C911" s="86" t="s">
        <v>458</v>
      </c>
      <c r="D911" s="304">
        <f>_xlfn.IFNA(VLOOKUP(C911,Database!$D$5:$F$439,2,0),VLOOKUP(C911,logut!$C$4:$D$499,2,0))</f>
        <v>971800026</v>
      </c>
      <c r="E911" s="86" t="s">
        <v>5344</v>
      </c>
      <c r="G911" s="86" t="s">
        <v>444</v>
      </c>
      <c r="H911" s="86" t="s">
        <v>24</v>
      </c>
      <c r="I911" s="212">
        <v>45349</v>
      </c>
      <c r="J911" s="86" t="s">
        <v>6204</v>
      </c>
    </row>
    <row r="912" spans="2:10" x14ac:dyDescent="0.2">
      <c r="B912" s="86">
        <v>909</v>
      </c>
      <c r="C912" s="86" t="s">
        <v>2010</v>
      </c>
      <c r="D912" s="304">
        <f>_xlfn.IFNA(VLOOKUP(C912,Database!$D$5:$F$439,2,0),VLOOKUP(C912,logut!$C$4:$D$499,2,0))</f>
        <v>972400058</v>
      </c>
      <c r="E912" s="86" t="s">
        <v>5344</v>
      </c>
      <c r="G912" s="86" t="s">
        <v>444</v>
      </c>
      <c r="H912" s="86" t="s">
        <v>24</v>
      </c>
      <c r="I912" s="212">
        <v>45349</v>
      </c>
      <c r="J912" s="86" t="s">
        <v>6204</v>
      </c>
    </row>
    <row r="913" spans="2:10" x14ac:dyDescent="0.2">
      <c r="B913" s="86">
        <v>910</v>
      </c>
      <c r="C913" s="86" t="s">
        <v>3394</v>
      </c>
      <c r="D913" s="304">
        <f>_xlfn.IFNA(VLOOKUP(C913,Database!$D$5:$F$439,2,0),VLOOKUP(C913,logut!$C$4:$D$499,2,0))</f>
        <v>642201171</v>
      </c>
      <c r="E913" s="86" t="s">
        <v>2774</v>
      </c>
      <c r="G913" s="86" t="s">
        <v>444</v>
      </c>
      <c r="H913" s="86" t="s">
        <v>24</v>
      </c>
      <c r="I913" s="212">
        <v>45349</v>
      </c>
      <c r="J913" s="86" t="s">
        <v>6204</v>
      </c>
    </row>
    <row r="914" spans="2:10" x14ac:dyDescent="0.2">
      <c r="B914" s="86">
        <v>911</v>
      </c>
      <c r="C914" s="86" t="s">
        <v>5821</v>
      </c>
      <c r="D914" s="304">
        <f>_xlfn.IFNA(VLOOKUP(C914,Database!$D$5:$F$439,2,0),VLOOKUP(C914,logut!$C$4:$D$499,2,0))</f>
        <v>642002072</v>
      </c>
      <c r="E914" s="86" t="s">
        <v>2774</v>
      </c>
      <c r="G914" s="86" t="s">
        <v>444</v>
      </c>
      <c r="H914" s="86" t="s">
        <v>24</v>
      </c>
      <c r="I914" s="212">
        <v>45349</v>
      </c>
      <c r="J914" s="86" t="s">
        <v>6204</v>
      </c>
    </row>
    <row r="915" spans="2:10" x14ac:dyDescent="0.2">
      <c r="B915" s="86">
        <v>912</v>
      </c>
      <c r="C915" s="86" t="s">
        <v>1532</v>
      </c>
      <c r="D915" s="304">
        <f>_xlfn.IFNA(VLOOKUP(C915,Database!$D$5:$F$439,2,0),VLOOKUP(C915,logut!$C$4:$D$499,2,0))</f>
        <v>641801133</v>
      </c>
      <c r="E915" s="86" t="s">
        <v>2774</v>
      </c>
      <c r="G915" s="86" t="s">
        <v>444</v>
      </c>
      <c r="H915" s="86" t="s">
        <v>24</v>
      </c>
      <c r="I915" s="212">
        <v>45349</v>
      </c>
      <c r="J915" s="86" t="s">
        <v>6204</v>
      </c>
    </row>
    <row r="916" spans="2:10" x14ac:dyDescent="0.2">
      <c r="B916" s="86">
        <v>913</v>
      </c>
      <c r="C916" s="86" t="s">
        <v>5224</v>
      </c>
      <c r="D916" s="304">
        <f>_xlfn.IFNA(VLOOKUP(C916,Database!$D$5:$F$439,2,0),VLOOKUP(C916,logut!$C$4:$D$499,2,0))</f>
        <v>991100039</v>
      </c>
      <c r="E916" s="86" t="s">
        <v>6205</v>
      </c>
      <c r="G916" s="86" t="s">
        <v>120</v>
      </c>
      <c r="H916" s="86" t="s">
        <v>5901</v>
      </c>
      <c r="I916" s="212">
        <v>45352</v>
      </c>
      <c r="J916" s="86" t="s">
        <v>6206</v>
      </c>
    </row>
    <row r="917" spans="2:10" x14ac:dyDescent="0.2">
      <c r="B917" s="86">
        <v>914</v>
      </c>
      <c r="C917" s="86" t="s">
        <v>1217</v>
      </c>
      <c r="D917" s="304">
        <f>_xlfn.IFNA(VLOOKUP(C917,Database!$D$5:$F$439,2,0),VLOOKUP(C917,logut!$C$4:$D$499,2,0))</f>
        <v>972400059</v>
      </c>
      <c r="E917" s="86" t="s">
        <v>140</v>
      </c>
      <c r="G917" s="86" t="s">
        <v>175</v>
      </c>
      <c r="H917" s="86" t="s">
        <v>24</v>
      </c>
      <c r="I917" s="212">
        <v>45352</v>
      </c>
      <c r="J917" s="86" t="s">
        <v>6207</v>
      </c>
    </row>
    <row r="918" spans="2:10" x14ac:dyDescent="0.2">
      <c r="B918" s="86">
        <v>915</v>
      </c>
      <c r="C918" s="86" t="s">
        <v>1594</v>
      </c>
      <c r="D918" s="304">
        <f>_xlfn.IFNA(VLOOKUP(C918,Database!$D$5:$F$439,2,0),VLOOKUP(C918,logut!$C$4:$D$499,2,0))</f>
        <v>972400060</v>
      </c>
      <c r="E918" s="86" t="s">
        <v>140</v>
      </c>
      <c r="G918" s="86" t="s">
        <v>175</v>
      </c>
      <c r="H918" s="86" t="s">
        <v>24</v>
      </c>
      <c r="I918" s="212">
        <v>45352</v>
      </c>
      <c r="J918" s="86" t="s">
        <v>6207</v>
      </c>
    </row>
    <row r="919" spans="2:10" x14ac:dyDescent="0.2">
      <c r="B919" s="86">
        <v>916</v>
      </c>
      <c r="C919" s="86" t="s">
        <v>1580</v>
      </c>
      <c r="D919" s="304">
        <f>_xlfn.IFNA(VLOOKUP(C919,Database!$D$5:$F$439,2,0),VLOOKUP(C919,logut!$C$4:$D$499,2,0))</f>
        <v>972400061</v>
      </c>
      <c r="E919" s="86" t="s">
        <v>140</v>
      </c>
      <c r="G919" s="86" t="s">
        <v>748</v>
      </c>
      <c r="H919" s="86" t="s">
        <v>25</v>
      </c>
      <c r="I919" s="212">
        <v>45352</v>
      </c>
      <c r="J919" s="86" t="s">
        <v>6207</v>
      </c>
    </row>
    <row r="920" spans="2:10" x14ac:dyDescent="0.2">
      <c r="B920" s="86">
        <v>917</v>
      </c>
      <c r="C920" s="86" t="s">
        <v>1661</v>
      </c>
      <c r="D920" s="304">
        <f>_xlfn.IFNA(VLOOKUP(C920,Database!$D$5:$F$439,2,0),VLOOKUP(C920,logut!$C$4:$D$499,2,0))</f>
        <v>972400062</v>
      </c>
      <c r="E920" s="86" t="s">
        <v>140</v>
      </c>
      <c r="G920" s="86" t="s">
        <v>5955</v>
      </c>
      <c r="H920" s="86" t="s">
        <v>26</v>
      </c>
      <c r="I920" s="212">
        <v>45352</v>
      </c>
      <c r="J920" s="86" t="s">
        <v>6207</v>
      </c>
    </row>
    <row r="921" spans="2:10" x14ac:dyDescent="0.2">
      <c r="B921" s="86">
        <v>918</v>
      </c>
      <c r="C921" s="86" t="s">
        <v>618</v>
      </c>
      <c r="D921" s="304">
        <f>_xlfn.IFNA(VLOOKUP(C921,Database!$D$5:$F$439,2,0),VLOOKUP(C921,logut!$C$4:$D$499,2,0))</f>
        <v>972400063</v>
      </c>
      <c r="E921" s="86" t="s">
        <v>140</v>
      </c>
      <c r="G921" s="86" t="s">
        <v>6012</v>
      </c>
      <c r="H921" s="86" t="s">
        <v>217</v>
      </c>
      <c r="I921" s="212">
        <v>45352</v>
      </c>
      <c r="J921" s="86" t="s">
        <v>6207</v>
      </c>
    </row>
    <row r="922" spans="2:10" x14ac:dyDescent="0.2">
      <c r="B922" s="86">
        <v>919</v>
      </c>
      <c r="C922" s="86" t="s">
        <v>1053</v>
      </c>
      <c r="D922" s="304">
        <f>_xlfn.IFNA(VLOOKUP(C922,Database!$D$5:$F$439,2,0),VLOOKUP(C922,logut!$C$4:$D$499,2,0))</f>
        <v>972400064</v>
      </c>
      <c r="E922" s="86" t="s">
        <v>140</v>
      </c>
      <c r="G922" s="86" t="s">
        <v>6012</v>
      </c>
      <c r="H922" s="86" t="s">
        <v>217</v>
      </c>
      <c r="I922" s="212">
        <v>45352</v>
      </c>
      <c r="J922" s="86" t="s">
        <v>6207</v>
      </c>
    </row>
    <row r="923" spans="2:10" x14ac:dyDescent="0.2">
      <c r="B923" s="86">
        <v>920</v>
      </c>
      <c r="C923" s="86" t="s">
        <v>2773</v>
      </c>
      <c r="D923" s="304">
        <f>_xlfn.IFNA(VLOOKUP(C923,Database!$D$5:$F$439,2,0),VLOOKUP(C923,logut!$C$4:$D$499,2,0))</f>
        <v>972400065</v>
      </c>
      <c r="E923" s="86" t="s">
        <v>5900</v>
      </c>
      <c r="G923" s="86" t="s">
        <v>563</v>
      </c>
      <c r="H923" s="86" t="s">
        <v>5901</v>
      </c>
      <c r="I923" s="212">
        <v>45352</v>
      </c>
      <c r="J923" s="86" t="s">
        <v>6207</v>
      </c>
    </row>
    <row r="924" spans="2:10" x14ac:dyDescent="0.2">
      <c r="B924" s="86">
        <v>921</v>
      </c>
      <c r="C924" s="86" t="s">
        <v>4232</v>
      </c>
      <c r="D924" s="304">
        <f>_xlfn.IFNA(VLOOKUP(C924,Database!$D$5:$F$439,2,0),VLOOKUP(C924,logut!$C$4:$D$499,2,0))</f>
        <v>642403195</v>
      </c>
      <c r="E924" s="86" t="s">
        <v>6208</v>
      </c>
      <c r="G924" s="86" t="s">
        <v>6209</v>
      </c>
      <c r="H924" s="86" t="s">
        <v>217</v>
      </c>
      <c r="I924" s="212">
        <v>45356</v>
      </c>
      <c r="J924" s="86" t="s">
        <v>6210</v>
      </c>
    </row>
    <row r="925" spans="2:10" x14ac:dyDescent="0.2">
      <c r="B925" s="86">
        <v>922</v>
      </c>
      <c r="C925" s="86" t="s">
        <v>1008</v>
      </c>
      <c r="D925" s="304">
        <f>_xlfn.IFNA(VLOOKUP(C925,Database!$D$5:$F$439,2,0),VLOOKUP(C925,logut!$C$4:$D$499,2,0))</f>
        <v>642001055</v>
      </c>
      <c r="E925" s="86" t="s">
        <v>6208</v>
      </c>
      <c r="G925" s="86" t="s">
        <v>6209</v>
      </c>
      <c r="H925" s="86" t="s">
        <v>217</v>
      </c>
      <c r="I925" s="212">
        <v>45356</v>
      </c>
      <c r="J925" s="86" t="s">
        <v>6210</v>
      </c>
    </row>
    <row r="926" spans="2:10" x14ac:dyDescent="0.2">
      <c r="B926" s="86">
        <v>923</v>
      </c>
      <c r="C926" s="86" t="s">
        <v>4245</v>
      </c>
      <c r="D926" s="304">
        <f>_xlfn.IFNA(VLOOKUP(C926,Database!$D$5:$F$439,2,0),VLOOKUP(C926,logut!$C$4:$D$499,2,0))</f>
        <v>642403196</v>
      </c>
      <c r="E926" s="86" t="s">
        <v>6208</v>
      </c>
      <c r="G926" s="86" t="s">
        <v>6209</v>
      </c>
      <c r="H926" s="86" t="s">
        <v>217</v>
      </c>
      <c r="I926" s="212">
        <v>45356</v>
      </c>
      <c r="J926" s="86" t="s">
        <v>6210</v>
      </c>
    </row>
    <row r="927" spans="2:10" x14ac:dyDescent="0.2">
      <c r="B927" s="86">
        <v>924</v>
      </c>
      <c r="C927" s="86" t="s">
        <v>3878</v>
      </c>
      <c r="D927" s="304">
        <f>_xlfn.IFNA(VLOOKUP(C927,Database!$D$5:$F$439,2,0),VLOOKUP(C927,logut!$C$4:$D$499,2,0))</f>
        <v>642401158</v>
      </c>
      <c r="E927" s="86" t="s">
        <v>312</v>
      </c>
      <c r="G927" s="86" t="s">
        <v>6211</v>
      </c>
      <c r="H927" s="86" t="s">
        <v>217</v>
      </c>
      <c r="I927" s="212">
        <v>45358</v>
      </c>
      <c r="J927" s="86" t="s">
        <v>6212</v>
      </c>
    </row>
    <row r="928" spans="2:10" x14ac:dyDescent="0.2">
      <c r="B928" s="86">
        <v>925</v>
      </c>
      <c r="C928" s="86" t="s">
        <v>4148</v>
      </c>
      <c r="D928" s="304">
        <f>_xlfn.IFNA(VLOOKUP(C928,Database!$D$5:$F$439,2,0),VLOOKUP(C928,logut!$C$4:$D$499,2,0))</f>
        <v>642401203</v>
      </c>
      <c r="E928" s="86" t="s">
        <v>312</v>
      </c>
      <c r="G928" s="86" t="s">
        <v>6183</v>
      </c>
      <c r="H928" s="86" t="s">
        <v>24</v>
      </c>
      <c r="I928" s="212">
        <v>45358</v>
      </c>
      <c r="J928" s="86" t="s">
        <v>6212</v>
      </c>
    </row>
    <row r="929" spans="2:10" x14ac:dyDescent="0.2">
      <c r="B929" s="86">
        <v>926</v>
      </c>
      <c r="C929" s="86" t="s">
        <v>4017</v>
      </c>
      <c r="D929" s="304">
        <f>_xlfn.IFNA(VLOOKUP(C929,Database!$D$5:$F$439,2,0),VLOOKUP(C929,logut!$C$4:$D$499,2,0))</f>
        <v>642401183</v>
      </c>
      <c r="E929" s="86" t="s">
        <v>312</v>
      </c>
      <c r="G929" s="86" t="s">
        <v>175</v>
      </c>
      <c r="H929" s="86" t="s">
        <v>24</v>
      </c>
      <c r="I929" s="212">
        <v>45358</v>
      </c>
      <c r="J929" s="86" t="s">
        <v>6212</v>
      </c>
    </row>
    <row r="930" spans="2:10" x14ac:dyDescent="0.2">
      <c r="B930" s="86">
        <v>927</v>
      </c>
      <c r="C930" s="86" t="s">
        <v>1086</v>
      </c>
      <c r="D930" s="304">
        <f>_xlfn.IFNA(VLOOKUP(C930,Database!$D$5:$F$439,2,0),VLOOKUP(C930,logut!$C$4:$D$499,2,0))</f>
        <v>971800024</v>
      </c>
      <c r="E930" s="86" t="s">
        <v>137</v>
      </c>
      <c r="G930" s="86" t="s">
        <v>54</v>
      </c>
      <c r="H930" s="86" t="s">
        <v>5901</v>
      </c>
      <c r="I930" s="212">
        <v>45371</v>
      </c>
      <c r="J930" s="86" t="s">
        <v>6213</v>
      </c>
    </row>
    <row r="931" spans="2:10" x14ac:dyDescent="0.2">
      <c r="B931" s="86">
        <v>928</v>
      </c>
      <c r="C931" s="86" t="s">
        <v>82</v>
      </c>
      <c r="D931" s="304">
        <f>_xlfn.IFNA(VLOOKUP(C931,Database!$D$5:$F$439,2,0),VLOOKUP(C931,logut!$C$4:$D$499,2,0))</f>
        <v>971900036</v>
      </c>
      <c r="E931" s="86" t="s">
        <v>5998</v>
      </c>
      <c r="G931" s="86" t="s">
        <v>59</v>
      </c>
      <c r="H931" s="86" t="s">
        <v>5901</v>
      </c>
      <c r="I931" s="212">
        <v>45371</v>
      </c>
      <c r="J931" s="86" t="s">
        <v>6213</v>
      </c>
    </row>
    <row r="932" spans="2:10" x14ac:dyDescent="0.2">
      <c r="B932" s="86">
        <v>929</v>
      </c>
      <c r="C932" s="86" t="s">
        <v>3998</v>
      </c>
      <c r="D932" s="304">
        <f>_xlfn.IFNA(VLOOKUP(C932,Database!$D$5:$F$439,2,0),VLOOKUP(C932,logut!$C$4:$D$499,2,0))</f>
        <v>642401180</v>
      </c>
      <c r="E932" s="86" t="s">
        <v>312</v>
      </c>
      <c r="G932" s="86" t="s">
        <v>6183</v>
      </c>
      <c r="H932" s="86" t="s">
        <v>1087</v>
      </c>
      <c r="I932" s="212">
        <v>45376</v>
      </c>
      <c r="J932" s="86" t="s">
        <v>6214</v>
      </c>
    </row>
    <row r="933" spans="2:10" x14ac:dyDescent="0.2">
      <c r="B933" s="86">
        <v>930</v>
      </c>
      <c r="C933" s="86" t="s">
        <v>4045</v>
      </c>
      <c r="D933" s="304">
        <f>_xlfn.IFNA(VLOOKUP(C933,Database!$D$5:$F$439,2,0),VLOOKUP(C933,logut!$C$4:$D$499,2,0))</f>
        <v>642401187</v>
      </c>
      <c r="E933" s="86" t="s">
        <v>312</v>
      </c>
      <c r="G933" s="86" t="s">
        <v>6183</v>
      </c>
      <c r="H933" s="86" t="s">
        <v>1087</v>
      </c>
      <c r="I933" s="212">
        <v>45376</v>
      </c>
      <c r="J933" s="86" t="s">
        <v>6214</v>
      </c>
    </row>
    <row r="934" spans="2:10" x14ac:dyDescent="0.2">
      <c r="B934" s="86">
        <v>931</v>
      </c>
      <c r="C934" s="86" t="s">
        <v>3222</v>
      </c>
      <c r="D934" s="304">
        <f>_xlfn.IFNA(VLOOKUP(C934,Database!$D$5:$F$439,2,0),VLOOKUP(C934,logut!$C$4:$D$499,2,0))</f>
        <v>642201144</v>
      </c>
      <c r="E934" s="86" t="s">
        <v>312</v>
      </c>
      <c r="G934" s="86" t="s">
        <v>6215</v>
      </c>
      <c r="H934" s="86" t="s">
        <v>22</v>
      </c>
      <c r="I934" s="212">
        <v>45385</v>
      </c>
      <c r="J934" s="86" t="s">
        <v>6216</v>
      </c>
    </row>
    <row r="935" spans="2:10" x14ac:dyDescent="0.2">
      <c r="B935" s="86">
        <v>932</v>
      </c>
      <c r="C935" s="86" t="s">
        <v>1812</v>
      </c>
      <c r="D935" s="304">
        <f>_xlfn.IFNA(VLOOKUP(C935,Database!$D$5:$F$439,2,0),VLOOKUP(C935,logut!$C$4:$D$499,2,0))</f>
        <v>641807162</v>
      </c>
      <c r="E935" s="86" t="s">
        <v>312</v>
      </c>
      <c r="G935" s="86" t="s">
        <v>6215</v>
      </c>
      <c r="H935" s="86" t="s">
        <v>22</v>
      </c>
      <c r="I935" s="212">
        <v>45385</v>
      </c>
      <c r="J935" s="86" t="s">
        <v>6216</v>
      </c>
    </row>
    <row r="936" spans="2:10" x14ac:dyDescent="0.2">
      <c r="B936" s="86">
        <v>933</v>
      </c>
      <c r="C936" s="86" t="s">
        <v>3748</v>
      </c>
      <c r="D936" s="304">
        <f>_xlfn.IFNA(VLOOKUP(C936,Database!$D$5:$F$439,2,0),VLOOKUP(C936,logut!$C$4:$D$499,2,0))</f>
        <v>642312150</v>
      </c>
      <c r="E936" s="86" t="s">
        <v>312</v>
      </c>
      <c r="G936" s="86" t="s">
        <v>175</v>
      </c>
      <c r="H936" s="86" t="s">
        <v>24</v>
      </c>
      <c r="I936" s="212">
        <v>45385</v>
      </c>
      <c r="J936" s="86" t="s">
        <v>6216</v>
      </c>
    </row>
    <row r="937" spans="2:10" x14ac:dyDescent="0.2">
      <c r="B937" s="86">
        <v>934</v>
      </c>
      <c r="C937" s="86" t="s">
        <v>3205</v>
      </c>
      <c r="D937" s="304">
        <f>_xlfn.IFNA(VLOOKUP(C937,Database!$D$5:$F$439,2,0),VLOOKUP(C937,logut!$C$4:$D$499,2,0))</f>
        <v>642201133</v>
      </c>
      <c r="E937" s="86" t="s">
        <v>312</v>
      </c>
      <c r="G937" s="86" t="s">
        <v>6186</v>
      </c>
      <c r="H937" s="86" t="s">
        <v>27</v>
      </c>
      <c r="I937" s="212">
        <v>45410</v>
      </c>
      <c r="J937" s="86" t="s">
        <v>6217</v>
      </c>
    </row>
    <row r="938" spans="2:10" x14ac:dyDescent="0.2">
      <c r="B938" s="86">
        <v>935</v>
      </c>
      <c r="C938" s="86" t="s">
        <v>1763</v>
      </c>
      <c r="D938" s="304">
        <f>_xlfn.IFNA(VLOOKUP(C938,Database!$D$5:$F$439,2,0),VLOOKUP(C938,logut!$C$4:$D$499,2,0))</f>
        <v>641807164</v>
      </c>
      <c r="E938" s="86" t="s">
        <v>312</v>
      </c>
      <c r="G938" s="86" t="s">
        <v>171</v>
      </c>
      <c r="H938" s="86" t="s">
        <v>31</v>
      </c>
      <c r="I938" s="212">
        <v>45410</v>
      </c>
      <c r="J938" s="86" t="s">
        <v>6217</v>
      </c>
    </row>
    <row r="939" spans="2:10" x14ac:dyDescent="0.2">
      <c r="B939" s="86">
        <v>936</v>
      </c>
      <c r="C939" s="86" t="s">
        <v>4257</v>
      </c>
      <c r="D939" s="304">
        <f>_xlfn.IFNA(VLOOKUP(C939,Database!$D$5:$F$439,2,0),VLOOKUP(C939,logut!$C$4:$D$499,2,0))</f>
        <v>999900113</v>
      </c>
      <c r="E939" s="86" t="s">
        <v>4995</v>
      </c>
      <c r="G939" s="86" t="s">
        <v>5945</v>
      </c>
      <c r="H939" s="86" t="s">
        <v>5901</v>
      </c>
      <c r="I939" s="212">
        <v>45413</v>
      </c>
    </row>
    <row r="940" spans="2:10" x14ac:dyDescent="0.2">
      <c r="B940" s="86">
        <v>937</v>
      </c>
      <c r="C940" s="86" t="s">
        <v>3028</v>
      </c>
      <c r="D940" s="304">
        <f>_xlfn.IFNA(VLOOKUP(C940,Database!$D$5:$F$439,2,0),VLOOKUP(C940,logut!$C$4:$D$499,2,0))</f>
        <v>991000002</v>
      </c>
      <c r="E940" s="86" t="s">
        <v>5107</v>
      </c>
      <c r="G940" s="86" t="s">
        <v>6218</v>
      </c>
      <c r="H940" s="86" t="s">
        <v>5901</v>
      </c>
      <c r="I940" s="212">
        <v>45413</v>
      </c>
    </row>
    <row r="941" spans="2:10" x14ac:dyDescent="0.2">
      <c r="B941" s="86">
        <v>938</v>
      </c>
      <c r="C941" s="86" t="s">
        <v>4271</v>
      </c>
      <c r="D941" s="304">
        <f>_xlfn.IFNA(VLOOKUP(C941,Database!$D$5:$F$439,2,0),VLOOKUP(C941,logut!$C$4:$D$499,2,0))</f>
        <v>999600013</v>
      </c>
      <c r="E941" s="86" t="s">
        <v>5063</v>
      </c>
      <c r="G941" s="86" t="s">
        <v>6219</v>
      </c>
      <c r="H941" s="86" t="s">
        <v>5901</v>
      </c>
      <c r="I941" s="212">
        <v>45413</v>
      </c>
    </row>
    <row r="942" spans="2:10" x14ac:dyDescent="0.2">
      <c r="B942" s="86">
        <v>939</v>
      </c>
      <c r="C942" s="86" t="s">
        <v>4045</v>
      </c>
      <c r="D942" s="304">
        <f>_xlfn.IFNA(VLOOKUP(C942,Database!$D$5:$F$439,2,0),VLOOKUP(C942,logut!$C$4:$D$499,2,0))</f>
        <v>642401187</v>
      </c>
      <c r="E942" s="86" t="s">
        <v>312</v>
      </c>
      <c r="G942" s="86" t="s">
        <v>6183</v>
      </c>
      <c r="H942" s="86" t="s">
        <v>20</v>
      </c>
      <c r="I942" s="212">
        <v>45415</v>
      </c>
      <c r="J942" s="86" t="s">
        <v>6220</v>
      </c>
    </row>
    <row r="943" spans="2:10" x14ac:dyDescent="0.2">
      <c r="B943" s="86">
        <v>940</v>
      </c>
      <c r="C943" s="86" t="s">
        <v>2305</v>
      </c>
      <c r="D943" s="304">
        <f>_xlfn.IFNA(VLOOKUP(C943,Database!$D$5:$F$439,2,0),VLOOKUP(C943,logut!$C$4:$D$499,2,0))</f>
        <v>641907255</v>
      </c>
      <c r="E943" s="86" t="s">
        <v>312</v>
      </c>
      <c r="G943" s="86" t="s">
        <v>175</v>
      </c>
      <c r="H943" s="86" t="s">
        <v>24</v>
      </c>
      <c r="I943" s="212">
        <v>45420</v>
      </c>
      <c r="J943" s="86" t="s">
        <v>6221</v>
      </c>
    </row>
    <row r="944" spans="2:10" x14ac:dyDescent="0.2">
      <c r="B944" s="86">
        <v>941</v>
      </c>
      <c r="C944" s="86" t="s">
        <v>2238</v>
      </c>
      <c r="D944" s="304">
        <f>_xlfn.IFNA(VLOOKUP(C944,Database!$D$5:$F$439,2,0),VLOOKUP(C944,logut!$C$4:$D$499,2,0))</f>
        <v>641907275</v>
      </c>
      <c r="E944" s="86" t="s">
        <v>312</v>
      </c>
      <c r="G944" s="86" t="s">
        <v>175</v>
      </c>
      <c r="H944" s="86" t="s">
        <v>24</v>
      </c>
      <c r="I944" s="212">
        <v>45420</v>
      </c>
      <c r="J944" s="86" t="s">
        <v>6221</v>
      </c>
    </row>
    <row r="945" spans="2:10" x14ac:dyDescent="0.2">
      <c r="B945" s="86">
        <v>942</v>
      </c>
      <c r="C945" s="86" t="s">
        <v>2433</v>
      </c>
      <c r="D945" s="304">
        <f>_xlfn.IFNA(VLOOKUP(C945,Database!$D$5:$F$439,2,0),VLOOKUP(C945,logut!$C$4:$D$499,2,0))</f>
        <v>641907258</v>
      </c>
      <c r="E945" s="86" t="s">
        <v>312</v>
      </c>
      <c r="G945" s="86" t="s">
        <v>175</v>
      </c>
      <c r="H945" s="86" t="s">
        <v>24</v>
      </c>
      <c r="I945" s="212">
        <v>45420</v>
      </c>
      <c r="J945" s="86" t="s">
        <v>6221</v>
      </c>
    </row>
    <row r="946" spans="2:10" x14ac:dyDescent="0.2">
      <c r="B946" s="86">
        <v>943</v>
      </c>
      <c r="C946" s="86" t="s">
        <v>2314</v>
      </c>
      <c r="D946" s="304">
        <f>_xlfn.IFNA(VLOOKUP(C946,Database!$D$5:$F$439,2,0),VLOOKUP(C946,logut!$C$4:$D$499,2,0))</f>
        <v>641907261</v>
      </c>
      <c r="E946" s="86" t="s">
        <v>312</v>
      </c>
      <c r="G946" s="86" t="s">
        <v>175</v>
      </c>
      <c r="H946" s="86" t="s">
        <v>24</v>
      </c>
      <c r="I946" s="212">
        <v>45420</v>
      </c>
      <c r="J946" s="86" t="s">
        <v>6221</v>
      </c>
    </row>
    <row r="947" spans="2:10" x14ac:dyDescent="0.2">
      <c r="B947" s="86">
        <v>944</v>
      </c>
      <c r="C947" s="86" t="s">
        <v>2456</v>
      </c>
      <c r="D947" s="304">
        <f>_xlfn.IFNA(VLOOKUP(C947,Database!$D$5:$F$439,2,0),VLOOKUP(C947,logut!$C$4:$D$499,2,0))</f>
        <v>641907276</v>
      </c>
      <c r="E947" s="86" t="s">
        <v>312</v>
      </c>
      <c r="G947" s="86" t="s">
        <v>175</v>
      </c>
      <c r="H947" s="86" t="s">
        <v>24</v>
      </c>
      <c r="I947" s="212">
        <v>45420</v>
      </c>
      <c r="J947" s="86" t="s">
        <v>6221</v>
      </c>
    </row>
    <row r="948" spans="2:10" x14ac:dyDescent="0.2">
      <c r="B948" s="86">
        <v>945</v>
      </c>
      <c r="C948" s="86" t="s">
        <v>1371</v>
      </c>
      <c r="D948" s="304">
        <f>_xlfn.IFNA(VLOOKUP(C948,Database!$D$5:$F$439,2,0),VLOOKUP(C948,logut!$C$4:$D$499,2,0))</f>
        <v>642001030</v>
      </c>
      <c r="E948" s="86" t="s">
        <v>312</v>
      </c>
      <c r="G948" s="86" t="s">
        <v>175</v>
      </c>
      <c r="H948" s="86" t="s">
        <v>24</v>
      </c>
      <c r="I948" s="212">
        <v>45420</v>
      </c>
      <c r="J948" s="86" t="s">
        <v>6221</v>
      </c>
    </row>
    <row r="949" spans="2:10" x14ac:dyDescent="0.2">
      <c r="B949" s="86">
        <v>946</v>
      </c>
      <c r="C949" s="86" t="s">
        <v>2060</v>
      </c>
      <c r="D949" s="304">
        <f>_xlfn.IFNA(VLOOKUP(C949,Database!$D$5:$F$439,2,0),VLOOKUP(C949,logut!$C$4:$D$499,2,0))</f>
        <v>641810185</v>
      </c>
      <c r="E949" s="86" t="s">
        <v>312</v>
      </c>
      <c r="G949" s="86" t="s">
        <v>175</v>
      </c>
      <c r="H949" s="86" t="s">
        <v>24</v>
      </c>
      <c r="I949" s="212">
        <v>45420</v>
      </c>
      <c r="J949" s="86" t="s">
        <v>6221</v>
      </c>
    </row>
    <row r="950" spans="2:10" x14ac:dyDescent="0.2">
      <c r="B950" s="86">
        <v>947</v>
      </c>
      <c r="C950" s="86" t="s">
        <v>3054</v>
      </c>
      <c r="D950" s="304">
        <f>_xlfn.IFNA(VLOOKUP(C950,Database!$D$5:$F$439,2,0),VLOOKUP(C950,logut!$C$4:$D$499,2,0))</f>
        <v>642201134</v>
      </c>
      <c r="E950" s="86" t="s">
        <v>312</v>
      </c>
      <c r="G950" s="86" t="s">
        <v>175</v>
      </c>
      <c r="H950" s="86" t="s">
        <v>24</v>
      </c>
      <c r="I950" s="212">
        <v>45420</v>
      </c>
      <c r="J950" s="86" t="s">
        <v>6221</v>
      </c>
    </row>
    <row r="951" spans="2:10" x14ac:dyDescent="0.2">
      <c r="B951" s="86">
        <v>948</v>
      </c>
      <c r="C951" s="86" t="s">
        <v>5798</v>
      </c>
      <c r="D951" s="304">
        <f>_xlfn.IFNA(VLOOKUP(C951,Database!$D$5:$F$439,2,0),VLOOKUP(C951,logut!$C$4:$D$499,2,0))</f>
        <v>642002077</v>
      </c>
      <c r="E951" s="86" t="s">
        <v>312</v>
      </c>
      <c r="G951" s="86" t="s">
        <v>175</v>
      </c>
      <c r="H951" s="86" t="s">
        <v>24</v>
      </c>
      <c r="I951" s="212">
        <v>45420</v>
      </c>
      <c r="J951" s="86" t="s">
        <v>6221</v>
      </c>
    </row>
    <row r="952" spans="2:10" x14ac:dyDescent="0.2">
      <c r="B952" s="86">
        <v>949</v>
      </c>
      <c r="C952" s="86" t="s">
        <v>1554</v>
      </c>
      <c r="D952" s="304">
        <f>_xlfn.IFNA(VLOOKUP(C952,Database!$D$5:$F$439,2,0),VLOOKUP(C952,logut!$C$4:$D$499,2,0))</f>
        <v>641801140</v>
      </c>
      <c r="E952" s="86" t="s">
        <v>312</v>
      </c>
      <c r="G952" s="86" t="s">
        <v>175</v>
      </c>
      <c r="H952" s="86" t="s">
        <v>24</v>
      </c>
      <c r="I952" s="212">
        <v>45420</v>
      </c>
      <c r="J952" s="86" t="s">
        <v>6221</v>
      </c>
    </row>
    <row r="953" spans="2:10" x14ac:dyDescent="0.2">
      <c r="B953" s="86">
        <v>950</v>
      </c>
      <c r="C953" s="86" t="s">
        <v>1719</v>
      </c>
      <c r="D953" s="304">
        <f>_xlfn.IFNA(VLOOKUP(C953,Database!$D$5:$F$439,2,0),VLOOKUP(C953,logut!$C$4:$D$499,2,0))</f>
        <v>641806156</v>
      </c>
      <c r="E953" s="86" t="s">
        <v>312</v>
      </c>
      <c r="G953" s="86" t="s">
        <v>175</v>
      </c>
      <c r="H953" s="86" t="s">
        <v>24</v>
      </c>
      <c r="I953" s="212">
        <v>45420</v>
      </c>
      <c r="J953" s="86" t="s">
        <v>6221</v>
      </c>
    </row>
    <row r="954" spans="2:10" x14ac:dyDescent="0.2">
      <c r="B954" s="86">
        <v>951</v>
      </c>
      <c r="C954" s="86" t="s">
        <v>2465</v>
      </c>
      <c r="D954" s="304">
        <f>_xlfn.IFNA(VLOOKUP(C954,Database!$D$5:$F$439,2,0),VLOOKUP(C954,logut!$C$4:$D$499,2,0))</f>
        <v>641907267</v>
      </c>
      <c r="E954" s="86" t="s">
        <v>312</v>
      </c>
      <c r="G954" s="86" t="s">
        <v>175</v>
      </c>
      <c r="H954" s="86" t="s">
        <v>24</v>
      </c>
      <c r="I954" s="212">
        <v>45420</v>
      </c>
      <c r="J954" s="86" t="s">
        <v>6221</v>
      </c>
    </row>
    <row r="955" spans="2:10" x14ac:dyDescent="0.2">
      <c r="B955" s="86">
        <v>952</v>
      </c>
      <c r="C955" s="86" t="s">
        <v>2160</v>
      </c>
      <c r="D955" s="304">
        <f>_xlfn.IFNA(VLOOKUP(C955,Database!$D$5:$F$439,2,0),VLOOKUP(C955,logut!$C$4:$D$499,2,0))</f>
        <v>641810186</v>
      </c>
      <c r="E955" s="86" t="s">
        <v>312</v>
      </c>
      <c r="G955" s="86" t="s">
        <v>175</v>
      </c>
      <c r="H955" s="86" t="s">
        <v>24</v>
      </c>
      <c r="I955" s="212">
        <v>45420</v>
      </c>
      <c r="J955" s="86" t="s">
        <v>6221</v>
      </c>
    </row>
    <row r="956" spans="2:10" x14ac:dyDescent="0.2">
      <c r="B956" s="86">
        <v>953</v>
      </c>
      <c r="C956" s="86" t="s">
        <v>2175</v>
      </c>
      <c r="D956" s="304">
        <f>_xlfn.IFNA(VLOOKUP(C956,Database!$D$5:$F$439,2,0),VLOOKUP(C956,logut!$C$4:$D$499,2,0))</f>
        <v>641810193</v>
      </c>
      <c r="E956" s="86" t="s">
        <v>312</v>
      </c>
      <c r="G956" s="86" t="s">
        <v>175</v>
      </c>
      <c r="H956" s="86" t="s">
        <v>24</v>
      </c>
      <c r="I956" s="212">
        <v>45420</v>
      </c>
      <c r="J956" s="86" t="s">
        <v>6221</v>
      </c>
    </row>
    <row r="957" spans="2:10" x14ac:dyDescent="0.2">
      <c r="B957" s="86">
        <v>954</v>
      </c>
      <c r="C957" s="86" t="s">
        <v>3090</v>
      </c>
      <c r="D957" s="304">
        <f>_xlfn.IFNA(VLOOKUP(C957,Database!$D$5:$F$439,2,0),VLOOKUP(C957,logut!$C$4:$D$499,2,0))</f>
        <v>642201137</v>
      </c>
      <c r="E957" s="86" t="s">
        <v>312</v>
      </c>
      <c r="G957" s="86" t="s">
        <v>175</v>
      </c>
      <c r="H957" s="86" t="s">
        <v>24</v>
      </c>
      <c r="I957" s="212">
        <v>45420</v>
      </c>
      <c r="J957" s="86" t="s">
        <v>6221</v>
      </c>
    </row>
    <row r="958" spans="2:10" x14ac:dyDescent="0.2">
      <c r="B958" s="86">
        <v>955</v>
      </c>
      <c r="C958" s="86" t="s">
        <v>3100</v>
      </c>
      <c r="D958" s="304">
        <f>_xlfn.IFNA(VLOOKUP(C958,Database!$D$5:$F$439,2,0),VLOOKUP(C958,logut!$C$4:$D$499,2,0))</f>
        <v>642201131</v>
      </c>
      <c r="E958" s="86" t="s">
        <v>312</v>
      </c>
      <c r="G958" s="86" t="s">
        <v>175</v>
      </c>
      <c r="H958" s="86" t="s">
        <v>24</v>
      </c>
      <c r="I958" s="212">
        <v>45420</v>
      </c>
      <c r="J958" s="86" t="s">
        <v>6221</v>
      </c>
    </row>
    <row r="959" spans="2:10" x14ac:dyDescent="0.2">
      <c r="B959" s="86">
        <v>956</v>
      </c>
      <c r="C959" s="86" t="s">
        <v>3146</v>
      </c>
      <c r="D959" s="304">
        <f>_xlfn.IFNA(VLOOKUP(C959,Database!$D$5:$F$439,2,0),VLOOKUP(C959,logut!$C$4:$D$499,2,0))</f>
        <v>642201135</v>
      </c>
      <c r="E959" s="86" t="s">
        <v>312</v>
      </c>
      <c r="G959" s="86" t="s">
        <v>175</v>
      </c>
      <c r="H959" s="86" t="s">
        <v>24</v>
      </c>
      <c r="I959" s="212">
        <v>45420</v>
      </c>
      <c r="J959" s="86" t="s">
        <v>6221</v>
      </c>
    </row>
    <row r="960" spans="2:10" x14ac:dyDescent="0.2">
      <c r="B960" s="86">
        <v>957</v>
      </c>
      <c r="C960" s="86" t="s">
        <v>3110</v>
      </c>
      <c r="D960" s="304">
        <f>_xlfn.IFNA(VLOOKUP(C960,Database!$D$5:$F$439,2,0),VLOOKUP(C960,logut!$C$4:$D$499,2,0))</f>
        <v>642201136</v>
      </c>
      <c r="E960" s="86" t="s">
        <v>312</v>
      </c>
      <c r="G960" s="86" t="s">
        <v>175</v>
      </c>
      <c r="H960" s="86" t="s">
        <v>24</v>
      </c>
      <c r="I960" s="212">
        <v>45420</v>
      </c>
      <c r="J960" s="86" t="s">
        <v>6221</v>
      </c>
    </row>
    <row r="961" spans="2:10" x14ac:dyDescent="0.2">
      <c r="B961" s="86">
        <v>958</v>
      </c>
      <c r="C961" s="86" t="s">
        <v>2409</v>
      </c>
      <c r="D961" s="304">
        <f>_xlfn.IFNA(VLOOKUP(C961,Database!$D$5:$F$439,2,0),VLOOKUP(C961,logut!$C$4:$D$499,2,0))</f>
        <v>641907253</v>
      </c>
      <c r="E961" s="86" t="s">
        <v>312</v>
      </c>
      <c r="G961" s="86" t="s">
        <v>175</v>
      </c>
      <c r="H961" s="86" t="s">
        <v>24</v>
      </c>
      <c r="I961" s="212">
        <v>45420</v>
      </c>
      <c r="J961" s="86" t="s">
        <v>6221</v>
      </c>
    </row>
    <row r="962" spans="2:10" x14ac:dyDescent="0.2">
      <c r="B962" s="86">
        <v>959</v>
      </c>
      <c r="C962" s="86" t="s">
        <v>3216</v>
      </c>
      <c r="D962" s="304">
        <f>_xlfn.IFNA(VLOOKUP(C962,Database!$D$5:$F$439,2,0),VLOOKUP(C962,logut!$C$4:$D$499,2,0))</f>
        <v>642201143</v>
      </c>
      <c r="E962" s="86" t="s">
        <v>312</v>
      </c>
      <c r="G962" s="86" t="s">
        <v>6222</v>
      </c>
      <c r="H962" s="86" t="s">
        <v>217</v>
      </c>
      <c r="I962" s="212">
        <v>45429</v>
      </c>
      <c r="J962" s="86" t="s">
        <v>6223</v>
      </c>
    </row>
    <row r="963" spans="2:10" x14ac:dyDescent="0.2">
      <c r="B963" s="86">
        <v>960</v>
      </c>
      <c r="C963" s="86" t="s">
        <v>2512</v>
      </c>
      <c r="D963" s="304">
        <f>_xlfn.IFNA(VLOOKUP(C963,Database!$D$5:$F$439,2,0),VLOOKUP(C963,logut!$C$4:$D$499,2,0))</f>
        <v>641907250</v>
      </c>
      <c r="E963" s="86" t="s">
        <v>312</v>
      </c>
      <c r="G963" s="86" t="s">
        <v>748</v>
      </c>
      <c r="H963" s="86" t="s">
        <v>25</v>
      </c>
      <c r="I963" s="212">
        <v>45429</v>
      </c>
      <c r="J963" s="86" t="s">
        <v>6223</v>
      </c>
    </row>
    <row r="964" spans="2:10" x14ac:dyDescent="0.2">
      <c r="B964" s="86">
        <v>961</v>
      </c>
      <c r="C964" s="86" t="s">
        <v>2348</v>
      </c>
      <c r="D964" s="304">
        <f>_xlfn.IFNA(VLOOKUP(C964,Database!$D$5:$F$439,2,0),VLOOKUP(C964,logut!$C$4:$D$499,2,0))</f>
        <v>641907247</v>
      </c>
      <c r="E964" s="86" t="s">
        <v>312</v>
      </c>
      <c r="G964" s="86" t="s">
        <v>5954</v>
      </c>
      <c r="H964" s="86" t="s">
        <v>21</v>
      </c>
      <c r="I964" s="212">
        <v>45429</v>
      </c>
      <c r="J964" s="86" t="s">
        <v>6223</v>
      </c>
    </row>
    <row r="965" spans="2:10" x14ac:dyDescent="0.2">
      <c r="B965" s="86">
        <v>962</v>
      </c>
      <c r="C965" s="86" t="s">
        <v>3455</v>
      </c>
      <c r="D965" s="304">
        <f>_xlfn.IFNA(VLOOKUP(C965,Database!$D$5:$F$439,2,0),VLOOKUP(C965,logut!$C$4:$D$499,2,0))</f>
        <v>642201176</v>
      </c>
      <c r="E965" s="86" t="s">
        <v>312</v>
      </c>
      <c r="G965" s="86" t="s">
        <v>6224</v>
      </c>
      <c r="H965" s="86" t="s">
        <v>20</v>
      </c>
      <c r="I965" s="212">
        <v>45429</v>
      </c>
      <c r="J965" s="86" t="s">
        <v>6223</v>
      </c>
    </row>
    <row r="966" spans="2:10" x14ac:dyDescent="0.2">
      <c r="B966" s="86">
        <v>963</v>
      </c>
      <c r="C966" s="86" t="s">
        <v>3402</v>
      </c>
      <c r="D966" s="304">
        <f>_xlfn.IFNA(VLOOKUP(C966,Database!$D$5:$F$439,2,0),VLOOKUP(C966,logut!$C$4:$D$499,2,0))</f>
        <v>642201169</v>
      </c>
      <c r="E966" s="86" t="s">
        <v>312</v>
      </c>
      <c r="G966" s="86" t="s">
        <v>6224</v>
      </c>
      <c r="H966" s="86" t="s">
        <v>20</v>
      </c>
      <c r="I966" s="212">
        <v>45429</v>
      </c>
      <c r="J966" s="86" t="s">
        <v>6223</v>
      </c>
    </row>
    <row r="967" spans="2:10" x14ac:dyDescent="0.2">
      <c r="B967" s="86">
        <v>964</v>
      </c>
      <c r="C967" s="86" t="s">
        <v>805</v>
      </c>
      <c r="D967" s="304">
        <f>_xlfn.IFNA(VLOOKUP(C967,Database!$D$5:$F$439,2,0),VLOOKUP(C967,logut!$C$4:$D$499,2,0))</f>
        <v>642001019</v>
      </c>
      <c r="E967" s="86" t="s">
        <v>312</v>
      </c>
      <c r="G967" s="86" t="s">
        <v>6225</v>
      </c>
      <c r="H967" s="86" t="s">
        <v>31</v>
      </c>
      <c r="I967" s="212">
        <v>45429</v>
      </c>
      <c r="J967" s="86" t="s">
        <v>6223</v>
      </c>
    </row>
    <row r="968" spans="2:10" x14ac:dyDescent="0.2">
      <c r="B968" s="86">
        <v>965</v>
      </c>
      <c r="C968" s="86" t="s">
        <v>3169</v>
      </c>
      <c r="D968" s="304">
        <f>_xlfn.IFNA(VLOOKUP(C968,Database!$D$5:$F$439,2,0),VLOOKUP(C968,logut!$C$4:$D$499,2,0))</f>
        <v>642201152</v>
      </c>
      <c r="E968" s="86" t="s">
        <v>312</v>
      </c>
      <c r="G968" s="86" t="s">
        <v>6225</v>
      </c>
      <c r="H968" s="86" t="s">
        <v>31</v>
      </c>
      <c r="I968" s="212">
        <v>45429</v>
      </c>
      <c r="J968" s="86" t="s">
        <v>6223</v>
      </c>
    </row>
    <row r="969" spans="2:10" x14ac:dyDescent="0.2">
      <c r="B969" s="86">
        <v>966</v>
      </c>
      <c r="C969" s="86" t="s">
        <v>3183</v>
      </c>
      <c r="D969" s="304">
        <f>_xlfn.IFNA(VLOOKUP(C969,Database!$D$5:$F$439,2,0),VLOOKUP(C969,logut!$C$4:$D$499,2,0))</f>
        <v>642201154</v>
      </c>
      <c r="E969" s="86" t="s">
        <v>312</v>
      </c>
      <c r="G969" s="86" t="s">
        <v>6225</v>
      </c>
      <c r="H969" s="86" t="s">
        <v>31</v>
      </c>
      <c r="I969" s="212">
        <v>45429</v>
      </c>
      <c r="J969" s="86" t="s">
        <v>6223</v>
      </c>
    </row>
    <row r="970" spans="2:10" x14ac:dyDescent="0.2">
      <c r="B970" s="86">
        <v>967</v>
      </c>
      <c r="C970" s="86" t="s">
        <v>1570</v>
      </c>
      <c r="D970" s="304">
        <f>_xlfn.IFNA(VLOOKUP(C970,Database!$D$5:$F$439,2,0),VLOOKUP(C970,logut!$C$4:$D$499,2,0))</f>
        <v>641801141</v>
      </c>
      <c r="E970" s="86" t="s">
        <v>312</v>
      </c>
      <c r="G970" s="86" t="s">
        <v>629</v>
      </c>
      <c r="H970" s="86" t="s">
        <v>24</v>
      </c>
      <c r="I970" s="212">
        <v>45429</v>
      </c>
      <c r="J970" s="86" t="s">
        <v>6223</v>
      </c>
    </row>
    <row r="971" spans="2:10" x14ac:dyDescent="0.2">
      <c r="B971" s="86">
        <v>968</v>
      </c>
      <c r="C971" s="86" t="s">
        <v>1794</v>
      </c>
      <c r="D971" s="304">
        <f>_xlfn.IFNA(VLOOKUP(C971,Database!$D$5:$F$439,2,0),VLOOKUP(C971,logut!$C$4:$D$499,2,0))</f>
        <v>641807165</v>
      </c>
      <c r="E971" s="86" t="s">
        <v>312</v>
      </c>
      <c r="G971" s="86" t="s">
        <v>6225</v>
      </c>
      <c r="H971" s="86" t="s">
        <v>31</v>
      </c>
      <c r="I971" s="212">
        <v>45429</v>
      </c>
      <c r="J971" s="86" t="s">
        <v>6223</v>
      </c>
    </row>
    <row r="972" spans="2:10" x14ac:dyDescent="0.2">
      <c r="B972" s="86">
        <v>969</v>
      </c>
      <c r="C972" s="86" t="s">
        <v>1619</v>
      </c>
      <c r="D972" s="304">
        <f>_xlfn.IFNA(VLOOKUP(C972,Database!$D$5:$F$439,2,0),VLOOKUP(C972,logut!$C$4:$D$499,2,0))</f>
        <v>641805143</v>
      </c>
      <c r="E972" s="86" t="s">
        <v>312</v>
      </c>
      <c r="G972" s="86" t="s">
        <v>6226</v>
      </c>
      <c r="H972" s="86" t="s">
        <v>217</v>
      </c>
      <c r="I972" s="212">
        <v>45429</v>
      </c>
      <c r="J972" s="86" t="s">
        <v>6223</v>
      </c>
    </row>
    <row r="973" spans="2:10" x14ac:dyDescent="0.2">
      <c r="B973" s="86">
        <v>970</v>
      </c>
      <c r="C973" s="86" t="s">
        <v>3231</v>
      </c>
      <c r="D973" s="304">
        <f>_xlfn.IFNA(VLOOKUP(C973,Database!$D$5:$F$439,2,0),VLOOKUP(C973,logut!$C$4:$D$499,2,0))</f>
        <v>642201145</v>
      </c>
      <c r="E973" s="86" t="s">
        <v>312</v>
      </c>
      <c r="G973" s="86" t="s">
        <v>748</v>
      </c>
      <c r="H973" s="86" t="s">
        <v>25</v>
      </c>
      <c r="I973" s="212">
        <v>45429</v>
      </c>
      <c r="J973" s="86" t="s">
        <v>6223</v>
      </c>
    </row>
    <row r="974" spans="2:10" x14ac:dyDescent="0.2">
      <c r="B974" s="86">
        <v>971</v>
      </c>
      <c r="C974" s="86" t="s">
        <v>517</v>
      </c>
      <c r="D974" s="304">
        <f>_xlfn.IFNA(VLOOKUP(C974,Database!$D$5:$F$439,2,0),VLOOKUP(C974,logut!$C$4:$D$499,2,0))</f>
        <v>642001013</v>
      </c>
      <c r="E974" s="86" t="s">
        <v>312</v>
      </c>
      <c r="G974" s="86" t="s">
        <v>6227</v>
      </c>
      <c r="H974" s="86" t="s">
        <v>217</v>
      </c>
      <c r="I974" s="212">
        <v>45429</v>
      </c>
      <c r="J974" s="86" t="s">
        <v>6223</v>
      </c>
    </row>
    <row r="975" spans="2:10" x14ac:dyDescent="0.2">
      <c r="B975" s="86">
        <v>972</v>
      </c>
      <c r="C975" s="86" t="s">
        <v>5841</v>
      </c>
      <c r="D975" s="304">
        <f>_xlfn.IFNA(VLOOKUP(C975,Database!$D$5:$F$439,2,0),VLOOKUP(C975,logut!$C$4:$D$499,2,0))</f>
        <v>641812210</v>
      </c>
      <c r="E975" s="86" t="s">
        <v>312</v>
      </c>
      <c r="G975" s="86" t="s">
        <v>6183</v>
      </c>
      <c r="H975" s="86" t="s">
        <v>31</v>
      </c>
      <c r="I975" s="212">
        <v>45429</v>
      </c>
      <c r="J975" s="86" t="s">
        <v>6223</v>
      </c>
    </row>
    <row r="976" spans="2:10" x14ac:dyDescent="0.2">
      <c r="B976" s="86">
        <v>973</v>
      </c>
      <c r="C976" s="86" t="s">
        <v>3412</v>
      </c>
      <c r="D976" s="304">
        <f>_xlfn.IFNA(VLOOKUP(C976,Database!$D$5:$F$439,2,0),VLOOKUP(C976,logut!$C$4:$D$499,2,0))</f>
        <v>642201172</v>
      </c>
      <c r="E976" s="86" t="s">
        <v>312</v>
      </c>
      <c r="G976" s="86" t="s">
        <v>6228</v>
      </c>
      <c r="H976" s="86" t="s">
        <v>217</v>
      </c>
      <c r="I976" s="212">
        <v>45429</v>
      </c>
      <c r="J976" s="86" t="s">
        <v>6223</v>
      </c>
    </row>
    <row r="977" spans="2:10" x14ac:dyDescent="0.2">
      <c r="B977" s="86">
        <v>974</v>
      </c>
      <c r="C977" s="86" t="s">
        <v>831</v>
      </c>
      <c r="D977" s="304">
        <f>_xlfn.IFNA(VLOOKUP(C977,Database!$D$5:$F$439,2,0),VLOOKUP(C977,logut!$C$4:$D$499,2,0))</f>
        <v>642001014</v>
      </c>
      <c r="E977" s="86" t="s">
        <v>312</v>
      </c>
      <c r="G977" s="86" t="s">
        <v>6229</v>
      </c>
      <c r="H977" s="86" t="s">
        <v>217</v>
      </c>
      <c r="I977" s="212">
        <v>45429</v>
      </c>
      <c r="J977" s="86" t="s">
        <v>6223</v>
      </c>
    </row>
    <row r="978" spans="2:10" x14ac:dyDescent="0.2">
      <c r="B978" s="86">
        <v>975</v>
      </c>
      <c r="C978" s="86" t="s">
        <v>1106</v>
      </c>
      <c r="D978" s="304">
        <f>_xlfn.IFNA(VLOOKUP(C978,Database!$D$5:$F$439,2,0),VLOOKUP(C978,logut!$C$4:$D$499,2,0))</f>
        <v>642001047</v>
      </c>
      <c r="E978" s="86" t="s">
        <v>312</v>
      </c>
      <c r="G978" s="86" t="s">
        <v>6229</v>
      </c>
      <c r="H978" s="86" t="s">
        <v>217</v>
      </c>
      <c r="I978" s="212">
        <v>45429</v>
      </c>
      <c r="J978" s="86" t="s">
        <v>6223</v>
      </c>
    </row>
    <row r="979" spans="2:10" x14ac:dyDescent="0.2">
      <c r="B979" s="86">
        <v>976</v>
      </c>
      <c r="C979" s="86" t="s">
        <v>680</v>
      </c>
      <c r="D979" s="304">
        <f>_xlfn.IFNA(VLOOKUP(C979,Database!$D$5:$F$439,2,0),VLOOKUP(C979,logut!$C$4:$D$499,2,0))</f>
        <v>642001012</v>
      </c>
      <c r="E979" s="86" t="s">
        <v>312</v>
      </c>
      <c r="G979" s="86" t="s">
        <v>6230</v>
      </c>
      <c r="H979" s="86" t="s">
        <v>28</v>
      </c>
      <c r="I979" s="212">
        <v>45429</v>
      </c>
      <c r="J979" s="86" t="s">
        <v>6231</v>
      </c>
    </row>
    <row r="980" spans="2:10" x14ac:dyDescent="0.2">
      <c r="B980" s="86">
        <v>977</v>
      </c>
      <c r="C980" s="86" t="s">
        <v>3394</v>
      </c>
      <c r="D980" s="304">
        <f>_xlfn.IFNA(VLOOKUP(C980,Database!$D$5:$F$439,2,0),VLOOKUP(C980,logut!$C$4:$D$499,2,0))</f>
        <v>642201171</v>
      </c>
      <c r="E980" s="86" t="s">
        <v>312</v>
      </c>
      <c r="G980" s="86" t="s">
        <v>6230</v>
      </c>
      <c r="H980" s="86" t="s">
        <v>28</v>
      </c>
      <c r="I980" s="212">
        <v>45429</v>
      </c>
      <c r="J980" s="86" t="s">
        <v>6231</v>
      </c>
    </row>
    <row r="981" spans="2:10" x14ac:dyDescent="0.2">
      <c r="B981" s="86">
        <v>978</v>
      </c>
      <c r="C981" s="86" t="s">
        <v>500</v>
      </c>
      <c r="D981" s="304">
        <f>_xlfn.IFNA(VLOOKUP(C981,Database!$D$5:$F$439,2,0),VLOOKUP(C981,logut!$C$4:$D$499,2,0))</f>
        <v>971700005</v>
      </c>
      <c r="E981" s="86" t="s">
        <v>312</v>
      </c>
      <c r="G981" s="86" t="s">
        <v>6230</v>
      </c>
      <c r="H981" s="86" t="s">
        <v>30</v>
      </c>
      <c r="I981" s="212">
        <v>45429</v>
      </c>
      <c r="J981" s="86" t="s">
        <v>6231</v>
      </c>
    </row>
    <row r="982" spans="2:10" x14ac:dyDescent="0.2">
      <c r="B982" s="86">
        <v>979</v>
      </c>
      <c r="C982" s="86" t="s">
        <v>2409</v>
      </c>
      <c r="D982" s="304">
        <f>_xlfn.IFNA(VLOOKUP(C982,Database!$D$5:$F$439,2,0),VLOOKUP(C982,logut!$C$4:$D$499,2,0))</f>
        <v>641907253</v>
      </c>
      <c r="E982" s="86" t="s">
        <v>312</v>
      </c>
      <c r="G982" s="86" t="s">
        <v>6230</v>
      </c>
      <c r="H982" s="86" t="s">
        <v>29</v>
      </c>
      <c r="I982" s="212">
        <v>45429</v>
      </c>
      <c r="J982" s="86" t="s">
        <v>6231</v>
      </c>
    </row>
    <row r="983" spans="2:10" x14ac:dyDescent="0.2">
      <c r="B983" s="86">
        <v>980</v>
      </c>
      <c r="C983" s="86" t="s">
        <v>458</v>
      </c>
      <c r="D983" s="304">
        <f>_xlfn.IFNA(VLOOKUP(C983,Database!$D$5:$F$439,2,0),VLOOKUP(C983,logut!$C$4:$D$499,2,0))</f>
        <v>971800026</v>
      </c>
      <c r="E983" s="86" t="s">
        <v>312</v>
      </c>
      <c r="G983" s="86" t="s">
        <v>6230</v>
      </c>
      <c r="H983" s="86" t="s">
        <v>6113</v>
      </c>
      <c r="I983" s="212">
        <v>45429</v>
      </c>
      <c r="J983" s="86" t="s">
        <v>6231</v>
      </c>
    </row>
    <row r="984" spans="2:10" x14ac:dyDescent="0.2">
      <c r="B984" s="86">
        <v>981</v>
      </c>
      <c r="C984" s="86" t="s">
        <v>1719</v>
      </c>
      <c r="D984" s="304">
        <f>_xlfn.IFNA(VLOOKUP(C984,Database!$D$5:$F$439,2,0),VLOOKUP(C984,logut!$C$4:$D$499,2,0))</f>
        <v>641806156</v>
      </c>
      <c r="E984" s="86" t="s">
        <v>312</v>
      </c>
      <c r="G984" s="86" t="s">
        <v>6230</v>
      </c>
      <c r="H984" s="86" t="s">
        <v>28</v>
      </c>
      <c r="I984" s="212">
        <v>45429</v>
      </c>
      <c r="J984" s="86" t="s">
        <v>6231</v>
      </c>
    </row>
    <row r="985" spans="2:10" x14ac:dyDescent="0.2">
      <c r="B985" s="86">
        <v>982</v>
      </c>
      <c r="C985" s="86" t="s">
        <v>1763</v>
      </c>
      <c r="D985" s="304">
        <f>_xlfn.IFNA(VLOOKUP(C985,Database!$D$5:$F$439,2,0),VLOOKUP(C985,logut!$C$4:$D$499,2,0))</f>
        <v>641807164</v>
      </c>
      <c r="E985" s="86" t="s">
        <v>312</v>
      </c>
      <c r="G985" s="86" t="s">
        <v>6230</v>
      </c>
      <c r="H985" s="86" t="s">
        <v>28</v>
      </c>
      <c r="I985" s="212">
        <v>45429</v>
      </c>
      <c r="J985" s="86" t="s">
        <v>6231</v>
      </c>
    </row>
    <row r="986" spans="2:10" x14ac:dyDescent="0.2">
      <c r="B986" s="86">
        <v>983</v>
      </c>
      <c r="C986" s="86" t="s">
        <v>2472</v>
      </c>
      <c r="D986" s="304">
        <f>_xlfn.IFNA(VLOOKUP(C986,Database!$D$5:$F$439,2,0),VLOOKUP(C986,logut!$C$4:$D$499,2,0))</f>
        <v>641907248</v>
      </c>
      <c r="E986" s="86" t="s">
        <v>312</v>
      </c>
      <c r="G986" s="86" t="s">
        <v>6230</v>
      </c>
      <c r="H986" s="86" t="s">
        <v>30</v>
      </c>
      <c r="I986" s="212">
        <v>45429</v>
      </c>
      <c r="J986" s="86" t="s">
        <v>6231</v>
      </c>
    </row>
    <row r="987" spans="2:10" x14ac:dyDescent="0.2">
      <c r="B987" s="86">
        <v>984</v>
      </c>
      <c r="C987" s="86" t="s">
        <v>913</v>
      </c>
      <c r="D987" s="304">
        <f>_xlfn.IFNA(VLOOKUP(C987,Database!$D$5:$F$439,2,0),VLOOKUP(C987,logut!$C$4:$D$499,2,0))</f>
        <v>642001061</v>
      </c>
      <c r="E987" s="86" t="s">
        <v>312</v>
      </c>
      <c r="G987" s="86" t="s">
        <v>6230</v>
      </c>
      <c r="H987" s="86" t="s">
        <v>29</v>
      </c>
      <c r="I987" s="212">
        <v>45429</v>
      </c>
      <c r="J987" s="86" t="s">
        <v>6231</v>
      </c>
    </row>
    <row r="988" spans="2:10" x14ac:dyDescent="0.2">
      <c r="B988" s="86">
        <v>985</v>
      </c>
      <c r="C988" s="86" t="s">
        <v>1226</v>
      </c>
      <c r="D988" s="304">
        <f>_xlfn.IFNA(VLOOKUP(C988,Database!$D$5:$F$439,2,0),VLOOKUP(C988,logut!$C$4:$D$499,2,0))</f>
        <v>642001038</v>
      </c>
      <c r="E988" s="86" t="s">
        <v>312</v>
      </c>
      <c r="G988" s="86" t="s">
        <v>6230</v>
      </c>
      <c r="H988" s="86" t="s">
        <v>6113</v>
      </c>
      <c r="I988" s="212">
        <v>45429</v>
      </c>
      <c r="J988" s="86" t="s">
        <v>6231</v>
      </c>
    </row>
    <row r="989" spans="2:10" x14ac:dyDescent="0.2">
      <c r="B989" s="86">
        <v>986</v>
      </c>
      <c r="C989" s="86" t="s">
        <v>1743</v>
      </c>
      <c r="D989" s="304">
        <f>_xlfn.IFNA(VLOOKUP(C989,Database!$D$5:$F$439,2,0),VLOOKUP(C989,logut!$C$4:$D$499,2,0))</f>
        <v>641807169</v>
      </c>
      <c r="E989" s="86" t="s">
        <v>312</v>
      </c>
      <c r="G989" s="86" t="s">
        <v>6230</v>
      </c>
      <c r="H989" s="86" t="s">
        <v>28</v>
      </c>
      <c r="I989" s="212">
        <v>45429</v>
      </c>
      <c r="J989" s="86" t="s">
        <v>6231</v>
      </c>
    </row>
    <row r="990" spans="2:10" x14ac:dyDescent="0.2">
      <c r="B990" s="86">
        <v>987</v>
      </c>
      <c r="C990" s="86" t="s">
        <v>1820</v>
      </c>
      <c r="D990" s="304">
        <f>_xlfn.IFNA(VLOOKUP(C990,Database!$D$5:$F$439,2,0),VLOOKUP(C990,logut!$C$4:$D$499,2,0))</f>
        <v>641807161</v>
      </c>
      <c r="E990" s="86" t="s">
        <v>312</v>
      </c>
      <c r="G990" s="86" t="s">
        <v>6230</v>
      </c>
      <c r="H990" s="86" t="s">
        <v>28</v>
      </c>
      <c r="I990" s="212">
        <v>45429</v>
      </c>
      <c r="J990" s="86" t="s">
        <v>6231</v>
      </c>
    </row>
    <row r="991" spans="2:10" x14ac:dyDescent="0.2">
      <c r="B991" s="86">
        <v>988</v>
      </c>
      <c r="C991" s="86" t="s">
        <v>431</v>
      </c>
      <c r="D991" s="304">
        <f>_xlfn.IFNA(VLOOKUP(C991,Database!$D$5:$F$439,2,0),VLOOKUP(C991,logut!$C$4:$D$499,2,0))</f>
        <v>971600004</v>
      </c>
      <c r="E991" s="86" t="s">
        <v>6075</v>
      </c>
      <c r="G991" s="86" t="s">
        <v>6232</v>
      </c>
      <c r="H991" s="86" t="s">
        <v>5901</v>
      </c>
      <c r="I991" s="212">
        <v>45442</v>
      </c>
      <c r="J991" s="86" t="s">
        <v>6233</v>
      </c>
    </row>
    <row r="992" spans="2:10" x14ac:dyDescent="0.2">
      <c r="B992" s="86">
        <v>989</v>
      </c>
      <c r="C992" s="86" t="s">
        <v>79</v>
      </c>
      <c r="D992" s="304">
        <f>_xlfn.IFNA(VLOOKUP(C992,Database!$D$5:$F$439,2,0),VLOOKUP(C992,logut!$C$4:$D$499,2,0))</f>
        <v>971900043</v>
      </c>
      <c r="E992" s="86" t="s">
        <v>6075</v>
      </c>
      <c r="G992" s="86" t="s">
        <v>6232</v>
      </c>
      <c r="H992" s="86" t="s">
        <v>5901</v>
      </c>
      <c r="I992" s="212">
        <v>45442</v>
      </c>
      <c r="J992" s="86" t="s">
        <v>6233</v>
      </c>
    </row>
    <row r="993" spans="2:10" x14ac:dyDescent="0.2">
      <c r="B993" s="86">
        <v>990</v>
      </c>
      <c r="C993" s="86" t="s">
        <v>102</v>
      </c>
      <c r="D993" s="304">
        <f>_xlfn.IFNA(VLOOKUP(C993,Database!$D$5:$F$439,2,0),VLOOKUP(C993,logut!$C$4:$D$499,2,0))</f>
        <v>991500018</v>
      </c>
      <c r="E993" s="86" t="s">
        <v>6075</v>
      </c>
      <c r="G993" s="86" t="s">
        <v>6232</v>
      </c>
      <c r="H993" s="86" t="s">
        <v>5901</v>
      </c>
      <c r="I993" s="212">
        <v>45442</v>
      </c>
      <c r="J993" s="86" t="s">
        <v>6233</v>
      </c>
    </row>
    <row r="994" spans="2:10" x14ac:dyDescent="0.2">
      <c r="B994" s="86">
        <v>991</v>
      </c>
      <c r="C994" s="86" t="s">
        <v>723</v>
      </c>
      <c r="D994" s="304">
        <f>_xlfn.IFNA(VLOOKUP(C994,Database!$D$5:$F$439,2,0),VLOOKUP(C994,logut!$C$4:$D$499,2,0))</f>
        <v>971900049</v>
      </c>
      <c r="E994" s="86" t="s">
        <v>5900</v>
      </c>
      <c r="G994" s="86" t="s">
        <v>122</v>
      </c>
      <c r="H994" s="86" t="s">
        <v>5901</v>
      </c>
      <c r="I994" s="212">
        <v>45448</v>
      </c>
      <c r="J994" s="86" t="s">
        <v>6234</v>
      </c>
    </row>
    <row r="995" spans="2:10" x14ac:dyDescent="0.2">
      <c r="B995" s="86">
        <v>992</v>
      </c>
      <c r="C995" s="86" t="s">
        <v>546</v>
      </c>
      <c r="D995" s="304">
        <f>_xlfn.IFNA(VLOOKUP(C995,Database!$D$5:$F$439,2,0),VLOOKUP(C995,logut!$C$4:$D$499,2,0))</f>
        <v>971900046</v>
      </c>
      <c r="E995" s="86" t="s">
        <v>5900</v>
      </c>
      <c r="G995" s="86" t="s">
        <v>122</v>
      </c>
      <c r="H995" s="86" t="s">
        <v>5901</v>
      </c>
      <c r="I995" s="212">
        <v>45448</v>
      </c>
      <c r="J995" s="86" t="s">
        <v>6234</v>
      </c>
    </row>
    <row r="996" spans="2:10" x14ac:dyDescent="0.2">
      <c r="B996" s="86">
        <v>993</v>
      </c>
      <c r="C996" s="86" t="s">
        <v>1125</v>
      </c>
      <c r="D996" s="304">
        <f>_xlfn.IFNA(VLOOKUP(C996,Database!$D$5:$F$439,2,0),VLOOKUP(C996,logut!$C$4:$D$499,2,0))</f>
        <v>642001048</v>
      </c>
      <c r="E996" s="86" t="s">
        <v>140</v>
      </c>
      <c r="G996" s="86" t="s">
        <v>6215</v>
      </c>
      <c r="H996" s="86" t="s">
        <v>22</v>
      </c>
      <c r="I996" s="212">
        <v>45448</v>
      </c>
      <c r="J996" s="86" t="s">
        <v>6234</v>
      </c>
    </row>
    <row r="997" spans="2:10" x14ac:dyDescent="0.2">
      <c r="B997" s="86">
        <v>994</v>
      </c>
      <c r="C997" s="86" t="s">
        <v>2732</v>
      </c>
      <c r="D997" s="304">
        <f>_xlfn.IFNA(VLOOKUP(C997,Database!$D$5:$F$439,2,0),VLOOKUP(C997,logut!$C$4:$D$499,2,0))</f>
        <v>991700024</v>
      </c>
      <c r="E997" s="86" t="s">
        <v>6235</v>
      </c>
      <c r="G997" s="86" t="s">
        <v>6236</v>
      </c>
      <c r="H997" s="86" t="s">
        <v>22</v>
      </c>
      <c r="I997" s="212">
        <v>45448</v>
      </c>
      <c r="J997" s="86" t="s">
        <v>6234</v>
      </c>
    </row>
    <row r="998" spans="2:10" x14ac:dyDescent="0.2">
      <c r="B998" s="86">
        <v>995</v>
      </c>
      <c r="C998" s="86" t="s">
        <v>1262</v>
      </c>
      <c r="D998" s="304">
        <f>_xlfn.IFNA(VLOOKUP(C998,Database!$D$5:$F$439,2,0),VLOOKUP(C998,logut!$C$4:$D$499,2,0))</f>
        <v>642001043</v>
      </c>
      <c r="E998" s="86" t="s">
        <v>312</v>
      </c>
      <c r="G998" s="86" t="s">
        <v>6215</v>
      </c>
      <c r="H998" s="86" t="s">
        <v>22</v>
      </c>
      <c r="I998" s="212">
        <v>45448</v>
      </c>
      <c r="J998" s="86" t="s">
        <v>6234</v>
      </c>
    </row>
    <row r="999" spans="2:10" x14ac:dyDescent="0.2">
      <c r="B999" s="86">
        <v>996</v>
      </c>
      <c r="C999" s="86" t="s">
        <v>723</v>
      </c>
      <c r="D999" s="304">
        <f>_xlfn.IFNA(VLOOKUP(C999,Database!$D$5:$F$439,2,0),VLOOKUP(C999,logut!$C$4:$D$499,2,0))</f>
        <v>971900049</v>
      </c>
      <c r="E999" s="86" t="s">
        <v>312</v>
      </c>
      <c r="G999" s="86" t="s">
        <v>748</v>
      </c>
      <c r="H999" s="86" t="s">
        <v>25</v>
      </c>
      <c r="I999" s="212">
        <v>45470</v>
      </c>
      <c r="J999" s="86" t="s">
        <v>6237</v>
      </c>
    </row>
    <row r="1000" spans="2:10" x14ac:dyDescent="0.2">
      <c r="B1000" s="86">
        <v>997</v>
      </c>
      <c r="C1000" s="86" t="s">
        <v>3090</v>
      </c>
      <c r="D1000" s="304">
        <f>_xlfn.IFNA(VLOOKUP(C1000,Database!$D$5:$F$439,2,0),VLOOKUP(C1000,logut!$C$4:$D$499,2,0))</f>
        <v>642201137</v>
      </c>
      <c r="E1000" s="86" t="s">
        <v>312</v>
      </c>
      <c r="G1000" s="86" t="s">
        <v>748</v>
      </c>
      <c r="H1000" s="86" t="s">
        <v>25</v>
      </c>
      <c r="I1000" s="212">
        <v>45470</v>
      </c>
      <c r="J1000" s="86" t="s">
        <v>6237</v>
      </c>
    </row>
    <row r="1001" spans="2:10" x14ac:dyDescent="0.2">
      <c r="B1001" s="86">
        <v>998</v>
      </c>
      <c r="C1001" s="86" t="s">
        <v>3803</v>
      </c>
      <c r="D1001" s="304">
        <f>_xlfn.IFNA(VLOOKUP(C1001,Database!$D$5:$F$439,2,0),VLOOKUP(C1001,logut!$C$4:$D$499,2,0))</f>
        <v>642312146</v>
      </c>
      <c r="E1001" s="86" t="s">
        <v>312</v>
      </c>
      <c r="G1001" s="86" t="s">
        <v>748</v>
      </c>
      <c r="H1001" s="86" t="s">
        <v>25</v>
      </c>
      <c r="I1001" s="212">
        <v>45470</v>
      </c>
      <c r="J1001" s="86" t="s">
        <v>6237</v>
      </c>
    </row>
    <row r="1002" spans="2:10" x14ac:dyDescent="0.2">
      <c r="B1002" s="86">
        <v>999</v>
      </c>
      <c r="C1002" s="86" t="s">
        <v>4281</v>
      </c>
      <c r="D1002" s="304">
        <f>_xlfn.IFNA(VLOOKUP(C1002,Database!$D$5:$F$439,2,0),VLOOKUP(C1002,logut!$C$4:$D$499,2,0))</f>
        <v>999800002</v>
      </c>
      <c r="E1002" s="86" t="s">
        <v>6238</v>
      </c>
      <c r="G1002" s="86" t="s">
        <v>6239</v>
      </c>
      <c r="H1002" s="86" t="s">
        <v>5901</v>
      </c>
      <c r="I1002" s="212">
        <v>45491</v>
      </c>
      <c r="J1002" s="86" t="s">
        <v>6240</v>
      </c>
    </row>
    <row r="1003" spans="2:10" x14ac:dyDescent="0.2">
      <c r="B1003" s="86">
        <v>1000</v>
      </c>
      <c r="C1003" s="86" t="s">
        <v>431</v>
      </c>
      <c r="D1003" s="304">
        <f>_xlfn.IFNA(VLOOKUP(C1003,Database!$D$5:$F$439,2,0),VLOOKUP(C1003,logut!$C$4:$D$499,2,0))</f>
        <v>971600004</v>
      </c>
      <c r="E1003" s="86" t="s">
        <v>6241</v>
      </c>
      <c r="G1003" s="86" t="s">
        <v>6239</v>
      </c>
      <c r="H1003" s="86" t="s">
        <v>5901</v>
      </c>
      <c r="I1003" s="212">
        <v>45491</v>
      </c>
      <c r="J1003" s="86" t="s">
        <v>6240</v>
      </c>
    </row>
    <row r="1004" spans="2:10" x14ac:dyDescent="0.2">
      <c r="B1004" s="86">
        <v>1001</v>
      </c>
      <c r="C1004" s="86" t="s">
        <v>1903</v>
      </c>
      <c r="D1004" s="304">
        <f>_xlfn.IFNA(VLOOKUP(C1004,Database!$D$5:$F$439,2,0),VLOOKUP(C1004,logut!$C$4:$D$499,2,0))</f>
        <v>971900039</v>
      </c>
      <c r="E1004" s="86" t="s">
        <v>6241</v>
      </c>
      <c r="G1004" s="86" t="s">
        <v>6239</v>
      </c>
      <c r="H1004" s="86" t="s">
        <v>5901</v>
      </c>
      <c r="I1004" s="212">
        <v>45491</v>
      </c>
      <c r="J1004" s="86" t="s">
        <v>6240</v>
      </c>
    </row>
    <row r="1005" spans="2:10" x14ac:dyDescent="0.2">
      <c r="B1005" s="86">
        <v>1002</v>
      </c>
      <c r="C1005" s="86" t="s">
        <v>1149</v>
      </c>
      <c r="D1005" s="304">
        <f>_xlfn.IFNA(VLOOKUP(C1005,Database!$D$5:$F$439,2,0),VLOOKUP(C1005,logut!$C$4:$D$499,2,0))</f>
        <v>971800019</v>
      </c>
      <c r="E1005" s="86" t="s">
        <v>6241</v>
      </c>
      <c r="G1005" s="86" t="s">
        <v>6239</v>
      </c>
      <c r="H1005" s="86" t="s">
        <v>5901</v>
      </c>
      <c r="I1005" s="212">
        <v>45491</v>
      </c>
      <c r="J1005" s="86" t="s">
        <v>6240</v>
      </c>
    </row>
    <row r="1006" spans="2:10" x14ac:dyDescent="0.2">
      <c r="B1006" s="86">
        <v>1003</v>
      </c>
      <c r="C1006" s="86" t="s">
        <v>3756</v>
      </c>
      <c r="D1006" s="304">
        <f>_xlfn.IFNA(VLOOKUP(C1006,Database!$D$5:$F$439,2,0),VLOOKUP(C1006,logut!$C$4:$D$499,2,0))</f>
        <v>642312140</v>
      </c>
      <c r="E1006" s="86" t="s">
        <v>6242</v>
      </c>
      <c r="G1006" s="86" t="s">
        <v>6239</v>
      </c>
      <c r="H1006" s="86" t="s">
        <v>5901</v>
      </c>
      <c r="I1006" s="212">
        <v>45491</v>
      </c>
      <c r="J1006" s="86" t="s">
        <v>6240</v>
      </c>
    </row>
    <row r="1007" spans="2:10" x14ac:dyDescent="0.2">
      <c r="B1007" s="86">
        <v>1004</v>
      </c>
      <c r="C1007" s="86" t="s">
        <v>108</v>
      </c>
      <c r="D1007" s="304">
        <f>_xlfn.IFNA(VLOOKUP(C1007,Database!$D$5:$F$439,2,0),VLOOKUP(C1007,logut!$C$4:$D$499,2,0))</f>
        <v>642312142</v>
      </c>
      <c r="E1007" s="86" t="s">
        <v>6180</v>
      </c>
      <c r="G1007" s="86" t="s">
        <v>6239</v>
      </c>
      <c r="H1007" s="86" t="s">
        <v>5901</v>
      </c>
      <c r="I1007" s="212">
        <v>45491</v>
      </c>
      <c r="J1007" s="86" t="s">
        <v>6240</v>
      </c>
    </row>
    <row r="1008" spans="2:10" x14ac:dyDescent="0.2">
      <c r="B1008" s="86">
        <v>1005</v>
      </c>
      <c r="C1008" s="86" t="s">
        <v>3818</v>
      </c>
      <c r="D1008" s="304">
        <f>_xlfn.IFNA(VLOOKUP(C1008,Database!$D$5:$F$439,2,0),VLOOKUP(C1008,logut!$C$4:$D$499,2,0))</f>
        <v>642312148</v>
      </c>
      <c r="E1008" s="86" t="s">
        <v>5666</v>
      </c>
      <c r="G1008" s="86" t="s">
        <v>6239</v>
      </c>
      <c r="H1008" s="86" t="s">
        <v>5901</v>
      </c>
      <c r="I1008" s="212">
        <v>45491</v>
      </c>
      <c r="J1008" s="86" t="s">
        <v>6240</v>
      </c>
    </row>
    <row r="1009" spans="2:10" x14ac:dyDescent="0.2">
      <c r="B1009" s="86">
        <v>1006</v>
      </c>
      <c r="C1009" s="86" t="s">
        <v>113</v>
      </c>
      <c r="D1009" s="304">
        <f>_xlfn.IFNA(VLOOKUP(C1009,Database!$D$5:$F$439,2,0),VLOOKUP(C1009,logut!$C$4:$D$499,2,0))</f>
        <v>642312143</v>
      </c>
      <c r="E1009" s="86" t="s">
        <v>6243</v>
      </c>
      <c r="G1009" s="86" t="s">
        <v>6239</v>
      </c>
      <c r="H1009" s="86" t="s">
        <v>5901</v>
      </c>
      <c r="I1009" s="212">
        <v>45491</v>
      </c>
      <c r="J1009" s="86" t="s">
        <v>6240</v>
      </c>
    </row>
    <row r="1010" spans="2:10" x14ac:dyDescent="0.2">
      <c r="B1010" s="86">
        <v>1007</v>
      </c>
      <c r="C1010" s="86" t="s">
        <v>3803</v>
      </c>
      <c r="D1010" s="304">
        <f>_xlfn.IFNA(VLOOKUP(C1010,Database!$D$5:$F$439,2,0),VLOOKUP(C1010,logut!$C$4:$D$499,2,0))</f>
        <v>642312146</v>
      </c>
      <c r="E1010" s="86" t="s">
        <v>6243</v>
      </c>
      <c r="G1010" s="86" t="s">
        <v>6239</v>
      </c>
      <c r="H1010" s="86" t="s">
        <v>5901</v>
      </c>
      <c r="I1010" s="212">
        <v>45491</v>
      </c>
      <c r="J1010" s="86" t="s">
        <v>6240</v>
      </c>
    </row>
    <row r="1011" spans="2:10" x14ac:dyDescent="0.2">
      <c r="B1011" s="86">
        <v>1008</v>
      </c>
      <c r="C1011" s="86" t="s">
        <v>3766</v>
      </c>
      <c r="D1011" s="304">
        <f>_xlfn.IFNA(VLOOKUP(C1011,Database!$D$5:$F$439,2,0),VLOOKUP(C1011,logut!$C$4:$D$499,2,0))</f>
        <v>642312141</v>
      </c>
      <c r="E1011" s="86" t="s">
        <v>6243</v>
      </c>
      <c r="G1011" s="86" t="s">
        <v>6239</v>
      </c>
      <c r="H1011" s="86" t="s">
        <v>5901</v>
      </c>
      <c r="I1011" s="212">
        <v>45491</v>
      </c>
      <c r="J1011" s="86" t="s">
        <v>6240</v>
      </c>
    </row>
    <row r="1012" spans="2:10" x14ac:dyDescent="0.2">
      <c r="B1012" s="86">
        <v>1009</v>
      </c>
      <c r="C1012" s="86" t="s">
        <v>3810</v>
      </c>
      <c r="D1012" s="304">
        <f>_xlfn.IFNA(VLOOKUP(C1012,Database!$D$5:$F$439,2,0),VLOOKUP(C1012,logut!$C$4:$D$499,2,0))</f>
        <v>642312147</v>
      </c>
      <c r="E1012" s="86" t="s">
        <v>6244</v>
      </c>
      <c r="G1012" s="86" t="s">
        <v>6239</v>
      </c>
      <c r="H1012" s="86" t="s">
        <v>5901</v>
      </c>
      <c r="I1012" s="212">
        <v>45491</v>
      </c>
      <c r="J1012" s="86" t="s">
        <v>6240</v>
      </c>
    </row>
    <row r="1013" spans="2:10" x14ac:dyDescent="0.2">
      <c r="B1013" s="86">
        <v>1010</v>
      </c>
      <c r="C1013" s="86" t="s">
        <v>3795</v>
      </c>
      <c r="D1013" s="304">
        <f>_xlfn.IFNA(VLOOKUP(C1013,Database!$D$5:$F$439,2,0),VLOOKUP(C1013,logut!$C$4:$D$499,2,0))</f>
        <v>642312145</v>
      </c>
      <c r="E1013" s="86" t="s">
        <v>6244</v>
      </c>
      <c r="G1013" s="86" t="s">
        <v>6239</v>
      </c>
      <c r="H1013" s="86" t="s">
        <v>5901</v>
      </c>
      <c r="I1013" s="212">
        <v>45491</v>
      </c>
      <c r="J1013" s="86" t="s">
        <v>6240</v>
      </c>
    </row>
    <row r="1014" spans="2:10" x14ac:dyDescent="0.2">
      <c r="B1014" s="86">
        <v>1011</v>
      </c>
      <c r="C1014" s="86" t="s">
        <v>3785</v>
      </c>
      <c r="D1014" s="304">
        <f>_xlfn.IFNA(VLOOKUP(C1014,Database!$D$5:$F$439,2,0),VLOOKUP(C1014,logut!$C$4:$D$499,2,0))</f>
        <v>642312144</v>
      </c>
      <c r="E1014" s="86" t="s">
        <v>6244</v>
      </c>
      <c r="G1014" s="86" t="s">
        <v>6239</v>
      </c>
      <c r="H1014" s="86" t="s">
        <v>5901</v>
      </c>
      <c r="I1014" s="212">
        <v>45491</v>
      </c>
      <c r="J1014" s="86" t="s">
        <v>6240</v>
      </c>
    </row>
    <row r="1015" spans="2:10" x14ac:dyDescent="0.2">
      <c r="B1015" s="86">
        <v>1012</v>
      </c>
      <c r="C1015" s="86" t="s">
        <v>3824</v>
      </c>
      <c r="D1015" s="304">
        <f>_xlfn.IFNA(VLOOKUP(C1015,Database!$D$5:$F$439,2,0),VLOOKUP(C1015,logut!$C$4:$D$499,2,0))</f>
        <v>642312149</v>
      </c>
      <c r="E1015" s="86" t="s">
        <v>6245</v>
      </c>
      <c r="G1015" s="86" t="s">
        <v>6239</v>
      </c>
      <c r="H1015" s="86" t="s">
        <v>5901</v>
      </c>
      <c r="I1015" s="212">
        <v>45491</v>
      </c>
      <c r="J1015" s="86" t="s">
        <v>6240</v>
      </c>
    </row>
    <row r="1016" spans="2:10" x14ac:dyDescent="0.2">
      <c r="B1016" s="86">
        <v>1013</v>
      </c>
      <c r="C1016" s="86" t="s">
        <v>2160</v>
      </c>
      <c r="D1016" s="304">
        <f>_xlfn.IFNA(VLOOKUP(C1016,Database!$D$5:$F$439,2,0),VLOOKUP(C1016,logut!$C$4:$D$499,2,0))</f>
        <v>641810186</v>
      </c>
      <c r="E1016" s="86" t="s">
        <v>312</v>
      </c>
      <c r="G1016" s="86" t="s">
        <v>6246</v>
      </c>
      <c r="H1016" s="86" t="s">
        <v>25</v>
      </c>
      <c r="I1016" s="212">
        <v>45496</v>
      </c>
      <c r="J1016" s="86" t="s">
        <v>6247</v>
      </c>
    </row>
    <row r="1017" spans="2:10" x14ac:dyDescent="0.2">
      <c r="B1017" s="86">
        <v>1014</v>
      </c>
      <c r="C1017" s="86" t="s">
        <v>1570</v>
      </c>
      <c r="D1017" s="304">
        <f>_xlfn.IFNA(VLOOKUP(C1017,Database!$D$5:$F$439,2,0),VLOOKUP(C1017,logut!$C$4:$D$499,2,0))</f>
        <v>641801141</v>
      </c>
      <c r="E1017" s="86" t="s">
        <v>312</v>
      </c>
      <c r="G1017" s="86" t="s">
        <v>6246</v>
      </c>
      <c r="H1017" s="86" t="s">
        <v>25</v>
      </c>
      <c r="I1017" s="212">
        <v>45496</v>
      </c>
      <c r="J1017" s="86" t="s">
        <v>6247</v>
      </c>
    </row>
    <row r="1018" spans="2:10" x14ac:dyDescent="0.2">
      <c r="B1018" s="86">
        <v>1015</v>
      </c>
      <c r="C1018" s="86" t="s">
        <v>4167</v>
      </c>
      <c r="D1018" s="304">
        <f>_xlfn.IFNA(VLOOKUP(C1018,Database!$D$5:$F$439,2,0),VLOOKUP(C1018,logut!$C$4:$D$499,2,0))</f>
        <v>642402189</v>
      </c>
      <c r="E1018" s="86" t="s">
        <v>140</v>
      </c>
      <c r="G1018" s="86" t="s">
        <v>6248</v>
      </c>
      <c r="H1018" s="86" t="s">
        <v>32</v>
      </c>
      <c r="I1018" s="212">
        <v>45512</v>
      </c>
      <c r="J1018" s="86" t="s">
        <v>6249</v>
      </c>
    </row>
    <row r="1019" spans="2:10" x14ac:dyDescent="0.2">
      <c r="B1019" s="86">
        <v>1016</v>
      </c>
      <c r="C1019" s="86" t="s">
        <v>4340</v>
      </c>
      <c r="D1019" s="304">
        <f>_xlfn.IFNA(VLOOKUP(C1019,Database!$D$5:$F$439,2,0),VLOOKUP(C1019,logut!$C$4:$D$499,2,0))</f>
        <v>642408197</v>
      </c>
      <c r="E1019" s="86" t="s">
        <v>6250</v>
      </c>
      <c r="G1019" s="86" t="s">
        <v>6248</v>
      </c>
      <c r="H1019" s="86" t="s">
        <v>32</v>
      </c>
      <c r="I1019" s="212">
        <v>45512</v>
      </c>
      <c r="J1019" s="86" t="s">
        <v>6249</v>
      </c>
    </row>
    <row r="1020" spans="2:10" x14ac:dyDescent="0.2">
      <c r="B1020" s="86">
        <v>1017</v>
      </c>
      <c r="C1020" s="86" t="s">
        <v>4324</v>
      </c>
      <c r="D1020" s="304">
        <f>_xlfn.IFNA(VLOOKUP(C1020,Database!$D$5:$F$439,2,0),VLOOKUP(C1020,logut!$C$4:$D$499,2,0))</f>
        <v>642408196</v>
      </c>
      <c r="E1020" s="86" t="s">
        <v>312</v>
      </c>
      <c r="G1020" s="86" t="s">
        <v>6251</v>
      </c>
      <c r="H1020" s="86" t="s">
        <v>32</v>
      </c>
      <c r="I1020" s="212">
        <v>45512</v>
      </c>
      <c r="J1020" s="86" t="s">
        <v>6249</v>
      </c>
    </row>
    <row r="1021" spans="2:10" x14ac:dyDescent="0.2">
      <c r="B1021" s="86">
        <v>1018</v>
      </c>
      <c r="C1021" s="86" t="s">
        <v>618</v>
      </c>
      <c r="D1021" s="304">
        <f>_xlfn.IFNA(VLOOKUP(C1021,Database!$D$5:$F$439,2,0),VLOOKUP(C1021,logut!$C$4:$D$499,2,0))</f>
        <v>972400063</v>
      </c>
      <c r="E1021" s="86" t="s">
        <v>140</v>
      </c>
      <c r="G1021" s="86" t="s">
        <v>6252</v>
      </c>
      <c r="H1021" s="86" t="s">
        <v>217</v>
      </c>
      <c r="I1021" s="212">
        <v>45516</v>
      </c>
      <c r="J1021" s="86" t="s">
        <v>6253</v>
      </c>
    </row>
    <row r="1022" spans="2:10" x14ac:dyDescent="0.2">
      <c r="B1022" s="86">
        <v>1019</v>
      </c>
      <c r="C1022" s="86" t="s">
        <v>403</v>
      </c>
      <c r="D1022" s="304">
        <f>_xlfn.IFNA(VLOOKUP(C1022,Database!$D$5:$F$439,2,0),VLOOKUP(C1022,logut!$C$4:$D$499,2,0))</f>
        <v>642001016</v>
      </c>
      <c r="E1022" s="86" t="s">
        <v>312</v>
      </c>
      <c r="G1022" s="86" t="s">
        <v>6252</v>
      </c>
      <c r="H1022" s="86" t="s">
        <v>217</v>
      </c>
      <c r="I1022" s="212">
        <v>45516</v>
      </c>
      <c r="J1022" s="86" t="s">
        <v>6253</v>
      </c>
    </row>
    <row r="1023" spans="2:10" x14ac:dyDescent="0.2">
      <c r="B1023" s="86">
        <v>1020</v>
      </c>
      <c r="C1023" s="86" t="s">
        <v>3866</v>
      </c>
      <c r="D1023" s="304">
        <f>_xlfn.IFNA(VLOOKUP(C1023,Database!$D$5:$F$439,2,0),VLOOKUP(C1023,logut!$C$4:$D$499,2,0))</f>
        <v>642401156</v>
      </c>
      <c r="E1023" s="86" t="s">
        <v>312</v>
      </c>
      <c r="G1023" s="86" t="s">
        <v>6252</v>
      </c>
      <c r="H1023" s="86" t="s">
        <v>217</v>
      </c>
      <c r="I1023" s="212">
        <v>45516</v>
      </c>
      <c r="J1023" s="86" t="s">
        <v>6253</v>
      </c>
    </row>
    <row r="1024" spans="2:10" x14ac:dyDescent="0.2">
      <c r="B1024" s="86">
        <v>1021</v>
      </c>
      <c r="C1024" s="86" t="s">
        <v>4351</v>
      </c>
      <c r="D1024" s="304">
        <f>_xlfn.IFNA(VLOOKUP(C1024,Database!$D$5:$F$439,2,0),VLOOKUP(C1024,logut!$C$4:$D$499,2,0))</f>
        <v>642408199</v>
      </c>
      <c r="E1024" s="86" t="s">
        <v>312</v>
      </c>
      <c r="G1024" s="86" t="s">
        <v>177</v>
      </c>
      <c r="H1024" s="86" t="s">
        <v>217</v>
      </c>
      <c r="I1024" s="212">
        <v>45516</v>
      </c>
      <c r="J1024" s="86" t="s">
        <v>6253</v>
      </c>
    </row>
    <row r="1025" spans="2:10" x14ac:dyDescent="0.2">
      <c r="B1025" s="86">
        <v>1022</v>
      </c>
      <c r="C1025" s="86" t="s">
        <v>4361</v>
      </c>
      <c r="D1025" s="304">
        <f>_xlfn.IFNA(VLOOKUP(C1025,Database!$D$5:$F$439,2,0),VLOOKUP(C1025,logut!$C$4:$D$499,2,0))</f>
        <v>642408200</v>
      </c>
      <c r="E1025" s="86" t="s">
        <v>312</v>
      </c>
      <c r="G1025" s="86" t="s">
        <v>177</v>
      </c>
      <c r="H1025" s="86" t="s">
        <v>217</v>
      </c>
      <c r="I1025" s="212">
        <v>45516</v>
      </c>
      <c r="J1025" s="86" t="s">
        <v>6253</v>
      </c>
    </row>
    <row r="1026" spans="2:10" x14ac:dyDescent="0.2">
      <c r="B1026" s="86">
        <v>1023</v>
      </c>
      <c r="C1026" s="86" t="s">
        <v>4369</v>
      </c>
      <c r="D1026" s="304">
        <f>_xlfn.IFNA(VLOOKUP(C1026,Database!$D$5:$F$439,2,0),VLOOKUP(C1026,logut!$C$4:$D$499,2,0))</f>
        <v>642408201</v>
      </c>
      <c r="E1026" s="86" t="s">
        <v>312</v>
      </c>
      <c r="G1026" s="86" t="s">
        <v>177</v>
      </c>
      <c r="H1026" s="86" t="s">
        <v>217</v>
      </c>
      <c r="I1026" s="212">
        <v>45516</v>
      </c>
      <c r="J1026" s="86" t="s">
        <v>6253</v>
      </c>
    </row>
    <row r="1027" spans="2:10" x14ac:dyDescent="0.2">
      <c r="B1027" s="86">
        <v>1024</v>
      </c>
      <c r="C1027" s="86" t="s">
        <v>3335</v>
      </c>
      <c r="D1027" s="304">
        <f>_xlfn.IFNA(VLOOKUP(C1027,Database!$D$5:$F$439,2,0),VLOOKUP(C1027,logut!$C$4:$D$499,2,0))</f>
        <v>642201161</v>
      </c>
      <c r="E1027" s="86" t="s">
        <v>312</v>
      </c>
      <c r="G1027" s="86" t="s">
        <v>6215</v>
      </c>
      <c r="H1027" s="86" t="s">
        <v>22</v>
      </c>
      <c r="I1027" s="212">
        <v>45518</v>
      </c>
      <c r="J1027" s="86" t="s">
        <v>6255</v>
      </c>
    </row>
    <row r="1028" spans="2:10" x14ac:dyDescent="0.2">
      <c r="B1028" s="86">
        <v>1025</v>
      </c>
      <c r="C1028" s="86" t="s">
        <v>1262</v>
      </c>
      <c r="D1028" s="304">
        <f>_xlfn.IFNA(VLOOKUP(C1028,Database!$D$5:$F$439,2,0),VLOOKUP(C1028,logut!$C$4:$D$499,2,0))</f>
        <v>642001043</v>
      </c>
      <c r="E1028" s="86" t="s">
        <v>312</v>
      </c>
      <c r="G1028" s="86" t="s">
        <v>6186</v>
      </c>
      <c r="H1028" s="86" t="s">
        <v>27</v>
      </c>
      <c r="I1028" s="212">
        <v>45518</v>
      </c>
      <c r="J1028" s="86" t="s">
        <v>6255</v>
      </c>
    </row>
    <row r="1029" spans="2:10" x14ac:dyDescent="0.2">
      <c r="B1029" s="86">
        <v>1026</v>
      </c>
      <c r="C1029" s="86" t="s">
        <v>2583</v>
      </c>
      <c r="D1029" s="304">
        <f>_xlfn.IFNA(VLOOKUP(C1029,Database!$D$5:$F$439,2,0),VLOOKUP(C1029,logut!$C$4:$D$499,2,0))</f>
        <v>642002075</v>
      </c>
      <c r="E1029" s="86" t="s">
        <v>312</v>
      </c>
      <c r="G1029" s="86" t="s">
        <v>748</v>
      </c>
      <c r="H1029" s="86" t="s">
        <v>25</v>
      </c>
      <c r="I1029" s="212">
        <v>45523</v>
      </c>
      <c r="J1029" s="86" t="s">
        <v>6254</v>
      </c>
    </row>
    <row r="1030" spans="2:10" x14ac:dyDescent="0.2">
      <c r="B1030" s="86">
        <v>1027</v>
      </c>
      <c r="C1030" s="86" t="s">
        <v>3308</v>
      </c>
      <c r="D1030" s="304">
        <f>_xlfn.IFNA(VLOOKUP(C1030,Database!$D$5:$F$439,2,0),VLOOKUP(C1030,logut!$C$4:$D$499,2,0))</f>
        <v>642201159</v>
      </c>
      <c r="E1030" s="86" t="s">
        <v>312</v>
      </c>
      <c r="G1030" s="86" t="s">
        <v>748</v>
      </c>
      <c r="H1030" s="86" t="s">
        <v>25</v>
      </c>
      <c r="I1030" s="212">
        <v>45523</v>
      </c>
      <c r="J1030" s="86" t="s">
        <v>6254</v>
      </c>
    </row>
    <row r="1031" spans="2:10" x14ac:dyDescent="0.2">
      <c r="B1031" s="86">
        <v>1028</v>
      </c>
      <c r="C1031" s="86" t="s">
        <v>1981</v>
      </c>
      <c r="D1031" s="304">
        <f>_xlfn.IFNA(VLOOKUP(C1031,Database!$D$5:$F$439,2,0),VLOOKUP(C1031,logut!$C$4:$D$499,2,0))</f>
        <v>641810196</v>
      </c>
      <c r="E1031" s="86" t="s">
        <v>312</v>
      </c>
      <c r="G1031" s="86" t="s">
        <v>5955</v>
      </c>
      <c r="H1031" s="86" t="s">
        <v>26</v>
      </c>
      <c r="I1031" s="212">
        <v>45523</v>
      </c>
      <c r="J1031" s="86" t="s">
        <v>6254</v>
      </c>
    </row>
    <row r="1032" spans="2:10" x14ac:dyDescent="0.2">
      <c r="B1032" s="86">
        <v>1029</v>
      </c>
      <c r="C1032" s="86" t="s">
        <v>2051</v>
      </c>
      <c r="D1032" s="304">
        <f>_xlfn.IFNA(VLOOKUP(C1032,Database!$D$5:$F$439,2,0),VLOOKUP(C1032,logut!$C$4:$D$499,2,0))</f>
        <v>641810195</v>
      </c>
      <c r="E1032" s="86" t="s">
        <v>312</v>
      </c>
      <c r="G1032" s="86" t="s">
        <v>5955</v>
      </c>
      <c r="H1032" s="86" t="s">
        <v>26</v>
      </c>
      <c r="I1032" s="212">
        <v>45523</v>
      </c>
      <c r="J1032" s="86" t="s">
        <v>6254</v>
      </c>
    </row>
    <row r="1033" spans="2:10" x14ac:dyDescent="0.2">
      <c r="B1033" s="86">
        <v>1030</v>
      </c>
      <c r="C1033" s="86" t="s">
        <v>1037</v>
      </c>
      <c r="D1033" s="304">
        <f>_xlfn.IFNA(VLOOKUP(C1033,Database!$D$5:$F$439,2,0),VLOOKUP(C1033,logut!$C$4:$D$499,2,0))</f>
        <v>971800014</v>
      </c>
      <c r="E1033" s="86" t="s">
        <v>6260</v>
      </c>
      <c r="G1033" s="86" t="s">
        <v>6261</v>
      </c>
      <c r="H1033" s="86" t="s">
        <v>24</v>
      </c>
      <c r="I1033" s="212">
        <v>45525</v>
      </c>
      <c r="J1033" s="86" t="s">
        <v>6262</v>
      </c>
    </row>
    <row r="1034" spans="2:10" x14ac:dyDescent="0.2">
      <c r="B1034" s="86">
        <v>1031</v>
      </c>
      <c r="C1034" s="86" t="s">
        <v>4051</v>
      </c>
      <c r="D1034" s="304">
        <f>_xlfn.IFNA(VLOOKUP(C1034,Database!$D$5:$F$439,2,0),VLOOKUP(C1034,logut!$C$4:$D$499,2,0))</f>
        <v>642401188</v>
      </c>
      <c r="E1034" s="86" t="s">
        <v>6260</v>
      </c>
      <c r="G1034" s="86" t="s">
        <v>6261</v>
      </c>
      <c r="H1034" s="86" t="s">
        <v>24</v>
      </c>
      <c r="I1034" s="212">
        <v>45525</v>
      </c>
      <c r="J1034" s="86" t="s">
        <v>6262</v>
      </c>
    </row>
    <row r="1035" spans="2:10" x14ac:dyDescent="0.2">
      <c r="B1035" s="86">
        <v>1032</v>
      </c>
      <c r="C1035" s="86" t="s">
        <v>2137</v>
      </c>
      <c r="D1035" s="304">
        <f>_xlfn.IFNA(VLOOKUP(C1035,Database!$D$5:$F$439,2,0),VLOOKUP(C1035,logut!$C$4:$D$499,2,0))</f>
        <v>641810190</v>
      </c>
      <c r="E1035" s="86" t="s">
        <v>6260</v>
      </c>
      <c r="G1035" s="86" t="s">
        <v>6261</v>
      </c>
      <c r="H1035" s="86" t="s">
        <v>24</v>
      </c>
      <c r="I1035" s="212">
        <v>45525</v>
      </c>
      <c r="J1035" s="86" t="s">
        <v>6262</v>
      </c>
    </row>
    <row r="1036" spans="2:10" x14ac:dyDescent="0.2">
      <c r="B1036" s="86">
        <v>1033</v>
      </c>
      <c r="C1036" s="86" t="s">
        <v>4141</v>
      </c>
      <c r="D1036" s="304">
        <f>_xlfn.IFNA(VLOOKUP(C1036,Database!$D$5:$F$439,2,0),VLOOKUP(C1036,logut!$C$4:$D$499,2,0))</f>
        <v>642401202</v>
      </c>
      <c r="E1036" s="86" t="s">
        <v>6263</v>
      </c>
      <c r="G1036" s="86" t="s">
        <v>6261</v>
      </c>
      <c r="H1036" s="86" t="s">
        <v>24</v>
      </c>
      <c r="I1036" s="212">
        <v>45525</v>
      </c>
      <c r="J1036" s="86" t="s">
        <v>6262</v>
      </c>
    </row>
    <row r="1037" spans="2:10" x14ac:dyDescent="0.2">
      <c r="B1037" s="86">
        <v>1034</v>
      </c>
      <c r="C1037" s="86" t="s">
        <v>3263</v>
      </c>
      <c r="D1037" s="304">
        <f>_xlfn.IFNA(VLOOKUP(C1037,Database!$D$5:$F$439,2,0),VLOOKUP(C1037,logut!$C$4:$D$499,2,0))</f>
        <v>642201156</v>
      </c>
      <c r="E1037" s="86" t="s">
        <v>6263</v>
      </c>
      <c r="G1037" s="86" t="s">
        <v>6261</v>
      </c>
      <c r="H1037" s="86" t="s">
        <v>24</v>
      </c>
      <c r="I1037" s="212">
        <v>45525</v>
      </c>
      <c r="J1037" s="86" t="s">
        <v>6262</v>
      </c>
    </row>
    <row r="1038" spans="2:10" x14ac:dyDescent="0.2">
      <c r="B1038" s="86">
        <v>1035</v>
      </c>
      <c r="C1038" s="86" t="s">
        <v>440</v>
      </c>
      <c r="D1038" s="304">
        <f>_xlfn.IFNA(VLOOKUP(C1038,Database!$D$5:$F$439,2,0),VLOOKUP(C1038,logut!$C$4:$D$499,2,0))</f>
        <v>971800022</v>
      </c>
      <c r="E1038" s="86" t="s">
        <v>6263</v>
      </c>
      <c r="G1038" s="86" t="s">
        <v>6261</v>
      </c>
      <c r="H1038" s="86" t="s">
        <v>24</v>
      </c>
      <c r="I1038" s="212">
        <v>45525</v>
      </c>
      <c r="J1038" s="86" t="s">
        <v>6262</v>
      </c>
    </row>
    <row r="1039" spans="2:10" x14ac:dyDescent="0.2">
      <c r="B1039" s="86">
        <v>1036</v>
      </c>
      <c r="C1039" s="86" t="s">
        <v>2124</v>
      </c>
      <c r="D1039" s="304">
        <f>_xlfn.IFNA(VLOOKUP(C1039,Database!$D$5:$F$439,2,0),VLOOKUP(C1039,logut!$C$4:$D$499,2,0))</f>
        <v>641810188</v>
      </c>
      <c r="E1039" s="86" t="s">
        <v>6263</v>
      </c>
      <c r="G1039" s="86" t="s">
        <v>6261</v>
      </c>
      <c r="H1039" s="86" t="s">
        <v>24</v>
      </c>
      <c r="I1039" s="212">
        <v>45525</v>
      </c>
      <c r="J1039" s="86" t="s">
        <v>6262</v>
      </c>
    </row>
    <row r="1040" spans="2:10" x14ac:dyDescent="0.2">
      <c r="B1040" s="86">
        <v>1037</v>
      </c>
      <c r="C1040" s="86" t="s">
        <v>1488</v>
      </c>
      <c r="D1040" s="304">
        <f>_xlfn.IFNA(VLOOKUP(C1040,Database!$D$5:$F$439,2,0),VLOOKUP(C1040,logut!$C$4:$D$499,2,0))</f>
        <v>642001034</v>
      </c>
      <c r="E1040" s="86" t="s">
        <v>6263</v>
      </c>
      <c r="G1040" s="86" t="s">
        <v>6261</v>
      </c>
      <c r="H1040" s="86" t="s">
        <v>24</v>
      </c>
      <c r="I1040" s="212">
        <v>45525</v>
      </c>
      <c r="J1040" s="86" t="s">
        <v>6262</v>
      </c>
    </row>
    <row r="1041" spans="2:10" x14ac:dyDescent="0.2">
      <c r="B1041" s="86">
        <v>1038</v>
      </c>
      <c r="C1041" s="86" t="s">
        <v>2107</v>
      </c>
      <c r="D1041" s="304">
        <f>_xlfn.IFNA(VLOOKUP(C1041,Database!$D$5:$F$439,2,0),VLOOKUP(C1041,logut!$C$4:$D$499,2,0))</f>
        <v>641810189</v>
      </c>
      <c r="E1041" s="86" t="s">
        <v>6263</v>
      </c>
      <c r="G1041" s="86" t="s">
        <v>6261</v>
      </c>
      <c r="H1041" s="86" t="s">
        <v>24</v>
      </c>
      <c r="I1041" s="212">
        <v>45525</v>
      </c>
      <c r="J1041" s="86" t="s">
        <v>6262</v>
      </c>
    </row>
    <row r="1042" spans="2:10" x14ac:dyDescent="0.2">
      <c r="B1042" s="86">
        <v>1039</v>
      </c>
      <c r="C1042" s="86" t="s">
        <v>1546</v>
      </c>
      <c r="D1042" s="304">
        <f>_xlfn.IFNA(VLOOKUP(C1042,Database!$D$5:$F$439,2,0),VLOOKUP(C1042,logut!$C$4:$D$499,2,0))</f>
        <v>641801137</v>
      </c>
      <c r="E1042" s="86" t="s">
        <v>6263</v>
      </c>
      <c r="G1042" s="86" t="s">
        <v>6261</v>
      </c>
      <c r="H1042" s="86" t="s">
        <v>24</v>
      </c>
      <c r="I1042" s="212">
        <v>45525</v>
      </c>
      <c r="J1042" s="86" t="s">
        <v>6262</v>
      </c>
    </row>
    <row r="1043" spans="2:10" x14ac:dyDescent="0.2">
      <c r="B1043" s="86">
        <v>1040</v>
      </c>
      <c r="C1043" s="86" t="s">
        <v>628</v>
      </c>
      <c r="D1043" s="304">
        <f>_xlfn.IFNA(VLOOKUP(C1043,Database!$D$5:$F$439,2,0),VLOOKUP(C1043,logut!$C$4:$D$499,2,0))</f>
        <v>642001004</v>
      </c>
      <c r="E1043" s="86" t="s">
        <v>6263</v>
      </c>
      <c r="G1043" s="86" t="s">
        <v>6261</v>
      </c>
      <c r="H1043" s="86" t="s">
        <v>24</v>
      </c>
      <c r="I1043" s="212">
        <v>45525</v>
      </c>
      <c r="J1043" s="86" t="s">
        <v>6262</v>
      </c>
    </row>
    <row r="1044" spans="2:10" x14ac:dyDescent="0.2">
      <c r="B1044" s="86">
        <v>1041</v>
      </c>
      <c r="C1044" s="86" t="s">
        <v>1532</v>
      </c>
      <c r="D1044" s="304">
        <f>_xlfn.IFNA(VLOOKUP(C1044,Database!$D$5:$F$439,2,0),VLOOKUP(C1044,logut!$C$4:$D$499,2,0))</f>
        <v>641801133</v>
      </c>
      <c r="E1044" s="86" t="s">
        <v>6263</v>
      </c>
      <c r="G1044" s="86" t="s">
        <v>6261</v>
      </c>
      <c r="H1044" s="86" t="s">
        <v>24</v>
      </c>
      <c r="I1044" s="212">
        <v>45525</v>
      </c>
      <c r="J1044" s="86" t="s">
        <v>6262</v>
      </c>
    </row>
    <row r="1045" spans="2:10" x14ac:dyDescent="0.2">
      <c r="B1045" s="86">
        <v>1042</v>
      </c>
      <c r="C1045" s="86" t="s">
        <v>561</v>
      </c>
      <c r="D1045" s="304">
        <f>_xlfn.IFNA(VLOOKUP(C1045,Database!$D$5:$F$439,2,0),VLOOKUP(C1045,logut!$C$4:$D$499,2,0))</f>
        <v>971800023</v>
      </c>
      <c r="E1045" s="86" t="s">
        <v>6264</v>
      </c>
      <c r="G1045" s="86" t="s">
        <v>6261</v>
      </c>
      <c r="H1045" s="86" t="s">
        <v>24</v>
      </c>
      <c r="I1045" s="212">
        <v>45525</v>
      </c>
      <c r="J1045" s="86" t="s">
        <v>6262</v>
      </c>
    </row>
    <row r="1046" spans="2:10" x14ac:dyDescent="0.2">
      <c r="B1046" s="86">
        <v>1043</v>
      </c>
      <c r="C1046" s="86" t="s">
        <v>1941</v>
      </c>
      <c r="D1046" s="304">
        <f>_xlfn.IFNA(VLOOKUP(C1046,Database!$D$5:$F$439,2,0),VLOOKUP(C1046,logut!$C$4:$D$499,2,0))</f>
        <v>971900045</v>
      </c>
      <c r="E1046" s="86" t="s">
        <v>6265</v>
      </c>
      <c r="G1046" s="86" t="s">
        <v>6261</v>
      </c>
      <c r="H1046" s="86" t="s">
        <v>24</v>
      </c>
      <c r="I1046" s="212">
        <v>45525</v>
      </c>
      <c r="J1046" s="86" t="s">
        <v>6262</v>
      </c>
    </row>
    <row r="1047" spans="2:10" x14ac:dyDescent="0.2">
      <c r="B1047" s="86">
        <v>1044</v>
      </c>
      <c r="C1047" s="86" t="s">
        <v>1170</v>
      </c>
      <c r="D1047" s="304">
        <f>_xlfn.IFNA(VLOOKUP(C1047,Database!$D$5:$F$439,2,0),VLOOKUP(C1047,logut!$C$4:$D$499,2,0))</f>
        <v>971900027</v>
      </c>
      <c r="E1047" s="86" t="s">
        <v>6265</v>
      </c>
      <c r="G1047" s="86" t="s">
        <v>6261</v>
      </c>
      <c r="H1047" s="86" t="s">
        <v>24</v>
      </c>
      <c r="I1047" s="212">
        <v>45525</v>
      </c>
      <c r="J1047" s="86" t="s">
        <v>6262</v>
      </c>
    </row>
    <row r="1048" spans="2:10" x14ac:dyDescent="0.2">
      <c r="B1048" s="86">
        <v>1045</v>
      </c>
      <c r="C1048" s="86" t="s">
        <v>1981</v>
      </c>
      <c r="D1048" s="304">
        <f>_xlfn.IFNA(VLOOKUP(C1048,Database!$D$5:$F$439,2,0),VLOOKUP(C1048,logut!$C$4:$D$499,2,0))</f>
        <v>641810196</v>
      </c>
      <c r="E1048" s="86" t="s">
        <v>6265</v>
      </c>
      <c r="G1048" s="86" t="s">
        <v>6261</v>
      </c>
      <c r="H1048" s="86" t="s">
        <v>24</v>
      </c>
      <c r="I1048" s="212">
        <v>45525</v>
      </c>
      <c r="J1048" s="86" t="s">
        <v>6262</v>
      </c>
    </row>
    <row r="1049" spans="2:10" x14ac:dyDescent="0.2">
      <c r="B1049" s="86">
        <v>1046</v>
      </c>
      <c r="C1049" s="86" t="s">
        <v>1475</v>
      </c>
      <c r="D1049" s="304">
        <f>_xlfn.IFNA(VLOOKUP(C1049,Database!$D$5:$F$439,2,0),VLOOKUP(C1049,logut!$C$4:$D$499,2,0))</f>
        <v>972000053</v>
      </c>
      <c r="E1049" s="86" t="s">
        <v>6265</v>
      </c>
      <c r="G1049" s="86" t="s">
        <v>6261</v>
      </c>
      <c r="H1049" s="86" t="s">
        <v>24</v>
      </c>
      <c r="I1049" s="212">
        <v>45525</v>
      </c>
      <c r="J1049" s="86" t="s">
        <v>6262</v>
      </c>
    </row>
    <row r="1050" spans="2:10" x14ac:dyDescent="0.2">
      <c r="B1050" s="86">
        <v>1047</v>
      </c>
      <c r="C1050" s="86" t="s">
        <v>2530</v>
      </c>
      <c r="D1050" s="304">
        <f>_xlfn.IFNA(VLOOKUP(C1050,Database!$D$5:$F$439,2,0),VLOOKUP(C1050,logut!$C$4:$D$499,2,0))</f>
        <v>641907279</v>
      </c>
      <c r="E1050" s="86" t="s">
        <v>6265</v>
      </c>
      <c r="G1050" s="86" t="s">
        <v>6261</v>
      </c>
      <c r="H1050" s="86" t="s">
        <v>24</v>
      </c>
      <c r="I1050" s="212">
        <v>45525</v>
      </c>
      <c r="J1050" s="86" t="s">
        <v>6262</v>
      </c>
    </row>
    <row r="1051" spans="2:10" x14ac:dyDescent="0.2">
      <c r="B1051" s="86">
        <v>1048</v>
      </c>
      <c r="C1051" s="86" t="s">
        <v>1830</v>
      </c>
      <c r="D1051" s="304">
        <f>_xlfn.IFNA(VLOOKUP(C1051,Database!$D$5:$F$439,2,0),VLOOKUP(C1051,logut!$C$4:$D$499,2,0))</f>
        <v>641808174</v>
      </c>
      <c r="E1051" s="86" t="s">
        <v>6265</v>
      </c>
      <c r="G1051" s="86" t="s">
        <v>6261</v>
      </c>
      <c r="H1051" s="86" t="s">
        <v>24</v>
      </c>
      <c r="I1051" s="212">
        <v>45525</v>
      </c>
      <c r="J1051" s="86" t="s">
        <v>6262</v>
      </c>
    </row>
    <row r="1052" spans="2:10" x14ac:dyDescent="0.2">
      <c r="B1052" s="86">
        <v>1049</v>
      </c>
      <c r="C1052" s="86" t="s">
        <v>1114</v>
      </c>
      <c r="D1052" s="304">
        <f>_xlfn.IFNA(VLOOKUP(C1052,Database!$D$5:$F$439,2,0),VLOOKUP(C1052,logut!$C$4:$D$499,2,0))</f>
        <v>642001046</v>
      </c>
      <c r="E1052" s="86" t="s">
        <v>6265</v>
      </c>
      <c r="G1052" s="86" t="s">
        <v>6261</v>
      </c>
      <c r="H1052" s="86" t="s">
        <v>24</v>
      </c>
      <c r="I1052" s="212">
        <v>45525</v>
      </c>
      <c r="J1052" s="86" t="s">
        <v>6262</v>
      </c>
    </row>
    <row r="1053" spans="2:10" x14ac:dyDescent="0.2">
      <c r="B1053" s="86">
        <v>1050</v>
      </c>
      <c r="C1053" s="86" t="s">
        <v>601</v>
      </c>
      <c r="D1053" s="304">
        <f>_xlfn.IFNA(VLOOKUP(C1053,Database!$D$5:$F$439,2,0),VLOOKUP(C1053,logut!$C$4:$D$499,2,0))</f>
        <v>971900032</v>
      </c>
      <c r="E1053" s="86" t="s">
        <v>6265</v>
      </c>
      <c r="G1053" s="86" t="s">
        <v>6261</v>
      </c>
      <c r="H1053" s="86" t="s">
        <v>24</v>
      </c>
      <c r="I1053" s="212">
        <v>45525</v>
      </c>
      <c r="J1053" s="86" t="s">
        <v>6262</v>
      </c>
    </row>
    <row r="1054" spans="2:10" x14ac:dyDescent="0.2">
      <c r="B1054" s="86">
        <v>1051</v>
      </c>
      <c r="C1054" s="86" t="s">
        <v>1510</v>
      </c>
      <c r="D1054" s="304">
        <f>_xlfn.IFNA(VLOOKUP(C1054,Database!$D$5:$F$439,2,0),VLOOKUP(C1054,logut!$C$4:$D$499,2,0))</f>
        <v>642001021</v>
      </c>
      <c r="E1054" s="86" t="s">
        <v>312</v>
      </c>
      <c r="G1054" s="86" t="s">
        <v>6261</v>
      </c>
      <c r="H1054" s="86" t="s">
        <v>24</v>
      </c>
      <c r="I1054" s="212">
        <v>45525</v>
      </c>
      <c r="J1054" s="86" t="s">
        <v>6262</v>
      </c>
    </row>
    <row r="1055" spans="2:10" x14ac:dyDescent="0.2">
      <c r="B1055" s="86">
        <v>1052</v>
      </c>
      <c r="C1055" s="86" t="s">
        <v>3383</v>
      </c>
      <c r="D1055" s="304">
        <f>_xlfn.IFNA(VLOOKUP(C1055,Database!$D$5:$F$439,2,0),VLOOKUP(C1055,logut!$C$4:$D$499,2,0))</f>
        <v>642201168</v>
      </c>
      <c r="E1055" s="86" t="s">
        <v>312</v>
      </c>
      <c r="G1055" s="86" t="s">
        <v>6261</v>
      </c>
      <c r="H1055" s="86" t="s">
        <v>24</v>
      </c>
      <c r="I1055" s="212">
        <v>45525</v>
      </c>
      <c r="J1055" s="86" t="s">
        <v>6262</v>
      </c>
    </row>
    <row r="1056" spans="2:10" x14ac:dyDescent="0.2">
      <c r="B1056" s="86">
        <v>1053</v>
      </c>
      <c r="C1056" s="86" t="s">
        <v>2984</v>
      </c>
      <c r="D1056" s="304">
        <f>_xlfn.IFNA(VLOOKUP(C1056,Database!$D$5:$F$439,2,0),VLOOKUP(C1056,logut!$C$4:$D$499,2,0))</f>
        <v>642111121</v>
      </c>
      <c r="E1056" s="86" t="s">
        <v>312</v>
      </c>
      <c r="G1056" s="86" t="s">
        <v>6261</v>
      </c>
      <c r="H1056" s="86" t="s">
        <v>24</v>
      </c>
      <c r="I1056" s="212">
        <v>45525</v>
      </c>
      <c r="J1056" s="86" t="s">
        <v>6262</v>
      </c>
    </row>
    <row r="1057" spans="2:10" x14ac:dyDescent="0.2">
      <c r="B1057" s="86">
        <v>1054</v>
      </c>
      <c r="C1057" s="86" t="s">
        <v>1185</v>
      </c>
      <c r="D1057" s="304">
        <f>_xlfn.IFNA(VLOOKUP(C1057,Database!$D$5:$F$439,2,0),VLOOKUP(C1057,logut!$C$4:$D$499,2,0))</f>
        <v>642001044</v>
      </c>
      <c r="E1057" s="86" t="s">
        <v>312</v>
      </c>
      <c r="G1057" s="86" t="s">
        <v>6261</v>
      </c>
      <c r="H1057" s="86" t="s">
        <v>24</v>
      </c>
      <c r="I1057" s="212">
        <v>45525</v>
      </c>
      <c r="J1057" s="86" t="s">
        <v>6262</v>
      </c>
    </row>
    <row r="1058" spans="2:10" x14ac:dyDescent="0.2">
      <c r="B1058" s="86">
        <v>1055</v>
      </c>
      <c r="C1058" s="86" t="s">
        <v>1251</v>
      </c>
      <c r="D1058" s="304">
        <f>_xlfn.IFNA(VLOOKUP(C1058,Database!$D$5:$F$439,2,0),VLOOKUP(C1058,logut!$C$4:$D$499,2,0))</f>
        <v>642001037</v>
      </c>
      <c r="E1058" s="86" t="s">
        <v>312</v>
      </c>
      <c r="G1058" s="86" t="s">
        <v>6261</v>
      </c>
      <c r="H1058" s="86" t="s">
        <v>24</v>
      </c>
      <c r="I1058" s="212">
        <v>45525</v>
      </c>
      <c r="J1058" s="86" t="s">
        <v>6262</v>
      </c>
    </row>
    <row r="1059" spans="2:10" x14ac:dyDescent="0.2">
      <c r="B1059" s="86">
        <v>1056</v>
      </c>
      <c r="C1059" s="86" t="s">
        <v>1632</v>
      </c>
      <c r="D1059" s="304">
        <f>_xlfn.IFNA(VLOOKUP(C1059,Database!$D$5:$F$439,2,0),VLOOKUP(C1059,logut!$C$4:$D$499,2,0))</f>
        <v>641805147</v>
      </c>
      <c r="E1059" s="86" t="s">
        <v>312</v>
      </c>
      <c r="G1059" s="86" t="s">
        <v>6261</v>
      </c>
      <c r="H1059" s="86" t="s">
        <v>24</v>
      </c>
      <c r="I1059" s="212">
        <v>45525</v>
      </c>
      <c r="J1059" s="86" t="s">
        <v>6262</v>
      </c>
    </row>
    <row r="1060" spans="2:10" x14ac:dyDescent="0.2">
      <c r="B1060" s="86">
        <v>1057</v>
      </c>
      <c r="C1060" s="86" t="s">
        <v>1645</v>
      </c>
      <c r="D1060" s="304">
        <f>_xlfn.IFNA(VLOOKUP(C1060,Database!$D$5:$F$439,2,0),VLOOKUP(C1060,logut!$C$4:$D$499,2,0))</f>
        <v>641805145</v>
      </c>
      <c r="E1060" s="86" t="s">
        <v>312</v>
      </c>
      <c r="G1060" s="86" t="s">
        <v>6261</v>
      </c>
      <c r="H1060" s="86" t="s">
        <v>24</v>
      </c>
      <c r="I1060" s="212">
        <v>45525</v>
      </c>
      <c r="J1060" s="86" t="s">
        <v>6262</v>
      </c>
    </row>
    <row r="1061" spans="2:10" x14ac:dyDescent="0.2">
      <c r="B1061" s="86">
        <v>1058</v>
      </c>
      <c r="C1061" s="86" t="s">
        <v>2342</v>
      </c>
      <c r="D1061" s="304">
        <f>_xlfn.IFNA(VLOOKUP(C1061,Database!$D$5:$F$439,2,0),VLOOKUP(C1061,logut!$C$4:$D$499,2,0))</f>
        <v>641907263</v>
      </c>
      <c r="E1061" s="86" t="s">
        <v>312</v>
      </c>
      <c r="G1061" s="86" t="s">
        <v>6261</v>
      </c>
      <c r="H1061" s="86" t="s">
        <v>24</v>
      </c>
      <c r="I1061" s="212">
        <v>45525</v>
      </c>
      <c r="J1061" s="86" t="s">
        <v>6262</v>
      </c>
    </row>
    <row r="1062" spans="2:10" x14ac:dyDescent="0.2">
      <c r="B1062" s="86">
        <v>1059</v>
      </c>
      <c r="C1062" s="86" t="s">
        <v>3240</v>
      </c>
      <c r="D1062" s="304">
        <f>_xlfn.IFNA(VLOOKUP(C1062,Database!$D$5:$F$439,2,0),VLOOKUP(C1062,logut!$C$4:$D$499,2,0))</f>
        <v>642201150</v>
      </c>
      <c r="E1062" s="86" t="s">
        <v>312</v>
      </c>
      <c r="G1062" s="86" t="s">
        <v>6261</v>
      </c>
      <c r="H1062" s="86" t="s">
        <v>24</v>
      </c>
      <c r="I1062" s="212">
        <v>45525</v>
      </c>
      <c r="J1062" s="86" t="s">
        <v>6262</v>
      </c>
    </row>
    <row r="1063" spans="2:10" x14ac:dyDescent="0.2">
      <c r="B1063" s="86">
        <v>1060</v>
      </c>
      <c r="C1063" s="86" t="s">
        <v>1700</v>
      </c>
      <c r="D1063" s="304">
        <f>_xlfn.IFNA(VLOOKUP(C1063,Database!$D$5:$F$439,2,0),VLOOKUP(C1063,logut!$C$4:$D$499,2,0))</f>
        <v>641806160</v>
      </c>
      <c r="E1063" s="86" t="s">
        <v>312</v>
      </c>
      <c r="G1063" s="86" t="s">
        <v>6261</v>
      </c>
      <c r="H1063" s="86" t="s">
        <v>24</v>
      </c>
      <c r="I1063" s="212">
        <v>45525</v>
      </c>
      <c r="J1063" s="86" t="s">
        <v>6262</v>
      </c>
    </row>
    <row r="1064" spans="2:10" x14ac:dyDescent="0.2">
      <c r="B1064" s="86">
        <v>1061</v>
      </c>
      <c r="C1064" s="86" t="s">
        <v>1217</v>
      </c>
      <c r="D1064" s="304">
        <f>_xlfn.IFNA(VLOOKUP(C1064,Database!$D$5:$F$439,2,0),VLOOKUP(C1064,logut!$C$4:$D$499,2,0))</f>
        <v>972400059</v>
      </c>
      <c r="E1064" s="86" t="s">
        <v>312</v>
      </c>
      <c r="G1064" s="86" t="s">
        <v>6261</v>
      </c>
      <c r="H1064" s="86" t="s">
        <v>24</v>
      </c>
      <c r="I1064" s="212">
        <v>45525</v>
      </c>
      <c r="J1064" s="86" t="s">
        <v>6262</v>
      </c>
    </row>
    <row r="1065" spans="2:10" x14ac:dyDescent="0.2">
      <c r="B1065" s="86">
        <v>1062</v>
      </c>
      <c r="C1065" s="86" t="s">
        <v>3584</v>
      </c>
      <c r="D1065" s="304">
        <f>_xlfn.IFNA(VLOOKUP(C1065,Database!$D$5:$F$439,2,0),VLOOKUP(C1065,logut!$C$4:$D$499,2,0))</f>
        <v>642301195</v>
      </c>
      <c r="E1065" s="86" t="s">
        <v>312</v>
      </c>
      <c r="G1065" s="86" t="s">
        <v>6261</v>
      </c>
      <c r="H1065" s="86" t="s">
        <v>24</v>
      </c>
      <c r="I1065" s="212">
        <v>45525</v>
      </c>
      <c r="J1065" s="86" t="s">
        <v>6262</v>
      </c>
    </row>
    <row r="1066" spans="2:10" x14ac:dyDescent="0.2">
      <c r="B1066" s="86">
        <v>1063</v>
      </c>
      <c r="C1066" s="86" t="s">
        <v>3157</v>
      </c>
      <c r="D1066" s="304">
        <f>_xlfn.IFNA(VLOOKUP(C1066,Database!$D$5:$F$439,2,0),VLOOKUP(C1066,logut!$C$4:$D$499,2,0))</f>
        <v>642201139</v>
      </c>
      <c r="E1066" s="86" t="s">
        <v>312</v>
      </c>
      <c r="G1066" s="86" t="s">
        <v>6261</v>
      </c>
      <c r="H1066" s="86" t="s">
        <v>24</v>
      </c>
      <c r="I1066" s="212">
        <v>45525</v>
      </c>
      <c r="J1066" s="86" t="s">
        <v>6262</v>
      </c>
    </row>
    <row r="1067" spans="2:10" x14ac:dyDescent="0.2">
      <c r="B1067" s="86">
        <v>1064</v>
      </c>
      <c r="C1067" s="86" t="s">
        <v>2491</v>
      </c>
      <c r="D1067" s="304">
        <f>_xlfn.IFNA(VLOOKUP(C1067,Database!$D$5:$F$439,2,0),VLOOKUP(C1067,logut!$C$4:$D$499,2,0))</f>
        <v>641907268</v>
      </c>
      <c r="E1067" s="86" t="s">
        <v>312</v>
      </c>
      <c r="G1067" s="86" t="s">
        <v>6261</v>
      </c>
      <c r="H1067" s="86" t="s">
        <v>24</v>
      </c>
      <c r="I1067" s="212">
        <v>45525</v>
      </c>
      <c r="J1067" s="86" t="s">
        <v>6262</v>
      </c>
    </row>
    <row r="1068" spans="2:10" x14ac:dyDescent="0.2">
      <c r="B1068" s="86">
        <v>1065</v>
      </c>
      <c r="C1068" s="86" t="s">
        <v>2570</v>
      </c>
      <c r="D1068" s="304">
        <f>_xlfn.IFNA(VLOOKUP(C1068,Database!$D$5:$F$439,2,0),VLOOKUP(C1068,logut!$C$4:$D$499,2,0))</f>
        <v>642002079</v>
      </c>
      <c r="E1068" s="86" t="s">
        <v>312</v>
      </c>
      <c r="G1068" s="86" t="s">
        <v>6261</v>
      </c>
      <c r="H1068" s="86" t="s">
        <v>24</v>
      </c>
      <c r="I1068" s="212">
        <v>45525</v>
      </c>
      <c r="J1068" s="86" t="s">
        <v>6262</v>
      </c>
    </row>
    <row r="1069" spans="2:10" x14ac:dyDescent="0.2">
      <c r="B1069" s="86">
        <v>1066</v>
      </c>
      <c r="C1069" s="86" t="s">
        <v>2376</v>
      </c>
      <c r="D1069" s="304">
        <f>_xlfn.IFNA(VLOOKUP(C1069,Database!$D$5:$F$439,2,0),VLOOKUP(C1069,logut!$C$4:$D$499,2,0))</f>
        <v>641907272</v>
      </c>
      <c r="E1069" s="86" t="s">
        <v>312</v>
      </c>
      <c r="G1069" s="86" t="s">
        <v>6261</v>
      </c>
      <c r="H1069" s="86" t="s">
        <v>24</v>
      </c>
      <c r="I1069" s="212">
        <v>45525</v>
      </c>
      <c r="J1069" s="86" t="s">
        <v>6262</v>
      </c>
    </row>
    <row r="1070" spans="2:10" x14ac:dyDescent="0.2">
      <c r="B1070" s="86">
        <v>1067</v>
      </c>
      <c r="C1070" s="86" t="s">
        <v>3110</v>
      </c>
      <c r="D1070" s="304">
        <f>_xlfn.IFNA(VLOOKUP(C1070,Database!$D$5:$F$439,2,0),VLOOKUP(C1070,logut!$C$4:$D$499,2,0))</f>
        <v>642201136</v>
      </c>
      <c r="E1070" s="86" t="s">
        <v>312</v>
      </c>
      <c r="G1070" s="86" t="s">
        <v>6261</v>
      </c>
      <c r="H1070" s="86" t="s">
        <v>24</v>
      </c>
      <c r="I1070" s="212">
        <v>45525</v>
      </c>
      <c r="J1070" s="86" t="s">
        <v>6262</v>
      </c>
    </row>
    <row r="1071" spans="2:10" x14ac:dyDescent="0.2">
      <c r="B1071" s="86">
        <v>1068</v>
      </c>
      <c r="C1071" s="86" t="s">
        <v>2188</v>
      </c>
      <c r="D1071" s="304">
        <f>_xlfn.IFNA(VLOOKUP(C1071,Database!$D$5:$F$439,2,0),VLOOKUP(C1071,logut!$C$4:$D$499,2,0))</f>
        <v>641810192</v>
      </c>
      <c r="E1071" s="86" t="s">
        <v>312</v>
      </c>
      <c r="G1071" s="86" t="s">
        <v>6261</v>
      </c>
      <c r="H1071" s="86" t="s">
        <v>24</v>
      </c>
      <c r="I1071" s="212">
        <v>45525</v>
      </c>
      <c r="J1071" s="86" t="s">
        <v>6262</v>
      </c>
    </row>
    <row r="1072" spans="2:10" x14ac:dyDescent="0.2">
      <c r="B1072" s="86">
        <v>1069</v>
      </c>
      <c r="C1072" s="86" t="s">
        <v>705</v>
      </c>
      <c r="D1072" s="304">
        <f>_xlfn.IFNA(VLOOKUP(C1072,Database!$D$5:$F$439,2,0),VLOOKUP(C1072,logut!$C$4:$D$499,2,0))</f>
        <v>972400066</v>
      </c>
      <c r="E1072" s="86" t="s">
        <v>312</v>
      </c>
      <c r="G1072" s="86" t="s">
        <v>6261</v>
      </c>
      <c r="H1072" s="86" t="s">
        <v>24</v>
      </c>
      <c r="I1072" s="212">
        <v>45525</v>
      </c>
      <c r="J1072" s="86" t="s">
        <v>6262</v>
      </c>
    </row>
    <row r="1073" spans="2:10" x14ac:dyDescent="0.2">
      <c r="B1073" s="86">
        <v>1070</v>
      </c>
      <c r="C1073" s="86" t="s">
        <v>1466</v>
      </c>
      <c r="D1073" s="304">
        <f>_xlfn.IFNA(VLOOKUP(C1073,Database!$D$5:$F$439,2,0),VLOOKUP(C1073,logut!$C$4:$D$499,2,0))</f>
        <v>642001031</v>
      </c>
      <c r="E1073" s="86" t="s">
        <v>312</v>
      </c>
      <c r="G1073" s="86" t="s">
        <v>6261</v>
      </c>
      <c r="H1073" s="86" t="s">
        <v>24</v>
      </c>
      <c r="I1073" s="212">
        <v>45525</v>
      </c>
      <c r="J1073" s="86" t="s">
        <v>6262</v>
      </c>
    </row>
    <row r="1074" spans="2:10" x14ac:dyDescent="0.2">
      <c r="B1074" s="86">
        <v>1071</v>
      </c>
      <c r="C1074" s="86" t="s">
        <v>1570</v>
      </c>
      <c r="D1074" s="304">
        <f>_xlfn.IFNA(VLOOKUP(C1074,Database!$D$5:$F$439,2,0),VLOOKUP(C1074,logut!$C$4:$D$499,2,0))</f>
        <v>641801141</v>
      </c>
      <c r="E1074" s="86" t="s">
        <v>312</v>
      </c>
      <c r="G1074" s="86" t="s">
        <v>6261</v>
      </c>
      <c r="H1074" s="86" t="s">
        <v>24</v>
      </c>
      <c r="I1074" s="212">
        <v>45525</v>
      </c>
      <c r="J1074" s="86" t="s">
        <v>6262</v>
      </c>
    </row>
    <row r="1075" spans="2:10" x14ac:dyDescent="0.2">
      <c r="B1075" s="86">
        <v>1072</v>
      </c>
      <c r="C1075" s="86" t="s">
        <v>732</v>
      </c>
      <c r="D1075" s="304">
        <f>_xlfn.IFNA(VLOOKUP(C1075,Database!$D$5:$F$439,2,0),VLOOKUP(C1075,logut!$C$4:$D$499,2,0))</f>
        <v>642001009</v>
      </c>
      <c r="E1075" s="86" t="s">
        <v>312</v>
      </c>
      <c r="G1075" s="86" t="s">
        <v>6261</v>
      </c>
      <c r="H1075" s="86" t="s">
        <v>24</v>
      </c>
      <c r="I1075" s="212">
        <v>45525</v>
      </c>
      <c r="J1075" s="86" t="s">
        <v>6262</v>
      </c>
    </row>
    <row r="1076" spans="2:10" x14ac:dyDescent="0.2">
      <c r="B1076" s="86">
        <v>1073</v>
      </c>
      <c r="C1076" s="86" t="s">
        <v>2238</v>
      </c>
      <c r="D1076" s="304">
        <f>_xlfn.IFNA(VLOOKUP(C1076,Database!$D$5:$F$439,2,0),VLOOKUP(C1076,logut!$C$4:$D$499,2,0))</f>
        <v>641907275</v>
      </c>
      <c r="E1076" s="86" t="s">
        <v>312</v>
      </c>
      <c r="G1076" s="86" t="s">
        <v>6261</v>
      </c>
      <c r="H1076" s="86" t="s">
        <v>24</v>
      </c>
      <c r="I1076" s="212">
        <v>45525</v>
      </c>
      <c r="J1076" s="86" t="s">
        <v>6262</v>
      </c>
    </row>
    <row r="1077" spans="2:10" x14ac:dyDescent="0.2">
      <c r="B1077" s="86">
        <v>1074</v>
      </c>
      <c r="C1077" s="86" t="s">
        <v>2433</v>
      </c>
      <c r="D1077" s="304">
        <f>_xlfn.IFNA(VLOOKUP(C1077,Database!$D$5:$F$439,2,0),VLOOKUP(C1077,logut!$C$4:$D$499,2,0))</f>
        <v>641907258</v>
      </c>
      <c r="E1077" s="86" t="s">
        <v>312</v>
      </c>
      <c r="G1077" s="86" t="s">
        <v>6261</v>
      </c>
      <c r="H1077" s="86" t="s">
        <v>24</v>
      </c>
      <c r="I1077" s="212">
        <v>45525</v>
      </c>
      <c r="J1077" s="86" t="s">
        <v>6262</v>
      </c>
    </row>
    <row r="1078" spans="2:10" x14ac:dyDescent="0.2">
      <c r="B1078" s="86">
        <v>1075</v>
      </c>
      <c r="C1078" s="86" t="s">
        <v>2314</v>
      </c>
      <c r="D1078" s="304">
        <f>_xlfn.IFNA(VLOOKUP(C1078,Database!$D$5:$F$439,2,0),VLOOKUP(C1078,logut!$C$4:$D$499,2,0))</f>
        <v>641907261</v>
      </c>
      <c r="E1078" s="86" t="s">
        <v>312</v>
      </c>
      <c r="G1078" s="86" t="s">
        <v>6261</v>
      </c>
      <c r="H1078" s="86" t="s">
        <v>24</v>
      </c>
      <c r="I1078" s="212">
        <v>45525</v>
      </c>
      <c r="J1078" s="86" t="s">
        <v>6262</v>
      </c>
    </row>
    <row r="1079" spans="2:10" x14ac:dyDescent="0.2">
      <c r="B1079" s="86">
        <v>1076</v>
      </c>
      <c r="C1079" s="86" t="s">
        <v>2456</v>
      </c>
      <c r="D1079" s="304">
        <f>_xlfn.IFNA(VLOOKUP(C1079,Database!$D$5:$F$439,2,0),VLOOKUP(C1079,logut!$C$4:$D$499,2,0))</f>
        <v>641907276</v>
      </c>
      <c r="E1079" s="86" t="s">
        <v>312</v>
      </c>
      <c r="G1079" s="86" t="s">
        <v>6261</v>
      </c>
      <c r="H1079" s="86" t="s">
        <v>24</v>
      </c>
      <c r="I1079" s="212">
        <v>45525</v>
      </c>
      <c r="J1079" s="86" t="s">
        <v>6262</v>
      </c>
    </row>
    <row r="1080" spans="2:10" x14ac:dyDescent="0.2">
      <c r="B1080" s="86">
        <v>1077</v>
      </c>
      <c r="C1080" s="86" t="s">
        <v>866</v>
      </c>
      <c r="D1080" s="304">
        <f>_xlfn.IFNA(VLOOKUP(C1080,Database!$D$5:$F$439,2,0),VLOOKUP(C1080,logut!$C$4:$D$499,2,0))</f>
        <v>642001069</v>
      </c>
      <c r="E1080" s="86" t="s">
        <v>312</v>
      </c>
      <c r="G1080" s="86" t="s">
        <v>6261</v>
      </c>
      <c r="H1080" s="86" t="s">
        <v>24</v>
      </c>
      <c r="I1080" s="212">
        <v>45525</v>
      </c>
      <c r="J1080" s="86" t="s">
        <v>6262</v>
      </c>
    </row>
    <row r="1081" spans="2:10" x14ac:dyDescent="0.2">
      <c r="B1081" s="86">
        <v>1078</v>
      </c>
      <c r="C1081" s="86" t="s">
        <v>2060</v>
      </c>
      <c r="D1081" s="304">
        <f>_xlfn.IFNA(VLOOKUP(C1081,Database!$D$5:$F$439,2,0),VLOOKUP(C1081,logut!$C$4:$D$499,2,0))</f>
        <v>641810185</v>
      </c>
      <c r="E1081" s="86" t="s">
        <v>312</v>
      </c>
      <c r="G1081" s="86" t="s">
        <v>6261</v>
      </c>
      <c r="H1081" s="86" t="s">
        <v>24</v>
      </c>
      <c r="I1081" s="212">
        <v>45525</v>
      </c>
      <c r="J1081" s="86" t="s">
        <v>6262</v>
      </c>
    </row>
    <row r="1082" spans="2:10" x14ac:dyDescent="0.2">
      <c r="B1082" s="86">
        <v>1079</v>
      </c>
      <c r="C1082" s="86" t="s">
        <v>2175</v>
      </c>
      <c r="D1082" s="304">
        <f>_xlfn.IFNA(VLOOKUP(C1082,Database!$D$5:$F$439,2,0),VLOOKUP(C1082,logut!$C$4:$D$499,2,0))</f>
        <v>641810193</v>
      </c>
      <c r="E1082" s="86" t="s">
        <v>312</v>
      </c>
      <c r="G1082" s="86" t="s">
        <v>6261</v>
      </c>
      <c r="H1082" s="86" t="s">
        <v>24</v>
      </c>
      <c r="I1082" s="212">
        <v>45525</v>
      </c>
      <c r="J1082" s="86" t="s">
        <v>6262</v>
      </c>
    </row>
    <row r="1083" spans="2:10" x14ac:dyDescent="0.2">
      <c r="B1083" s="86">
        <v>1080</v>
      </c>
      <c r="C1083" s="86" t="s">
        <v>888</v>
      </c>
      <c r="D1083" s="304">
        <f>_xlfn.IFNA(VLOOKUP(C1083,Database!$D$5:$F$439,2,0),VLOOKUP(C1083,logut!$C$4:$D$499,2,0))</f>
        <v>642001065</v>
      </c>
      <c r="E1083" s="86" t="s">
        <v>312</v>
      </c>
      <c r="G1083" s="86" t="s">
        <v>6261</v>
      </c>
      <c r="H1083" s="86" t="s">
        <v>24</v>
      </c>
      <c r="I1083" s="212">
        <v>45525</v>
      </c>
      <c r="J1083" s="86" t="s">
        <v>6262</v>
      </c>
    </row>
    <row r="1084" spans="2:10" x14ac:dyDescent="0.2">
      <c r="B1084" s="86">
        <v>1081</v>
      </c>
      <c r="C1084" s="86" t="s">
        <v>1411</v>
      </c>
      <c r="D1084" s="304">
        <f>_xlfn.IFNA(VLOOKUP(C1084,Database!$D$5:$F$439,2,0),VLOOKUP(C1084,logut!$C$4:$D$499,2,0))</f>
        <v>642001022</v>
      </c>
      <c r="E1084" s="86" t="s">
        <v>312</v>
      </c>
      <c r="G1084" s="86" t="s">
        <v>6261</v>
      </c>
      <c r="H1084" s="86" t="s">
        <v>24</v>
      </c>
      <c r="I1084" s="212">
        <v>45525</v>
      </c>
      <c r="J1084" s="86" t="s">
        <v>6262</v>
      </c>
    </row>
    <row r="1085" spans="2:10" x14ac:dyDescent="0.2">
      <c r="B1085" s="86">
        <v>1082</v>
      </c>
      <c r="C1085" s="86" t="s">
        <v>2305</v>
      </c>
      <c r="D1085" s="304">
        <f>_xlfn.IFNA(VLOOKUP(C1085,Database!$D$5:$F$439,2,0),VLOOKUP(C1085,logut!$C$4:$D$499,2,0))</f>
        <v>641907255</v>
      </c>
      <c r="E1085" s="86" t="s">
        <v>312</v>
      </c>
      <c r="G1085" s="86" t="s">
        <v>6261</v>
      </c>
      <c r="H1085" s="86" t="s">
        <v>24</v>
      </c>
      <c r="I1085" s="212">
        <v>45525</v>
      </c>
      <c r="J1085" s="86" t="s">
        <v>6262</v>
      </c>
    </row>
    <row r="1086" spans="2:10" x14ac:dyDescent="0.2">
      <c r="B1086" s="86">
        <v>1083</v>
      </c>
      <c r="C1086" s="86" t="s">
        <v>1676</v>
      </c>
      <c r="D1086" s="304">
        <f>_xlfn.IFNA(VLOOKUP(C1086,Database!$D$5:$F$439,2,0),VLOOKUP(C1086,logut!$C$4:$D$499,2,0))</f>
        <v>641806159</v>
      </c>
      <c r="E1086" s="86" t="s">
        <v>312</v>
      </c>
      <c r="G1086" s="86" t="s">
        <v>6261</v>
      </c>
      <c r="H1086" s="86" t="s">
        <v>24</v>
      </c>
      <c r="I1086" s="212">
        <v>45525</v>
      </c>
      <c r="J1086" s="86" t="s">
        <v>6262</v>
      </c>
    </row>
    <row r="1087" spans="2:10" x14ac:dyDescent="0.2">
      <c r="B1087" s="86">
        <v>1084</v>
      </c>
      <c r="C1087" s="86" t="s">
        <v>1371</v>
      </c>
      <c r="D1087" s="304">
        <f>_xlfn.IFNA(VLOOKUP(C1087,Database!$D$5:$F$439,2,0),VLOOKUP(C1087,logut!$C$4:$D$499,2,0))</f>
        <v>642001030</v>
      </c>
      <c r="E1087" s="86" t="s">
        <v>312</v>
      </c>
      <c r="G1087" s="86" t="s">
        <v>6261</v>
      </c>
      <c r="H1087" s="86" t="s">
        <v>24</v>
      </c>
      <c r="I1087" s="212">
        <v>45525</v>
      </c>
      <c r="J1087" s="86" t="s">
        <v>6262</v>
      </c>
    </row>
    <row r="1088" spans="2:10" x14ac:dyDescent="0.2">
      <c r="B1088" s="86">
        <v>1085</v>
      </c>
      <c r="C1088" s="86" t="s">
        <v>1295</v>
      </c>
      <c r="D1088" s="304">
        <f>_xlfn.IFNA(VLOOKUP(C1088,Database!$D$5:$F$439,2,0),VLOOKUP(C1088,logut!$C$4:$D$499,2,0))</f>
        <v>642001036</v>
      </c>
      <c r="E1088" s="86" t="s">
        <v>312</v>
      </c>
      <c r="G1088" s="86" t="s">
        <v>6261</v>
      </c>
      <c r="H1088" s="86" t="s">
        <v>24</v>
      </c>
      <c r="I1088" s="212">
        <v>45525</v>
      </c>
      <c r="J1088" s="86" t="s">
        <v>6262</v>
      </c>
    </row>
    <row r="1089" spans="2:10" x14ac:dyDescent="0.2">
      <c r="B1089" s="86">
        <v>1086</v>
      </c>
      <c r="C1089" s="86" t="s">
        <v>1706</v>
      </c>
      <c r="D1089" s="304">
        <f>_xlfn.IFNA(VLOOKUP(C1089,Database!$D$5:$F$439,2,0),VLOOKUP(C1089,logut!$C$4:$D$499,2,0))</f>
        <v>641806157</v>
      </c>
      <c r="E1089" s="86" t="s">
        <v>312</v>
      </c>
      <c r="G1089" s="86" t="s">
        <v>6261</v>
      </c>
      <c r="H1089" s="86" t="s">
        <v>24</v>
      </c>
      <c r="I1089" s="212">
        <v>45525</v>
      </c>
      <c r="J1089" s="86" t="s">
        <v>6262</v>
      </c>
    </row>
    <row r="1090" spans="2:10" x14ac:dyDescent="0.2">
      <c r="B1090" s="86">
        <v>1087</v>
      </c>
      <c r="C1090" s="86" t="s">
        <v>1554</v>
      </c>
      <c r="D1090" s="304">
        <f>_xlfn.IFNA(VLOOKUP(C1090,Database!$D$5:$F$439,2,0),VLOOKUP(C1090,logut!$C$4:$D$499,2,0))</f>
        <v>641801140</v>
      </c>
      <c r="E1090" s="86" t="s">
        <v>312</v>
      </c>
      <c r="G1090" s="86" t="s">
        <v>6261</v>
      </c>
      <c r="H1090" s="86" t="s">
        <v>24</v>
      </c>
      <c r="I1090" s="212">
        <v>45525</v>
      </c>
      <c r="J1090" s="86" t="s">
        <v>6262</v>
      </c>
    </row>
    <row r="1091" spans="2:10" x14ac:dyDescent="0.2">
      <c r="B1091" s="86">
        <v>1088</v>
      </c>
      <c r="C1091" s="86" t="s">
        <v>2465</v>
      </c>
      <c r="D1091" s="304">
        <f>_xlfn.IFNA(VLOOKUP(C1091,Database!$D$5:$F$439,2,0),VLOOKUP(C1091,logut!$C$4:$D$499,2,0))</f>
        <v>641907267</v>
      </c>
      <c r="E1091" s="86" t="s">
        <v>312</v>
      </c>
      <c r="G1091" s="86" t="s">
        <v>6261</v>
      </c>
      <c r="H1091" s="86" t="s">
        <v>24</v>
      </c>
      <c r="I1091" s="212">
        <v>45525</v>
      </c>
      <c r="J1091" s="86" t="s">
        <v>6262</v>
      </c>
    </row>
    <row r="1092" spans="2:10" x14ac:dyDescent="0.2">
      <c r="B1092" s="86">
        <v>1089</v>
      </c>
      <c r="C1092" s="86" t="s">
        <v>1594</v>
      </c>
      <c r="D1092" s="304">
        <f>_xlfn.IFNA(VLOOKUP(C1092,Database!$D$5:$F$439,2,0),VLOOKUP(C1092,logut!$C$4:$D$499,2,0))</f>
        <v>972400060</v>
      </c>
      <c r="E1092" s="86" t="s">
        <v>312</v>
      </c>
      <c r="G1092" s="86" t="s">
        <v>6261</v>
      </c>
      <c r="H1092" s="86" t="s">
        <v>24</v>
      </c>
      <c r="I1092" s="212">
        <v>45525</v>
      </c>
      <c r="J1092" s="86" t="s">
        <v>6262</v>
      </c>
    </row>
    <row r="1093" spans="2:10" x14ac:dyDescent="0.2">
      <c r="B1093" s="86">
        <v>1090</v>
      </c>
      <c r="C1093" s="86" t="s">
        <v>2160</v>
      </c>
      <c r="D1093" s="304">
        <f>_xlfn.IFNA(VLOOKUP(C1093,Database!$D$5:$F$439,2,0),VLOOKUP(C1093,logut!$C$4:$D$499,2,0))</f>
        <v>641810186</v>
      </c>
      <c r="E1093" s="86" t="s">
        <v>312</v>
      </c>
      <c r="G1093" s="86" t="s">
        <v>6261</v>
      </c>
      <c r="H1093" s="86" t="s">
        <v>24</v>
      </c>
      <c r="I1093" s="212">
        <v>45525</v>
      </c>
      <c r="J1093" s="86" t="s">
        <v>6262</v>
      </c>
    </row>
    <row r="1094" spans="2:10" x14ac:dyDescent="0.2">
      <c r="B1094" s="86">
        <v>1091</v>
      </c>
      <c r="C1094" s="86" t="s">
        <v>1606</v>
      </c>
      <c r="D1094" s="304">
        <f>_xlfn.IFNA(VLOOKUP(C1094,Database!$D$5:$F$439,2,0),VLOOKUP(C1094,logut!$C$4:$D$499,2,0))</f>
        <v>641805148</v>
      </c>
      <c r="E1094" s="86" t="s">
        <v>312</v>
      </c>
      <c r="G1094" s="86" t="s">
        <v>6261</v>
      </c>
      <c r="H1094" s="86" t="s">
        <v>24</v>
      </c>
      <c r="I1094" s="212">
        <v>45525</v>
      </c>
      <c r="J1094" s="86" t="s">
        <v>6262</v>
      </c>
    </row>
    <row r="1095" spans="2:10" x14ac:dyDescent="0.2">
      <c r="B1095" s="86">
        <v>1092</v>
      </c>
      <c r="C1095" s="86" t="s">
        <v>1457</v>
      </c>
      <c r="D1095" s="304">
        <f>_xlfn.IFNA(VLOOKUP(C1095,Database!$D$5:$F$439,2,0),VLOOKUP(C1095,logut!$C$4:$D$499,2,0))</f>
        <v>642001024</v>
      </c>
      <c r="E1095" s="86" t="s">
        <v>312</v>
      </c>
      <c r="G1095" s="86" t="s">
        <v>6261</v>
      </c>
      <c r="H1095" s="86" t="s">
        <v>24</v>
      </c>
      <c r="I1095" s="212">
        <v>45525</v>
      </c>
      <c r="J1095" s="86" t="s">
        <v>6262</v>
      </c>
    </row>
    <row r="1096" spans="2:10" x14ac:dyDescent="0.2">
      <c r="B1096" s="86">
        <v>1093</v>
      </c>
      <c r="C1096" s="86" t="s">
        <v>3885</v>
      </c>
      <c r="D1096" s="304">
        <f>_xlfn.IFNA(VLOOKUP(C1096,Database!$D$5:$F$439,2,0),VLOOKUP(C1096,logut!$C$4:$D$499,2,0))</f>
        <v>642401159</v>
      </c>
      <c r="E1096" s="86" t="s">
        <v>6266</v>
      </c>
      <c r="G1096" s="86" t="s">
        <v>6261</v>
      </c>
      <c r="H1096" s="86" t="s">
        <v>24</v>
      </c>
      <c r="I1096" s="212">
        <v>45525</v>
      </c>
      <c r="J1096" s="86" t="s">
        <v>6262</v>
      </c>
    </row>
    <row r="1097" spans="2:10" x14ac:dyDescent="0.2">
      <c r="B1097" s="86">
        <v>1094</v>
      </c>
      <c r="C1097" s="86" t="s">
        <v>2780</v>
      </c>
      <c r="D1097" s="304">
        <f>_xlfn.IFNA(VLOOKUP(C1097,Database!$D$5:$F$439,2,0),VLOOKUP(C1097,logut!$C$4:$D$499,2,0))</f>
        <v>642101100</v>
      </c>
      <c r="E1097" s="86" t="s">
        <v>6266</v>
      </c>
      <c r="G1097" s="86" t="s">
        <v>6261</v>
      </c>
      <c r="H1097" s="86" t="s">
        <v>24</v>
      </c>
      <c r="I1097" s="212">
        <v>45525</v>
      </c>
      <c r="J1097" s="86" t="s">
        <v>6262</v>
      </c>
    </row>
    <row r="1098" spans="2:10" x14ac:dyDescent="0.2">
      <c r="B1098" s="86">
        <v>1095</v>
      </c>
      <c r="C1098" s="86" t="s">
        <v>3594</v>
      </c>
      <c r="D1098" s="304">
        <f>_xlfn.IFNA(VLOOKUP(C1098,Database!$D$5:$F$439,2,0),VLOOKUP(C1098,logut!$C$4:$D$499,2,0))</f>
        <v>642301198</v>
      </c>
      <c r="E1098" s="86" t="s">
        <v>6266</v>
      </c>
      <c r="G1098" s="86" t="s">
        <v>6261</v>
      </c>
      <c r="H1098" s="86" t="s">
        <v>24</v>
      </c>
      <c r="I1098" s="212">
        <v>45525</v>
      </c>
      <c r="J1098" s="86" t="s">
        <v>6262</v>
      </c>
    </row>
    <row r="1099" spans="2:10" x14ac:dyDescent="0.2">
      <c r="B1099" s="86">
        <v>1096</v>
      </c>
      <c r="C1099" s="86" t="s">
        <v>3682</v>
      </c>
      <c r="D1099" s="304">
        <f>_xlfn.IFNA(VLOOKUP(C1099,Database!$D$5:$F$439,2,0),VLOOKUP(C1099,logut!$C$4:$D$499,2,0))</f>
        <v>642307135</v>
      </c>
      <c r="E1099" s="86" t="s">
        <v>6266</v>
      </c>
      <c r="G1099" s="86" t="s">
        <v>6261</v>
      </c>
      <c r="H1099" s="86" t="s">
        <v>24</v>
      </c>
      <c r="I1099" s="212">
        <v>45525</v>
      </c>
      <c r="J1099" s="86" t="s">
        <v>6262</v>
      </c>
    </row>
    <row r="1100" spans="2:10" x14ac:dyDescent="0.2">
      <c r="B1100" s="86">
        <v>1097</v>
      </c>
      <c r="C1100" s="86" t="s">
        <v>2285</v>
      </c>
      <c r="D1100" s="304">
        <f>_xlfn.IFNA(VLOOKUP(C1100,Database!$D$5:$F$439,2,0),VLOOKUP(C1100,logut!$C$4:$D$499,2,0))</f>
        <v>641907269</v>
      </c>
      <c r="E1100" s="86" t="s">
        <v>6266</v>
      </c>
      <c r="G1100" s="86" t="s">
        <v>6261</v>
      </c>
      <c r="H1100" s="86" t="s">
        <v>24</v>
      </c>
      <c r="I1100" s="212">
        <v>45525</v>
      </c>
      <c r="J1100" s="86" t="s">
        <v>6262</v>
      </c>
    </row>
    <row r="1101" spans="2:10" x14ac:dyDescent="0.2">
      <c r="B1101" s="86">
        <v>1098</v>
      </c>
      <c r="C1101" s="86" t="s">
        <v>2348</v>
      </c>
      <c r="D1101" s="304">
        <f>_xlfn.IFNA(VLOOKUP(C1101,Database!$D$5:$F$439,2,0),VLOOKUP(C1101,logut!$C$4:$D$499,2,0))</f>
        <v>641907247</v>
      </c>
      <c r="E1101" s="86" t="s">
        <v>6266</v>
      </c>
      <c r="G1101" s="86" t="s">
        <v>6261</v>
      </c>
      <c r="H1101" s="86" t="s">
        <v>24</v>
      </c>
      <c r="I1101" s="212">
        <v>45525</v>
      </c>
      <c r="J1101" s="86" t="s">
        <v>6262</v>
      </c>
    </row>
    <row r="1102" spans="2:10" x14ac:dyDescent="0.2">
      <c r="B1102" s="86">
        <v>1099</v>
      </c>
      <c r="C1102" s="86" t="s">
        <v>2254</v>
      </c>
      <c r="D1102" s="304">
        <f>_xlfn.IFNA(VLOOKUP(C1102,Database!$D$5:$F$439,2,0),VLOOKUP(C1102,logut!$C$4:$D$499,2,0))</f>
        <v>641907249</v>
      </c>
      <c r="E1102" s="86" t="s">
        <v>6266</v>
      </c>
      <c r="G1102" s="86" t="s">
        <v>6261</v>
      </c>
      <c r="H1102" s="86" t="s">
        <v>24</v>
      </c>
      <c r="I1102" s="212">
        <v>45525</v>
      </c>
      <c r="J1102" s="86" t="s">
        <v>6262</v>
      </c>
    </row>
    <row r="1103" spans="2:10" x14ac:dyDescent="0.2">
      <c r="B1103" s="86">
        <v>1100</v>
      </c>
      <c r="C1103" s="86" t="s">
        <v>3519</v>
      </c>
      <c r="D1103" s="304">
        <f>_xlfn.IFNA(VLOOKUP(C1103,Database!$D$5:$F$439,2,0),VLOOKUP(C1103,logut!$C$4:$D$499,2,0))</f>
        <v>642301181</v>
      </c>
      <c r="E1103" s="86" t="s">
        <v>6266</v>
      </c>
      <c r="G1103" s="86" t="s">
        <v>6261</v>
      </c>
      <c r="H1103" s="86" t="s">
        <v>24</v>
      </c>
      <c r="I1103" s="212">
        <v>45525</v>
      </c>
      <c r="J1103" s="86" t="s">
        <v>6262</v>
      </c>
    </row>
    <row r="1104" spans="2:10" x14ac:dyDescent="0.2">
      <c r="B1104" s="86">
        <v>1101</v>
      </c>
      <c r="C1104" s="86" t="s">
        <v>3623</v>
      </c>
      <c r="D1104" s="304">
        <f>_xlfn.IFNA(VLOOKUP(C1104,Database!$D$5:$F$439,2,0),VLOOKUP(C1104,logut!$C$4:$D$499,2,0))</f>
        <v>642307120</v>
      </c>
      <c r="E1104" s="86" t="s">
        <v>6266</v>
      </c>
      <c r="G1104" s="86" t="s">
        <v>6261</v>
      </c>
      <c r="H1104" s="86" t="s">
        <v>24</v>
      </c>
      <c r="I1104" s="212">
        <v>45525</v>
      </c>
      <c r="J1104" s="86" t="s">
        <v>6262</v>
      </c>
    </row>
    <row r="1105" spans="2:10" x14ac:dyDescent="0.2">
      <c r="B1105" s="86">
        <v>1102</v>
      </c>
      <c r="C1105" s="86" t="s">
        <v>762</v>
      </c>
      <c r="D1105" s="304">
        <f>_xlfn.IFNA(VLOOKUP(C1105,Database!$D$5:$F$439,2,0),VLOOKUP(C1105,logut!$C$4:$D$499,2,0))</f>
        <v>971900033</v>
      </c>
      <c r="E1105" s="86" t="s">
        <v>6266</v>
      </c>
      <c r="G1105" s="86" t="s">
        <v>6261</v>
      </c>
      <c r="H1105" s="86" t="s">
        <v>24</v>
      </c>
      <c r="I1105" s="212">
        <v>45525</v>
      </c>
      <c r="J1105" s="86" t="s">
        <v>6262</v>
      </c>
    </row>
    <row r="1106" spans="2:10" x14ac:dyDescent="0.2">
      <c r="B1106" s="86">
        <v>1103</v>
      </c>
      <c r="C1106" s="86" t="s">
        <v>2010</v>
      </c>
      <c r="D1106" s="304">
        <f>_xlfn.IFNA(VLOOKUP(C1106,Database!$D$5:$F$439,2,0),VLOOKUP(C1106,logut!$C$4:$D$499,2,0))</f>
        <v>972400058</v>
      </c>
      <c r="E1106" s="86" t="s">
        <v>6266</v>
      </c>
      <c r="G1106" s="86" t="s">
        <v>6261</v>
      </c>
      <c r="H1106" s="86" t="s">
        <v>24</v>
      </c>
      <c r="I1106" s="212">
        <v>45525</v>
      </c>
      <c r="J1106" s="86" t="s">
        <v>6262</v>
      </c>
    </row>
    <row r="1107" spans="2:10" x14ac:dyDescent="0.2">
      <c r="B1107" s="86">
        <v>1104</v>
      </c>
      <c r="C1107" s="86" t="s">
        <v>3422</v>
      </c>
      <c r="D1107" s="304">
        <f>_xlfn.IFNA(VLOOKUP(C1107,Database!$D$5:$F$439,2,0),VLOOKUP(C1107,logut!$C$4:$D$499,2,0))</f>
        <v>642201170</v>
      </c>
      <c r="E1107" s="86" t="s">
        <v>6266</v>
      </c>
      <c r="G1107" s="86" t="s">
        <v>6261</v>
      </c>
      <c r="H1107" s="86" t="s">
        <v>24</v>
      </c>
      <c r="I1107" s="212">
        <v>45525</v>
      </c>
      <c r="J1107" s="86" t="s">
        <v>6262</v>
      </c>
    </row>
    <row r="1108" spans="2:10" x14ac:dyDescent="0.2">
      <c r="B1108" s="86">
        <v>1105</v>
      </c>
      <c r="C1108" s="86" t="s">
        <v>98</v>
      </c>
      <c r="D1108" s="304">
        <f>_xlfn.IFNA(VLOOKUP(C1108,Database!$D$5:$F$439,2,0),VLOOKUP(C1108,logut!$C$4:$D$499,2,0))</f>
        <v>642301191</v>
      </c>
      <c r="E1108" s="86" t="s">
        <v>6266</v>
      </c>
      <c r="G1108" s="86" t="s">
        <v>6261</v>
      </c>
      <c r="H1108" s="86" t="s">
        <v>24</v>
      </c>
      <c r="I1108" s="212">
        <v>45525</v>
      </c>
      <c r="J1108" s="86" t="s">
        <v>6262</v>
      </c>
    </row>
    <row r="1109" spans="2:10" x14ac:dyDescent="0.2">
      <c r="B1109" s="86">
        <v>1106</v>
      </c>
      <c r="C1109" s="86" t="s">
        <v>3697</v>
      </c>
      <c r="D1109" s="304">
        <f>_xlfn.IFNA(VLOOKUP(C1109,Database!$D$5:$F$439,2,0),VLOOKUP(C1109,logut!$C$4:$D$499,2,0))</f>
        <v>642307127</v>
      </c>
      <c r="E1109" s="86" t="s">
        <v>6266</v>
      </c>
      <c r="G1109" s="86" t="s">
        <v>6261</v>
      </c>
      <c r="H1109" s="86" t="s">
        <v>24</v>
      </c>
      <c r="I1109" s="212">
        <v>45525</v>
      </c>
      <c r="J1109" s="86" t="s">
        <v>6262</v>
      </c>
    </row>
    <row r="1110" spans="2:10" x14ac:dyDescent="0.2">
      <c r="B1110" s="86">
        <v>1107</v>
      </c>
      <c r="C1110" s="86" t="s">
        <v>3543</v>
      </c>
      <c r="D1110" s="304">
        <f>_xlfn.IFNA(VLOOKUP(C1110,Database!$D$5:$F$439,2,0),VLOOKUP(C1110,logut!$C$4:$D$499,2,0))</f>
        <v>642301192</v>
      </c>
      <c r="E1110" s="86" t="s">
        <v>6266</v>
      </c>
      <c r="G1110" s="86" t="s">
        <v>6261</v>
      </c>
      <c r="H1110" s="86" t="s">
        <v>24</v>
      </c>
      <c r="I1110" s="212">
        <v>45525</v>
      </c>
      <c r="J1110" s="86" t="s">
        <v>6262</v>
      </c>
    </row>
    <row r="1111" spans="2:10" x14ac:dyDescent="0.2">
      <c r="B1111" s="86">
        <v>1108</v>
      </c>
      <c r="C1111" s="86" t="s">
        <v>3703</v>
      </c>
      <c r="D1111" s="304">
        <f>_xlfn.IFNA(VLOOKUP(C1111,Database!$D$5:$F$439,2,0),VLOOKUP(C1111,logut!$C$4:$D$499,2,0))</f>
        <v>642307125</v>
      </c>
      <c r="E1111" s="86" t="s">
        <v>6266</v>
      </c>
      <c r="G1111" s="86" t="s">
        <v>6261</v>
      </c>
      <c r="H1111" s="86" t="s">
        <v>24</v>
      </c>
      <c r="I1111" s="212">
        <v>45525</v>
      </c>
      <c r="J1111" s="86" t="s">
        <v>6262</v>
      </c>
    </row>
    <row r="1112" spans="2:10" x14ac:dyDescent="0.2">
      <c r="B1112" s="86">
        <v>1109</v>
      </c>
      <c r="C1112" s="86" t="s">
        <v>3552</v>
      </c>
      <c r="D1112" s="304">
        <f>_xlfn.IFNA(VLOOKUP(C1112,Database!$D$5:$F$439,2,0),VLOOKUP(C1112,logut!$C$4:$D$499,2,0))</f>
        <v>642301188</v>
      </c>
      <c r="E1112" s="86" t="s">
        <v>6266</v>
      </c>
      <c r="G1112" s="86" t="s">
        <v>6261</v>
      </c>
      <c r="H1112" s="86" t="s">
        <v>24</v>
      </c>
      <c r="I1112" s="212">
        <v>45525</v>
      </c>
      <c r="J1112" s="86" t="s">
        <v>6262</v>
      </c>
    </row>
    <row r="1113" spans="2:10" x14ac:dyDescent="0.2">
      <c r="B1113" s="86">
        <v>1110</v>
      </c>
      <c r="C1113" s="86" t="s">
        <v>3710</v>
      </c>
      <c r="D1113" s="304">
        <f>_xlfn.IFNA(VLOOKUP(C1113,Database!$D$5:$F$439,2,0),VLOOKUP(C1113,logut!$C$4:$D$499,2,0))</f>
        <v>642307128</v>
      </c>
      <c r="E1113" s="86" t="s">
        <v>6266</v>
      </c>
      <c r="G1113" s="86" t="s">
        <v>6261</v>
      </c>
      <c r="H1113" s="86" t="s">
        <v>24</v>
      </c>
      <c r="I1113" s="212">
        <v>45525</v>
      </c>
      <c r="J1113" s="86" t="s">
        <v>6262</v>
      </c>
    </row>
    <row r="1114" spans="2:10" x14ac:dyDescent="0.2">
      <c r="B1114" s="86">
        <v>1111</v>
      </c>
      <c r="C1114" s="86" t="s">
        <v>3558</v>
      </c>
      <c r="D1114" s="304">
        <f>_xlfn.IFNA(VLOOKUP(C1114,Database!$D$5:$F$439,2,0),VLOOKUP(C1114,logut!$C$4:$D$499,2,0))</f>
        <v>642301190</v>
      </c>
      <c r="E1114" s="86" t="s">
        <v>6266</v>
      </c>
      <c r="G1114" s="86" t="s">
        <v>6261</v>
      </c>
      <c r="H1114" s="86" t="s">
        <v>24</v>
      </c>
      <c r="I1114" s="212">
        <v>45525</v>
      </c>
      <c r="J1114" s="86" t="s">
        <v>6262</v>
      </c>
    </row>
    <row r="1115" spans="2:10" x14ac:dyDescent="0.2">
      <c r="B1115" s="86">
        <v>1112</v>
      </c>
      <c r="C1115" s="86" t="s">
        <v>1523</v>
      </c>
      <c r="D1115" s="304">
        <f>_xlfn.IFNA(VLOOKUP(C1115,Database!$D$5:$F$439,2,0),VLOOKUP(C1115,logut!$C$4:$D$499,2,0))</f>
        <v>641801134</v>
      </c>
      <c r="E1115" s="86" t="s">
        <v>6266</v>
      </c>
      <c r="G1115" s="86" t="s">
        <v>6261</v>
      </c>
      <c r="H1115" s="86" t="s">
        <v>24</v>
      </c>
      <c r="I1115" s="212">
        <v>45525</v>
      </c>
      <c r="J1115" s="86" t="s">
        <v>6262</v>
      </c>
    </row>
    <row r="1116" spans="2:10" x14ac:dyDescent="0.2">
      <c r="B1116" s="86">
        <v>1113</v>
      </c>
      <c r="C1116" s="86" t="s">
        <v>3629</v>
      </c>
      <c r="D1116" s="304" t="e">
        <f>_xlfn.IFNA(VLOOKUP(C1116,Database!$D$5:$F$439,2,0),VLOOKUP(C1116,logut!$C$4:$D$499,2,0))</f>
        <v>#N/A</v>
      </c>
      <c r="E1116" s="86" t="s">
        <v>6266</v>
      </c>
      <c r="G1116" s="86" t="s">
        <v>6261</v>
      </c>
      <c r="H1116" s="86" t="s">
        <v>24</v>
      </c>
      <c r="I1116" s="212">
        <v>45525</v>
      </c>
      <c r="J1116" s="86" t="s">
        <v>6262</v>
      </c>
    </row>
    <row r="1117" spans="2:10" x14ac:dyDescent="0.2">
      <c r="B1117" s="86">
        <v>1114</v>
      </c>
      <c r="C1117" s="86" t="s">
        <v>3635</v>
      </c>
      <c r="D1117" s="304">
        <f>_xlfn.IFNA(VLOOKUP(C1117,Database!$D$5:$F$439,2,0),VLOOKUP(C1117,logut!$C$4:$D$499,2,0))</f>
        <v>642307121</v>
      </c>
      <c r="E1117" s="86" t="s">
        <v>6266</v>
      </c>
      <c r="G1117" s="86" t="s">
        <v>6261</v>
      </c>
      <c r="H1117" s="86" t="s">
        <v>24</v>
      </c>
      <c r="I1117" s="212">
        <v>45525</v>
      </c>
      <c r="J1117" s="86" t="s">
        <v>6262</v>
      </c>
    </row>
    <row r="1118" spans="2:10" x14ac:dyDescent="0.2">
      <c r="B1118" s="86">
        <v>1115</v>
      </c>
      <c r="C1118" s="86" t="s">
        <v>3564</v>
      </c>
      <c r="D1118" s="304">
        <f>_xlfn.IFNA(VLOOKUP(C1118,Database!$D$5:$F$439,2,0),VLOOKUP(C1118,logut!$C$4:$D$499,2,0))</f>
        <v>642301189</v>
      </c>
      <c r="E1118" s="86" t="s">
        <v>6266</v>
      </c>
      <c r="G1118" s="86" t="s">
        <v>6261</v>
      </c>
      <c r="H1118" s="86" t="s">
        <v>24</v>
      </c>
      <c r="I1118" s="212">
        <v>45525</v>
      </c>
      <c r="J1118" s="86" t="s">
        <v>6262</v>
      </c>
    </row>
    <row r="1119" spans="2:10" x14ac:dyDescent="0.2">
      <c r="B1119" s="86">
        <v>1116</v>
      </c>
      <c r="C1119" s="86" t="s">
        <v>470</v>
      </c>
      <c r="D1119" s="304">
        <f>_xlfn.IFNA(VLOOKUP(C1119,Database!$D$5:$F$439,2,0),VLOOKUP(C1119,logut!$C$4:$D$499,2,0))</f>
        <v>642001050</v>
      </c>
      <c r="E1119" s="86" t="s">
        <v>6266</v>
      </c>
      <c r="G1119" s="86" t="s">
        <v>6261</v>
      </c>
      <c r="H1119" s="86" t="s">
        <v>24</v>
      </c>
      <c r="I1119" s="212">
        <v>45525</v>
      </c>
      <c r="J1119" s="86" t="s">
        <v>6262</v>
      </c>
    </row>
    <row r="1120" spans="2:10" x14ac:dyDescent="0.2">
      <c r="B1120" s="86">
        <v>1117</v>
      </c>
      <c r="C1120" s="86" t="s">
        <v>3717</v>
      </c>
      <c r="D1120" s="304">
        <f>_xlfn.IFNA(VLOOKUP(C1120,Database!$D$5:$F$439,2,0),VLOOKUP(C1120,logut!$C$4:$D$499,2,0))</f>
        <v>642307130</v>
      </c>
      <c r="E1120" s="86" t="s">
        <v>6266</v>
      </c>
      <c r="G1120" s="86" t="s">
        <v>6261</v>
      </c>
      <c r="H1120" s="86" t="s">
        <v>24</v>
      </c>
      <c r="I1120" s="212">
        <v>45525</v>
      </c>
      <c r="J1120" s="86" t="s">
        <v>6262</v>
      </c>
    </row>
    <row r="1121" spans="2:10" x14ac:dyDescent="0.2">
      <c r="B1121" s="86">
        <v>1118</v>
      </c>
      <c r="C1121" s="86" t="s">
        <v>3570</v>
      </c>
      <c r="D1121" s="304">
        <f>_xlfn.IFNA(VLOOKUP(C1121,Database!$D$5:$F$439,2,0),VLOOKUP(C1121,logut!$C$4:$D$499,2,0))</f>
        <v>642301187</v>
      </c>
      <c r="E1121" s="86" t="s">
        <v>6266</v>
      </c>
      <c r="G1121" s="86" t="s">
        <v>6261</v>
      </c>
      <c r="H1121" s="86" t="s">
        <v>24</v>
      </c>
      <c r="I1121" s="212">
        <v>45525</v>
      </c>
      <c r="J1121" s="86" t="s">
        <v>6262</v>
      </c>
    </row>
    <row r="1122" spans="2:10" x14ac:dyDescent="0.2">
      <c r="B1122" s="86">
        <v>1119</v>
      </c>
      <c r="C1122" s="86" t="s">
        <v>638</v>
      </c>
      <c r="D1122" s="304">
        <f>_xlfn.IFNA(VLOOKUP(C1122,Database!$D$5:$F$439,2,0),VLOOKUP(C1122,logut!$C$4:$D$499,2,0))</f>
        <v>642001005</v>
      </c>
      <c r="E1122" s="86" t="s">
        <v>6266</v>
      </c>
      <c r="G1122" s="86" t="s">
        <v>6261</v>
      </c>
      <c r="H1122" s="86" t="s">
        <v>24</v>
      </c>
      <c r="I1122" s="212">
        <v>45525</v>
      </c>
      <c r="J1122" s="86" t="s">
        <v>6262</v>
      </c>
    </row>
    <row r="1123" spans="2:10" x14ac:dyDescent="0.2">
      <c r="B1123" s="86">
        <v>1120</v>
      </c>
      <c r="C1123" s="86" t="s">
        <v>476</v>
      </c>
      <c r="D1123" s="304">
        <f>_xlfn.IFNA(VLOOKUP(C1123,Database!$D$5:$F$439,2,0),VLOOKUP(C1123,logut!$C$4:$D$499,2,0))</f>
        <v>971700006</v>
      </c>
      <c r="E1123" s="86" t="s">
        <v>6266</v>
      </c>
      <c r="G1123" s="86" t="s">
        <v>6261</v>
      </c>
      <c r="H1123" s="86" t="s">
        <v>24</v>
      </c>
      <c r="I1123" s="212">
        <v>45525</v>
      </c>
      <c r="J1123" s="86" t="s">
        <v>6262</v>
      </c>
    </row>
    <row r="1124" spans="2:10" x14ac:dyDescent="0.2">
      <c r="B1124" s="86">
        <v>1121</v>
      </c>
      <c r="C1124" s="86" t="s">
        <v>2226</v>
      </c>
      <c r="D1124" s="304">
        <f>_xlfn.IFNA(VLOOKUP(C1124,Database!$D$5:$F$439,2,0),VLOOKUP(C1124,logut!$C$4:$D$499,2,0))</f>
        <v>641907240</v>
      </c>
      <c r="E1124" s="86" t="s">
        <v>6266</v>
      </c>
      <c r="G1124" s="86" t="s">
        <v>6261</v>
      </c>
      <c r="H1124" s="86" t="s">
        <v>24</v>
      </c>
      <c r="I1124" s="212">
        <v>45525</v>
      </c>
      <c r="J1124" s="86" t="s">
        <v>6262</v>
      </c>
    </row>
    <row r="1125" spans="2:10" x14ac:dyDescent="0.2">
      <c r="B1125" s="86">
        <v>1122</v>
      </c>
      <c r="C1125" s="86" t="s">
        <v>2399</v>
      </c>
      <c r="D1125" s="304">
        <f>_xlfn.IFNA(VLOOKUP(C1125,Database!$D$5:$F$439,2,0),VLOOKUP(C1125,logut!$C$4:$D$499,2,0))</f>
        <v>641907257</v>
      </c>
      <c r="E1125" s="86" t="s">
        <v>6266</v>
      </c>
      <c r="G1125" s="86" t="s">
        <v>6261</v>
      </c>
      <c r="H1125" s="86" t="s">
        <v>24</v>
      </c>
      <c r="I1125" s="212">
        <v>45525</v>
      </c>
      <c r="J1125" s="86" t="s">
        <v>6262</v>
      </c>
    </row>
    <row r="1126" spans="2:10" x14ac:dyDescent="0.2">
      <c r="B1126" s="86">
        <v>1123</v>
      </c>
      <c r="C1126" s="86" t="s">
        <v>723</v>
      </c>
      <c r="D1126" s="304">
        <f>_xlfn.IFNA(VLOOKUP(C1126,Database!$D$5:$F$439,2,0),VLOOKUP(C1126,logut!$C$4:$D$499,2,0))</f>
        <v>971900049</v>
      </c>
      <c r="E1126" s="86" t="s">
        <v>6266</v>
      </c>
      <c r="G1126" s="86" t="s">
        <v>6261</v>
      </c>
      <c r="H1126" s="86" t="s">
        <v>24</v>
      </c>
      <c r="I1126" s="212">
        <v>45525</v>
      </c>
      <c r="J1126" s="86" t="s">
        <v>6262</v>
      </c>
    </row>
    <row r="1127" spans="2:10" x14ac:dyDescent="0.2">
      <c r="B1127" s="86">
        <v>1124</v>
      </c>
      <c r="C1127" s="86" t="s">
        <v>3528</v>
      </c>
      <c r="D1127" s="304">
        <f>_xlfn.IFNA(VLOOKUP(C1127,Database!$D$5:$F$439,2,0),VLOOKUP(C1127,logut!$C$4:$D$499,2,0))</f>
        <v>642301193</v>
      </c>
      <c r="E1127" s="86" t="s">
        <v>6266</v>
      </c>
      <c r="G1127" s="86" t="s">
        <v>6261</v>
      </c>
      <c r="H1127" s="86" t="s">
        <v>24</v>
      </c>
      <c r="I1127" s="212">
        <v>45525</v>
      </c>
      <c r="J1127" s="86" t="s">
        <v>6262</v>
      </c>
    </row>
    <row r="1128" spans="2:10" x14ac:dyDescent="0.2">
      <c r="B1128" s="86">
        <v>1125</v>
      </c>
      <c r="C1128" s="86" t="s">
        <v>1619</v>
      </c>
      <c r="D1128" s="304">
        <f>_xlfn.IFNA(VLOOKUP(C1128,Database!$D$5:$F$439,2,0),VLOOKUP(C1128,logut!$C$4:$D$499,2,0))</f>
        <v>641805143</v>
      </c>
      <c r="E1128" s="86" t="s">
        <v>6266</v>
      </c>
      <c r="G1128" s="86" t="s">
        <v>6261</v>
      </c>
      <c r="H1128" s="86" t="s">
        <v>24</v>
      </c>
      <c r="I1128" s="212">
        <v>45525</v>
      </c>
      <c r="J1128" s="86" t="s">
        <v>6262</v>
      </c>
    </row>
    <row r="1129" spans="2:10" x14ac:dyDescent="0.2">
      <c r="B1129" s="86">
        <v>1126</v>
      </c>
      <c r="C1129" s="86" t="s">
        <v>805</v>
      </c>
      <c r="D1129" s="304">
        <f>_xlfn.IFNA(VLOOKUP(C1129,Database!$D$5:$F$439,2,0),VLOOKUP(C1129,logut!$C$4:$D$499,2,0))</f>
        <v>642001019</v>
      </c>
      <c r="E1129" s="86" t="s">
        <v>6266</v>
      </c>
      <c r="G1129" s="86" t="s">
        <v>6261</v>
      </c>
      <c r="H1129" s="86" t="s">
        <v>24</v>
      </c>
      <c r="I1129" s="212">
        <v>45525</v>
      </c>
      <c r="J1129" s="86" t="s">
        <v>6262</v>
      </c>
    </row>
    <row r="1130" spans="2:10" x14ac:dyDescent="0.2">
      <c r="B1130" s="86">
        <v>1127</v>
      </c>
      <c r="C1130" s="86" t="s">
        <v>2095</v>
      </c>
      <c r="D1130" s="304">
        <f>_xlfn.IFNA(VLOOKUP(C1130,Database!$D$5:$F$439,2,0),VLOOKUP(C1130,logut!$C$4:$D$499,2,0))</f>
        <v>641810201</v>
      </c>
      <c r="E1130" s="86" t="s">
        <v>6266</v>
      </c>
      <c r="G1130" s="86" t="s">
        <v>6261</v>
      </c>
      <c r="H1130" s="86" t="s">
        <v>24</v>
      </c>
      <c r="I1130" s="212">
        <v>45525</v>
      </c>
      <c r="J1130" s="86" t="s">
        <v>6262</v>
      </c>
    </row>
    <row r="1131" spans="2:10" x14ac:dyDescent="0.2">
      <c r="B1131" s="86">
        <v>1128</v>
      </c>
      <c r="C1131" s="86" t="s">
        <v>1777</v>
      </c>
      <c r="D1131" s="304">
        <f>_xlfn.IFNA(VLOOKUP(C1131,Database!$D$5:$F$439,2,0),VLOOKUP(C1131,logut!$C$4:$D$499,2,0))</f>
        <v>641807166</v>
      </c>
      <c r="E1131" s="86" t="s">
        <v>6266</v>
      </c>
      <c r="G1131" s="86" t="s">
        <v>6261</v>
      </c>
      <c r="H1131" s="86" t="s">
        <v>24</v>
      </c>
      <c r="I1131" s="212">
        <v>45525</v>
      </c>
      <c r="J1131" s="86" t="s">
        <v>6262</v>
      </c>
    </row>
    <row r="1132" spans="2:10" x14ac:dyDescent="0.2">
      <c r="B1132" s="86">
        <v>1129</v>
      </c>
      <c r="C1132" s="86" t="s">
        <v>1580</v>
      </c>
      <c r="D1132" s="304">
        <f>_xlfn.IFNA(VLOOKUP(C1132,Database!$D$5:$F$439,2,0),VLOOKUP(C1132,logut!$C$4:$D$499,2,0))</f>
        <v>972400061</v>
      </c>
      <c r="E1132" s="86" t="s">
        <v>6266</v>
      </c>
      <c r="G1132" s="86" t="s">
        <v>6261</v>
      </c>
      <c r="H1132" s="86" t="s">
        <v>24</v>
      </c>
      <c r="I1132" s="212">
        <v>45525</v>
      </c>
      <c r="J1132" s="86" t="s">
        <v>6262</v>
      </c>
    </row>
    <row r="1133" spans="2:10" x14ac:dyDescent="0.2">
      <c r="B1133" s="86">
        <v>1130</v>
      </c>
      <c r="C1133" s="86" t="s">
        <v>3169</v>
      </c>
      <c r="D1133" s="304">
        <f>_xlfn.IFNA(VLOOKUP(C1133,Database!$D$5:$F$439,2,0),VLOOKUP(C1133,logut!$C$4:$D$499,2,0))</f>
        <v>642201152</v>
      </c>
      <c r="E1133" s="86" t="s">
        <v>6266</v>
      </c>
      <c r="G1133" s="86" t="s">
        <v>6261</v>
      </c>
      <c r="H1133" s="86" t="s">
        <v>24</v>
      </c>
      <c r="I1133" s="212">
        <v>45525</v>
      </c>
      <c r="J1133" s="86" t="s">
        <v>6262</v>
      </c>
    </row>
    <row r="1134" spans="2:10" x14ac:dyDescent="0.2">
      <c r="B1134" s="86">
        <v>1131</v>
      </c>
      <c r="C1134" s="86" t="s">
        <v>5808</v>
      </c>
      <c r="D1134" s="304">
        <f>_xlfn.IFNA(VLOOKUP(C1134,Database!$D$5:$F$439,2,0),VLOOKUP(C1134,logut!$C$4:$D$499,2,0))</f>
        <v>642307122</v>
      </c>
      <c r="E1134" s="86" t="s">
        <v>6266</v>
      </c>
      <c r="G1134" s="86" t="s">
        <v>6261</v>
      </c>
      <c r="H1134" s="86" t="s">
        <v>24</v>
      </c>
      <c r="I1134" s="212">
        <v>45525</v>
      </c>
      <c r="J1134" s="86" t="s">
        <v>6262</v>
      </c>
    </row>
    <row r="1135" spans="2:10" x14ac:dyDescent="0.2">
      <c r="B1135" s="86">
        <v>1132</v>
      </c>
      <c r="C1135" s="86" t="s">
        <v>1959</v>
      </c>
      <c r="D1135" s="304">
        <f>_xlfn.IFNA(VLOOKUP(C1135,Database!$D$5:$F$439,2,0),VLOOKUP(C1135,logut!$C$4:$D$499,2,0))</f>
        <v>641809178</v>
      </c>
      <c r="E1135" s="86" t="s">
        <v>6266</v>
      </c>
      <c r="G1135" s="86" t="s">
        <v>6261</v>
      </c>
      <c r="H1135" s="86" t="s">
        <v>24</v>
      </c>
      <c r="I1135" s="212">
        <v>45525</v>
      </c>
      <c r="J1135" s="86" t="s">
        <v>6262</v>
      </c>
    </row>
    <row r="1136" spans="2:10" x14ac:dyDescent="0.2">
      <c r="B1136" s="86">
        <v>1133</v>
      </c>
      <c r="C1136" s="86" t="s">
        <v>1436</v>
      </c>
      <c r="D1136" s="304">
        <f>_xlfn.IFNA(VLOOKUP(C1136,Database!$D$5:$F$439,2,0),VLOOKUP(C1136,logut!$C$4:$D$499,2,0))</f>
        <v>642001026</v>
      </c>
      <c r="E1136" s="86" t="s">
        <v>6266</v>
      </c>
      <c r="G1136" s="86" t="s">
        <v>6261</v>
      </c>
      <c r="H1136" s="86" t="s">
        <v>24</v>
      </c>
      <c r="I1136" s="212">
        <v>45525</v>
      </c>
      <c r="J1136" s="86" t="s">
        <v>6262</v>
      </c>
    </row>
    <row r="1137" spans="2:10" x14ac:dyDescent="0.2">
      <c r="B1137" s="86">
        <v>1134</v>
      </c>
      <c r="C1137" s="86" t="s">
        <v>1385</v>
      </c>
      <c r="D1137" s="304">
        <f>_xlfn.IFNA(VLOOKUP(C1137,Database!$D$5:$F$439,2,0),VLOOKUP(C1137,logut!$C$4:$D$499,2,0))</f>
        <v>642001033</v>
      </c>
      <c r="E1137" s="86" t="s">
        <v>6266</v>
      </c>
      <c r="G1137" s="86" t="s">
        <v>6261</v>
      </c>
      <c r="H1137" s="86" t="s">
        <v>24</v>
      </c>
      <c r="I1137" s="212">
        <v>45525</v>
      </c>
      <c r="J1137" s="86" t="s">
        <v>6262</v>
      </c>
    </row>
    <row r="1138" spans="2:10" x14ac:dyDescent="0.2">
      <c r="B1138" s="86">
        <v>1135</v>
      </c>
      <c r="C1138" s="86" t="s">
        <v>1753</v>
      </c>
      <c r="D1138" s="304">
        <f>_xlfn.IFNA(VLOOKUP(C1138,Database!$D$5:$F$439,2,0),VLOOKUP(C1138,logut!$C$4:$D$499,2,0))</f>
        <v>641807168</v>
      </c>
      <c r="E1138" s="86" t="s">
        <v>6266</v>
      </c>
      <c r="G1138" s="86" t="s">
        <v>6261</v>
      </c>
      <c r="H1138" s="86" t="s">
        <v>24</v>
      </c>
      <c r="I1138" s="212">
        <v>45525</v>
      </c>
      <c r="J1138" s="86" t="s">
        <v>6262</v>
      </c>
    </row>
    <row r="1139" spans="2:10" x14ac:dyDescent="0.2">
      <c r="B1139" s="86">
        <v>1136</v>
      </c>
      <c r="C1139" s="86" t="s">
        <v>488</v>
      </c>
      <c r="D1139" s="304">
        <f>_xlfn.IFNA(VLOOKUP(C1139,Database!$D$5:$F$439,2,0),VLOOKUP(C1139,logut!$C$4:$D$499,2,0))</f>
        <v>971700007</v>
      </c>
      <c r="E1139" s="86" t="s">
        <v>6266</v>
      </c>
      <c r="G1139" s="86" t="s">
        <v>6261</v>
      </c>
      <c r="H1139" s="86" t="s">
        <v>24</v>
      </c>
      <c r="I1139" s="212">
        <v>45525</v>
      </c>
      <c r="J1139" s="86" t="s">
        <v>6262</v>
      </c>
    </row>
    <row r="1140" spans="2:10" x14ac:dyDescent="0.2">
      <c r="B1140" s="86">
        <v>1137</v>
      </c>
      <c r="C1140" s="86" t="s">
        <v>3653</v>
      </c>
      <c r="D1140" s="304">
        <f>_xlfn.IFNA(VLOOKUP(C1140,Database!$D$5:$F$439,2,0),VLOOKUP(C1140,logut!$C$4:$D$499,2,0))</f>
        <v>642307132</v>
      </c>
      <c r="E1140" s="86" t="s">
        <v>6267</v>
      </c>
      <c r="G1140" s="86" t="s">
        <v>6261</v>
      </c>
      <c r="H1140" s="86" t="s">
        <v>24</v>
      </c>
      <c r="I1140" s="212">
        <v>45525</v>
      </c>
      <c r="J1140" s="86" t="s">
        <v>6262</v>
      </c>
    </row>
    <row r="1141" spans="2:10" x14ac:dyDescent="0.2">
      <c r="B1141" s="86">
        <v>1138</v>
      </c>
      <c r="C1141" s="86" t="s">
        <v>3670</v>
      </c>
      <c r="D1141" s="304">
        <f>_xlfn.IFNA(VLOOKUP(C1141,Database!$D$5:$F$439,2,0),VLOOKUP(C1141,logut!$C$4:$D$499,2,0))</f>
        <v>642307134</v>
      </c>
      <c r="E1141" s="86" t="s">
        <v>6267</v>
      </c>
      <c r="G1141" s="86" t="s">
        <v>6261</v>
      </c>
      <c r="H1141" s="86" t="s">
        <v>24</v>
      </c>
      <c r="I1141" s="212">
        <v>45525</v>
      </c>
      <c r="J1141" s="86" t="s">
        <v>6262</v>
      </c>
    </row>
    <row r="1142" spans="2:10" x14ac:dyDescent="0.2">
      <c r="B1142" s="86">
        <v>1139</v>
      </c>
      <c r="C1142" s="86" t="s">
        <v>5821</v>
      </c>
      <c r="D1142" s="304">
        <f>_xlfn.IFNA(VLOOKUP(C1142,Database!$D$5:$F$439,2,0),VLOOKUP(C1142,logut!$C$4:$D$499,2,0))</f>
        <v>642002072</v>
      </c>
      <c r="E1142" s="86" t="s">
        <v>6268</v>
      </c>
      <c r="G1142" s="86" t="s">
        <v>6261</v>
      </c>
      <c r="H1142" s="86" t="s">
        <v>24</v>
      </c>
      <c r="I1142" s="212">
        <v>45525</v>
      </c>
      <c r="J1142" s="86" t="s">
        <v>6262</v>
      </c>
    </row>
    <row r="1143" spans="2:10" x14ac:dyDescent="0.2">
      <c r="B1143" s="86">
        <v>1140</v>
      </c>
      <c r="C1143" s="86" t="s">
        <v>3998</v>
      </c>
      <c r="D1143" s="304">
        <f>_xlfn.IFNA(VLOOKUP(C1143,Database!$D$5:$F$439,2,0),VLOOKUP(C1143,logut!$C$4:$D$499,2,0))</f>
        <v>642401180</v>
      </c>
      <c r="E1143" s="86" t="s">
        <v>6268</v>
      </c>
      <c r="G1143" s="86" t="s">
        <v>6261</v>
      </c>
      <c r="H1143" s="86" t="s">
        <v>24</v>
      </c>
      <c r="I1143" s="212">
        <v>45525</v>
      </c>
      <c r="J1143" s="86" t="s">
        <v>6262</v>
      </c>
    </row>
    <row r="1144" spans="2:10" x14ac:dyDescent="0.2">
      <c r="B1144" s="86">
        <v>1141</v>
      </c>
      <c r="C1144" s="86" t="s">
        <v>4045</v>
      </c>
      <c r="D1144" s="304">
        <f>_xlfn.IFNA(VLOOKUP(C1144,Database!$D$5:$F$439,2,0),VLOOKUP(C1144,logut!$C$4:$D$499,2,0))</f>
        <v>642401187</v>
      </c>
      <c r="E1144" s="86" t="s">
        <v>6268</v>
      </c>
      <c r="G1144" s="86" t="s">
        <v>6261</v>
      </c>
      <c r="H1144" s="86" t="s">
        <v>24</v>
      </c>
      <c r="I1144" s="212">
        <v>45525</v>
      </c>
      <c r="J1144" s="86" t="s">
        <v>6262</v>
      </c>
    </row>
    <row r="1145" spans="2:10" x14ac:dyDescent="0.2">
      <c r="B1145" s="86">
        <v>1142</v>
      </c>
      <c r="C1145" s="86" t="s">
        <v>3510</v>
      </c>
      <c r="D1145" s="304">
        <f>_xlfn.IFNA(VLOOKUP(C1145,Database!$D$5:$F$439,2,0),VLOOKUP(C1145,logut!$C$4:$D$499,2,0))</f>
        <v>642301185</v>
      </c>
      <c r="E1145" s="86" t="s">
        <v>6268</v>
      </c>
      <c r="G1145" s="86" t="s">
        <v>6261</v>
      </c>
      <c r="H1145" s="86" t="s">
        <v>24</v>
      </c>
      <c r="I1145" s="212">
        <v>45525</v>
      </c>
      <c r="J1145" s="86" t="s">
        <v>6262</v>
      </c>
    </row>
    <row r="1146" spans="2:10" x14ac:dyDescent="0.2">
      <c r="B1146" s="86">
        <v>1143</v>
      </c>
      <c r="C1146" s="86" t="s">
        <v>821</v>
      </c>
      <c r="D1146" s="304">
        <f>_xlfn.IFNA(VLOOKUP(C1146,Database!$D$5:$F$439,2,0),VLOOKUP(C1146,logut!$C$4:$D$499,2,0))</f>
        <v>972400067</v>
      </c>
      <c r="E1146" s="86" t="s">
        <v>140</v>
      </c>
      <c r="G1146" s="86" t="s">
        <v>6269</v>
      </c>
      <c r="H1146" s="86" t="s">
        <v>24</v>
      </c>
      <c r="I1146" s="212">
        <v>45525</v>
      </c>
      <c r="J1146" s="86" t="s">
        <v>6270</v>
      </c>
    </row>
    <row r="1147" spans="2:10" x14ac:dyDescent="0.2">
      <c r="B1147" s="86">
        <v>1144</v>
      </c>
      <c r="C1147" s="86" t="s">
        <v>3486</v>
      </c>
      <c r="D1147" s="304">
        <f>_xlfn.IFNA(VLOOKUP(C1147,Database!$D$5:$F$439,2,0),VLOOKUP(C1147,logut!$C$4:$D$499,2,0))</f>
        <v>642301184</v>
      </c>
      <c r="E1147" s="86" t="s">
        <v>6098</v>
      </c>
      <c r="G1147" s="86" t="s">
        <v>6269</v>
      </c>
      <c r="H1147" s="86" t="s">
        <v>24</v>
      </c>
      <c r="I1147" s="212">
        <v>45525</v>
      </c>
      <c r="J1147" s="86" t="s">
        <v>6270</v>
      </c>
    </row>
    <row r="1148" spans="2:10" x14ac:dyDescent="0.2">
      <c r="B1148" s="86">
        <v>1145</v>
      </c>
      <c r="C1148" s="86" t="s">
        <v>3495</v>
      </c>
      <c r="D1148" s="304">
        <f>_xlfn.IFNA(VLOOKUP(C1148,Database!$D$5:$F$439,2,0),VLOOKUP(C1148,logut!$C$4:$D$499,2,0))</f>
        <v>642301183</v>
      </c>
      <c r="E1148" s="86" t="s">
        <v>6098</v>
      </c>
      <c r="G1148" s="86" t="s">
        <v>6269</v>
      </c>
      <c r="H1148" s="86" t="s">
        <v>24</v>
      </c>
      <c r="I1148" s="212">
        <v>45525</v>
      </c>
      <c r="J1148" s="86" t="s">
        <v>6270</v>
      </c>
    </row>
    <row r="1149" spans="2:10" x14ac:dyDescent="0.2">
      <c r="B1149" s="86">
        <v>1146</v>
      </c>
      <c r="C1149" s="86" t="s">
        <v>4299</v>
      </c>
      <c r="D1149" s="304">
        <f>_xlfn.IFNA(VLOOKUP(C1149,Database!$D$5:$F$439,2,0),VLOOKUP(C1149,logut!$C$4:$D$499,2,0))</f>
        <v>642406195</v>
      </c>
      <c r="E1149" s="86" t="s">
        <v>1218</v>
      </c>
      <c r="G1149" s="86" t="s">
        <v>6269</v>
      </c>
      <c r="H1149" s="86" t="s">
        <v>24</v>
      </c>
      <c r="I1149" s="212">
        <v>45525</v>
      </c>
      <c r="J1149" s="86" t="s">
        <v>6270</v>
      </c>
    </row>
    <row r="1150" spans="2:10" x14ac:dyDescent="0.2">
      <c r="B1150" s="86">
        <v>1147</v>
      </c>
      <c r="C1150" s="86" t="s">
        <v>3661</v>
      </c>
      <c r="D1150" s="304">
        <f>_xlfn.IFNA(VLOOKUP(C1150,Database!$D$5:$F$439,2,0),VLOOKUP(C1150,logut!$C$4:$D$499,2,0))</f>
        <v>642307126</v>
      </c>
      <c r="E1150" s="86" t="s">
        <v>2774</v>
      </c>
      <c r="G1150" s="86" t="s">
        <v>6269</v>
      </c>
      <c r="H1150" s="86" t="s">
        <v>24</v>
      </c>
      <c r="I1150" s="212">
        <v>45525</v>
      </c>
      <c r="J1150" s="86" t="s">
        <v>6270</v>
      </c>
    </row>
    <row r="1151" spans="2:10" x14ac:dyDescent="0.2">
      <c r="B1151" s="86">
        <v>1148</v>
      </c>
      <c r="C1151" s="86" t="s">
        <v>3124</v>
      </c>
      <c r="D1151" s="304">
        <f>_xlfn.IFNA(VLOOKUP(C1151,Database!$D$5:$F$439,2,0),VLOOKUP(C1151,logut!$C$4:$D$499,2,0))</f>
        <v>642201141</v>
      </c>
      <c r="E1151" s="86" t="s">
        <v>6068</v>
      </c>
      <c r="G1151" s="86" t="s">
        <v>6269</v>
      </c>
      <c r="H1151" s="86" t="s">
        <v>24</v>
      </c>
      <c r="I1151" s="212">
        <v>45525</v>
      </c>
      <c r="J1151" s="86" t="s">
        <v>6270</v>
      </c>
    </row>
    <row r="1152" spans="2:10" x14ac:dyDescent="0.2">
      <c r="B1152" s="86">
        <v>1149</v>
      </c>
      <c r="C1152" s="86" t="s">
        <v>3644</v>
      </c>
      <c r="D1152" s="304">
        <f>_xlfn.IFNA(VLOOKUP(C1152,Database!$D$5:$F$439,2,0),VLOOKUP(C1152,logut!$C$4:$D$499,2,0))</f>
        <v>642307133</v>
      </c>
      <c r="E1152" s="86" t="s">
        <v>6068</v>
      </c>
      <c r="G1152" s="86" t="s">
        <v>6269</v>
      </c>
      <c r="H1152" s="86" t="s">
        <v>24</v>
      </c>
      <c r="I1152" s="212">
        <v>45525</v>
      </c>
      <c r="J1152" s="86" t="s">
        <v>6270</v>
      </c>
    </row>
    <row r="1153" spans="2:10" x14ac:dyDescent="0.2">
      <c r="B1153" s="86">
        <v>1150</v>
      </c>
      <c r="C1153" s="86" t="s">
        <v>2559</v>
      </c>
      <c r="D1153" s="304">
        <f>_xlfn.IFNA(VLOOKUP(C1153,Database!$D$5:$F$439,2,0),VLOOKUP(C1153,logut!$C$4:$D$499,2,0))</f>
        <v>642002080</v>
      </c>
      <c r="E1153" s="86" t="s">
        <v>6068</v>
      </c>
      <c r="G1153" s="86" t="s">
        <v>6269</v>
      </c>
      <c r="H1153" s="86" t="s">
        <v>24</v>
      </c>
      <c r="I1153" s="212">
        <v>45525</v>
      </c>
      <c r="J1153" s="86" t="s">
        <v>6270</v>
      </c>
    </row>
    <row r="1154" spans="2:10" x14ac:dyDescent="0.2">
      <c r="B1154" s="86">
        <v>1151</v>
      </c>
      <c r="C1154" s="86" t="s">
        <v>3054</v>
      </c>
      <c r="D1154" s="304">
        <f>_xlfn.IFNA(VLOOKUP(C1154,Database!$D$5:$F$439,2,0),VLOOKUP(C1154,logut!$C$4:$D$499,2,0))</f>
        <v>642201134</v>
      </c>
      <c r="E1154" s="86" t="s">
        <v>6068</v>
      </c>
      <c r="G1154" s="86" t="s">
        <v>6269</v>
      </c>
      <c r="H1154" s="86" t="s">
        <v>24</v>
      </c>
      <c r="I1154" s="212">
        <v>45525</v>
      </c>
      <c r="J1154" s="86" t="s">
        <v>6270</v>
      </c>
    </row>
    <row r="1155" spans="2:10" x14ac:dyDescent="0.2">
      <c r="B1155" s="86">
        <v>1152</v>
      </c>
      <c r="C1155" s="86" t="s">
        <v>2615</v>
      </c>
      <c r="D1155" s="304">
        <f>_xlfn.IFNA(VLOOKUP(C1155,Database!$D$5:$F$439,2,0),VLOOKUP(C1155,logut!$C$4:$D$499,2,0))</f>
        <v>642002086</v>
      </c>
      <c r="E1155" s="86" t="s">
        <v>6068</v>
      </c>
      <c r="G1155" s="86" t="s">
        <v>6269</v>
      </c>
      <c r="H1155" s="86" t="s">
        <v>24</v>
      </c>
      <c r="I1155" s="212">
        <v>45525</v>
      </c>
      <c r="J1155" s="86" t="s">
        <v>6270</v>
      </c>
    </row>
    <row r="1156" spans="2:10" x14ac:dyDescent="0.2">
      <c r="B1156" s="86">
        <v>1153</v>
      </c>
      <c r="C1156" s="86" t="s">
        <v>3079</v>
      </c>
      <c r="D1156" s="304">
        <f>_xlfn.IFNA(VLOOKUP(C1156,Database!$D$5:$F$439,2,0),VLOOKUP(C1156,logut!$C$4:$D$499,2,0))</f>
        <v>642201130</v>
      </c>
      <c r="E1156" s="86" t="s">
        <v>6068</v>
      </c>
      <c r="G1156" s="86" t="s">
        <v>6269</v>
      </c>
      <c r="H1156" s="86" t="s">
        <v>24</v>
      </c>
      <c r="I1156" s="212">
        <v>45525</v>
      </c>
      <c r="J1156" s="86" t="s">
        <v>6270</v>
      </c>
    </row>
    <row r="1157" spans="2:10" x14ac:dyDescent="0.2">
      <c r="B1157" s="86">
        <v>1154</v>
      </c>
      <c r="C1157" s="86" t="s">
        <v>3063</v>
      </c>
      <c r="D1157" s="304">
        <f>_xlfn.IFNA(VLOOKUP(C1157,Database!$D$5:$F$439,2,0),VLOOKUP(C1157,logut!$C$4:$D$499,2,0))</f>
        <v>642201138</v>
      </c>
      <c r="E1157" s="86" t="s">
        <v>6068</v>
      </c>
      <c r="G1157" s="86" t="s">
        <v>6269</v>
      </c>
      <c r="H1157" s="86" t="s">
        <v>24</v>
      </c>
      <c r="I1157" s="212">
        <v>45525</v>
      </c>
      <c r="J1157" s="86" t="s">
        <v>6270</v>
      </c>
    </row>
    <row r="1158" spans="2:10" x14ac:dyDescent="0.2">
      <c r="B1158" s="86">
        <v>1155</v>
      </c>
      <c r="C1158" s="86" t="s">
        <v>3748</v>
      </c>
      <c r="D1158" s="304">
        <f>_xlfn.IFNA(VLOOKUP(C1158,Database!$D$5:$F$439,2,0),VLOOKUP(C1158,logut!$C$4:$D$499,2,0))</f>
        <v>642312150</v>
      </c>
      <c r="E1158" s="86" t="s">
        <v>6068</v>
      </c>
      <c r="G1158" s="86" t="s">
        <v>6269</v>
      </c>
      <c r="H1158" s="86" t="s">
        <v>24</v>
      </c>
      <c r="I1158" s="212">
        <v>45525</v>
      </c>
      <c r="J1158" s="86" t="s">
        <v>6270</v>
      </c>
    </row>
    <row r="1159" spans="2:10" x14ac:dyDescent="0.2">
      <c r="B1159" s="86">
        <v>1156</v>
      </c>
      <c r="C1159" s="86" t="s">
        <v>3090</v>
      </c>
      <c r="D1159" s="304">
        <f>_xlfn.IFNA(VLOOKUP(C1159,Database!$D$5:$F$439,2,0),VLOOKUP(C1159,logut!$C$4:$D$499,2,0))</f>
        <v>642201137</v>
      </c>
      <c r="E1159" s="86" t="s">
        <v>6068</v>
      </c>
      <c r="G1159" s="86" t="s">
        <v>6269</v>
      </c>
      <c r="H1159" s="86" t="s">
        <v>24</v>
      </c>
      <c r="I1159" s="212">
        <v>45525</v>
      </c>
      <c r="J1159" s="86" t="s">
        <v>6270</v>
      </c>
    </row>
    <row r="1160" spans="2:10" x14ac:dyDescent="0.2">
      <c r="B1160" s="86">
        <v>1157</v>
      </c>
      <c r="C1160" s="86" t="s">
        <v>3146</v>
      </c>
      <c r="D1160" s="304">
        <f>_xlfn.IFNA(VLOOKUP(C1160,Database!$D$5:$F$439,2,0),VLOOKUP(C1160,logut!$C$4:$D$499,2,0))</f>
        <v>642201135</v>
      </c>
      <c r="E1160" s="86" t="s">
        <v>6068</v>
      </c>
      <c r="G1160" s="86" t="s">
        <v>6269</v>
      </c>
      <c r="H1160" s="86" t="s">
        <v>24</v>
      </c>
      <c r="I1160" s="212">
        <v>45525</v>
      </c>
      <c r="J1160" s="86" t="s">
        <v>6270</v>
      </c>
    </row>
    <row r="1161" spans="2:10" x14ac:dyDescent="0.2">
      <c r="B1161" s="86">
        <v>1158</v>
      </c>
      <c r="C1161" s="86" t="s">
        <v>4017</v>
      </c>
      <c r="D1161" s="304">
        <f>_xlfn.IFNA(VLOOKUP(C1161,Database!$D$5:$F$439,2,0),VLOOKUP(C1161,logut!$C$4:$D$499,2,0))</f>
        <v>642401183</v>
      </c>
      <c r="E1161" s="86" t="s">
        <v>6068</v>
      </c>
      <c r="G1161" s="86" t="s">
        <v>6269</v>
      </c>
      <c r="H1161" s="86" t="s">
        <v>24</v>
      </c>
      <c r="I1161" s="212">
        <v>45525</v>
      </c>
      <c r="J1161" s="86" t="s">
        <v>6270</v>
      </c>
    </row>
    <row r="1162" spans="2:10" x14ac:dyDescent="0.2">
      <c r="B1162" s="86">
        <v>1159</v>
      </c>
      <c r="C1162" s="86" t="s">
        <v>3476</v>
      </c>
      <c r="D1162" s="304">
        <f>_xlfn.IFNA(VLOOKUP(C1162,Database!$D$5:$F$439,2,0),VLOOKUP(C1162,logut!$C$4:$D$499,2,0))</f>
        <v>642301180</v>
      </c>
      <c r="E1162" s="86" t="s">
        <v>6068</v>
      </c>
      <c r="G1162" s="86" t="s">
        <v>6269</v>
      </c>
      <c r="H1162" s="86" t="s">
        <v>24</v>
      </c>
      <c r="I1162" s="212">
        <v>45525</v>
      </c>
      <c r="J1162" s="86" t="s">
        <v>6270</v>
      </c>
    </row>
    <row r="1163" spans="2:10" x14ac:dyDescent="0.2">
      <c r="B1163" s="86">
        <v>1160</v>
      </c>
      <c r="C1163" s="86" t="s">
        <v>3100</v>
      </c>
      <c r="D1163" s="304">
        <f>_xlfn.IFNA(VLOOKUP(C1163,Database!$D$5:$F$439,2,0),VLOOKUP(C1163,logut!$C$4:$D$499,2,0))</f>
        <v>642201131</v>
      </c>
      <c r="E1163" s="86" t="s">
        <v>6068</v>
      </c>
      <c r="G1163" s="86" t="s">
        <v>6269</v>
      </c>
      <c r="H1163" s="86" t="s">
        <v>24</v>
      </c>
      <c r="I1163" s="212">
        <v>45525</v>
      </c>
      <c r="J1163" s="86" t="s">
        <v>6270</v>
      </c>
    </row>
    <row r="1164" spans="2:10" x14ac:dyDescent="0.2">
      <c r="B1164" s="86">
        <v>1161</v>
      </c>
      <c r="C1164" s="86" t="s">
        <v>530</v>
      </c>
      <c r="D1164" s="304">
        <f>_xlfn.IFNA(VLOOKUP(C1164,Database!$D$5:$F$439,2,0),VLOOKUP(C1164,logut!$C$4:$D$499,2,0))</f>
        <v>971900047</v>
      </c>
      <c r="E1164" s="86" t="s">
        <v>6059</v>
      </c>
      <c r="G1164" s="86" t="s">
        <v>6271</v>
      </c>
      <c r="H1164" s="86" t="s">
        <v>24</v>
      </c>
      <c r="I1164" s="212">
        <v>45525</v>
      </c>
      <c r="J1164" s="86" t="s">
        <v>6270</v>
      </c>
    </row>
    <row r="1165" spans="2:10" x14ac:dyDescent="0.2">
      <c r="B1165" s="86">
        <v>1162</v>
      </c>
      <c r="C1165" s="86" t="s">
        <v>3697</v>
      </c>
      <c r="D1165" s="304">
        <f>_xlfn.IFNA(VLOOKUP(C1165,Database!$D$5:$F$439,2,0),VLOOKUP(C1165,logut!$C$4:$D$499,2,0))</f>
        <v>642307127</v>
      </c>
      <c r="E1165" s="86" t="s">
        <v>312</v>
      </c>
      <c r="G1165" s="86" t="s">
        <v>6271</v>
      </c>
      <c r="H1165" s="86" t="s">
        <v>24</v>
      </c>
      <c r="I1165" s="212">
        <v>45525</v>
      </c>
      <c r="J1165" s="86" t="s">
        <v>6270</v>
      </c>
    </row>
    <row r="1166" spans="2:10" x14ac:dyDescent="0.2">
      <c r="B1166" s="86">
        <v>1163</v>
      </c>
      <c r="C1166" s="86" t="s">
        <v>3543</v>
      </c>
      <c r="D1166" s="304">
        <f>_xlfn.IFNA(VLOOKUP(C1166,Database!$D$5:$F$439,2,0),VLOOKUP(C1166,logut!$C$4:$D$499,2,0))</f>
        <v>642301192</v>
      </c>
      <c r="E1166" s="86" t="s">
        <v>312</v>
      </c>
      <c r="G1166" s="86" t="s">
        <v>6271</v>
      </c>
      <c r="H1166" s="86" t="s">
        <v>24</v>
      </c>
      <c r="I1166" s="212">
        <v>45525</v>
      </c>
      <c r="J1166" s="86" t="s">
        <v>6270</v>
      </c>
    </row>
    <row r="1167" spans="2:10" x14ac:dyDescent="0.2">
      <c r="B1167" s="86">
        <v>1164</v>
      </c>
      <c r="C1167" s="86" t="s">
        <v>3703</v>
      </c>
      <c r="D1167" s="304">
        <f>_xlfn.IFNA(VLOOKUP(C1167,Database!$D$5:$F$439,2,0),VLOOKUP(C1167,logut!$C$4:$D$499,2,0))</f>
        <v>642307125</v>
      </c>
      <c r="E1167" s="86" t="s">
        <v>312</v>
      </c>
      <c r="G1167" s="86" t="s">
        <v>6271</v>
      </c>
      <c r="H1167" s="86" t="s">
        <v>24</v>
      </c>
      <c r="I1167" s="212">
        <v>45525</v>
      </c>
      <c r="J1167" s="86" t="s">
        <v>6270</v>
      </c>
    </row>
    <row r="1168" spans="2:10" x14ac:dyDescent="0.2">
      <c r="B1168" s="86">
        <v>1165</v>
      </c>
      <c r="C1168" s="86" t="s">
        <v>3623</v>
      </c>
      <c r="D1168" s="304">
        <f>_xlfn.IFNA(VLOOKUP(C1168,Database!$D$5:$F$439,2,0),VLOOKUP(C1168,logut!$C$4:$D$499,2,0))</f>
        <v>642307120</v>
      </c>
      <c r="E1168" s="86" t="s">
        <v>312</v>
      </c>
      <c r="G1168" s="86" t="s">
        <v>6271</v>
      </c>
      <c r="H1168" s="86" t="s">
        <v>24</v>
      </c>
      <c r="I1168" s="212">
        <v>45525</v>
      </c>
      <c r="J1168" s="86" t="s">
        <v>6270</v>
      </c>
    </row>
    <row r="1169" spans="2:10" x14ac:dyDescent="0.2">
      <c r="B1169" s="86">
        <v>1166</v>
      </c>
      <c r="C1169" s="86" t="s">
        <v>3710</v>
      </c>
      <c r="D1169" s="304">
        <f>_xlfn.IFNA(VLOOKUP(C1169,Database!$D$5:$F$439,2,0),VLOOKUP(C1169,logut!$C$4:$D$499,2,0))</f>
        <v>642307128</v>
      </c>
      <c r="E1169" s="86" t="s">
        <v>312</v>
      </c>
      <c r="G1169" s="86" t="s">
        <v>6271</v>
      </c>
      <c r="H1169" s="86" t="s">
        <v>24</v>
      </c>
      <c r="I1169" s="212">
        <v>45525</v>
      </c>
      <c r="J1169" s="86" t="s">
        <v>6270</v>
      </c>
    </row>
    <row r="1170" spans="2:10" x14ac:dyDescent="0.2">
      <c r="B1170" s="86">
        <v>1167</v>
      </c>
      <c r="C1170" s="86" t="s">
        <v>3594</v>
      </c>
      <c r="D1170" s="304">
        <f>_xlfn.IFNA(VLOOKUP(C1170,Database!$D$5:$F$439,2,0),VLOOKUP(C1170,logut!$C$4:$D$499,2,0))</f>
        <v>642301198</v>
      </c>
      <c r="E1170" s="86" t="s">
        <v>312</v>
      </c>
      <c r="G1170" s="86" t="s">
        <v>6271</v>
      </c>
      <c r="H1170" s="86" t="s">
        <v>24</v>
      </c>
      <c r="I1170" s="212">
        <v>45525</v>
      </c>
      <c r="J1170" s="86" t="s">
        <v>6270</v>
      </c>
    </row>
    <row r="1171" spans="2:10" x14ac:dyDescent="0.2">
      <c r="B1171" s="86">
        <v>1168</v>
      </c>
      <c r="C1171" s="86" t="s">
        <v>6786</v>
      </c>
      <c r="D1171" s="304">
        <f>_xlfn.IFNA(VLOOKUP(C1171,Database!$D$5:$F$439,2,0),VLOOKUP(C1171,logut!$C$4:$D$499,2,0))</f>
        <v>642307123</v>
      </c>
      <c r="E1171" s="86" t="s">
        <v>312</v>
      </c>
      <c r="G1171" s="86" t="s">
        <v>6271</v>
      </c>
      <c r="H1171" s="86" t="s">
        <v>24</v>
      </c>
      <c r="I1171" s="212">
        <v>45525</v>
      </c>
      <c r="J1171" s="86" t="s">
        <v>6270</v>
      </c>
    </row>
    <row r="1172" spans="2:10" x14ac:dyDescent="0.2">
      <c r="B1172" s="86">
        <v>1169</v>
      </c>
      <c r="C1172" s="86" t="s">
        <v>3635</v>
      </c>
      <c r="D1172" s="304">
        <f>_xlfn.IFNA(VLOOKUP(C1172,Database!$D$5:$F$439,2,0),VLOOKUP(C1172,logut!$C$4:$D$499,2,0))</f>
        <v>642307121</v>
      </c>
      <c r="E1172" s="86" t="s">
        <v>312</v>
      </c>
      <c r="G1172" s="86" t="s">
        <v>6271</v>
      </c>
      <c r="H1172" s="86" t="s">
        <v>24</v>
      </c>
      <c r="I1172" s="212">
        <v>45525</v>
      </c>
      <c r="J1172" s="86" t="s">
        <v>6270</v>
      </c>
    </row>
    <row r="1173" spans="2:10" x14ac:dyDescent="0.2">
      <c r="B1173" s="86">
        <v>1170</v>
      </c>
      <c r="C1173" s="86" t="s">
        <v>3682</v>
      </c>
      <c r="D1173" s="304">
        <f>_xlfn.IFNA(VLOOKUP(C1173,Database!$D$5:$F$439,2,0),VLOOKUP(C1173,logut!$C$4:$D$499,2,0))</f>
        <v>642307135</v>
      </c>
      <c r="E1173" s="86" t="s">
        <v>312</v>
      </c>
      <c r="G1173" s="86" t="s">
        <v>6271</v>
      </c>
      <c r="H1173" s="86" t="s">
        <v>24</v>
      </c>
      <c r="I1173" s="212">
        <v>45525</v>
      </c>
      <c r="J1173" s="86" t="s">
        <v>6270</v>
      </c>
    </row>
    <row r="1174" spans="2:10" x14ac:dyDescent="0.2">
      <c r="B1174" s="86">
        <v>1171</v>
      </c>
      <c r="C1174" s="86" t="s">
        <v>3564</v>
      </c>
      <c r="D1174" s="304">
        <f>_xlfn.IFNA(VLOOKUP(C1174,Database!$D$5:$F$439,2,0),VLOOKUP(C1174,logut!$C$4:$D$499,2,0))</f>
        <v>642301189</v>
      </c>
      <c r="E1174" s="86" t="s">
        <v>312</v>
      </c>
      <c r="G1174" s="86" t="s">
        <v>6271</v>
      </c>
      <c r="H1174" s="86" t="s">
        <v>24</v>
      </c>
      <c r="I1174" s="212">
        <v>45525</v>
      </c>
      <c r="J1174" s="86" t="s">
        <v>6270</v>
      </c>
    </row>
    <row r="1175" spans="2:10" x14ac:dyDescent="0.2">
      <c r="B1175" s="86">
        <v>1172</v>
      </c>
      <c r="C1175" s="86" t="s">
        <v>1385</v>
      </c>
      <c r="D1175" s="304">
        <f>_xlfn.IFNA(VLOOKUP(C1175,Database!$D$5:$F$439,2,0),VLOOKUP(C1175,logut!$C$4:$D$499,2,0))</f>
        <v>642001033</v>
      </c>
      <c r="E1175" s="86" t="s">
        <v>312</v>
      </c>
      <c r="G1175" s="86" t="s">
        <v>6271</v>
      </c>
      <c r="H1175" s="86" t="s">
        <v>24</v>
      </c>
      <c r="I1175" s="212">
        <v>45525</v>
      </c>
      <c r="J1175" s="86" t="s">
        <v>6270</v>
      </c>
    </row>
    <row r="1176" spans="2:10" x14ac:dyDescent="0.2">
      <c r="B1176" s="86">
        <v>1173</v>
      </c>
      <c r="C1176" s="86" t="s">
        <v>470</v>
      </c>
      <c r="D1176" s="304">
        <f>_xlfn.IFNA(VLOOKUP(C1176,Database!$D$5:$F$439,2,0),VLOOKUP(C1176,logut!$C$4:$D$499,2,0))</f>
        <v>642001050</v>
      </c>
      <c r="E1176" s="86" t="s">
        <v>312</v>
      </c>
      <c r="G1176" s="86" t="s">
        <v>6271</v>
      </c>
      <c r="H1176" s="86" t="s">
        <v>24</v>
      </c>
      <c r="I1176" s="212">
        <v>45525</v>
      </c>
      <c r="J1176" s="86" t="s">
        <v>6270</v>
      </c>
    </row>
    <row r="1177" spans="2:10" x14ac:dyDescent="0.2">
      <c r="B1177" s="86">
        <v>1174</v>
      </c>
      <c r="C1177" s="86" t="s">
        <v>3717</v>
      </c>
      <c r="D1177" s="304">
        <f>_xlfn.IFNA(VLOOKUP(C1177,Database!$D$5:$F$439,2,0),VLOOKUP(C1177,logut!$C$4:$D$499,2,0))</f>
        <v>642307130</v>
      </c>
      <c r="E1177" s="86" t="s">
        <v>312</v>
      </c>
      <c r="G1177" s="86" t="s">
        <v>6271</v>
      </c>
      <c r="H1177" s="86" t="s">
        <v>24</v>
      </c>
      <c r="I1177" s="212">
        <v>45525</v>
      </c>
      <c r="J1177" s="86" t="s">
        <v>6270</v>
      </c>
    </row>
    <row r="1178" spans="2:10" x14ac:dyDescent="0.2">
      <c r="B1178" s="86">
        <v>1175</v>
      </c>
      <c r="C1178" s="86" t="s">
        <v>3519</v>
      </c>
      <c r="D1178" s="304">
        <f>_xlfn.IFNA(VLOOKUP(C1178,Database!$D$5:$F$439,2,0),VLOOKUP(C1178,logut!$C$4:$D$499,2,0))</f>
        <v>642301181</v>
      </c>
      <c r="E1178" s="86" t="s">
        <v>312</v>
      </c>
      <c r="G1178" s="86" t="s">
        <v>6271</v>
      </c>
      <c r="H1178" s="86" t="s">
        <v>24</v>
      </c>
      <c r="I1178" s="212">
        <v>45525</v>
      </c>
      <c r="J1178" s="86" t="s">
        <v>6270</v>
      </c>
    </row>
    <row r="1179" spans="2:10" x14ac:dyDescent="0.2">
      <c r="B1179" s="86">
        <v>1176</v>
      </c>
      <c r="C1179" s="86" t="s">
        <v>1619</v>
      </c>
      <c r="D1179" s="304">
        <f>_xlfn.IFNA(VLOOKUP(C1179,Database!$D$5:$F$439,2,0),VLOOKUP(C1179,logut!$C$4:$D$499,2,0))</f>
        <v>641805143</v>
      </c>
      <c r="E1179" s="86" t="s">
        <v>312</v>
      </c>
      <c r="G1179" s="86" t="s">
        <v>6271</v>
      </c>
      <c r="H1179" s="86" t="s">
        <v>24</v>
      </c>
      <c r="I1179" s="212">
        <v>45525</v>
      </c>
      <c r="J1179" s="86" t="s">
        <v>6270</v>
      </c>
    </row>
    <row r="1180" spans="2:10" x14ac:dyDescent="0.2">
      <c r="B1180" s="86">
        <v>1177</v>
      </c>
      <c r="C1180" s="86" t="s">
        <v>2285</v>
      </c>
      <c r="D1180" s="304">
        <f>_xlfn.IFNA(VLOOKUP(C1180,Database!$D$5:$F$439,2,0),VLOOKUP(C1180,logut!$C$4:$D$499,2,0))</f>
        <v>641907269</v>
      </c>
      <c r="E1180" s="86" t="s">
        <v>312</v>
      </c>
      <c r="G1180" s="86" t="s">
        <v>6271</v>
      </c>
      <c r="H1180" s="86" t="s">
        <v>24</v>
      </c>
      <c r="I1180" s="212">
        <v>45525</v>
      </c>
      <c r="J1180" s="86" t="s">
        <v>6270</v>
      </c>
    </row>
    <row r="1181" spans="2:10" x14ac:dyDescent="0.2">
      <c r="B1181" s="86">
        <v>1178</v>
      </c>
      <c r="C1181" s="86" t="s">
        <v>2010</v>
      </c>
      <c r="D1181" s="304">
        <f>_xlfn.IFNA(VLOOKUP(C1181,Database!$D$5:$F$439,2,0),VLOOKUP(C1181,logut!$C$4:$D$499,2,0))</f>
        <v>972400058</v>
      </c>
      <c r="E1181" s="86" t="s">
        <v>312</v>
      </c>
      <c r="G1181" s="86" t="s">
        <v>6271</v>
      </c>
      <c r="H1181" s="86" t="s">
        <v>24</v>
      </c>
      <c r="I1181" s="212">
        <v>45525</v>
      </c>
      <c r="J1181" s="86" t="s">
        <v>6270</v>
      </c>
    </row>
    <row r="1182" spans="2:10" x14ac:dyDescent="0.2">
      <c r="B1182" s="86">
        <v>1179</v>
      </c>
      <c r="C1182" s="86" t="s">
        <v>1523</v>
      </c>
      <c r="D1182" s="304">
        <f>_xlfn.IFNA(VLOOKUP(C1182,Database!$D$5:$F$439,2,0),VLOOKUP(C1182,logut!$C$4:$D$499,2,0))</f>
        <v>641801134</v>
      </c>
      <c r="E1182" s="86" t="s">
        <v>312</v>
      </c>
      <c r="G1182" s="86" t="s">
        <v>123</v>
      </c>
      <c r="H1182" s="86" t="s">
        <v>24</v>
      </c>
      <c r="I1182" s="212">
        <v>45525</v>
      </c>
      <c r="J1182" s="86" t="s">
        <v>6270</v>
      </c>
    </row>
    <row r="1183" spans="2:10" x14ac:dyDescent="0.2">
      <c r="B1183" s="86">
        <v>1180</v>
      </c>
      <c r="C1183" s="86" t="s">
        <v>723</v>
      </c>
      <c r="D1183" s="304">
        <f>_xlfn.IFNA(VLOOKUP(C1183,Database!$D$5:$F$439,2,0),VLOOKUP(C1183,logut!$C$4:$D$499,2,0))</f>
        <v>971900049</v>
      </c>
      <c r="E1183" s="86" t="s">
        <v>312</v>
      </c>
      <c r="G1183" s="86" t="s">
        <v>38</v>
      </c>
      <c r="H1183" s="86" t="s">
        <v>24</v>
      </c>
      <c r="I1183" s="212">
        <v>45525</v>
      </c>
      <c r="J1183" s="86" t="s">
        <v>6270</v>
      </c>
    </row>
    <row r="1184" spans="2:10" x14ac:dyDescent="0.2">
      <c r="B1184" s="86">
        <v>1181</v>
      </c>
      <c r="C1184" s="86" t="s">
        <v>419</v>
      </c>
      <c r="D1184" s="304">
        <f>_xlfn.IFNA(VLOOKUP(C1184,Database!$D$5:$F$439,2,0),VLOOKUP(C1184,logut!$C$4:$D$499,2,0))</f>
        <v>642001017</v>
      </c>
      <c r="E1184" s="86" t="s">
        <v>312</v>
      </c>
      <c r="G1184" s="86" t="s">
        <v>39</v>
      </c>
      <c r="H1184" s="86" t="s">
        <v>24</v>
      </c>
      <c r="I1184" s="212">
        <v>45525</v>
      </c>
      <c r="J1184" s="86" t="s">
        <v>6270</v>
      </c>
    </row>
    <row r="1185" spans="2:10" x14ac:dyDescent="0.2">
      <c r="B1185" s="86">
        <v>1182</v>
      </c>
      <c r="C1185" s="86" t="s">
        <v>3570</v>
      </c>
      <c r="D1185" s="304">
        <f>_xlfn.IFNA(VLOOKUP(C1185,Database!$D$5:$F$439,2,0),VLOOKUP(C1185,logut!$C$4:$D$499,2,0))</f>
        <v>642301187</v>
      </c>
      <c r="E1185" s="86" t="s">
        <v>2774</v>
      </c>
      <c r="G1185" s="86" t="s">
        <v>6272</v>
      </c>
      <c r="H1185" s="86" t="s">
        <v>24</v>
      </c>
      <c r="I1185" s="212">
        <v>45525</v>
      </c>
      <c r="J1185" s="86" t="s">
        <v>6270</v>
      </c>
    </row>
    <row r="1186" spans="2:10" x14ac:dyDescent="0.2">
      <c r="B1186" s="86">
        <v>1183</v>
      </c>
      <c r="C1186" s="86" t="s">
        <v>4377</v>
      </c>
      <c r="D1186" s="304">
        <f>_xlfn.IFNA(VLOOKUP(C1186,Database!$D$5:$F$439,2,0),VLOOKUP(C1186,logut!$C$4:$D$499,2,0))</f>
        <v>642408202</v>
      </c>
      <c r="E1186" s="86" t="s">
        <v>312</v>
      </c>
      <c r="G1186" s="86" t="s">
        <v>1426</v>
      </c>
      <c r="H1186" s="86" t="s">
        <v>24</v>
      </c>
      <c r="I1186" s="212">
        <v>45525</v>
      </c>
      <c r="J1186" s="86" t="s">
        <v>6270</v>
      </c>
    </row>
    <row r="1187" spans="2:10" x14ac:dyDescent="0.2">
      <c r="B1187" s="86">
        <v>1184</v>
      </c>
      <c r="C1187" s="86" t="s">
        <v>3486</v>
      </c>
      <c r="D1187" s="304">
        <f>_xlfn.IFNA(VLOOKUP(C1187,Database!$D$5:$F$439,2,0),VLOOKUP(C1187,logut!$C$4:$D$499,2,0))</f>
        <v>642301184</v>
      </c>
      <c r="E1187" s="86" t="s">
        <v>6268</v>
      </c>
      <c r="G1187" s="86" t="s">
        <v>6261</v>
      </c>
      <c r="H1187" s="86" t="s">
        <v>24</v>
      </c>
      <c r="I1187" s="212">
        <v>45554</v>
      </c>
      <c r="J1187" s="86" t="s">
        <v>6273</v>
      </c>
    </row>
    <row r="1188" spans="2:10" x14ac:dyDescent="0.2">
      <c r="B1188" s="86">
        <v>1185</v>
      </c>
      <c r="C1188" s="86" t="s">
        <v>4387</v>
      </c>
      <c r="D1188" s="304">
        <f>_xlfn.IFNA(VLOOKUP(C1188,Database!$D$5:$F$439,2,0),VLOOKUP(C1188,logut!$C$4:$D$499,2,0))</f>
        <v>642408203</v>
      </c>
      <c r="E1188" s="86" t="s">
        <v>312</v>
      </c>
      <c r="G1188" s="86" t="s">
        <v>177</v>
      </c>
      <c r="H1188" s="86" t="s">
        <v>217</v>
      </c>
      <c r="I1188" s="212">
        <v>45555</v>
      </c>
      <c r="J1188" s="86" t="s">
        <v>6259</v>
      </c>
    </row>
    <row r="1189" spans="2:10" x14ac:dyDescent="0.2">
      <c r="B1189" s="86">
        <v>1186</v>
      </c>
      <c r="C1189" s="86" t="s">
        <v>1098</v>
      </c>
      <c r="D1189" s="304">
        <f>_xlfn.IFNA(VLOOKUP(C1189,Database!$D$5:$F$439,2,0),VLOOKUP(C1189,logut!$C$4:$D$499,2,0))</f>
        <v>641702080</v>
      </c>
      <c r="E1189" s="86" t="s">
        <v>312</v>
      </c>
      <c r="G1189" s="86" t="s">
        <v>6256</v>
      </c>
      <c r="H1189" s="86" t="s">
        <v>22</v>
      </c>
      <c r="I1189" s="212">
        <v>45560</v>
      </c>
      <c r="J1189" s="86" t="s">
        <v>6257</v>
      </c>
    </row>
    <row r="1190" spans="2:10" x14ac:dyDescent="0.2">
      <c r="B1190" s="86">
        <v>1187</v>
      </c>
      <c r="C1190" s="86" t="s">
        <v>3045</v>
      </c>
      <c r="D1190" s="304">
        <f>_xlfn.IFNA(VLOOKUP(C1190,Database!$D$5:$F$439,2,0),VLOOKUP(C1190,logut!$C$4:$D$499,2,0))</f>
        <v>642201146</v>
      </c>
      <c r="E1190" s="86" t="s">
        <v>312</v>
      </c>
      <c r="G1190" s="86" t="s">
        <v>6256</v>
      </c>
      <c r="H1190" s="86" t="s">
        <v>22</v>
      </c>
      <c r="I1190" s="212">
        <v>45560</v>
      </c>
      <c r="J1190" s="86" t="s">
        <v>6257</v>
      </c>
    </row>
    <row r="1191" spans="2:10" x14ac:dyDescent="0.2">
      <c r="B1191" s="86">
        <v>1188</v>
      </c>
      <c r="C1191" s="86" t="s">
        <v>2254</v>
      </c>
      <c r="D1191" s="304">
        <f>_xlfn.IFNA(VLOOKUP(C1191,Database!$D$5:$F$439,2,0),VLOOKUP(C1191,logut!$C$4:$D$499,2,0))</f>
        <v>641907249</v>
      </c>
      <c r="E1191" s="86" t="s">
        <v>312</v>
      </c>
      <c r="G1191" s="86" t="s">
        <v>6256</v>
      </c>
      <c r="H1191" s="86" t="s">
        <v>22</v>
      </c>
      <c r="I1191" s="212">
        <v>45560</v>
      </c>
      <c r="J1191" s="86" t="s">
        <v>6257</v>
      </c>
    </row>
    <row r="1192" spans="2:10" x14ac:dyDescent="0.2">
      <c r="B1192" s="86">
        <v>1189</v>
      </c>
      <c r="C1192" s="86" t="s">
        <v>2348</v>
      </c>
      <c r="D1192" s="304">
        <f>_xlfn.IFNA(VLOOKUP(C1192,Database!$D$5:$F$439,2,0),VLOOKUP(C1192,logut!$C$4:$D$499,2,0))</f>
        <v>641907247</v>
      </c>
      <c r="E1192" s="86" t="s">
        <v>312</v>
      </c>
      <c r="G1192" s="86" t="s">
        <v>6256</v>
      </c>
      <c r="H1192" s="86" t="s">
        <v>22</v>
      </c>
      <c r="I1192" s="212">
        <v>45560</v>
      </c>
      <c r="J1192" s="86" t="s">
        <v>6257</v>
      </c>
    </row>
    <row r="1193" spans="2:10" x14ac:dyDescent="0.2">
      <c r="B1193" s="86">
        <v>1190</v>
      </c>
      <c r="C1193" s="86" t="s">
        <v>98</v>
      </c>
      <c r="D1193" s="304">
        <f>_xlfn.IFNA(VLOOKUP(C1193,Database!$D$5:$F$439,2,0),VLOOKUP(C1193,logut!$C$4:$D$499,2,0))</f>
        <v>642301191</v>
      </c>
      <c r="E1193" s="86" t="s">
        <v>312</v>
      </c>
      <c r="G1193" s="86" t="s">
        <v>59</v>
      </c>
      <c r="H1193" s="86" t="s">
        <v>217</v>
      </c>
      <c r="I1193" s="212">
        <v>45567</v>
      </c>
      <c r="J1193" s="86" t="s">
        <v>6258</v>
      </c>
    </row>
    <row r="1194" spans="2:10" x14ac:dyDescent="0.2">
      <c r="B1194" s="86">
        <v>1191</v>
      </c>
      <c r="C1194" s="86" t="s">
        <v>3124</v>
      </c>
      <c r="D1194" s="304">
        <f>_xlfn.IFNA(VLOOKUP(C1194,Database!$D$5:$F$439,2,0),VLOOKUP(C1194,logut!$C$4:$D$499,2,0))</f>
        <v>642201141</v>
      </c>
      <c r="E1194" s="86" t="s">
        <v>312</v>
      </c>
      <c r="G1194" s="86" t="s">
        <v>6261</v>
      </c>
      <c r="H1194" s="86" t="s">
        <v>24</v>
      </c>
      <c r="I1194" s="212">
        <v>45581</v>
      </c>
      <c r="J1194" s="86" t="s">
        <v>6798</v>
      </c>
    </row>
    <row r="1195" spans="2:10" x14ac:dyDescent="0.2">
      <c r="B1195" s="86">
        <v>1192</v>
      </c>
      <c r="C1195" s="86" t="s">
        <v>2559</v>
      </c>
      <c r="D1195" s="304">
        <f>_xlfn.IFNA(VLOOKUP(C1195,Database!$D$5:$F$439,2,0),VLOOKUP(C1195,logut!$C$4:$D$499,2,0))</f>
        <v>642002080</v>
      </c>
      <c r="E1195" s="86" t="s">
        <v>312</v>
      </c>
      <c r="G1195" s="86" t="s">
        <v>6261</v>
      </c>
      <c r="H1195" s="86" t="s">
        <v>24</v>
      </c>
      <c r="I1195" s="212">
        <v>45581</v>
      </c>
      <c r="J1195" s="86" t="s">
        <v>6798</v>
      </c>
    </row>
    <row r="1196" spans="2:10" x14ac:dyDescent="0.2">
      <c r="B1196" s="86">
        <v>1193</v>
      </c>
      <c r="C1196" s="86" t="s">
        <v>2615</v>
      </c>
      <c r="D1196" s="304">
        <f>_xlfn.IFNA(VLOOKUP(C1196,Database!$D$5:$F$439,2,0),VLOOKUP(C1196,logut!$C$4:$D$499,2,0))</f>
        <v>642002086</v>
      </c>
      <c r="E1196" s="86" t="s">
        <v>312</v>
      </c>
      <c r="G1196" s="86" t="s">
        <v>6261</v>
      </c>
      <c r="H1196" s="86" t="s">
        <v>24</v>
      </c>
      <c r="I1196" s="212">
        <v>45581</v>
      </c>
      <c r="J1196" s="86" t="s">
        <v>6798</v>
      </c>
    </row>
    <row r="1197" spans="2:10" x14ac:dyDescent="0.2">
      <c r="B1197" s="86">
        <v>1194</v>
      </c>
      <c r="C1197" s="86" t="s">
        <v>3079</v>
      </c>
      <c r="D1197" s="304">
        <f>_xlfn.IFNA(VLOOKUP(C1197,Database!$D$5:$F$439,2,0),VLOOKUP(C1197,logut!$C$4:$D$499,2,0))</f>
        <v>642201130</v>
      </c>
      <c r="E1197" s="86" t="s">
        <v>312</v>
      </c>
      <c r="G1197" s="86" t="s">
        <v>6261</v>
      </c>
      <c r="H1197" s="86" t="s">
        <v>24</v>
      </c>
      <c r="I1197" s="212">
        <v>45581</v>
      </c>
      <c r="J1197" s="86" t="s">
        <v>6798</v>
      </c>
    </row>
    <row r="1198" spans="2:10" x14ac:dyDescent="0.2">
      <c r="B1198" s="86">
        <v>1195</v>
      </c>
      <c r="C1198" s="86" t="s">
        <v>3063</v>
      </c>
      <c r="D1198" s="304">
        <f>_xlfn.IFNA(VLOOKUP(C1198,Database!$D$5:$F$439,2,0),VLOOKUP(C1198,logut!$C$4:$D$499,2,0))</f>
        <v>642201138</v>
      </c>
      <c r="E1198" s="86" t="s">
        <v>312</v>
      </c>
      <c r="G1198" s="86" t="s">
        <v>6261</v>
      </c>
      <c r="H1198" s="86" t="s">
        <v>24</v>
      </c>
      <c r="I1198" s="212">
        <v>45581</v>
      </c>
      <c r="J1198" s="86" t="s">
        <v>6798</v>
      </c>
    </row>
    <row r="1199" spans="2:10" x14ac:dyDescent="0.2">
      <c r="B1199" s="86">
        <v>1196</v>
      </c>
      <c r="C1199" s="86" t="s">
        <v>3090</v>
      </c>
      <c r="D1199" s="304">
        <f>_xlfn.IFNA(VLOOKUP(C1199,Database!$D$5:$F$439,2,0),VLOOKUP(C1199,logut!$C$4:$D$499,2,0))</f>
        <v>642201137</v>
      </c>
      <c r="E1199" s="86" t="s">
        <v>312</v>
      </c>
      <c r="G1199" s="86" t="s">
        <v>6261</v>
      </c>
      <c r="H1199" s="86" t="s">
        <v>24</v>
      </c>
      <c r="I1199" s="212">
        <v>45581</v>
      </c>
      <c r="J1199" s="86" t="s">
        <v>6798</v>
      </c>
    </row>
    <row r="1200" spans="2:10" x14ac:dyDescent="0.2">
      <c r="B1200" s="86">
        <v>1197</v>
      </c>
      <c r="C1200" s="86" t="s">
        <v>3100</v>
      </c>
      <c r="D1200" s="304">
        <f>_xlfn.IFNA(VLOOKUP(C1200,Database!$D$5:$F$439,2,0),VLOOKUP(C1200,logut!$C$4:$D$499,2,0))</f>
        <v>642201131</v>
      </c>
      <c r="E1200" s="86" t="s">
        <v>312</v>
      </c>
      <c r="G1200" s="86" t="s">
        <v>6261</v>
      </c>
      <c r="H1200" s="86" t="s">
        <v>24</v>
      </c>
      <c r="I1200" s="212">
        <v>45581</v>
      </c>
      <c r="J1200" s="86" t="s">
        <v>6798</v>
      </c>
    </row>
    <row r="1201" spans="2:10" x14ac:dyDescent="0.2">
      <c r="B1201" s="86">
        <v>1198</v>
      </c>
      <c r="C1201" s="86" t="s">
        <v>1689</v>
      </c>
      <c r="D1201" s="304">
        <f>_xlfn.IFNA(VLOOKUP(C1201,Database!$D$5:$F$439,2,0),VLOOKUP(C1201,logut!$C$4:$D$499,2,0))</f>
        <v>641806155</v>
      </c>
      <c r="E1201" s="86" t="s">
        <v>6797</v>
      </c>
      <c r="G1201" s="86" t="s">
        <v>6269</v>
      </c>
      <c r="H1201" s="86" t="s">
        <v>24</v>
      </c>
      <c r="I1201" s="212">
        <v>45581</v>
      </c>
      <c r="J1201" s="86" t="s">
        <v>6798</v>
      </c>
    </row>
    <row r="1202" spans="2:10" x14ac:dyDescent="0.2">
      <c r="B1202" s="86">
        <v>1199</v>
      </c>
      <c r="C1202" s="86" t="s">
        <v>1510</v>
      </c>
      <c r="D1202" s="304">
        <f>_xlfn.IFNA(VLOOKUP(C1202,Database!$D$5:$F$439,2,0),VLOOKUP(C1202,logut!$C$4:$D$499,2,0))</f>
        <v>642001021</v>
      </c>
      <c r="E1202" s="86" t="s">
        <v>1218</v>
      </c>
      <c r="G1202" s="86" t="s">
        <v>6269</v>
      </c>
      <c r="H1202" s="86" t="s">
        <v>24</v>
      </c>
      <c r="I1202" s="212">
        <v>45581</v>
      </c>
      <c r="J1202" s="86" t="s">
        <v>6798</v>
      </c>
    </row>
    <row r="1203" spans="2:10" x14ac:dyDescent="0.2">
      <c r="B1203" s="86">
        <v>1200</v>
      </c>
      <c r="C1203" s="86" t="s">
        <v>2984</v>
      </c>
      <c r="D1203" s="304">
        <f>_xlfn.IFNA(VLOOKUP(C1203,Database!$D$5:$F$439,2,0),VLOOKUP(C1203,logut!$C$4:$D$499,2,0))</f>
        <v>642111121</v>
      </c>
      <c r="E1203" s="86" t="s">
        <v>1218</v>
      </c>
      <c r="G1203" s="86" t="s">
        <v>6269</v>
      </c>
      <c r="H1203" s="86" t="s">
        <v>24</v>
      </c>
      <c r="I1203" s="212">
        <v>45581</v>
      </c>
      <c r="J1203" s="86" t="s">
        <v>6798</v>
      </c>
    </row>
    <row r="1204" spans="2:10" x14ac:dyDescent="0.2">
      <c r="B1204" s="86">
        <v>1201</v>
      </c>
      <c r="C1204" s="86" t="s">
        <v>1251</v>
      </c>
      <c r="D1204" s="304">
        <f>_xlfn.IFNA(VLOOKUP(C1204,Database!$D$5:$F$439,2,0),VLOOKUP(C1204,logut!$C$4:$D$499,2,0))</f>
        <v>642001037</v>
      </c>
      <c r="E1204" s="86" t="s">
        <v>1218</v>
      </c>
      <c r="G1204" s="86" t="s">
        <v>6269</v>
      </c>
      <c r="H1204" s="86" t="s">
        <v>24</v>
      </c>
      <c r="I1204" s="212">
        <v>45581</v>
      </c>
      <c r="J1204" s="86" t="s">
        <v>6798</v>
      </c>
    </row>
    <row r="1205" spans="2:10" x14ac:dyDescent="0.2">
      <c r="B1205" s="86">
        <v>1202</v>
      </c>
      <c r="C1205" s="86" t="s">
        <v>1632</v>
      </c>
      <c r="D1205" s="304">
        <f>_xlfn.IFNA(VLOOKUP(C1205,Database!$D$5:$F$439,2,0),VLOOKUP(C1205,logut!$C$4:$D$499,2,0))</f>
        <v>641805147</v>
      </c>
      <c r="E1205" s="86" t="s">
        <v>1218</v>
      </c>
      <c r="G1205" s="86" t="s">
        <v>6269</v>
      </c>
      <c r="H1205" s="86" t="s">
        <v>24</v>
      </c>
      <c r="I1205" s="212">
        <v>45581</v>
      </c>
      <c r="J1205" s="86" t="s">
        <v>6798</v>
      </c>
    </row>
    <row r="1206" spans="2:10" x14ac:dyDescent="0.2">
      <c r="B1206" s="86">
        <v>1203</v>
      </c>
      <c r="C1206" s="86" t="s">
        <v>1645</v>
      </c>
      <c r="D1206" s="304">
        <f>_xlfn.IFNA(VLOOKUP(C1206,Database!$D$5:$F$439,2,0),VLOOKUP(C1206,logut!$C$4:$D$499,2,0))</f>
        <v>641805145</v>
      </c>
      <c r="E1206" s="86" t="s">
        <v>1218</v>
      </c>
      <c r="G1206" s="86" t="s">
        <v>6269</v>
      </c>
      <c r="H1206" s="86" t="s">
        <v>24</v>
      </c>
      <c r="I1206" s="212">
        <v>45581</v>
      </c>
      <c r="J1206" s="86" t="s">
        <v>6798</v>
      </c>
    </row>
    <row r="1207" spans="2:10" x14ac:dyDescent="0.2">
      <c r="B1207" s="86">
        <v>1204</v>
      </c>
      <c r="C1207" s="86" t="s">
        <v>1794</v>
      </c>
      <c r="D1207" s="304">
        <f>_xlfn.IFNA(VLOOKUP(C1207,Database!$D$5:$F$439,2,0),VLOOKUP(C1207,logut!$C$4:$D$499,2,0))</f>
        <v>641807165</v>
      </c>
      <c r="E1207" s="86" t="s">
        <v>1218</v>
      </c>
      <c r="G1207" s="86" t="s">
        <v>6269</v>
      </c>
      <c r="H1207" s="86" t="s">
        <v>24</v>
      </c>
      <c r="I1207" s="212">
        <v>45581</v>
      </c>
      <c r="J1207" s="86" t="s">
        <v>6798</v>
      </c>
    </row>
    <row r="1208" spans="2:10" x14ac:dyDescent="0.2">
      <c r="B1208" s="86">
        <v>1205</v>
      </c>
      <c r="C1208" s="86" t="s">
        <v>3584</v>
      </c>
      <c r="D1208" s="304">
        <f>_xlfn.IFNA(VLOOKUP(C1208,Database!$D$5:$F$439,2,0),VLOOKUP(C1208,logut!$C$4:$D$499,2,0))</f>
        <v>642301195</v>
      </c>
      <c r="E1208" s="86" t="s">
        <v>1218</v>
      </c>
      <c r="G1208" s="86" t="s">
        <v>6269</v>
      </c>
      <c r="H1208" s="86" t="s">
        <v>24</v>
      </c>
      <c r="I1208" s="212">
        <v>45581</v>
      </c>
      <c r="J1208" s="86" t="s">
        <v>6798</v>
      </c>
    </row>
    <row r="1209" spans="2:10" x14ac:dyDescent="0.2">
      <c r="B1209" s="86">
        <v>1206</v>
      </c>
      <c r="C1209" s="86" t="s">
        <v>732</v>
      </c>
      <c r="D1209" s="304">
        <f>_xlfn.IFNA(VLOOKUP(C1209,Database!$D$5:$F$439,2,0),VLOOKUP(C1209,logut!$C$4:$D$499,2,0))</f>
        <v>642001009</v>
      </c>
      <c r="E1209" s="86" t="s">
        <v>1218</v>
      </c>
      <c r="G1209" s="86" t="s">
        <v>6269</v>
      </c>
      <c r="H1209" s="86" t="s">
        <v>24</v>
      </c>
      <c r="I1209" s="212">
        <v>45581</v>
      </c>
      <c r="J1209" s="86" t="s">
        <v>6798</v>
      </c>
    </row>
    <row r="1210" spans="2:10" x14ac:dyDescent="0.2">
      <c r="B1210" s="86">
        <v>1207</v>
      </c>
      <c r="C1210" s="86" t="s">
        <v>1995</v>
      </c>
      <c r="D1210" s="304">
        <f>_xlfn.IFNA(VLOOKUP(C1210,Database!$D$5:$F$439,2,0),VLOOKUP(C1210,logut!$C$4:$D$499,2,0))</f>
        <v>641810206</v>
      </c>
      <c r="E1210" s="86" t="s">
        <v>2774</v>
      </c>
      <c r="G1210" s="86" t="s">
        <v>6271</v>
      </c>
      <c r="H1210" s="86" t="s">
        <v>24</v>
      </c>
      <c r="I1210" s="212">
        <v>45581</v>
      </c>
      <c r="J1210" s="86" t="s">
        <v>6798</v>
      </c>
    </row>
    <row r="1211" spans="2:10" x14ac:dyDescent="0.2">
      <c r="B1211" s="86">
        <v>1208</v>
      </c>
      <c r="C1211" s="86" t="s">
        <v>470</v>
      </c>
      <c r="D1211" s="304">
        <f>_xlfn.IFNA(VLOOKUP(C1211,Database!$D$5:$F$439,2,0),VLOOKUP(C1211,logut!$C$4:$D$499,2,0))</f>
        <v>642001050</v>
      </c>
      <c r="E1211" s="86" t="s">
        <v>6797</v>
      </c>
      <c r="G1211" s="86" t="s">
        <v>6271</v>
      </c>
      <c r="H1211" s="86" t="s">
        <v>24</v>
      </c>
      <c r="I1211" s="212">
        <v>45581</v>
      </c>
      <c r="J1211" s="86" t="s">
        <v>6798</v>
      </c>
    </row>
    <row r="1212" spans="2:10" x14ac:dyDescent="0.2">
      <c r="B1212" s="86">
        <v>1209</v>
      </c>
      <c r="C1212" s="86" t="s">
        <v>3519</v>
      </c>
      <c r="D1212" s="304">
        <f>_xlfn.IFNA(VLOOKUP(C1212,Database!$D$5:$F$439,2,0),VLOOKUP(C1212,logut!$C$4:$D$499,2,0))</f>
        <v>642301181</v>
      </c>
      <c r="E1212" s="86" t="s">
        <v>6797</v>
      </c>
      <c r="G1212" s="86" t="s">
        <v>6271</v>
      </c>
      <c r="H1212" s="86" t="s">
        <v>24</v>
      </c>
      <c r="I1212" s="212">
        <v>45581</v>
      </c>
      <c r="J1212" s="86" t="s">
        <v>6798</v>
      </c>
    </row>
    <row r="1213" spans="2:10" x14ac:dyDescent="0.2">
      <c r="B1213" s="86">
        <v>1210</v>
      </c>
      <c r="C1213" s="86" t="s">
        <v>3146</v>
      </c>
      <c r="D1213" s="304">
        <f>_xlfn.IFNA(VLOOKUP(C1213,Database!$D$5:$F$439,2,0),VLOOKUP(C1213,logut!$C$4:$D$499,2,0))</f>
        <v>642201135</v>
      </c>
      <c r="E1213" s="86" t="s">
        <v>312</v>
      </c>
      <c r="G1213" s="86" t="s">
        <v>6271</v>
      </c>
      <c r="H1213" s="86" t="s">
        <v>24</v>
      </c>
      <c r="I1213" s="212">
        <v>45581</v>
      </c>
      <c r="J1213" s="86" t="s">
        <v>6798</v>
      </c>
    </row>
    <row r="1214" spans="2:10" x14ac:dyDescent="0.2">
      <c r="B1214" s="86">
        <v>1211</v>
      </c>
      <c r="C1214" s="86" t="s">
        <v>3135</v>
      </c>
      <c r="D1214" s="304">
        <f>_xlfn.IFNA(VLOOKUP(C1214,Database!$D$5:$F$439,2,0),VLOOKUP(C1214,logut!$C$4:$D$499,2,0))</f>
        <v>642201148</v>
      </c>
      <c r="E1214" s="86" t="s">
        <v>312</v>
      </c>
      <c r="G1214" s="86" t="s">
        <v>6271</v>
      </c>
      <c r="H1214" s="86" t="s">
        <v>24</v>
      </c>
      <c r="I1214" s="212">
        <v>45581</v>
      </c>
      <c r="J1214" s="86" t="s">
        <v>6798</v>
      </c>
    </row>
    <row r="1215" spans="2:10" x14ac:dyDescent="0.2">
      <c r="B1215" s="86">
        <v>1212</v>
      </c>
      <c r="C1215" s="86" t="s">
        <v>1619</v>
      </c>
      <c r="D1215" s="304">
        <f>_xlfn.IFNA(VLOOKUP(C1215,Database!$D$5:$F$439,2,0),VLOOKUP(C1215,logut!$C$4:$D$499,2,0))</f>
        <v>641805143</v>
      </c>
      <c r="E1215" s="86" t="s">
        <v>312</v>
      </c>
      <c r="G1215" s="86" t="s">
        <v>6796</v>
      </c>
      <c r="H1215" s="86" t="s">
        <v>33</v>
      </c>
      <c r="I1215" s="212">
        <v>45581</v>
      </c>
      <c r="J1215" s="86" t="s">
        <v>6798</v>
      </c>
    </row>
    <row r="1216" spans="2:10" x14ac:dyDescent="0.2">
      <c r="B1216" s="86">
        <v>1213</v>
      </c>
      <c r="C1216" s="86" t="s">
        <v>2285</v>
      </c>
      <c r="D1216" s="304">
        <f>_xlfn.IFNA(VLOOKUP(C1216,Database!$D$5:$F$439,2,0),VLOOKUP(C1216,logut!$C$4:$D$499,2,0))</f>
        <v>641907269</v>
      </c>
      <c r="E1216" s="86" t="s">
        <v>312</v>
      </c>
      <c r="G1216" s="86" t="s">
        <v>6796</v>
      </c>
      <c r="H1216" s="86" t="s">
        <v>33</v>
      </c>
      <c r="I1216" s="212">
        <v>45581</v>
      </c>
      <c r="J1216" s="86" t="s">
        <v>6798</v>
      </c>
    </row>
    <row r="1217" spans="2:10" x14ac:dyDescent="0.2">
      <c r="B1217" s="86">
        <v>1214</v>
      </c>
      <c r="C1217" s="86" t="s">
        <v>4612</v>
      </c>
      <c r="D1217" s="304">
        <f>_xlfn.IFNA(VLOOKUP(C1217,Database!$D$5:$F$439,2,0),VLOOKUP(C1217,logut!$C$4:$D$499,2,0))</f>
        <v>642409223</v>
      </c>
      <c r="E1217" s="86" t="s">
        <v>312</v>
      </c>
      <c r="G1217" s="86" t="s">
        <v>6225</v>
      </c>
      <c r="H1217" s="86" t="s">
        <v>31</v>
      </c>
      <c r="I1217" s="212">
        <v>45581</v>
      </c>
      <c r="J1217" s="86" t="s">
        <v>6798</v>
      </c>
    </row>
    <row r="1218" spans="2:10" x14ac:dyDescent="0.2">
      <c r="B1218" s="86">
        <v>1215</v>
      </c>
      <c r="C1218" s="86" t="s">
        <v>3528</v>
      </c>
      <c r="D1218" s="304">
        <f>_xlfn.IFNA(VLOOKUP(C1218,Database!$D$5:$F$439,2,0),VLOOKUP(C1218,logut!$C$4:$D$499,2,0))</f>
        <v>642301193</v>
      </c>
      <c r="E1218" s="86" t="s">
        <v>312</v>
      </c>
      <c r="G1218" s="86" t="s">
        <v>6272</v>
      </c>
      <c r="H1218" s="86" t="s">
        <v>27</v>
      </c>
      <c r="I1218" s="212">
        <v>45581</v>
      </c>
      <c r="J1218" s="86" t="s">
        <v>6798</v>
      </c>
    </row>
    <row r="1219" spans="2:10" x14ac:dyDescent="0.2">
      <c r="B1219" s="86">
        <v>1216</v>
      </c>
      <c r="C1219" s="86" t="s">
        <v>4387</v>
      </c>
      <c r="D1219" s="304">
        <f>_xlfn.IFNA(VLOOKUP(C1219,Database!$D$5:$F$439,2,0),VLOOKUP(C1219,logut!$C$4:$D$499,2,0))</f>
        <v>642408203</v>
      </c>
      <c r="E1219" s="86" t="s">
        <v>312</v>
      </c>
      <c r="G1219" s="86" t="s">
        <v>5953</v>
      </c>
      <c r="H1219" s="86" t="s">
        <v>27</v>
      </c>
      <c r="I1219" s="212">
        <v>45583</v>
      </c>
      <c r="J1219" s="86" t="s">
        <v>6799</v>
      </c>
    </row>
    <row r="1220" spans="2:10" x14ac:dyDescent="0.2">
      <c r="B1220" s="86">
        <v>1217</v>
      </c>
      <c r="C1220" s="86" t="s">
        <v>3038</v>
      </c>
      <c r="D1220" s="304">
        <f>_xlfn.IFNA(VLOOKUP(C1220,Database!$D$5:$F$439,2,0),VLOOKUP(C1220,logut!$C$4:$D$499,2,0))</f>
        <v>642201149</v>
      </c>
      <c r="E1220" s="86" t="s">
        <v>312</v>
      </c>
      <c r="G1220" s="86" t="s">
        <v>122</v>
      </c>
      <c r="H1220" s="86" t="s">
        <v>217</v>
      </c>
      <c r="I1220" s="212">
        <v>45583</v>
      </c>
      <c r="J1220" s="86" t="s">
        <v>6799</v>
      </c>
    </row>
    <row r="1221" spans="2:10" x14ac:dyDescent="0.2">
      <c r="B1221" s="86">
        <v>1218</v>
      </c>
      <c r="C1221" s="86" t="s">
        <v>2348</v>
      </c>
      <c r="D1221" s="304">
        <f>_xlfn.IFNA(VLOOKUP(C1221,Database!$D$5:$F$439,2,0),VLOOKUP(C1221,logut!$C$4:$D$499,2,0))</f>
        <v>641907247</v>
      </c>
      <c r="E1221" s="86" t="s">
        <v>312</v>
      </c>
      <c r="G1221" s="86" t="s">
        <v>6800</v>
      </c>
      <c r="H1221" s="86" t="s">
        <v>30</v>
      </c>
      <c r="I1221" s="212">
        <v>45588</v>
      </c>
      <c r="J1221" s="86" t="s">
        <v>6801</v>
      </c>
    </row>
    <row r="1222" spans="2:10" x14ac:dyDescent="0.2">
      <c r="B1222" s="86">
        <v>1219</v>
      </c>
      <c r="C1222" s="86" t="s">
        <v>3045</v>
      </c>
      <c r="D1222" s="304">
        <f>_xlfn.IFNA(VLOOKUP(C1222,Database!$D$5:$F$439,2,0),VLOOKUP(C1222,logut!$C$4:$D$499,2,0))</f>
        <v>642201146</v>
      </c>
      <c r="E1222" s="86" t="s">
        <v>312</v>
      </c>
      <c r="G1222" s="86" t="s">
        <v>6800</v>
      </c>
      <c r="H1222" s="86" t="s">
        <v>30</v>
      </c>
      <c r="I1222" s="212">
        <v>45588</v>
      </c>
      <c r="J1222" s="86" t="s">
        <v>6801</v>
      </c>
    </row>
    <row r="1223" spans="2:10" x14ac:dyDescent="0.2">
      <c r="B1223" s="86">
        <v>1220</v>
      </c>
      <c r="C1223" s="86" t="s">
        <v>2254</v>
      </c>
      <c r="D1223" s="304">
        <f>_xlfn.IFNA(VLOOKUP(C1223,Database!$D$5:$F$439,2,0),VLOOKUP(C1223,logut!$C$4:$D$499,2,0))</f>
        <v>641907249</v>
      </c>
      <c r="E1223" s="86" t="s">
        <v>312</v>
      </c>
      <c r="G1223" s="86" t="s">
        <v>6800</v>
      </c>
      <c r="H1223" s="86" t="s">
        <v>30</v>
      </c>
      <c r="I1223" s="212">
        <v>45588</v>
      </c>
      <c r="J1223" s="86" t="s">
        <v>6801</v>
      </c>
    </row>
    <row r="1224" spans="2:10" x14ac:dyDescent="0.2">
      <c r="B1224" s="86">
        <v>1221</v>
      </c>
      <c r="C1224" s="86" t="s">
        <v>1098</v>
      </c>
      <c r="D1224" s="304">
        <f>_xlfn.IFNA(VLOOKUP(C1224,Database!$D$5:$F$439,2,0),VLOOKUP(C1224,logut!$C$4:$D$499,2,0))</f>
        <v>641702080</v>
      </c>
      <c r="E1224" s="86" t="s">
        <v>312</v>
      </c>
      <c r="G1224" s="86" t="s">
        <v>6800</v>
      </c>
      <c r="H1224" s="86" t="s">
        <v>30</v>
      </c>
      <c r="I1224" s="212">
        <v>45588</v>
      </c>
      <c r="J1224" s="86" t="s">
        <v>6801</v>
      </c>
    </row>
    <row r="1225" spans="2:10" x14ac:dyDescent="0.2">
      <c r="B1225" s="86">
        <v>1222</v>
      </c>
      <c r="C1225" s="86" t="s">
        <v>2051</v>
      </c>
      <c r="D1225" s="304">
        <f>_xlfn.IFNA(VLOOKUP(C1225,Database!$D$5:$F$439,2,0),VLOOKUP(C1225,logut!$C$4:$D$499,2,0))</f>
        <v>641810195</v>
      </c>
      <c r="E1225" s="86" t="s">
        <v>312</v>
      </c>
      <c r="G1225" s="86" t="s">
        <v>6800</v>
      </c>
      <c r="H1225" s="86" t="s">
        <v>30</v>
      </c>
      <c r="I1225" s="212">
        <v>45588</v>
      </c>
      <c r="J1225" s="86" t="s">
        <v>6801</v>
      </c>
    </row>
    <row r="1226" spans="2:10" x14ac:dyDescent="0.2">
      <c r="B1226" s="86">
        <v>1223</v>
      </c>
      <c r="C1226" s="86" t="s">
        <v>1981</v>
      </c>
      <c r="D1226" s="304">
        <f>_xlfn.IFNA(VLOOKUP(C1226,Database!$D$5:$F$439,2,0),VLOOKUP(C1226,logut!$C$4:$D$499,2,0))</f>
        <v>641810196</v>
      </c>
      <c r="E1226" s="86" t="s">
        <v>312</v>
      </c>
      <c r="G1226" s="86" t="s">
        <v>6800</v>
      </c>
      <c r="H1226" s="86" t="s">
        <v>30</v>
      </c>
      <c r="I1226" s="212">
        <v>45588</v>
      </c>
      <c r="J1226" s="86" t="s">
        <v>6801</v>
      </c>
    </row>
    <row r="1227" spans="2:10" x14ac:dyDescent="0.2">
      <c r="B1227" s="86">
        <v>1224</v>
      </c>
      <c r="C1227" s="86" t="s">
        <v>546</v>
      </c>
      <c r="D1227" s="304">
        <f>_xlfn.IFNA(VLOOKUP(C1227,Database!$D$5:$F$439,2,0),VLOOKUP(C1227,logut!$C$4:$D$499,2,0))</f>
        <v>971900046</v>
      </c>
      <c r="E1227" s="86" t="s">
        <v>312</v>
      </c>
      <c r="G1227" s="86" t="s">
        <v>6802</v>
      </c>
      <c r="H1227" s="86" t="s">
        <v>27</v>
      </c>
      <c r="I1227" s="212">
        <v>45597</v>
      </c>
      <c r="J1227" s="86" t="s">
        <v>6803</v>
      </c>
    </row>
    <row r="1228" spans="2:10" x14ac:dyDescent="0.2">
      <c r="B1228" s="86">
        <v>1225</v>
      </c>
      <c r="C1228" s="86" t="s">
        <v>3795</v>
      </c>
      <c r="D1228" s="304">
        <f>_xlfn.IFNA(VLOOKUP(C1228,Database!$D$5:$F$439,2,0),VLOOKUP(C1228,logut!$C$4:$D$499,2,0))</f>
        <v>642312145</v>
      </c>
      <c r="E1228" s="86" t="s">
        <v>312</v>
      </c>
      <c r="G1228" s="86" t="s">
        <v>6802</v>
      </c>
      <c r="H1228" s="86" t="s">
        <v>27</v>
      </c>
      <c r="I1228" s="212">
        <v>45597</v>
      </c>
      <c r="J1228" s="86" t="s">
        <v>6803</v>
      </c>
    </row>
    <row r="1229" spans="2:10" x14ac:dyDescent="0.2">
      <c r="B1229" s="86">
        <v>1226</v>
      </c>
      <c r="C1229" s="86" t="s">
        <v>488</v>
      </c>
      <c r="D1229" s="304">
        <f>_xlfn.IFNA(VLOOKUP(C1229,Database!$D$5:$F$439,2,0),VLOOKUP(C1229,logut!$C$4:$D$499,2,0))</f>
        <v>971700007</v>
      </c>
      <c r="E1229" s="86" t="s">
        <v>312</v>
      </c>
      <c r="G1229" s="86" t="s">
        <v>6796</v>
      </c>
      <c r="H1229" s="86" t="s">
        <v>33</v>
      </c>
      <c r="I1229" s="212">
        <v>45604</v>
      </c>
      <c r="J1229" s="86" t="s">
        <v>6804</v>
      </c>
    </row>
    <row r="1230" spans="2:10" x14ac:dyDescent="0.2">
      <c r="B1230" s="86">
        <v>1227</v>
      </c>
      <c r="C1230" s="86" t="s">
        <v>476</v>
      </c>
      <c r="D1230" s="304">
        <f>_xlfn.IFNA(VLOOKUP(C1230,Database!$D$5:$F$439,2,0),VLOOKUP(C1230,logut!$C$4:$D$499,2,0))</f>
        <v>971700006</v>
      </c>
      <c r="E1230" s="86" t="s">
        <v>312</v>
      </c>
      <c r="G1230" s="86" t="s">
        <v>6796</v>
      </c>
      <c r="H1230" s="86" t="s">
        <v>33</v>
      </c>
      <c r="I1230" s="212">
        <v>45604</v>
      </c>
      <c r="J1230" s="86" t="s">
        <v>6804</v>
      </c>
    </row>
    <row r="1231" spans="2:10" x14ac:dyDescent="0.2">
      <c r="B1231" s="86">
        <v>1228</v>
      </c>
      <c r="C1231" s="86" t="s">
        <v>723</v>
      </c>
      <c r="D1231" s="304">
        <f>_xlfn.IFNA(VLOOKUP(C1231,Database!$D$5:$F$439,2,0),VLOOKUP(C1231,logut!$C$4:$D$499,2,0))</f>
        <v>971900049</v>
      </c>
      <c r="E1231" s="86" t="s">
        <v>312</v>
      </c>
      <c r="G1231" s="86" t="s">
        <v>6796</v>
      </c>
      <c r="H1231" s="86" t="s">
        <v>33</v>
      </c>
      <c r="I1231" s="212">
        <v>45604</v>
      </c>
      <c r="J1231" s="86" t="s">
        <v>6804</v>
      </c>
    </row>
    <row r="1232" spans="2:10" x14ac:dyDescent="0.2">
      <c r="B1232" s="86">
        <v>1229</v>
      </c>
      <c r="C1232" s="86" t="s">
        <v>6807</v>
      </c>
      <c r="D1232" s="304">
        <f>_xlfn.IFNA(VLOOKUP(C1232,Database!$D$5:$F$439,2,0),VLOOKUP(C1232,logut!$C$4:$D$499,2,0))</f>
        <v>641907269</v>
      </c>
      <c r="E1232" s="86" t="s">
        <v>312</v>
      </c>
      <c r="G1232" s="86" t="s">
        <v>6796</v>
      </c>
      <c r="H1232" s="86" t="s">
        <v>33</v>
      </c>
      <c r="I1232" s="212">
        <v>45604</v>
      </c>
      <c r="J1232" s="86" t="s">
        <v>6804</v>
      </c>
    </row>
    <row r="1233" spans="2:10" x14ac:dyDescent="0.2">
      <c r="B1233" s="86">
        <v>1230</v>
      </c>
      <c r="C1233" s="86" t="s">
        <v>1619</v>
      </c>
      <c r="D1233" s="304">
        <f>_xlfn.IFNA(VLOOKUP(C1233,Database!$D$5:$F$439,2,0),VLOOKUP(C1233,logut!$C$4:$D$499,2,0))</f>
        <v>641805143</v>
      </c>
      <c r="E1233" s="86" t="s">
        <v>312</v>
      </c>
      <c r="G1233" s="86" t="s">
        <v>6796</v>
      </c>
      <c r="H1233" s="86" t="s">
        <v>33</v>
      </c>
      <c r="I1233" s="212">
        <v>45604</v>
      </c>
      <c r="J1233" s="86" t="s">
        <v>6804</v>
      </c>
    </row>
    <row r="1234" spans="2:10" x14ac:dyDescent="0.2">
      <c r="B1234" s="86">
        <v>1231</v>
      </c>
      <c r="C1234" s="86" t="s">
        <v>419</v>
      </c>
      <c r="D1234" s="304">
        <f>_xlfn.IFNA(VLOOKUP(C1234,Database!$D$5:$F$439,2,0),VLOOKUP(C1234,logut!$C$4:$D$499,2,0))</f>
        <v>642001017</v>
      </c>
      <c r="E1234" s="86" t="s">
        <v>312</v>
      </c>
      <c r="G1234" s="86" t="s">
        <v>6796</v>
      </c>
      <c r="H1234" s="86" t="s">
        <v>33</v>
      </c>
      <c r="I1234" s="212">
        <v>45604</v>
      </c>
      <c r="J1234" s="86" t="s">
        <v>6804</v>
      </c>
    </row>
    <row r="1235" spans="2:10" x14ac:dyDescent="0.2">
      <c r="B1235" s="86">
        <v>1232</v>
      </c>
      <c r="C1235" s="86" t="s">
        <v>340</v>
      </c>
      <c r="D1235" s="304">
        <f>_xlfn.IFNA(VLOOKUP(C1235,Database!$D$5:$F$439,2,0),VLOOKUP(C1235,logut!$C$4:$D$499,2,0))</f>
        <v>642409233</v>
      </c>
      <c r="E1235" s="86" t="s">
        <v>312</v>
      </c>
      <c r="G1235" s="86" t="s">
        <v>6796</v>
      </c>
      <c r="H1235" s="86" t="s">
        <v>33</v>
      </c>
      <c r="I1235" s="212">
        <v>45604</v>
      </c>
      <c r="J1235" s="86" t="s">
        <v>6804</v>
      </c>
    </row>
    <row r="1236" spans="2:10" x14ac:dyDescent="0.2">
      <c r="B1236" s="86">
        <v>1233</v>
      </c>
      <c r="C1236" s="86" t="s">
        <v>4629</v>
      </c>
      <c r="D1236" s="304">
        <f>_xlfn.IFNA(VLOOKUP(C1236,Database!$D$5:$F$439,2,0),VLOOKUP(C1236,logut!$C$4:$D$499,2,0))</f>
        <v>642409225</v>
      </c>
      <c r="E1236" s="86" t="s">
        <v>312</v>
      </c>
      <c r="G1236" s="86" t="s">
        <v>6796</v>
      </c>
      <c r="H1236" s="86" t="s">
        <v>33</v>
      </c>
      <c r="I1236" s="212">
        <v>45604</v>
      </c>
      <c r="J1236" s="86" t="s">
        <v>6804</v>
      </c>
    </row>
    <row r="1237" spans="2:10" x14ac:dyDescent="0.2">
      <c r="B1237" s="86">
        <v>1234</v>
      </c>
      <c r="C1237" s="86" t="s">
        <v>4653</v>
      </c>
      <c r="D1237" s="304">
        <f>_xlfn.IFNA(VLOOKUP(C1237,Database!$D$5:$F$439,2,0),VLOOKUP(C1237,logut!$C$4:$D$499,2,0))</f>
        <v>642409228</v>
      </c>
      <c r="E1237" s="86" t="s">
        <v>312</v>
      </c>
      <c r="G1237" s="86" t="s">
        <v>6796</v>
      </c>
      <c r="H1237" s="86" t="s">
        <v>33</v>
      </c>
      <c r="I1237" s="212">
        <v>45604</v>
      </c>
      <c r="J1237" s="86" t="s">
        <v>6804</v>
      </c>
    </row>
    <row r="1238" spans="2:10" x14ac:dyDescent="0.2">
      <c r="B1238" s="86">
        <v>1235</v>
      </c>
      <c r="C1238" s="86" t="s">
        <v>4678</v>
      </c>
      <c r="D1238" s="304">
        <f>_xlfn.IFNA(VLOOKUP(C1238,Database!$D$5:$F$439,2,0),VLOOKUP(C1238,logut!$C$4:$D$499,2,0))</f>
        <v>642409232</v>
      </c>
      <c r="E1238" s="86" t="s">
        <v>312</v>
      </c>
      <c r="G1238" s="86" t="s">
        <v>6796</v>
      </c>
      <c r="H1238" s="86" t="s">
        <v>33</v>
      </c>
      <c r="I1238" s="212">
        <v>45604</v>
      </c>
      <c r="J1238" s="86" t="s">
        <v>6804</v>
      </c>
    </row>
    <row r="1239" spans="2:10" x14ac:dyDescent="0.2">
      <c r="B1239" s="86">
        <v>1236</v>
      </c>
      <c r="C1239" s="86" t="s">
        <v>4688</v>
      </c>
      <c r="D1239" s="304">
        <f>_xlfn.IFNA(VLOOKUP(C1239,Database!$D$5:$F$439,2,0),VLOOKUP(C1239,logut!$C$4:$D$499,2,0))</f>
        <v>642409235</v>
      </c>
      <c r="E1239" s="86" t="s">
        <v>312</v>
      </c>
      <c r="G1239" s="86" t="s">
        <v>6796</v>
      </c>
      <c r="H1239" s="86" t="s">
        <v>33</v>
      </c>
      <c r="I1239" s="212">
        <v>45604</v>
      </c>
      <c r="J1239" s="86" t="s">
        <v>6804</v>
      </c>
    </row>
    <row r="1240" spans="2:10" x14ac:dyDescent="0.2">
      <c r="B1240" s="86">
        <v>1237</v>
      </c>
      <c r="C1240" s="86" t="s">
        <v>4621</v>
      </c>
      <c r="D1240" s="304">
        <f>_xlfn.IFNA(VLOOKUP(C1240,Database!$D$5:$F$439,2,0),VLOOKUP(C1240,logut!$C$4:$D$499,2,0))</f>
        <v>642409224</v>
      </c>
      <c r="E1240" s="86" t="s">
        <v>312</v>
      </c>
      <c r="G1240" s="86" t="s">
        <v>6796</v>
      </c>
      <c r="H1240" s="86" t="s">
        <v>33</v>
      </c>
      <c r="I1240" s="212">
        <v>45604</v>
      </c>
      <c r="J1240" s="86" t="s">
        <v>6804</v>
      </c>
    </row>
    <row r="1241" spans="2:10" x14ac:dyDescent="0.2">
      <c r="B1241" s="86">
        <v>1238</v>
      </c>
      <c r="C1241" s="86" t="s">
        <v>4396</v>
      </c>
      <c r="D1241" s="304">
        <f>_xlfn.IFNA(VLOOKUP(C1241,Database!$D$5:$F$439,2,0),VLOOKUP(C1241,logut!$C$4:$D$499,2,0))</f>
        <v>642409205</v>
      </c>
      <c r="E1241" s="86" t="s">
        <v>312</v>
      </c>
      <c r="G1241" s="86" t="s">
        <v>6796</v>
      </c>
      <c r="H1241" s="86" t="s">
        <v>33</v>
      </c>
      <c r="I1241" s="212">
        <v>45604</v>
      </c>
      <c r="J1241" s="86" t="s">
        <v>6804</v>
      </c>
    </row>
    <row r="1242" spans="2:10" x14ac:dyDescent="0.2">
      <c r="B1242" s="86">
        <v>1239</v>
      </c>
      <c r="C1242" s="86" t="s">
        <v>4406</v>
      </c>
      <c r="D1242" s="304">
        <f>_xlfn.IFNA(VLOOKUP(C1242,Database!$D$5:$F$439,2,0),VLOOKUP(C1242,logut!$C$4:$D$499,2,0))</f>
        <v>642409207</v>
      </c>
      <c r="E1242" s="86" t="s">
        <v>312</v>
      </c>
      <c r="G1242" s="86" t="s">
        <v>6796</v>
      </c>
      <c r="H1242" s="86" t="s">
        <v>33</v>
      </c>
      <c r="I1242" s="212">
        <v>45604</v>
      </c>
      <c r="J1242" s="86" t="s">
        <v>6804</v>
      </c>
    </row>
    <row r="1243" spans="2:10" x14ac:dyDescent="0.2">
      <c r="B1243" s="86">
        <v>1240</v>
      </c>
      <c r="C1243" s="86" t="s">
        <v>4440</v>
      </c>
      <c r="D1243" s="304">
        <f>_xlfn.IFNA(VLOOKUP(C1243,Database!$D$5:$F$439,2,0),VLOOKUP(C1243,logut!$C$4:$D$499,2,0))</f>
        <v>642409211</v>
      </c>
      <c r="E1243" s="86" t="s">
        <v>312</v>
      </c>
      <c r="G1243" s="86" t="s">
        <v>6796</v>
      </c>
      <c r="H1243" s="86" t="s">
        <v>33</v>
      </c>
      <c r="I1243" s="212">
        <v>45604</v>
      </c>
      <c r="J1243" s="86" t="s">
        <v>6804</v>
      </c>
    </row>
    <row r="1244" spans="2:10" x14ac:dyDescent="0.2">
      <c r="B1244" s="86">
        <v>1241</v>
      </c>
      <c r="C1244" s="86" t="s">
        <v>4474</v>
      </c>
      <c r="D1244" s="304">
        <f>_xlfn.IFNA(VLOOKUP(C1244,Database!$D$5:$F$439,2,0),VLOOKUP(C1244,logut!$C$4:$D$499,2,0))</f>
        <v>642409212</v>
      </c>
      <c r="E1244" s="86" t="s">
        <v>312</v>
      </c>
      <c r="G1244" s="86" t="s">
        <v>6796</v>
      </c>
      <c r="H1244" s="86" t="s">
        <v>33</v>
      </c>
      <c r="I1244" s="212">
        <v>45604</v>
      </c>
      <c r="J1244" s="86" t="s">
        <v>6804</v>
      </c>
    </row>
    <row r="1245" spans="2:10" x14ac:dyDescent="0.2">
      <c r="B1245" s="86">
        <v>1242</v>
      </c>
      <c r="C1245" s="86" t="s">
        <v>4503</v>
      </c>
      <c r="D1245" s="304">
        <f>_xlfn.IFNA(VLOOKUP(C1245,Database!$D$5:$F$439,2,0),VLOOKUP(C1245,logut!$C$4:$D$499,2,0))</f>
        <v>642409214</v>
      </c>
      <c r="E1245" s="86" t="s">
        <v>312</v>
      </c>
      <c r="G1245" s="86" t="s">
        <v>6796</v>
      </c>
      <c r="H1245" s="86" t="s">
        <v>33</v>
      </c>
      <c r="I1245" s="212">
        <v>45604</v>
      </c>
      <c r="J1245" s="86" t="s">
        <v>6804</v>
      </c>
    </row>
    <row r="1246" spans="2:10" x14ac:dyDescent="0.2">
      <c r="B1246" s="86">
        <v>1243</v>
      </c>
      <c r="C1246" s="86" t="s">
        <v>4514</v>
      </c>
      <c r="D1246" s="304">
        <f>_xlfn.IFNA(VLOOKUP(C1246,Database!$D$5:$F$439,2,0),VLOOKUP(C1246,logut!$C$4:$D$499,2,0))</f>
        <v>642409215</v>
      </c>
      <c r="E1246" s="86" t="s">
        <v>312</v>
      </c>
      <c r="G1246" s="86" t="s">
        <v>6796</v>
      </c>
      <c r="H1246" s="86" t="s">
        <v>33</v>
      </c>
      <c r="I1246" s="212">
        <v>45604</v>
      </c>
      <c r="J1246" s="86" t="s">
        <v>6804</v>
      </c>
    </row>
    <row r="1247" spans="2:10" x14ac:dyDescent="0.2">
      <c r="B1247" s="86">
        <v>1244</v>
      </c>
      <c r="C1247" s="86" t="s">
        <v>4543</v>
      </c>
      <c r="D1247" s="304">
        <f>_xlfn.IFNA(VLOOKUP(C1247,Database!$D$5:$F$439,2,0),VLOOKUP(C1247,logut!$C$4:$D$499,2,0))</f>
        <v>642409217</v>
      </c>
      <c r="E1247" s="86" t="s">
        <v>312</v>
      </c>
      <c r="G1247" s="86" t="s">
        <v>6796</v>
      </c>
      <c r="H1247" s="86" t="s">
        <v>33</v>
      </c>
      <c r="I1247" s="212">
        <v>45604</v>
      </c>
      <c r="J1247" s="86" t="s">
        <v>6804</v>
      </c>
    </row>
    <row r="1248" spans="2:10" x14ac:dyDescent="0.2">
      <c r="B1248" s="86">
        <v>1245</v>
      </c>
      <c r="C1248" s="86" t="s">
        <v>4598</v>
      </c>
      <c r="D1248" s="304">
        <f>_xlfn.IFNA(VLOOKUP(C1248,Database!$D$5:$F$439,2,0),VLOOKUP(C1248,logut!$C$4:$D$499,2,0))</f>
        <v>642409222</v>
      </c>
      <c r="E1248" s="86" t="s">
        <v>312</v>
      </c>
      <c r="G1248" s="86" t="s">
        <v>6796</v>
      </c>
      <c r="H1248" s="86" t="s">
        <v>33</v>
      </c>
      <c r="I1248" s="212">
        <v>45604</v>
      </c>
      <c r="J1248" s="86" t="s">
        <v>6804</v>
      </c>
    </row>
    <row r="1249" spans="2:10" x14ac:dyDescent="0.2">
      <c r="B1249" s="86">
        <v>1246</v>
      </c>
      <c r="C1249" s="86" t="s">
        <v>4636</v>
      </c>
      <c r="D1249" s="304">
        <f>_xlfn.IFNA(VLOOKUP(C1249,Database!$D$5:$F$439,2,0),VLOOKUP(C1249,logut!$C$4:$D$499,2,0))</f>
        <v>642409226</v>
      </c>
      <c r="E1249" s="86" t="s">
        <v>312</v>
      </c>
      <c r="G1249" s="86" t="s">
        <v>6796</v>
      </c>
      <c r="H1249" s="86" t="s">
        <v>33</v>
      </c>
      <c r="I1249" s="212">
        <v>45604</v>
      </c>
      <c r="J1249" s="86" t="s">
        <v>6804</v>
      </c>
    </row>
    <row r="1250" spans="2:10" x14ac:dyDescent="0.2">
      <c r="B1250" s="86">
        <v>1247</v>
      </c>
      <c r="C1250" s="86" t="s">
        <v>361</v>
      </c>
      <c r="D1250" s="304">
        <f>_xlfn.IFNA(VLOOKUP(C1250,Database!$D$5:$F$439,2,0),VLOOKUP(C1250,logut!$C$4:$D$499,2,0))</f>
        <v>642409236</v>
      </c>
      <c r="E1250" s="86" t="s">
        <v>312</v>
      </c>
      <c r="G1250" s="86" t="s">
        <v>6796</v>
      </c>
      <c r="H1250" s="86" t="s">
        <v>33</v>
      </c>
      <c r="I1250" s="212">
        <v>45604</v>
      </c>
      <c r="J1250" s="86" t="s">
        <v>6804</v>
      </c>
    </row>
    <row r="1251" spans="2:10" x14ac:dyDescent="0.2">
      <c r="B1251" s="86">
        <v>1248</v>
      </c>
      <c r="C1251" s="86" t="s">
        <v>4670</v>
      </c>
      <c r="D1251" s="304">
        <f>_xlfn.IFNA(VLOOKUP(C1251,Database!$D$5:$F$439,2,0),VLOOKUP(C1251,logut!$C$4:$D$499,2,0))</f>
        <v>642409230</v>
      </c>
      <c r="E1251" s="86" t="s">
        <v>312</v>
      </c>
      <c r="G1251" s="86" t="s">
        <v>6796</v>
      </c>
      <c r="H1251" s="86" t="s">
        <v>33</v>
      </c>
      <c r="I1251" s="212">
        <v>45604</v>
      </c>
      <c r="J1251" s="86" t="s">
        <v>6804</v>
      </c>
    </row>
    <row r="1252" spans="2:10" x14ac:dyDescent="0.2">
      <c r="B1252" s="86">
        <v>1249</v>
      </c>
      <c r="C1252" s="86" t="s">
        <v>330</v>
      </c>
      <c r="D1252" s="304">
        <f>_xlfn.IFNA(VLOOKUP(C1252,Database!$D$5:$F$439,2,0),VLOOKUP(C1252,logut!$C$4:$D$499,2,0))</f>
        <v>642409231</v>
      </c>
      <c r="E1252" s="86" t="s">
        <v>312</v>
      </c>
      <c r="G1252" s="86" t="s">
        <v>6796</v>
      </c>
      <c r="H1252" s="86" t="s">
        <v>33</v>
      </c>
      <c r="I1252" s="212">
        <v>45622</v>
      </c>
      <c r="J1252" s="86" t="s">
        <v>6805</v>
      </c>
    </row>
    <row r="1253" spans="2:10" x14ac:dyDescent="0.2">
      <c r="B1253" s="86">
        <v>1250</v>
      </c>
      <c r="C1253" s="86" t="s">
        <v>340</v>
      </c>
      <c r="D1253" s="304">
        <f>_xlfn.IFNA(VLOOKUP(C1253,Database!$D$5:$F$439,2,0),VLOOKUP(C1253,logut!$C$4:$D$499,2,0))</f>
        <v>642409233</v>
      </c>
      <c r="E1253" s="86" t="s">
        <v>312</v>
      </c>
      <c r="G1253" s="86" t="s">
        <v>6796</v>
      </c>
      <c r="H1253" s="86" t="s">
        <v>33</v>
      </c>
      <c r="I1253" s="212">
        <v>45622</v>
      </c>
      <c r="J1253" s="86" t="s">
        <v>6805</v>
      </c>
    </row>
    <row r="1254" spans="2:10" x14ac:dyDescent="0.2">
      <c r="B1254" s="86">
        <v>1251</v>
      </c>
      <c r="C1254" s="86" t="s">
        <v>361</v>
      </c>
      <c r="D1254" s="304">
        <f>_xlfn.IFNA(VLOOKUP(C1254,Database!$D$5:$F$439,2,0),VLOOKUP(C1254,logut!$C$4:$D$499,2,0))</f>
        <v>642409236</v>
      </c>
      <c r="E1254" s="86" t="s">
        <v>312</v>
      </c>
      <c r="G1254" s="86" t="s">
        <v>6796</v>
      </c>
      <c r="H1254" s="86" t="s">
        <v>33</v>
      </c>
      <c r="I1254" s="212">
        <v>45622</v>
      </c>
      <c r="J1254" s="86" t="s">
        <v>6805</v>
      </c>
    </row>
    <row r="1255" spans="2:10" x14ac:dyDescent="0.2">
      <c r="B1255" s="86">
        <v>1252</v>
      </c>
      <c r="C1255" s="86" t="s">
        <v>370</v>
      </c>
      <c r="D1255" s="304">
        <f>_xlfn.IFNA(VLOOKUP(C1255,Database!$D$5:$F$439,2,0),VLOOKUP(C1255,logut!$C$4:$D$499,2,0))</f>
        <v>642409238</v>
      </c>
      <c r="E1255" s="86" t="s">
        <v>312</v>
      </c>
      <c r="G1255" s="86" t="s">
        <v>6796</v>
      </c>
      <c r="H1255" s="86" t="s">
        <v>33</v>
      </c>
      <c r="I1255" s="212">
        <v>45622</v>
      </c>
      <c r="J1255" s="86" t="s">
        <v>6805</v>
      </c>
    </row>
    <row r="1256" spans="2:10" x14ac:dyDescent="0.2">
      <c r="B1256" s="86">
        <v>1253</v>
      </c>
      <c r="C1256" s="86" t="s">
        <v>694</v>
      </c>
      <c r="D1256" s="304">
        <f>_xlfn.IFNA(VLOOKUP(C1256,Database!$D$5:$F$439,2,0),VLOOKUP(C1256,logut!$C$4:$D$499,2,0))</f>
        <v>971900028</v>
      </c>
      <c r="E1256" s="86" t="s">
        <v>312</v>
      </c>
      <c r="G1256" s="86" t="s">
        <v>5954</v>
      </c>
      <c r="H1256" s="86" t="s">
        <v>21</v>
      </c>
      <c r="I1256" s="212">
        <v>45626</v>
      </c>
      <c r="J1256" s="86" t="s">
        <v>6806</v>
      </c>
    </row>
    <row r="1257" spans="2:10" x14ac:dyDescent="0.2">
      <c r="B1257" s="86">
        <v>1254</v>
      </c>
      <c r="C1257" s="86" t="s">
        <v>3045</v>
      </c>
      <c r="D1257" s="304">
        <f>_xlfn.IFNA(VLOOKUP(C1257,Database!$D$5:$F$439,2,0),VLOOKUP(C1257,logut!$C$4:$D$499,2,0))</f>
        <v>642201146</v>
      </c>
      <c r="E1257" s="86" t="s">
        <v>312</v>
      </c>
      <c r="G1257" s="86" t="s">
        <v>5954</v>
      </c>
      <c r="H1257" s="86" t="s">
        <v>21</v>
      </c>
      <c r="I1257" s="212">
        <v>45626</v>
      </c>
      <c r="J1257" s="86" t="s">
        <v>6806</v>
      </c>
    </row>
    <row r="1258" spans="2:10" x14ac:dyDescent="0.2">
      <c r="B1258" s="86">
        <v>1255</v>
      </c>
      <c r="C1258" s="86" t="s">
        <v>2254</v>
      </c>
      <c r="D1258" s="304">
        <f>_xlfn.IFNA(VLOOKUP(C1258,Database!$D$5:$F$439,2,0),VLOOKUP(C1258,logut!$C$4:$D$499,2,0))</f>
        <v>641907249</v>
      </c>
      <c r="E1258" s="86" t="s">
        <v>312</v>
      </c>
      <c r="G1258" s="86" t="s">
        <v>5954</v>
      </c>
      <c r="H1258" s="86" t="s">
        <v>21</v>
      </c>
      <c r="I1258" s="212">
        <v>45626</v>
      </c>
      <c r="J1258" s="86" t="s">
        <v>6806</v>
      </c>
    </row>
    <row r="1259" spans="2:10" x14ac:dyDescent="0.2">
      <c r="B1259" s="86">
        <v>1256</v>
      </c>
      <c r="C1259" s="86" t="s">
        <v>1098</v>
      </c>
      <c r="D1259" s="304">
        <f>_xlfn.IFNA(VLOOKUP(C1259,Database!$D$5:$F$439,2,0),VLOOKUP(C1259,logut!$C$4:$D$499,2,0))</f>
        <v>641702080</v>
      </c>
      <c r="E1259" s="86" t="s">
        <v>312</v>
      </c>
      <c r="G1259" s="86" t="s">
        <v>5954</v>
      </c>
      <c r="H1259" s="86" t="s">
        <v>21</v>
      </c>
      <c r="I1259" s="212">
        <v>45626</v>
      </c>
      <c r="J1259" s="86" t="s">
        <v>6806</v>
      </c>
    </row>
    <row r="1260" spans="2:10" x14ac:dyDescent="0.2">
      <c r="B1260" s="86">
        <v>1257</v>
      </c>
      <c r="C1260" s="86" t="s">
        <v>1981</v>
      </c>
      <c r="D1260" s="304">
        <f>_xlfn.IFNA(VLOOKUP(C1260,Database!$D$5:$F$439,2,0),VLOOKUP(C1260,logut!$C$4:$D$499,2,0))</f>
        <v>641810196</v>
      </c>
      <c r="E1260" s="86" t="s">
        <v>312</v>
      </c>
      <c r="G1260" s="86" t="s">
        <v>5954</v>
      </c>
      <c r="H1260" s="86" t="s">
        <v>21</v>
      </c>
      <c r="I1260" s="212">
        <v>45626</v>
      </c>
      <c r="J1260" s="86" t="s">
        <v>6806</v>
      </c>
    </row>
    <row r="1261" spans="2:10" x14ac:dyDescent="0.2">
      <c r="B1261" s="86">
        <v>1258</v>
      </c>
      <c r="C1261" s="86" t="s">
        <v>6740</v>
      </c>
      <c r="D1261" s="304">
        <f>_xlfn.IFNA(VLOOKUP(C1261,Database!$D$5:$F$439,2,0),VLOOKUP(C1261,logut!$C$4:$D$499,2,0))</f>
        <v>642412239</v>
      </c>
      <c r="E1261" s="86" t="s">
        <v>5900</v>
      </c>
      <c r="G1261" s="86" t="s">
        <v>6808</v>
      </c>
      <c r="H1261" s="86" t="s">
        <v>5901</v>
      </c>
      <c r="I1261" s="212">
        <v>45628</v>
      </c>
      <c r="J1261" s="86" t="s">
        <v>6809</v>
      </c>
    </row>
    <row r="1262" spans="2:10" x14ac:dyDescent="0.2">
      <c r="B1262" s="86">
        <v>1259</v>
      </c>
      <c r="C1262" s="86" t="s">
        <v>4281</v>
      </c>
      <c r="D1262" s="304">
        <f>_xlfn.IFNA(VLOOKUP(C1262,Database!$D$5:$F$439,2,0),VLOOKUP(C1262,logut!$C$4:$D$499,2,0))</f>
        <v>999800002</v>
      </c>
      <c r="E1262" s="86" t="s">
        <v>142</v>
      </c>
      <c r="G1262" s="86" t="s">
        <v>6903</v>
      </c>
      <c r="H1262" s="86" t="s">
        <v>5901</v>
      </c>
      <c r="I1262" s="212">
        <v>45670</v>
      </c>
      <c r="J1262" s="86" t="s">
        <v>6901</v>
      </c>
    </row>
    <row r="1263" spans="2:10" x14ac:dyDescent="0.2">
      <c r="B1263" s="86">
        <v>1260</v>
      </c>
      <c r="C1263" s="86" t="s">
        <v>2704</v>
      </c>
      <c r="D1263" s="304">
        <f>_xlfn.IFNA(VLOOKUP(C1263,Database!$D$5:$F$439,2,0),VLOOKUP(C1263,logut!$C$4:$D$499,2,0))</f>
        <v>999800078</v>
      </c>
      <c r="E1263" s="86" t="s">
        <v>142</v>
      </c>
      <c r="G1263" s="86" t="s">
        <v>121</v>
      </c>
      <c r="H1263" s="86" t="s">
        <v>5901</v>
      </c>
      <c r="I1263" s="212">
        <v>45670</v>
      </c>
      <c r="J1263" s="86" t="s">
        <v>6901</v>
      </c>
    </row>
    <row r="1264" spans="2:10" x14ac:dyDescent="0.2">
      <c r="B1264" s="86">
        <v>1261</v>
      </c>
      <c r="C1264" s="86" t="s">
        <v>2674</v>
      </c>
      <c r="D1264" s="304">
        <f>_xlfn.IFNA(VLOOKUP(C1264,Database!$D$5:$F$439,2,0),VLOOKUP(C1264,logut!$C$4:$D$499,2,0))</f>
        <v>999500021</v>
      </c>
      <c r="E1264" s="86" t="s">
        <v>142</v>
      </c>
      <c r="G1264" s="86" t="s">
        <v>122</v>
      </c>
      <c r="H1264" s="86" t="s">
        <v>5901</v>
      </c>
      <c r="I1264" s="212">
        <v>45670</v>
      </c>
      <c r="J1264" s="86" t="s">
        <v>6901</v>
      </c>
    </row>
    <row r="1265" spans="2:10" x14ac:dyDescent="0.2">
      <c r="B1265" s="86">
        <v>1262</v>
      </c>
      <c r="C1265" s="86" t="s">
        <v>2667</v>
      </c>
      <c r="D1265" s="304">
        <f>_xlfn.IFNA(VLOOKUP(C1265,Database!$D$5:$F$439,2,0),VLOOKUP(C1265,logut!$C$4:$D$499,2,0))</f>
        <v>991100025</v>
      </c>
      <c r="E1265" s="86" t="s">
        <v>142</v>
      </c>
      <c r="G1265" s="86" t="s">
        <v>6904</v>
      </c>
      <c r="H1265" s="86" t="s">
        <v>5901</v>
      </c>
      <c r="I1265" s="212">
        <v>45670</v>
      </c>
      <c r="J1265" s="86" t="s">
        <v>6901</v>
      </c>
    </row>
    <row r="1266" spans="2:10" x14ac:dyDescent="0.2">
      <c r="B1266" s="86">
        <v>1263</v>
      </c>
      <c r="C1266" s="86" t="s">
        <v>1949</v>
      </c>
      <c r="D1266" s="304">
        <f>_xlfn.IFNA(VLOOKUP(C1266,Database!$D$5:$F$439,2,0),VLOOKUP(C1266,logut!$C$4:$D$499,2,0))</f>
        <v>971900034</v>
      </c>
      <c r="E1266" s="86" t="s">
        <v>142</v>
      </c>
      <c r="G1266" s="86" t="s">
        <v>6905</v>
      </c>
      <c r="H1266" s="86" t="s">
        <v>5901</v>
      </c>
      <c r="I1266" s="212">
        <v>45670</v>
      </c>
      <c r="J1266" s="86" t="s">
        <v>6901</v>
      </c>
    </row>
    <row r="1267" spans="2:10" x14ac:dyDescent="0.2">
      <c r="B1267" s="86">
        <v>1264</v>
      </c>
      <c r="C1267" s="86" t="s">
        <v>2636</v>
      </c>
      <c r="D1267" s="304">
        <f>_xlfn.IFNA(VLOOKUP(C1267,Database!$D$5:$F$439,2,0),VLOOKUP(C1267,logut!$C$4:$D$499,2,0))</f>
        <v>999800003</v>
      </c>
      <c r="E1267" s="86" t="s">
        <v>137</v>
      </c>
      <c r="G1267" s="86" t="s">
        <v>6906</v>
      </c>
      <c r="H1267" s="86" t="s">
        <v>5901</v>
      </c>
      <c r="I1267" s="212">
        <v>45670</v>
      </c>
      <c r="J1267" s="86" t="s">
        <v>6901</v>
      </c>
    </row>
    <row r="1268" spans="2:10" x14ac:dyDescent="0.2">
      <c r="B1268" s="86">
        <v>1265</v>
      </c>
      <c r="C1268" s="86" t="s">
        <v>3287</v>
      </c>
      <c r="D1268" s="304">
        <f>_xlfn.IFNA(VLOOKUP(C1268,Database!$D$5:$F$439,2,0),VLOOKUP(C1268,logut!$C$4:$D$499,2,0))</f>
        <v>990900010</v>
      </c>
      <c r="E1268" s="86" t="s">
        <v>137</v>
      </c>
      <c r="G1268" s="86" t="s">
        <v>6907</v>
      </c>
      <c r="H1268" s="86" t="s">
        <v>5901</v>
      </c>
      <c r="I1268" s="212">
        <v>45670</v>
      </c>
      <c r="J1268" s="86" t="s">
        <v>6901</v>
      </c>
    </row>
    <row r="1269" spans="2:10" x14ac:dyDescent="0.2">
      <c r="B1269" s="86">
        <v>1266</v>
      </c>
      <c r="C1269" s="86" t="s">
        <v>380</v>
      </c>
      <c r="D1269" s="304">
        <f>_xlfn.IFNA(VLOOKUP(C1269,Database!$D$5:$F$439,2,0),VLOOKUP(C1269,logut!$C$4:$D$499,2,0))</f>
        <v>971500002</v>
      </c>
      <c r="E1269" s="86" t="s">
        <v>137</v>
      </c>
      <c r="G1269" s="86" t="s">
        <v>6908</v>
      </c>
      <c r="H1269" s="86" t="s">
        <v>5901</v>
      </c>
      <c r="I1269" s="212">
        <v>45670</v>
      </c>
      <c r="J1269" s="86" t="s">
        <v>6901</v>
      </c>
    </row>
    <row r="1270" spans="2:10" x14ac:dyDescent="0.2">
      <c r="B1270" s="86">
        <v>1267</v>
      </c>
      <c r="C1270" s="86" t="s">
        <v>1086</v>
      </c>
      <c r="D1270" s="304">
        <f>_xlfn.IFNA(VLOOKUP(C1270,Database!$D$5:$F$439,2,0),VLOOKUP(C1270,logut!$C$4:$D$499,2,0))</f>
        <v>971800024</v>
      </c>
      <c r="E1270" s="86" t="s">
        <v>137</v>
      </c>
      <c r="G1270" s="86" t="s">
        <v>54</v>
      </c>
      <c r="H1270" s="86" t="s">
        <v>5901</v>
      </c>
      <c r="I1270" s="212">
        <v>45670</v>
      </c>
      <c r="J1270" s="86" t="s">
        <v>6901</v>
      </c>
    </row>
    <row r="1271" spans="2:10" x14ac:dyDescent="0.2">
      <c r="B1271" s="86">
        <v>1268</v>
      </c>
      <c r="C1271" s="86" t="s">
        <v>2219</v>
      </c>
      <c r="D1271" s="304">
        <f>_xlfn.IFNA(VLOOKUP(C1271,Database!$D$5:$F$439,2,0),VLOOKUP(C1271,logut!$C$4:$D$499,2,0))</f>
        <v>972000052</v>
      </c>
      <c r="E1271" s="86" t="s">
        <v>137</v>
      </c>
      <c r="G1271" s="86" t="s">
        <v>6909</v>
      </c>
      <c r="H1271" s="86" t="s">
        <v>5901</v>
      </c>
      <c r="I1271" s="212">
        <v>45670</v>
      </c>
      <c r="J1271" s="86" t="s">
        <v>6901</v>
      </c>
    </row>
    <row r="1272" spans="2:10" x14ac:dyDescent="0.2">
      <c r="B1272" s="86">
        <v>1269</v>
      </c>
      <c r="C1272" s="86" t="s">
        <v>1903</v>
      </c>
      <c r="D1272" s="304">
        <f>_xlfn.IFNA(VLOOKUP(C1272,Database!$D$5:$F$439,2,0),VLOOKUP(C1272,logut!$C$4:$D$499,2,0))</f>
        <v>971900039</v>
      </c>
      <c r="E1272" s="86" t="s">
        <v>137</v>
      </c>
      <c r="G1272" s="86" t="s">
        <v>1150</v>
      </c>
      <c r="H1272" s="86" t="s">
        <v>5901</v>
      </c>
      <c r="I1272" s="212">
        <v>45670</v>
      </c>
      <c r="J1272" s="86" t="s">
        <v>6901</v>
      </c>
    </row>
    <row r="1273" spans="2:10" x14ac:dyDescent="0.2">
      <c r="B1273" s="86">
        <v>1270</v>
      </c>
      <c r="C1273" s="86" t="s">
        <v>105</v>
      </c>
      <c r="D1273" s="304">
        <f>_xlfn.IFNA(VLOOKUP(C1273,Database!$D$5:$F$439,2,0),VLOOKUP(C1273,logut!$C$4:$D$499,2,0))</f>
        <v>991700061</v>
      </c>
      <c r="E1273" s="86" t="s">
        <v>137</v>
      </c>
      <c r="G1273" s="86" t="s">
        <v>6910</v>
      </c>
      <c r="H1273" s="86" t="s">
        <v>5901</v>
      </c>
      <c r="I1273" s="212">
        <v>45670</v>
      </c>
      <c r="J1273" s="86" t="s">
        <v>6901</v>
      </c>
    </row>
    <row r="1274" spans="2:10" x14ac:dyDescent="0.2">
      <c r="B1274" s="86">
        <v>1271</v>
      </c>
      <c r="C1274" s="86" t="s">
        <v>391</v>
      </c>
      <c r="D1274" s="304">
        <f>_xlfn.IFNA(VLOOKUP(C1274,Database!$D$5:$F$439,2,0),VLOOKUP(C1274,logut!$C$4:$D$499,2,0))</f>
        <v>971500003</v>
      </c>
      <c r="E1274" s="86" t="s">
        <v>6110</v>
      </c>
      <c r="G1274" s="86" t="s">
        <v>65</v>
      </c>
      <c r="H1274" s="86" t="s">
        <v>5901</v>
      </c>
      <c r="I1274" s="212">
        <v>45670</v>
      </c>
      <c r="J1274" s="86" t="s">
        <v>6901</v>
      </c>
    </row>
    <row r="1275" spans="2:10" x14ac:dyDescent="0.2">
      <c r="B1275" s="86">
        <v>1272</v>
      </c>
      <c r="C1275" s="86" t="s">
        <v>1895</v>
      </c>
      <c r="D1275" s="304">
        <f>_xlfn.IFNA(VLOOKUP(C1275,Database!$D$5:$F$439,2,0),VLOOKUP(C1275,logut!$C$4:$D$499,2,0))</f>
        <v>971900040</v>
      </c>
      <c r="E1275" s="86" t="s">
        <v>6110</v>
      </c>
      <c r="G1275" s="86" t="s">
        <v>73</v>
      </c>
      <c r="H1275" s="86" t="s">
        <v>5901</v>
      </c>
      <c r="I1275" s="212">
        <v>45670</v>
      </c>
      <c r="J1275" s="86" t="s">
        <v>6901</v>
      </c>
    </row>
    <row r="1276" spans="2:10" x14ac:dyDescent="0.2">
      <c r="B1276" s="86">
        <v>1273</v>
      </c>
      <c r="C1276" s="86" t="s">
        <v>1876</v>
      </c>
      <c r="D1276" s="304">
        <f>_xlfn.IFNA(VLOOKUP(C1276,Database!$D$5:$F$439,2,0),VLOOKUP(C1276,logut!$C$4:$D$499,2,0))</f>
        <v>971900044</v>
      </c>
      <c r="E1276" s="86" t="s">
        <v>138</v>
      </c>
      <c r="G1276" s="86" t="s">
        <v>43</v>
      </c>
      <c r="H1276" s="86" t="s">
        <v>5901</v>
      </c>
      <c r="I1276" s="212">
        <v>45670</v>
      </c>
      <c r="J1276" s="86" t="s">
        <v>6901</v>
      </c>
    </row>
    <row r="1277" spans="2:10" x14ac:dyDescent="0.2">
      <c r="B1277" s="86">
        <v>1274</v>
      </c>
      <c r="C1277" s="86" t="s">
        <v>2212</v>
      </c>
      <c r="D1277" s="304">
        <f>_xlfn.IFNA(VLOOKUP(C1277,Database!$D$5:$F$439,2,0),VLOOKUP(C1277,logut!$C$4:$D$499,2,0))</f>
        <v>972000050</v>
      </c>
      <c r="E1277" s="86" t="s">
        <v>138</v>
      </c>
      <c r="G1277" s="86" t="s">
        <v>1074</v>
      </c>
      <c r="H1277" s="86" t="s">
        <v>5901</v>
      </c>
      <c r="I1277" s="212">
        <v>45670</v>
      </c>
      <c r="J1277" s="86" t="s">
        <v>6901</v>
      </c>
    </row>
    <row r="1278" spans="2:10" x14ac:dyDescent="0.2">
      <c r="B1278" s="86">
        <v>1275</v>
      </c>
      <c r="C1278" s="86" t="s">
        <v>82</v>
      </c>
      <c r="D1278" s="304">
        <f>_xlfn.IFNA(VLOOKUP(C1278,Database!$D$5:$F$439,2,0),VLOOKUP(C1278,logut!$C$4:$D$499,2,0))</f>
        <v>971900036</v>
      </c>
      <c r="E1278" s="86" t="s">
        <v>6902</v>
      </c>
      <c r="G1278" s="86" t="s">
        <v>6910</v>
      </c>
      <c r="H1278" s="86" t="s">
        <v>5901</v>
      </c>
      <c r="I1278" s="212">
        <v>45670</v>
      </c>
      <c r="J1278" s="86" t="s">
        <v>6901</v>
      </c>
    </row>
    <row r="1279" spans="2:10" x14ac:dyDescent="0.2">
      <c r="B1279" s="86">
        <v>1276</v>
      </c>
      <c r="C1279" s="86" t="s">
        <v>1351</v>
      </c>
      <c r="D1279" s="304">
        <f>_xlfn.IFNA(VLOOKUP(C1279,Database!$D$5:$F$439,2,0),VLOOKUP(C1279,logut!$C$4:$D$499,2,0))</f>
        <v>971800020</v>
      </c>
      <c r="E1279" s="86" t="s">
        <v>6902</v>
      </c>
      <c r="G1279" s="86" t="s">
        <v>6911</v>
      </c>
      <c r="H1279" s="86" t="s">
        <v>5901</v>
      </c>
      <c r="I1279" s="212">
        <v>45670</v>
      </c>
      <c r="J1279" s="86" t="s">
        <v>6901</v>
      </c>
    </row>
    <row r="1280" spans="2:10" x14ac:dyDescent="0.2">
      <c r="B1280" s="86">
        <v>1277</v>
      </c>
      <c r="C1280" s="86" t="s">
        <v>1159</v>
      </c>
      <c r="D1280" s="304">
        <f>_xlfn.IFNA(VLOOKUP(C1280,Database!$D$5:$F$439,2,0),VLOOKUP(C1280,logut!$C$4:$D$499,2,0))</f>
        <v>971800017</v>
      </c>
      <c r="E1280" s="86" t="s">
        <v>5998</v>
      </c>
      <c r="G1280" s="86" t="s">
        <v>65</v>
      </c>
      <c r="H1280" s="86" t="s">
        <v>5901</v>
      </c>
      <c r="I1280" s="212">
        <v>45670</v>
      </c>
      <c r="J1280" s="86" t="s">
        <v>6901</v>
      </c>
    </row>
    <row r="1281" spans="2:10" x14ac:dyDescent="0.2">
      <c r="B1281" s="86">
        <v>1278</v>
      </c>
      <c r="C1281" s="86" t="s">
        <v>1170</v>
      </c>
      <c r="D1281" s="304">
        <f>_xlfn.IFNA(VLOOKUP(C1281,Database!$D$5:$F$439,2,0),VLOOKUP(C1281,logut!$C$4:$D$499,2,0))</f>
        <v>971900027</v>
      </c>
      <c r="E1281" s="86" t="s">
        <v>5998</v>
      </c>
      <c r="G1281" s="86" t="s">
        <v>73</v>
      </c>
      <c r="H1281" s="86" t="s">
        <v>5901</v>
      </c>
      <c r="I1281" s="212">
        <v>45670</v>
      </c>
      <c r="J1281" s="86" t="s">
        <v>6901</v>
      </c>
    </row>
    <row r="1282" spans="2:10" x14ac:dyDescent="0.2">
      <c r="B1282" s="86">
        <v>1279</v>
      </c>
      <c r="C1282" s="86" t="s">
        <v>1932</v>
      </c>
      <c r="D1282" s="304">
        <f>_xlfn.IFNA(VLOOKUP(C1282,Database!$D$5:$F$439,2,0),VLOOKUP(C1282,logut!$C$4:$D$499,2,0))</f>
        <v>971900035</v>
      </c>
      <c r="E1282" s="86" t="s">
        <v>5998</v>
      </c>
      <c r="G1282" s="86" t="s">
        <v>5946</v>
      </c>
      <c r="H1282" s="86" t="s">
        <v>5901</v>
      </c>
      <c r="I1282" s="212">
        <v>45670</v>
      </c>
      <c r="J1282" s="86" t="s">
        <v>6901</v>
      </c>
    </row>
    <row r="1283" spans="2:10" x14ac:dyDescent="0.2">
      <c r="B1283" s="86">
        <v>1280</v>
      </c>
      <c r="C1283" s="86" t="s">
        <v>879</v>
      </c>
      <c r="D1283" s="304">
        <f>_xlfn.IFNA(VLOOKUP(C1283,Database!$D$5:$F$439,2,0),VLOOKUP(C1283,logut!$C$4:$D$499,2,0))</f>
        <v>642001067</v>
      </c>
      <c r="E1283" s="86" t="s">
        <v>5900</v>
      </c>
      <c r="G1283" s="86" t="s">
        <v>668</v>
      </c>
      <c r="H1283" s="86" t="s">
        <v>5901</v>
      </c>
      <c r="I1283" s="212">
        <v>45663</v>
      </c>
      <c r="J1283" s="86" t="s">
        <v>6913</v>
      </c>
    </row>
    <row r="1284" spans="2:10" x14ac:dyDescent="0.2">
      <c r="B1284" s="86">
        <v>1281</v>
      </c>
      <c r="C1284" s="86" t="s">
        <v>666</v>
      </c>
      <c r="D1284" s="304">
        <f>_xlfn.IFNA(VLOOKUP(C1284,Database!$D$5:$F$439,2,0),VLOOKUP(C1284,logut!$C$4:$D$499,2,0))</f>
        <v>642001011</v>
      </c>
      <c r="E1284" s="86" t="s">
        <v>5900</v>
      </c>
      <c r="G1284" s="86" t="s">
        <v>49</v>
      </c>
      <c r="H1284" s="86" t="s">
        <v>5901</v>
      </c>
      <c r="I1284" s="212">
        <v>45663</v>
      </c>
      <c r="J1284" s="86" t="s">
        <v>6913</v>
      </c>
    </row>
    <row r="1285" spans="2:10" x14ac:dyDescent="0.2">
      <c r="B1285" s="86">
        <v>1282</v>
      </c>
      <c r="C1285" s="86" t="s">
        <v>3930</v>
      </c>
      <c r="D1285" s="304">
        <f>_xlfn.IFNA(VLOOKUP(C1285,Database!$D$5:$F$439,2,0),VLOOKUP(C1285,logut!$C$4:$D$499,2,0))</f>
        <v>642401166</v>
      </c>
      <c r="E1285" s="86" t="s">
        <v>5900</v>
      </c>
      <c r="G1285" s="86" t="s">
        <v>6908</v>
      </c>
      <c r="H1285" s="86" t="s">
        <v>217</v>
      </c>
      <c r="I1285" s="212">
        <v>45663</v>
      </c>
      <c r="J1285" s="86" t="s">
        <v>6913</v>
      </c>
    </row>
    <row r="1286" spans="2:10" x14ac:dyDescent="0.2">
      <c r="B1286" s="86">
        <v>1283</v>
      </c>
      <c r="C1286" s="86" t="s">
        <v>3455</v>
      </c>
      <c r="D1286" s="304">
        <f>_xlfn.IFNA(VLOOKUP(C1286,Database!$D$5:$F$439,2,0),VLOOKUP(C1286,logut!$C$4:$D$499,2,0))</f>
        <v>642201176</v>
      </c>
      <c r="E1286" s="86" t="s">
        <v>5900</v>
      </c>
      <c r="G1286" s="86" t="s">
        <v>177</v>
      </c>
      <c r="H1286" s="86" t="s">
        <v>217</v>
      </c>
      <c r="I1286" s="212">
        <v>45663</v>
      </c>
      <c r="J1286" s="86" t="s">
        <v>6913</v>
      </c>
    </row>
    <row r="1287" spans="2:10" x14ac:dyDescent="0.2">
      <c r="B1287" s="86">
        <v>1284</v>
      </c>
      <c r="C1287" s="86" t="s">
        <v>2727</v>
      </c>
      <c r="D1287" s="304">
        <f>_xlfn.IFNA(VLOOKUP(C1287,Database!$D$5:$F$439,2,0),VLOOKUP(C1287,logut!$C$4:$D$499,2,0))</f>
        <v>642311138</v>
      </c>
      <c r="E1287" s="86" t="s">
        <v>5900</v>
      </c>
      <c r="G1287" s="86" t="s">
        <v>177</v>
      </c>
      <c r="H1287" s="86" t="s">
        <v>217</v>
      </c>
      <c r="I1287" s="212">
        <v>45663</v>
      </c>
      <c r="J1287" s="86" t="s">
        <v>6913</v>
      </c>
    </row>
    <row r="1288" spans="2:10" x14ac:dyDescent="0.2">
      <c r="B1288" s="86">
        <v>1285</v>
      </c>
      <c r="C1288" s="86" t="s">
        <v>3728</v>
      </c>
      <c r="D1288" s="304">
        <f>_xlfn.IFNA(VLOOKUP(C1288,Database!$D$5:$F$439,2,0),VLOOKUP(C1288,logut!$C$4:$D$499,2,0))</f>
        <v>642311137</v>
      </c>
      <c r="E1288" s="86" t="s">
        <v>5900</v>
      </c>
      <c r="G1288" s="86" t="s">
        <v>177</v>
      </c>
      <c r="H1288" s="86" t="s">
        <v>217</v>
      </c>
      <c r="I1288" s="212">
        <v>45663</v>
      </c>
      <c r="J1288" s="86" t="s">
        <v>6913</v>
      </c>
    </row>
    <row r="1289" spans="2:10" x14ac:dyDescent="0.2">
      <c r="B1289" s="86">
        <v>1286</v>
      </c>
      <c r="C1289" s="86" t="s">
        <v>6740</v>
      </c>
      <c r="D1289" s="304">
        <f>_xlfn.IFNA(VLOOKUP(C1289,Database!$D$5:$F$439,2,0),VLOOKUP(C1289,logut!$C$4:$D$499,2,0))</f>
        <v>642412239</v>
      </c>
      <c r="E1289" s="86" t="s">
        <v>5900</v>
      </c>
      <c r="G1289" s="86" t="s">
        <v>6909</v>
      </c>
      <c r="H1289" s="86" t="s">
        <v>5901</v>
      </c>
      <c r="I1289" s="212">
        <v>45689</v>
      </c>
      <c r="J1289" s="86" t="s">
        <v>6914</v>
      </c>
    </row>
    <row r="1290" spans="2:10" x14ac:dyDescent="0.2">
      <c r="B1290" s="86">
        <v>1287</v>
      </c>
      <c r="C1290" s="86" t="s">
        <v>108</v>
      </c>
      <c r="D1290" s="304">
        <f>_xlfn.IFNA(VLOOKUP(C1290,Database!$D$5:$F$439,2,0),VLOOKUP(C1290,logut!$C$4:$D$499,2,0))</f>
        <v>642312142</v>
      </c>
      <c r="E1290" s="86" t="s">
        <v>5900</v>
      </c>
      <c r="G1290" s="86" t="s">
        <v>6910</v>
      </c>
      <c r="H1290" s="86" t="s">
        <v>5901</v>
      </c>
      <c r="I1290" s="212">
        <v>45689</v>
      </c>
      <c r="J1290" s="86" t="s">
        <v>6914</v>
      </c>
    </row>
    <row r="1291" spans="2:10" x14ac:dyDescent="0.2">
      <c r="B1291" s="86">
        <v>1288</v>
      </c>
      <c r="C1291" s="86" t="s">
        <v>113</v>
      </c>
      <c r="D1291" s="304">
        <f>_xlfn.IFNA(VLOOKUP(C1291,Database!$D$5:$F$439,2,0),VLOOKUP(C1291,logut!$C$4:$D$499,2,0))</f>
        <v>642312143</v>
      </c>
      <c r="E1291" s="86" t="s">
        <v>5900</v>
      </c>
      <c r="G1291" s="86" t="s">
        <v>6910</v>
      </c>
      <c r="H1291" s="86" t="s">
        <v>5901</v>
      </c>
      <c r="I1291" s="212">
        <v>45689</v>
      </c>
      <c r="J1291" s="86" t="s">
        <v>6914</v>
      </c>
    </row>
    <row r="1292" spans="2:10" x14ac:dyDescent="0.2">
      <c r="B1292" s="86">
        <v>1289</v>
      </c>
      <c r="C1292" s="86" t="s">
        <v>98</v>
      </c>
      <c r="D1292" s="304">
        <f>_xlfn.IFNA(VLOOKUP(C1292,Database!$D$5:$F$439,2,0),VLOOKUP(C1292,logut!$C$4:$D$499,2,0))</f>
        <v>642301191</v>
      </c>
      <c r="E1292" s="86" t="s">
        <v>5900</v>
      </c>
      <c r="G1292" s="86" t="s">
        <v>6910</v>
      </c>
      <c r="H1292" s="86" t="s">
        <v>5901</v>
      </c>
      <c r="I1292" s="212">
        <v>45689</v>
      </c>
      <c r="J1292" s="86" t="s">
        <v>6914</v>
      </c>
    </row>
    <row r="1293" spans="2:10" x14ac:dyDescent="0.2">
      <c r="B1293" s="86">
        <v>1290</v>
      </c>
      <c r="C1293" s="86" t="s">
        <v>95</v>
      </c>
      <c r="D1293" s="304">
        <f>_xlfn.IFNA(VLOOKUP(C1293,Database!$D$5:$F$439,2,0),VLOOKUP(C1293,logut!$C$4:$D$499,2,0))</f>
        <v>642201127</v>
      </c>
      <c r="E1293" s="86" t="s">
        <v>5900</v>
      </c>
      <c r="G1293" s="86" t="s">
        <v>6910</v>
      </c>
      <c r="H1293" s="86" t="s">
        <v>5901</v>
      </c>
      <c r="I1293" s="212">
        <v>45689</v>
      </c>
      <c r="J1293" s="86" t="s">
        <v>6914</v>
      </c>
    </row>
    <row r="1294" spans="2:10" x14ac:dyDescent="0.2">
      <c r="B1294" s="86">
        <v>1291</v>
      </c>
      <c r="C1294" s="86" t="s">
        <v>3007</v>
      </c>
      <c r="D1294" s="304">
        <f>_xlfn.IFNA(VLOOKUP(C1294,Database!$D$5:$F$439,2,0),VLOOKUP(C1294,logut!$C$4:$D$499,2,0))</f>
        <v>642201129</v>
      </c>
      <c r="E1294" s="86" t="s">
        <v>5900</v>
      </c>
      <c r="G1294" s="86" t="s">
        <v>5949</v>
      </c>
      <c r="H1294" s="86" t="s">
        <v>5901</v>
      </c>
      <c r="I1294" s="212">
        <v>45689</v>
      </c>
      <c r="J1294" s="86" t="s">
        <v>6914</v>
      </c>
    </row>
    <row r="1295" spans="2:10" x14ac:dyDescent="0.2">
      <c r="B1295" s="86">
        <v>1292</v>
      </c>
      <c r="C1295" s="86" t="s">
        <v>3021</v>
      </c>
      <c r="D1295" s="304">
        <f>_xlfn.IFNA(VLOOKUP(C1295,Database!$D$5:$F$439,2,0),VLOOKUP(C1295,logut!$C$4:$D$499,2,0))</f>
        <v>642201126</v>
      </c>
      <c r="E1295" s="86" t="s">
        <v>5900</v>
      </c>
      <c r="G1295" s="86" t="s">
        <v>5950</v>
      </c>
      <c r="H1295" s="86" t="s">
        <v>5901</v>
      </c>
      <c r="I1295" s="212">
        <v>45689</v>
      </c>
      <c r="J1295" s="86" t="s">
        <v>6914</v>
      </c>
    </row>
    <row r="1296" spans="2:10" x14ac:dyDescent="0.2">
      <c r="B1296" s="86">
        <v>1293</v>
      </c>
      <c r="C1296" s="86" t="s">
        <v>2626</v>
      </c>
      <c r="D1296" s="304">
        <f>_xlfn.IFNA(VLOOKUP(C1296,Database!$D$5:$F$439,2,0),VLOOKUP(C1296,logut!$C$4:$D$499,2,0))</f>
        <v>642003087</v>
      </c>
      <c r="E1296" s="86" t="s">
        <v>5900</v>
      </c>
      <c r="G1296" s="86" t="s">
        <v>115</v>
      </c>
      <c r="H1296" s="86" t="s">
        <v>5901</v>
      </c>
      <c r="I1296" s="212">
        <v>45689</v>
      </c>
      <c r="J1296" s="86" t="s">
        <v>6914</v>
      </c>
    </row>
    <row r="1297" spans="2:10" x14ac:dyDescent="0.2">
      <c r="B1297" s="86">
        <v>1294</v>
      </c>
      <c r="C1297" s="86" t="s">
        <v>3038</v>
      </c>
      <c r="D1297" s="304">
        <f>_xlfn.IFNA(VLOOKUP(C1297,Database!$D$5:$F$439,2,0),VLOOKUP(C1297,logut!$C$4:$D$499,2,0))</f>
        <v>642201149</v>
      </c>
      <c r="E1297" s="86" t="s">
        <v>5900</v>
      </c>
      <c r="G1297" s="86" t="s">
        <v>1150</v>
      </c>
      <c r="H1297" s="86" t="s">
        <v>5901</v>
      </c>
      <c r="I1297" s="212">
        <v>45689</v>
      </c>
      <c r="J1297" s="86" t="s">
        <v>6914</v>
      </c>
    </row>
    <row r="1298" spans="2:10" x14ac:dyDescent="0.2">
      <c r="B1298" s="86">
        <v>1295</v>
      </c>
      <c r="C1298" s="86" t="s">
        <v>3558</v>
      </c>
      <c r="D1298" s="304">
        <f>_xlfn.IFNA(VLOOKUP(C1298,Database!$D$5:$F$439,2,0),VLOOKUP(C1298,logut!$C$4:$D$499,2,0))</f>
        <v>642301190</v>
      </c>
      <c r="E1298" s="86" t="s">
        <v>5900</v>
      </c>
      <c r="G1298" s="86" t="s">
        <v>73</v>
      </c>
      <c r="H1298" s="86" t="s">
        <v>5901</v>
      </c>
      <c r="I1298" s="212">
        <v>45689</v>
      </c>
      <c r="J1298" s="86" t="s">
        <v>6914</v>
      </c>
    </row>
    <row r="1299" spans="2:10" x14ac:dyDescent="0.2">
      <c r="B1299" s="86">
        <v>1296</v>
      </c>
      <c r="C1299" s="86" t="s">
        <v>1351</v>
      </c>
      <c r="D1299" s="304">
        <f>_xlfn.IFNA(VLOOKUP(C1299,Database!$D$5:$F$439,2,0),VLOOKUP(C1299,logut!$C$4:$D$499,2,0))</f>
        <v>971800020</v>
      </c>
      <c r="E1299" s="86" t="s">
        <v>5900</v>
      </c>
      <c r="G1299" s="86" t="s">
        <v>6908</v>
      </c>
      <c r="H1299" s="86" t="s">
        <v>5901</v>
      </c>
      <c r="I1299" s="212">
        <v>45679</v>
      </c>
      <c r="J1299" s="86" t="s">
        <v>6995</v>
      </c>
    </row>
    <row r="1300" spans="2:10" x14ac:dyDescent="0.2">
      <c r="B1300" s="86">
        <v>1297</v>
      </c>
      <c r="C1300" s="86" t="s">
        <v>6896</v>
      </c>
      <c r="D1300" s="304">
        <f>_xlfn.IFNA(VLOOKUP(C1300,Database!$D$5:$F$439,2,0),VLOOKUP(C1300,logut!$C$4:$D$499,2,0))</f>
        <v>999900117</v>
      </c>
      <c r="E1300" s="86" t="s">
        <v>137</v>
      </c>
      <c r="G1300" s="86" t="s">
        <v>1074</v>
      </c>
      <c r="H1300" s="86" t="s">
        <v>5901</v>
      </c>
      <c r="I1300" s="212">
        <v>45695</v>
      </c>
      <c r="J1300" s="86" t="s">
        <v>6994</v>
      </c>
    </row>
    <row r="1301" spans="2:10" x14ac:dyDescent="0.2">
      <c r="B1301" s="86">
        <v>1298</v>
      </c>
      <c r="C1301" s="86" t="s">
        <v>6895</v>
      </c>
      <c r="D1301" s="304">
        <f>_xlfn.IFNA(VLOOKUP(C1301,Database!$D$5:$F$439,2,0),VLOOKUP(C1301,logut!$C$4:$D$499,2,0))</f>
        <v>991100061</v>
      </c>
      <c r="E1301" s="86" t="s">
        <v>137</v>
      </c>
      <c r="G1301" s="86" t="s">
        <v>1115</v>
      </c>
      <c r="H1301" s="86" t="s">
        <v>5901</v>
      </c>
      <c r="I1301" s="212">
        <v>45695</v>
      </c>
      <c r="J1301" s="86" t="s">
        <v>6994</v>
      </c>
    </row>
    <row r="1302" spans="2:10" x14ac:dyDescent="0.2">
      <c r="B1302" s="86">
        <v>1299</v>
      </c>
      <c r="C1302" s="86" t="s">
        <v>1903</v>
      </c>
      <c r="D1302" s="304">
        <f>_xlfn.IFNA(VLOOKUP(C1302,Database!$D$5:$F$439,2,0),VLOOKUP(C1302,logut!$C$4:$D$499,2,0))</f>
        <v>971900039</v>
      </c>
      <c r="E1302" s="86" t="s">
        <v>137</v>
      </c>
      <c r="G1302" s="86" t="s">
        <v>50</v>
      </c>
      <c r="H1302" s="86" t="s">
        <v>5901</v>
      </c>
      <c r="I1302" s="212">
        <v>45695</v>
      </c>
      <c r="J1302" s="86" t="s">
        <v>6994</v>
      </c>
    </row>
    <row r="1303" spans="2:10" x14ac:dyDescent="0.2">
      <c r="B1303" s="86">
        <v>1300</v>
      </c>
      <c r="C1303" s="86" t="s">
        <v>2212</v>
      </c>
      <c r="D1303" s="304">
        <f>_xlfn.IFNA(VLOOKUP(C1303,Database!$D$5:$F$439,2,0),VLOOKUP(C1303,logut!$C$4:$D$499,2,0))</f>
        <v>972000050</v>
      </c>
      <c r="E1303" s="86" t="s">
        <v>138</v>
      </c>
      <c r="G1303" s="86" t="s">
        <v>1150</v>
      </c>
      <c r="H1303" s="86" t="s">
        <v>5901</v>
      </c>
      <c r="I1303" s="212">
        <v>45695</v>
      </c>
      <c r="J1303" s="86" t="s">
        <v>6994</v>
      </c>
    </row>
    <row r="1304" spans="2:10" x14ac:dyDescent="0.2">
      <c r="B1304" s="86">
        <v>1301</v>
      </c>
      <c r="C1304" s="86" t="s">
        <v>1073</v>
      </c>
      <c r="D1304" s="304">
        <f>_xlfn.IFNA(VLOOKUP(C1304,Database!$D$5:$F$439,2,0),VLOOKUP(C1304,logut!$C$4:$D$499,2,0))</f>
        <v>971800016</v>
      </c>
      <c r="E1304" s="86" t="s">
        <v>5935</v>
      </c>
      <c r="G1304" s="86" t="s">
        <v>6911</v>
      </c>
      <c r="H1304" s="86" t="s">
        <v>32</v>
      </c>
      <c r="I1304" s="212">
        <v>45695</v>
      </c>
      <c r="J1304" s="86" t="s">
        <v>6994</v>
      </c>
    </row>
    <row r="1305" spans="2:10" x14ac:dyDescent="0.2">
      <c r="B1305" s="86">
        <v>1302</v>
      </c>
      <c r="C1305" s="86" t="s">
        <v>102</v>
      </c>
      <c r="D1305" s="304">
        <f>_xlfn.IFNA(VLOOKUP(C1305,Database!$D$5:$F$439,2,0),VLOOKUP(C1305,logut!$C$4:$D$499,2,0))</f>
        <v>991500018</v>
      </c>
      <c r="E1305" s="86" t="s">
        <v>5900</v>
      </c>
      <c r="G1305" s="86" t="s">
        <v>6909</v>
      </c>
      <c r="H1305" s="86" t="s">
        <v>5901</v>
      </c>
      <c r="I1305" s="212">
        <v>45695</v>
      </c>
      <c r="J1305" s="86" t="s">
        <v>6999</v>
      </c>
    </row>
    <row r="1306" spans="2:10" x14ac:dyDescent="0.2">
      <c r="B1306" s="86">
        <v>1303</v>
      </c>
      <c r="C1306" s="86" t="s">
        <v>74</v>
      </c>
      <c r="D1306" s="304">
        <f>_xlfn.IFNA(VLOOKUP(C1306,Database!$D$5:$F$439,2,0),VLOOKUP(C1306,logut!$C$4:$D$499,2,0))</f>
        <v>971800021</v>
      </c>
      <c r="E1306" s="86" t="s">
        <v>5900</v>
      </c>
      <c r="G1306" s="86" t="s">
        <v>6909</v>
      </c>
      <c r="H1306" s="86" t="s">
        <v>5901</v>
      </c>
      <c r="I1306" s="212">
        <v>45695</v>
      </c>
      <c r="J1306" s="86" t="s">
        <v>6999</v>
      </c>
    </row>
    <row r="1307" spans="2:10" x14ac:dyDescent="0.2">
      <c r="B1307" s="86">
        <v>1304</v>
      </c>
      <c r="C1307" s="86" t="s">
        <v>79</v>
      </c>
      <c r="D1307" s="304">
        <f>_xlfn.IFNA(VLOOKUP(C1307,Database!$D$5:$F$439,2,0),VLOOKUP(C1307,logut!$C$4:$D$499,2,0))</f>
        <v>971900043</v>
      </c>
      <c r="E1307" s="86" t="s">
        <v>5900</v>
      </c>
      <c r="G1307" s="86" t="s">
        <v>6909</v>
      </c>
      <c r="H1307" s="86" t="s">
        <v>5901</v>
      </c>
      <c r="I1307" s="212">
        <v>45695</v>
      </c>
      <c r="J1307" s="86" t="s">
        <v>6999</v>
      </c>
    </row>
    <row r="1308" spans="2:10" x14ac:dyDescent="0.2">
      <c r="B1308" s="86">
        <v>1305</v>
      </c>
      <c r="C1308" s="86" t="s">
        <v>69</v>
      </c>
      <c r="D1308" s="304">
        <f>_xlfn.IFNA(VLOOKUP(C1308,Database!$D$5:$F$439,2,0),VLOOKUP(C1308,logut!$C$4:$D$499,2,0))</f>
        <v>972000054</v>
      </c>
      <c r="E1308" s="86" t="s">
        <v>5900</v>
      </c>
      <c r="G1308" s="86" t="s">
        <v>6996</v>
      </c>
      <c r="H1308" s="86" t="s">
        <v>5901</v>
      </c>
      <c r="I1308" s="212">
        <v>45695</v>
      </c>
      <c r="J1308" s="86" t="s">
        <v>6999</v>
      </c>
    </row>
    <row r="1309" spans="2:10" x14ac:dyDescent="0.2">
      <c r="B1309" s="86">
        <v>1306</v>
      </c>
      <c r="C1309" s="86" t="s">
        <v>583</v>
      </c>
      <c r="D1309" s="304">
        <f>_xlfn.IFNA(VLOOKUP(C1309,Database!$D$5:$F$439,2,0),VLOOKUP(C1309,logut!$C$4:$D$499,2,0))</f>
        <v>971700010</v>
      </c>
      <c r="E1309" s="86" t="s">
        <v>5900</v>
      </c>
      <c r="G1309" s="86" t="s">
        <v>6908</v>
      </c>
      <c r="H1309" s="86" t="s">
        <v>5901</v>
      </c>
      <c r="I1309" s="212">
        <v>45695</v>
      </c>
      <c r="J1309" s="86" t="s">
        <v>6999</v>
      </c>
    </row>
    <row r="1310" spans="2:10" x14ac:dyDescent="0.2">
      <c r="B1310" s="86">
        <v>1307</v>
      </c>
      <c r="C1310" s="86" t="s">
        <v>1149</v>
      </c>
      <c r="D1310" s="304">
        <f>_xlfn.IFNA(VLOOKUP(C1310,Database!$D$5:$F$439,2,0),VLOOKUP(C1310,logut!$C$4:$D$499,2,0))</f>
        <v>971800019</v>
      </c>
      <c r="E1310" s="86" t="s">
        <v>5900</v>
      </c>
      <c r="G1310" s="86" t="s">
        <v>6016</v>
      </c>
      <c r="H1310" s="86" t="s">
        <v>5901</v>
      </c>
      <c r="I1310" s="212">
        <v>45695</v>
      </c>
      <c r="J1310" s="86" t="s">
        <v>6999</v>
      </c>
    </row>
    <row r="1311" spans="2:10" x14ac:dyDescent="0.2">
      <c r="B1311" s="86">
        <v>1308</v>
      </c>
      <c r="C1311" s="86" t="s">
        <v>762</v>
      </c>
      <c r="D1311" s="304">
        <f>_xlfn.IFNA(VLOOKUP(C1311,Database!$D$5:$F$439,2,0),VLOOKUP(C1311,logut!$C$4:$D$499,2,0))</f>
        <v>971900033</v>
      </c>
      <c r="E1311" s="86" t="s">
        <v>5900</v>
      </c>
      <c r="G1311" s="86" t="s">
        <v>1115</v>
      </c>
      <c r="H1311" s="86" t="s">
        <v>5901</v>
      </c>
      <c r="I1311" s="212">
        <v>45695</v>
      </c>
      <c r="J1311" s="86" t="s">
        <v>6999</v>
      </c>
    </row>
    <row r="1312" spans="2:10" x14ac:dyDescent="0.2">
      <c r="B1312" s="86">
        <v>1309</v>
      </c>
      <c r="C1312" s="86" t="s">
        <v>458</v>
      </c>
      <c r="D1312" s="304">
        <f>_xlfn.IFNA(VLOOKUP(C1312,Database!$D$5:$F$439,2,0),VLOOKUP(C1312,logut!$C$4:$D$499,2,0))</f>
        <v>971800026</v>
      </c>
      <c r="E1312" s="86" t="s">
        <v>5900</v>
      </c>
      <c r="G1312" s="86" t="s">
        <v>6997</v>
      </c>
      <c r="H1312" s="86" t="s">
        <v>5901</v>
      </c>
      <c r="I1312" s="212">
        <v>45695</v>
      </c>
      <c r="J1312" s="86" t="s">
        <v>6999</v>
      </c>
    </row>
    <row r="1313" spans="2:10" x14ac:dyDescent="0.2">
      <c r="B1313" s="86">
        <v>1310</v>
      </c>
      <c r="C1313" s="86" t="s">
        <v>500</v>
      </c>
      <c r="D1313" s="304">
        <f>_xlfn.IFNA(VLOOKUP(C1313,Database!$D$5:$F$439,2,0),VLOOKUP(C1313,logut!$C$4:$D$499,2,0))</f>
        <v>971700005</v>
      </c>
      <c r="E1313" s="86" t="s">
        <v>5900</v>
      </c>
      <c r="G1313" s="86" t="s">
        <v>6998</v>
      </c>
      <c r="H1313" s="86" t="s">
        <v>5901</v>
      </c>
      <c r="I1313" s="212">
        <v>45695</v>
      </c>
      <c r="J1313" s="86" t="s">
        <v>6999</v>
      </c>
    </row>
    <row r="1314" spans="2:10" x14ac:dyDescent="0.2">
      <c r="B1314" s="86">
        <v>1311</v>
      </c>
      <c r="C1314" s="86" t="s">
        <v>2718</v>
      </c>
      <c r="D1314" s="304">
        <f>_xlfn.IFNA(VLOOKUP(C1314,Database!$D$5:$F$439,2,0),VLOOKUP(C1314,logut!$C$4:$D$499,2,0))</f>
        <v>999800090</v>
      </c>
      <c r="E1314" s="86" t="s">
        <v>5900</v>
      </c>
      <c r="G1314" s="86" t="s">
        <v>6126</v>
      </c>
      <c r="H1314" s="86" t="s">
        <v>5901</v>
      </c>
      <c r="I1314" s="212">
        <v>45695</v>
      </c>
      <c r="J1314" s="86" t="s">
        <v>6999</v>
      </c>
    </row>
  </sheetData>
  <autoFilter ref="B3:J1314" xr:uid="{3502FE70-D8D2-4C36-91A3-2A2918B1E158}">
    <sortState xmlns:xlrd2="http://schemas.microsoft.com/office/spreadsheetml/2017/richdata2" ref="B4:J1193">
      <sortCondition ref="I3:I305"/>
    </sortState>
  </autoFilter>
  <phoneticPr fontId="2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22C5-08EB-4D45-A5EC-55E4F66F4CBD}">
  <sheetPr codeName="Sheet7"/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576" sqref="C576"/>
    </sheetView>
  </sheetViews>
  <sheetFormatPr defaultColWidth="14.44140625" defaultRowHeight="15" customHeight="1" x14ac:dyDescent="0.3"/>
  <cols>
    <col min="1" max="1" width="8.77734375" customWidth="1"/>
    <col min="2" max="2" width="25.77734375" customWidth="1"/>
    <col min="3" max="3" width="30" customWidth="1"/>
    <col min="4" max="25" width="8.77734375" customWidth="1"/>
  </cols>
  <sheetData>
    <row r="1" spans="1:26" ht="10.5" customHeight="1" x14ac:dyDescent="0.3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 spans="1:26" ht="10.5" customHeight="1" x14ac:dyDescent="0.3">
      <c r="A2" s="86"/>
      <c r="B2" s="89" t="s">
        <v>60</v>
      </c>
      <c r="C2" s="89" t="s">
        <v>6274</v>
      </c>
      <c r="D2" s="89" t="s">
        <v>6275</v>
      </c>
      <c r="E2" s="89" t="s">
        <v>6276</v>
      </c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10.5" customHeight="1" x14ac:dyDescent="0.3">
      <c r="A3" s="86"/>
      <c r="B3" s="86" t="s">
        <v>575</v>
      </c>
      <c r="C3" s="86" t="s">
        <v>6277</v>
      </c>
      <c r="D3" s="86" t="s">
        <v>6278</v>
      </c>
      <c r="E3" s="86" t="str">
        <f>$D$3&amp;C3</f>
        <v>H:\My Drive\DIV_SDM\BAG. PERSONALIA\01 Data Karyawan\Foto\CV\Aan Taufik (971900031).jpg</v>
      </c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0.5" customHeight="1" x14ac:dyDescent="0.3">
      <c r="A4" s="86"/>
      <c r="B4" s="86" t="s">
        <v>1570</v>
      </c>
      <c r="C4" s="86" t="s">
        <v>6279</v>
      </c>
      <c r="D4" s="86"/>
      <c r="E4" s="86" t="str">
        <f t="shared" ref="E4:E67" si="0">$D$3&amp;C4</f>
        <v>H:\My Drive\DIV_SDM\BAG. PERSONALIA\01 Data Karyawan\Foto\CV\Abdul Mujib (641801141).jpg</v>
      </c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 ht="10.5" customHeight="1" x14ac:dyDescent="0.3">
      <c r="A5" s="86"/>
      <c r="B5" s="86" t="s">
        <v>5391</v>
      </c>
      <c r="C5" s="86" t="s">
        <v>6280</v>
      </c>
      <c r="D5" s="86"/>
      <c r="E5" s="86" t="str">
        <f t="shared" si="0"/>
        <v>H:\My Drive\DIV_SDM\BAG. PERSONALIA\01 Data Karyawan\Foto\CV\Ahmad Fitroh.JPG</v>
      </c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 ht="10.5" customHeight="1" x14ac:dyDescent="0.3">
      <c r="A6" s="86"/>
      <c r="B6" s="86" t="s">
        <v>2297</v>
      </c>
      <c r="C6" s="86" t="s">
        <v>6281</v>
      </c>
      <c r="D6" s="86"/>
      <c r="E6" s="86" t="str">
        <f t="shared" si="0"/>
        <v>H:\My Drive\DIV_SDM\BAG. PERSONALIA\01 Data Karyawan\Foto\CV\Achmad Irfan (641907245).jpeg</v>
      </c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 ht="10.5" customHeight="1" x14ac:dyDescent="0.3">
      <c r="A7" s="86"/>
      <c r="B7" s="86" t="s">
        <v>762</v>
      </c>
      <c r="C7" s="86" t="s">
        <v>6282</v>
      </c>
      <c r="D7" s="86"/>
      <c r="E7" s="86" t="str">
        <f t="shared" si="0"/>
        <v>H:\My Drive\DIV_SDM\BAG. PERSONALIA\01 Data Karyawan\Foto\CV\Adang Yonata (971900033).jpg</v>
      </c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 ht="10.5" customHeight="1" x14ac:dyDescent="0.3">
      <c r="A8" s="86"/>
      <c r="B8" s="86" t="s">
        <v>2150</v>
      </c>
      <c r="C8" s="86" t="s">
        <v>6283</v>
      </c>
      <c r="D8" s="86"/>
      <c r="E8" s="86" t="str">
        <f t="shared" si="0"/>
        <v>H:\My Drive\DIV_SDM\BAG. PERSONALIA\01 Data Karyawan\Foto\CV\Ade Febri Andika Putra (641810203).jpg</v>
      </c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 ht="10.5" customHeight="1" x14ac:dyDescent="0.3">
      <c r="A9" s="86"/>
      <c r="B9" s="86" t="s">
        <v>2226</v>
      </c>
      <c r="C9" s="86" t="s">
        <v>6284</v>
      </c>
      <c r="D9" s="86"/>
      <c r="E9" s="86" t="str">
        <f t="shared" si="0"/>
        <v>H:\My Drive\DIV_SDM\BAG. PERSONALIA\01 Data Karyawan\Foto\CV\Ade Saptura (641906240).jpg</v>
      </c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 ht="10.5" customHeight="1" x14ac:dyDescent="0.3">
      <c r="A10" s="86"/>
      <c r="B10" s="86" t="s">
        <v>1411</v>
      </c>
      <c r="C10" s="86" t="s">
        <v>6285</v>
      </c>
      <c r="D10" s="86"/>
      <c r="E10" s="86" t="str">
        <f t="shared" si="0"/>
        <v>H:\My Drive\DIV_SDM\BAG. PERSONALIA\01 Data Karyawan\Foto\CV\Ade Setya Purnama (642001022).jpg</v>
      </c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 ht="10.5" customHeight="1" x14ac:dyDescent="0.3">
      <c r="A11" s="86"/>
      <c r="B11" s="86" t="s">
        <v>2391</v>
      </c>
      <c r="C11" s="86" t="s">
        <v>6286</v>
      </c>
      <c r="D11" s="86"/>
      <c r="E11" s="86" t="str">
        <f t="shared" si="0"/>
        <v>H:\My Drive\DIV_SDM\BAG. PERSONALIA\01 Data Karyawan\Foto\CV\Adhe Nugraha (641907252).jpeg</v>
      </c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 ht="10.5" customHeight="1" x14ac:dyDescent="0.3">
      <c r="A12" s="86"/>
      <c r="B12" s="86" t="s">
        <v>1763</v>
      </c>
      <c r="C12" s="86" t="s">
        <v>6287</v>
      </c>
      <c r="D12" s="86"/>
      <c r="E12" s="86" t="str">
        <f t="shared" si="0"/>
        <v>H:\My Drive\DIV_SDM\BAG. PERSONALIA\01 Data Karyawan\Foto\CV\Adhip Widodo (641807164).jpg</v>
      </c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 ht="10.5" customHeight="1" x14ac:dyDescent="0.3">
      <c r="A13" s="86"/>
      <c r="B13" s="86" t="s">
        <v>3028</v>
      </c>
      <c r="C13" s="86" t="s">
        <v>6924</v>
      </c>
      <c r="D13" s="86"/>
      <c r="E13" s="86" t="str">
        <f t="shared" si="0"/>
        <v>H:\My Drive\DIV_SDM\BAG. PERSONALIA\01 Data Karyawan\Foto\CV\Adib_Ardhian.png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 ht="10.5" customHeight="1" x14ac:dyDescent="0.3">
      <c r="A14" s="86"/>
      <c r="B14" s="86" t="s">
        <v>5603</v>
      </c>
      <c r="C14" s="86" t="s">
        <v>6288</v>
      </c>
      <c r="D14" s="86"/>
      <c r="E14" s="86" t="str">
        <f t="shared" si="0"/>
        <v>H:\My Drive\DIV_SDM\BAG. PERSONALIA\01 Data Karyawan\Foto\CV\Adisca Dewi.JPG</v>
      </c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 ht="10.5" customHeight="1" x14ac:dyDescent="0.3">
      <c r="A15" s="86"/>
      <c r="B15" s="86" t="s">
        <v>4351</v>
      </c>
      <c r="C15" s="86" t="s">
        <v>6925</v>
      </c>
      <c r="D15" s="86"/>
      <c r="E15" s="86" t="str">
        <f t="shared" si="0"/>
        <v>H:\My Drive\DIV_SDM\BAG. PERSONALIA\01 Data Karyawan\Foto\CV\Aditya_Erlangga_Prasetyo-removebg-preview.png</v>
      </c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 ht="10.5" customHeight="1" x14ac:dyDescent="0.3">
      <c r="A16" s="86"/>
      <c r="B16" s="86" t="s">
        <v>5638</v>
      </c>
      <c r="C16" s="86"/>
      <c r="D16" s="86"/>
      <c r="E16" s="86" t="str">
        <f t="shared" si="0"/>
        <v>H:\My Drive\DIV_SDM\BAG. PERSONALIA\01 Data Karyawan\Foto\CV\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 ht="10.5" customHeight="1" x14ac:dyDescent="0.3">
      <c r="A17" s="86"/>
      <c r="B17" s="86" t="s">
        <v>6289</v>
      </c>
      <c r="C17" s="86" t="s">
        <v>6926</v>
      </c>
      <c r="D17" s="86"/>
      <c r="E17" s="86" t="str">
        <f t="shared" si="0"/>
        <v>H:\My Drive\DIV_SDM\BAG. PERSONALIA\01 Data Karyawan\Foto\CV\Aditya_Novianto_Wicaksana-removebg-preview.png</v>
      </c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 ht="10.5" customHeight="1" x14ac:dyDescent="0.3">
      <c r="A18" s="86"/>
      <c r="B18" s="86" t="s">
        <v>5703</v>
      </c>
      <c r="C18" s="86"/>
      <c r="D18" s="86"/>
      <c r="E18" s="86" t="str">
        <f t="shared" si="0"/>
        <v>H:\My Drive\DIV_SDM\BAG. PERSONALIA\01 Data Karyawan\Foto\CV\</v>
      </c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 ht="10.5" customHeight="1" x14ac:dyDescent="0.3">
      <c r="A19" s="86"/>
      <c r="B19" s="86" t="s">
        <v>2305</v>
      </c>
      <c r="C19" s="86" t="s">
        <v>6290</v>
      </c>
      <c r="D19" s="86"/>
      <c r="E19" s="86" t="str">
        <f t="shared" si="0"/>
        <v>H:\My Drive\DIV_SDM\BAG. PERSONALIA\01 Data Karyawan\Foto\CV\Adrian_Junior.png</v>
      </c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 ht="10.5" customHeight="1" x14ac:dyDescent="0.3">
      <c r="A20" s="86"/>
      <c r="B20" s="86" t="s">
        <v>4141</v>
      </c>
      <c r="C20" s="86" t="s">
        <v>6291</v>
      </c>
      <c r="D20" s="86"/>
      <c r="E20" s="86" t="str">
        <f t="shared" si="0"/>
        <v>H:\My Drive\DIV_SDM\BAG. PERSONALIA\01 Data Karyawan\Foto\CV\Adzan arik anggriawan.jpeg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 ht="10.5" customHeight="1" x14ac:dyDescent="0.3">
      <c r="A21" s="86"/>
      <c r="B21" s="86" t="s">
        <v>2399</v>
      </c>
      <c r="C21" s="86" t="s">
        <v>6292</v>
      </c>
      <c r="D21" s="86"/>
      <c r="E21" s="86" t="str">
        <f t="shared" si="0"/>
        <v>H:\My Drive\DIV_SDM\BAG. PERSONALIA\01 Data Karyawan\Foto\CV\affan misbahul (641907257).jpg</v>
      </c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 ht="10.5" customHeight="1" x14ac:dyDescent="0.3">
      <c r="A22" s="86"/>
      <c r="B22" s="86" t="s">
        <v>4612</v>
      </c>
      <c r="C22" s="86" t="s">
        <v>6927</v>
      </c>
      <c r="D22" s="86"/>
      <c r="E22" s="86" t="str">
        <f t="shared" si="0"/>
        <v>H:\My Drive\DIV_SDM\BAG. PERSONALIA\01 Data Karyawan\Foto\CV\Afriza Krido Ananta.jpeg</v>
      </c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 ht="10.5" customHeight="1" x14ac:dyDescent="0.3">
      <c r="A23" s="86"/>
      <c r="B23" s="86" t="s">
        <v>732</v>
      </c>
      <c r="C23" s="86" t="s">
        <v>6293</v>
      </c>
      <c r="D23" s="86"/>
      <c r="E23" s="86" t="str">
        <f t="shared" si="0"/>
        <v>H:\My Drive\DIV_SDM\BAG. PERSONALIA\01 Data Karyawan\Foto\CV\Agil Ardiansah (642001009).jpg</v>
      </c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 ht="10.5" customHeight="1" x14ac:dyDescent="0.3">
      <c r="A24" s="86"/>
      <c r="B24" s="86" t="s">
        <v>530</v>
      </c>
      <c r="C24" s="86" t="s">
        <v>6294</v>
      </c>
      <c r="D24" s="86"/>
      <c r="E24" s="86" t="str">
        <f t="shared" si="0"/>
        <v>H:\My Drive\DIV_SDM\BAG. PERSONALIA\01 Data Karyawan\Foto\CV\Agung Dwi Prabowo (971900047).jpg</v>
      </c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 ht="10.5" customHeight="1" x14ac:dyDescent="0.3">
      <c r="A25" s="86"/>
      <c r="B25" s="86" t="s">
        <v>309</v>
      </c>
      <c r="C25" s="86" t="s">
        <v>6928</v>
      </c>
      <c r="D25" s="86"/>
      <c r="E25" s="86" t="str">
        <f t="shared" si="0"/>
        <v>H:\My Drive\DIV_SDM\BAG. PERSONALIA\01 Data Karyawan\Foto\CV\Agung_setiawan-removebg-preview.png</v>
      </c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 ht="10.5" customHeight="1" x14ac:dyDescent="0.3">
      <c r="A26" s="86"/>
      <c r="B26" s="86" t="s">
        <v>694</v>
      </c>
      <c r="C26" s="86" t="s">
        <v>6295</v>
      </c>
      <c r="D26" s="86"/>
      <c r="E26" s="86" t="str">
        <f t="shared" si="0"/>
        <v>H:\My Drive\DIV_SDM\BAG. PERSONALIA\01 Data Karyawan\Foto\CV\Agus Hariono (971900028).jpg</v>
      </c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 ht="10.5" customHeight="1" x14ac:dyDescent="0.3">
      <c r="A27" s="86"/>
      <c r="B27" s="86" t="s">
        <v>2238</v>
      </c>
      <c r="C27" s="86" t="s">
        <v>6296</v>
      </c>
      <c r="D27" s="86"/>
      <c r="E27" s="86" t="str">
        <f t="shared" si="0"/>
        <v>H:\My Drive\DIV_SDM\BAG. PERSONALIA\01 Data Karyawan\Foto\CV\Agus_Makmun.png</v>
      </c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 ht="10.5" customHeight="1" x14ac:dyDescent="0.3">
      <c r="A28" s="86"/>
      <c r="B28" s="86" t="s">
        <v>950</v>
      </c>
      <c r="C28" s="86" t="s">
        <v>6297</v>
      </c>
      <c r="D28" s="86"/>
      <c r="E28" s="86" t="str">
        <f t="shared" si="0"/>
        <v>H:\My Drive\DIV_SDM\BAG. PERSONALIA\01 Data Karyawan\Foto\CV\Agus Prasetyo (642001057).jpg</v>
      </c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 ht="10.5" customHeight="1" x14ac:dyDescent="0.3">
      <c r="A29" s="86"/>
      <c r="B29" s="86" t="s">
        <v>4895</v>
      </c>
      <c r="C29" s="86" t="s">
        <v>6298</v>
      </c>
      <c r="D29" s="86"/>
      <c r="E29" s="86" t="str">
        <f t="shared" si="0"/>
        <v>H:\My Drive\DIV_SDM\BAG. PERSONALIA\01 Data Karyawan\Foto\CV\Agus Riyanto (642001064).jpg</v>
      </c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 ht="10.5" customHeight="1" x14ac:dyDescent="0.3">
      <c r="A30" s="86"/>
      <c r="B30" s="86" t="s">
        <v>419</v>
      </c>
      <c r="C30" s="86" t="s">
        <v>6299</v>
      </c>
      <c r="D30" s="86"/>
      <c r="E30" s="86" t="str">
        <f t="shared" si="0"/>
        <v>H:\My Drive\DIV_SDM\BAG. PERSONALIA\01 Data Karyawan\Foto\CV\Agus Santoso (642001017).jpg</v>
      </c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 ht="10.5" customHeight="1" x14ac:dyDescent="0.3">
      <c r="A31" s="86"/>
      <c r="B31" s="86" t="s">
        <v>4167</v>
      </c>
      <c r="C31" s="86"/>
      <c r="D31" s="86"/>
      <c r="E31" s="86" t="str">
        <f t="shared" si="0"/>
        <v>H:\My Drive\DIV_SDM\BAG. PERSONALIA\01 Data Karyawan\Foto\CV\</v>
      </c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 ht="10.5" customHeight="1" x14ac:dyDescent="0.3">
      <c r="A32" s="86"/>
      <c r="B32" s="86" t="s">
        <v>188</v>
      </c>
      <c r="C32" s="86" t="s">
        <v>6300</v>
      </c>
      <c r="D32" s="86"/>
      <c r="E32" s="86" t="str">
        <f t="shared" si="0"/>
        <v>H:\My Drive\DIV_SDM\BAG. PERSONALIA\01 Data Karyawan\Foto\CV\Agus Susilo.JPG</v>
      </c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10.5" customHeight="1" x14ac:dyDescent="0.3">
      <c r="A33" s="86"/>
      <c r="B33" s="86" t="s">
        <v>5309</v>
      </c>
      <c r="C33" s="86" t="s">
        <v>6301</v>
      </c>
      <c r="D33" s="86"/>
      <c r="E33" s="86" t="str">
        <f t="shared" si="0"/>
        <v>H:\My Drive\DIV_SDM\BAG. PERSONALIA\01 Data Karyawan\Foto\CV\Agus Tri L (3).JPG</v>
      </c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10.5" customHeight="1" x14ac:dyDescent="0.3">
      <c r="A34" s="86"/>
      <c r="B34" s="86" t="s">
        <v>4324</v>
      </c>
      <c r="C34" s="86" t="s">
        <v>6929</v>
      </c>
      <c r="D34" s="86"/>
      <c r="E34" s="86" t="str">
        <f t="shared" si="0"/>
        <v>H:\My Drive\DIV_SDM\BAG. PERSONALIA\01 Data Karyawan\Foto\CV\Agus Tri Waloyo.png</v>
      </c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 ht="10.5" customHeight="1" x14ac:dyDescent="0.3">
      <c r="A35" s="86"/>
      <c r="B35" s="86" t="s">
        <v>2636</v>
      </c>
      <c r="C35" s="86" t="s">
        <v>6302</v>
      </c>
      <c r="D35" s="86"/>
      <c r="E35" s="86" t="str">
        <f t="shared" si="0"/>
        <v>H:\My Drive\DIV_SDM\BAG. PERSONALIA\01 Data Karyawan\Foto\CV\Agus_Wuryanto-removebg-preview.png</v>
      </c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 ht="10.5" customHeight="1" x14ac:dyDescent="0.3">
      <c r="A36" s="86"/>
      <c r="B36" s="86" t="s">
        <v>6740</v>
      </c>
      <c r="C36" s="86" t="s">
        <v>6930</v>
      </c>
      <c r="D36" s="86"/>
      <c r="E36" s="86" t="str">
        <f t="shared" si="0"/>
        <v>H:\My Drive\DIV_SDM\BAG. PERSONALIA\01 Data Karyawan\Foto\CV\Ahinda_Afrilia_Ristianingrum-removebg-preview.png</v>
      </c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 ht="10.5" customHeight="1" x14ac:dyDescent="0.3">
      <c r="A37" s="86"/>
      <c r="B37" s="86" t="s">
        <v>4116</v>
      </c>
      <c r="C37" s="86" t="s">
        <v>6303</v>
      </c>
      <c r="D37" s="86"/>
      <c r="E37" s="86" t="str">
        <f t="shared" si="0"/>
        <v>H:\My Drive\DIV_SDM\BAG. PERSONALIA\01 Data Karyawan\Foto\CV\AHMAD_FAUZI-removebg-preview.png</v>
      </c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 ht="10.5" customHeight="1" x14ac:dyDescent="0.3">
      <c r="A38" s="86"/>
      <c r="B38" s="86" t="s">
        <v>2409</v>
      </c>
      <c r="C38" s="86" t="s">
        <v>6931</v>
      </c>
      <c r="D38" s="86"/>
      <c r="E38" s="86" t="str">
        <f t="shared" si="0"/>
        <v>H:\My Drive\DIV_SDM\BAG. PERSONALIA\01 Data Karyawan\Foto\CV\Ahmad_Rizal.png</v>
      </c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 ht="10.5" customHeight="1" x14ac:dyDescent="0.3">
      <c r="A39" s="86"/>
      <c r="B39" s="86" t="s">
        <v>2010</v>
      </c>
      <c r="C39" s="86" t="s">
        <v>6304</v>
      </c>
      <c r="D39" s="86"/>
      <c r="E39" s="86" t="str">
        <f t="shared" si="0"/>
        <v>H:\My Drive\DIV_SDM\BAG. PERSONALIA\01 Data Karyawan\Foto\CV\Ahmad Syaiful Anwar (64180184).jpg</v>
      </c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 ht="10.5" customHeight="1" x14ac:dyDescent="0.3">
      <c r="A40" s="86"/>
      <c r="B40" s="86" t="s">
        <v>82</v>
      </c>
      <c r="C40" s="86" t="s">
        <v>6305</v>
      </c>
      <c r="D40" s="86"/>
      <c r="E40" s="86" t="str">
        <f t="shared" si="0"/>
        <v>H:\My Drive\DIV_SDM\BAG. PERSONALIA\01 Data Karyawan\Foto\CV\Ahmad Yudha Fitrianto (971900036).jpg</v>
      </c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 ht="10.5" customHeight="1" x14ac:dyDescent="0.3">
      <c r="A41" s="86"/>
      <c r="B41" s="86" t="s">
        <v>1510</v>
      </c>
      <c r="C41" s="86" t="s">
        <v>6306</v>
      </c>
      <c r="D41" s="86"/>
      <c r="E41" s="86" t="str">
        <f t="shared" si="0"/>
        <v>H:\My Drive\DIV_SDM\BAG. PERSONALIA\01 Data Karyawan\Foto\CV\Ahmad Zajuli (742001021).jpg</v>
      </c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 ht="10.5" customHeight="1" x14ac:dyDescent="0.3">
      <c r="A42" s="86"/>
      <c r="B42" s="86" t="s">
        <v>3528</v>
      </c>
      <c r="C42" s="86" t="s">
        <v>6307</v>
      </c>
      <c r="D42" s="86"/>
      <c r="E42" s="86" t="str">
        <f t="shared" si="0"/>
        <v>H:\My Drive\DIV_SDM\BAG. PERSONALIA\01 Data Karyawan\Foto\CV\Akbar_Wildhan_P-removebg-preview.png</v>
      </c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 ht="10.5" customHeight="1" x14ac:dyDescent="0.3">
      <c r="A43" s="86"/>
      <c r="B43" s="86" t="s">
        <v>3842</v>
      </c>
      <c r="C43" s="86" t="s">
        <v>6308</v>
      </c>
      <c r="D43" s="86"/>
      <c r="E43" s="86" t="str">
        <f t="shared" si="0"/>
        <v>H:\My Drive\DIV_SDM\BAG. PERSONALIA\01 Data Karyawan\Foto\CV\Alberil Aditya Wijaya 642401152.jpeg</v>
      </c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 ht="10.5" customHeight="1" x14ac:dyDescent="0.3">
      <c r="A44" s="86"/>
      <c r="B44" s="86" t="s">
        <v>3280</v>
      </c>
      <c r="C44" s="86" t="s">
        <v>6309</v>
      </c>
      <c r="D44" s="86"/>
      <c r="E44" s="86" t="str">
        <f t="shared" si="0"/>
        <v>H:\My Drive\DIV_SDM\BAG. PERSONALIA\01 Data Karyawan\Foto\CV\Aldheo Racka Narendra.jpg</v>
      </c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 ht="10.5" customHeight="1" x14ac:dyDescent="0.3">
      <c r="A45" s="86"/>
      <c r="B45" s="86" t="s">
        <v>4396</v>
      </c>
      <c r="C45" s="86" t="s">
        <v>6932</v>
      </c>
      <c r="D45" s="86"/>
      <c r="E45" s="86" t="str">
        <f t="shared" si="0"/>
        <v>H:\My Drive\DIV_SDM\BAG. PERSONALIA\01 Data Karyawan\Foto\CV\ALDI_FAHREZI-removebg-preview.png</v>
      </c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 ht="10.5" customHeight="1" x14ac:dyDescent="0.3">
      <c r="A46" s="86"/>
      <c r="B46" s="86" t="s">
        <v>3476</v>
      </c>
      <c r="C46" s="86" t="s">
        <v>6310</v>
      </c>
      <c r="D46" s="86"/>
      <c r="E46" s="86" t="str">
        <f t="shared" si="0"/>
        <v>H:\My Drive\DIV_SDM\BAG. PERSONALIA\01 Data Karyawan\Foto\CV\Aldif Reza.jpg</v>
      </c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 ht="10.5" customHeight="1" x14ac:dyDescent="0.3">
      <c r="A47" s="86"/>
      <c r="B47" s="86" t="s">
        <v>1619</v>
      </c>
      <c r="C47" s="86" t="s">
        <v>6311</v>
      </c>
      <c r="D47" s="86"/>
      <c r="E47" s="86" t="str">
        <f t="shared" si="0"/>
        <v>H:\My Drive\DIV_SDM\BAG. PERSONALIA\01 Data Karyawan\Foto\CV\Alfi Dimas Sugianto (641805143).jpg</v>
      </c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 ht="10.5" customHeight="1" x14ac:dyDescent="0.3">
      <c r="A48" s="86"/>
      <c r="B48" s="86" t="s">
        <v>3422</v>
      </c>
      <c r="C48" s="86" t="s">
        <v>6312</v>
      </c>
      <c r="D48" s="86"/>
      <c r="E48" s="86" t="str">
        <f t="shared" si="0"/>
        <v>H:\My Drive\DIV_SDM\BAG. PERSONALIA\01 Data Karyawan\Foto\CV\Alfian Noer Cristanto.jpg</v>
      </c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 ht="10.5" customHeight="1" x14ac:dyDescent="0.3">
      <c r="A49" s="86"/>
      <c r="B49" s="86" t="s">
        <v>431</v>
      </c>
      <c r="C49" s="86" t="s">
        <v>6313</v>
      </c>
      <c r="D49" s="86"/>
      <c r="E49" s="86" t="str">
        <f t="shared" si="0"/>
        <v>H:\My Drive\DIV_SDM\BAG. PERSONALIA\01 Data Karyawan\Foto\CV\Alfi.jpg</v>
      </c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 ht="10.5" customHeight="1" x14ac:dyDescent="0.3">
      <c r="A50" s="86"/>
      <c r="B50" s="86" t="s">
        <v>3486</v>
      </c>
      <c r="C50" s="86" t="s">
        <v>6314</v>
      </c>
      <c r="D50" s="86"/>
      <c r="E50" s="86" t="str">
        <f t="shared" si="0"/>
        <v>H:\My Drive\DIV_SDM\BAG. PERSONALIA\01 Data Karyawan\Foto\CV\Ali Oktavian.jpg</v>
      </c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 ht="10.5" customHeight="1" x14ac:dyDescent="0.3">
      <c r="A51" s="86"/>
      <c r="B51" s="86" t="s">
        <v>5116</v>
      </c>
      <c r="C51" s="86" t="s">
        <v>6315</v>
      </c>
      <c r="D51" s="86"/>
      <c r="E51" s="86" t="str">
        <f t="shared" si="0"/>
        <v>H:\My Drive\DIV_SDM\BAG. PERSONALIA\01 Data Karyawan\Foto\CV\Alifan Basman.jpg</v>
      </c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 ht="10.5" customHeight="1" x14ac:dyDescent="0.3">
      <c r="A52" s="86"/>
      <c r="B52" s="86" t="s">
        <v>5885</v>
      </c>
      <c r="C52" s="86"/>
      <c r="D52" s="86"/>
      <c r="E52" s="86" t="str">
        <f t="shared" si="0"/>
        <v>H:\My Drive\DIV_SDM\BAG. PERSONALIA\01 Data Karyawan\Foto\CV\</v>
      </c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 spans="1:26" ht="10.5" customHeight="1" x14ac:dyDescent="0.3">
      <c r="A53" s="86"/>
      <c r="B53" s="86" t="s">
        <v>3383</v>
      </c>
      <c r="C53" s="86" t="s">
        <v>6316</v>
      </c>
      <c r="D53" s="86"/>
      <c r="E53" s="86" t="str">
        <f t="shared" si="0"/>
        <v>H:\My Drive\DIV_SDM\BAG. PERSONALIA\01 Data Karyawan\Foto\CV\Alvian Krisetiawan.jpg</v>
      </c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 spans="1:26" ht="10.5" customHeight="1" x14ac:dyDescent="0.3">
      <c r="A54" s="86"/>
      <c r="B54" s="86" t="s">
        <v>3756</v>
      </c>
      <c r="C54" s="86" t="s">
        <v>6317</v>
      </c>
      <c r="D54" s="86"/>
      <c r="E54" s="86" t="str">
        <f t="shared" si="0"/>
        <v>H:\My Drive\DIV_SDM\BAG. PERSONALIA\01 Data Karyawan\Foto\CV\alvin_d-removebg-preview.png</v>
      </c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 spans="1:26" ht="10.5" customHeight="1" x14ac:dyDescent="0.3">
      <c r="A55" s="86"/>
      <c r="B55" s="86" t="s">
        <v>3205</v>
      </c>
      <c r="C55" s="86" t="s">
        <v>6318</v>
      </c>
      <c r="D55" s="86"/>
      <c r="E55" s="86" t="str">
        <f t="shared" si="0"/>
        <v>H:\My Drive\DIV_SDM\BAG. PERSONALIA\01 Data Karyawan\Foto\CV\Ammar Nuri Sulastino.jpg</v>
      </c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 spans="1:26" ht="10.5" customHeight="1" x14ac:dyDescent="0.3">
      <c r="A56" s="86"/>
      <c r="B56" s="86" t="s">
        <v>805</v>
      </c>
      <c r="C56" s="86" t="s">
        <v>6319</v>
      </c>
      <c r="D56" s="86"/>
      <c r="E56" s="86" t="str">
        <f t="shared" si="0"/>
        <v>H:\My Drive\DIV_SDM\BAG. PERSONALIA\01 Data Karyawan\Foto\CV\Amrin Kurniadi (642001019).jpg</v>
      </c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 spans="1:26" ht="10.5" customHeight="1" x14ac:dyDescent="0.3">
      <c r="A57" s="86"/>
      <c r="B57" s="86" t="s">
        <v>2667</v>
      </c>
      <c r="C57" s="86"/>
      <c r="D57" s="86"/>
      <c r="E57" s="86" t="str">
        <f t="shared" si="0"/>
        <v>H:\My Drive\DIV_SDM\BAG. PERSONALIA\01 Data Karyawan\Foto\CV\</v>
      </c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 spans="1:26" ht="10.5" customHeight="1" x14ac:dyDescent="0.3">
      <c r="A58" s="86"/>
      <c r="B58" s="86" t="s">
        <v>2424</v>
      </c>
      <c r="C58" s="86" t="s">
        <v>6933</v>
      </c>
      <c r="D58" s="86"/>
      <c r="E58" s="86" t="str">
        <f t="shared" si="0"/>
        <v>H:\My Drive\DIV_SDM\BAG. PERSONALIA\01 Data Karyawan\Foto\CV\Anas Albadry.jpg</v>
      </c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 spans="1:26" ht="10.5" customHeight="1" x14ac:dyDescent="0.3">
      <c r="A59" s="86"/>
      <c r="B59" s="86" t="s">
        <v>3848</v>
      </c>
      <c r="C59" s="86"/>
      <c r="D59" s="86"/>
      <c r="E59" s="86" t="str">
        <f t="shared" si="0"/>
        <v>H:\My Drive\DIV_SDM\BAG. PERSONALIA\01 Data Karyawan\Foto\CV\</v>
      </c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 spans="1:26" ht="10.5" customHeight="1" x14ac:dyDescent="0.3">
      <c r="A60" s="86"/>
      <c r="B60" s="86" t="s">
        <v>2025</v>
      </c>
      <c r="C60" s="86" t="s">
        <v>6320</v>
      </c>
      <c r="D60" s="86"/>
      <c r="E60" s="86" t="str">
        <f t="shared" si="0"/>
        <v>H:\My Drive\DIV_SDM\BAG. PERSONALIA\01 Data Karyawan\Foto\CV\Andi Apriadi (641810204).jpg</v>
      </c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 spans="1:26" ht="10.5" customHeight="1" x14ac:dyDescent="0.3">
      <c r="A61" s="86"/>
      <c r="B61" s="86" t="s">
        <v>5677</v>
      </c>
      <c r="C61" s="86" t="s">
        <v>6321</v>
      </c>
      <c r="D61" s="86"/>
      <c r="E61" s="86" t="str">
        <f t="shared" si="0"/>
        <v>H:\My Drive\DIV_SDM\BAG. PERSONALIA\01 Data Karyawan\Foto\CV\Andi Bayu S.jpg</v>
      </c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 spans="1:26" ht="10.5" customHeight="1" x14ac:dyDescent="0.3">
      <c r="A62" s="86"/>
      <c r="B62" s="86" t="s">
        <v>723</v>
      </c>
      <c r="C62" s="86" t="s">
        <v>6322</v>
      </c>
      <c r="D62" s="86"/>
      <c r="E62" s="86" t="str">
        <f t="shared" si="0"/>
        <v>H:\My Drive\DIV_SDM\BAG. PERSONALIA\01 Data Karyawan\Foto\CV\Andi Susilo (971900049).jpg</v>
      </c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 spans="1:26" ht="10.5" customHeight="1" x14ac:dyDescent="0.3">
      <c r="A63" s="86"/>
      <c r="B63" s="86" t="s">
        <v>5356</v>
      </c>
      <c r="C63" s="86" t="s">
        <v>6323</v>
      </c>
      <c r="D63" s="86"/>
      <c r="E63" s="86" t="str">
        <f t="shared" si="0"/>
        <v>H:\My Drive\DIV_SDM\BAG. PERSONALIA\01 Data Karyawan\Foto\CV\Andi Wijaya.JPG</v>
      </c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 spans="1:26" ht="10.5" customHeight="1" x14ac:dyDescent="0.3">
      <c r="A64" s="86"/>
      <c r="B64" s="86" t="s">
        <v>4749</v>
      </c>
      <c r="C64" s="86" t="s">
        <v>6324</v>
      </c>
      <c r="D64" s="86"/>
      <c r="E64" s="86" t="str">
        <f t="shared" si="0"/>
        <v>H:\My Drive\DIV_SDM\BAG. PERSONALIA\01 Data Karyawan\Foto\CV\Andik Agus Prasetyo (641907280).jpg</v>
      </c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 spans="1:26" ht="10.5" customHeight="1" x14ac:dyDescent="0.3">
      <c r="A65" s="86"/>
      <c r="B65" s="86" t="s">
        <v>1236</v>
      </c>
      <c r="C65" s="86" t="s">
        <v>6325</v>
      </c>
      <c r="D65" s="86"/>
      <c r="E65" s="86" t="str">
        <f t="shared" si="0"/>
        <v>H:\My Drive\DIV_SDM\BAG. PERSONALIA\01 Data Karyawan\Foto\CV\Andika Setyawan (642001035).jpg</v>
      </c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 spans="1:26" ht="10.5" customHeight="1" x14ac:dyDescent="0.3">
      <c r="A66" s="86"/>
      <c r="B66" s="86" t="s">
        <v>1200</v>
      </c>
      <c r="C66" s="86" t="s">
        <v>6326</v>
      </c>
      <c r="D66" s="86"/>
      <c r="E66" s="86" t="str">
        <f t="shared" si="0"/>
        <v>H:\My Drive\DIV_SDM\BAG. PERSONALIA\01 Data Karyawan\Foto\CV\Andrea Cahya Putra (642001035).jpg</v>
      </c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 spans="1:26" ht="10.5" customHeight="1" x14ac:dyDescent="0.3">
      <c r="A67" s="86"/>
      <c r="B67" s="86" t="s">
        <v>5647</v>
      </c>
      <c r="C67" s="86" t="s">
        <v>6327</v>
      </c>
      <c r="D67" s="86"/>
      <c r="E67" s="86" t="str">
        <f t="shared" si="0"/>
        <v>H:\My Drive\DIV_SDM\BAG. PERSONALIA\01 Data Karyawan\Foto\CV\Andriyansah.jpg</v>
      </c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 spans="1:26" ht="10.5" customHeight="1" x14ac:dyDescent="0.3">
      <c r="A68" s="86"/>
      <c r="B68" s="86" t="s">
        <v>4110</v>
      </c>
      <c r="C68" s="86" t="s">
        <v>6328</v>
      </c>
      <c r="D68" s="86"/>
      <c r="E68" s="86" t="str">
        <f t="shared" ref="E68:E131" si="1">$D$3&amp;C68</f>
        <v>H:\My Drive\DIV_SDM\BAG. PERSONALIA\01 Data Karyawan\Foto\CV\ANDRY_WAHYU_WIDIANTO-removebg-preview.png</v>
      </c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 spans="1:26" ht="10.5" customHeight="1" x14ac:dyDescent="0.3">
      <c r="A69" s="86"/>
      <c r="B69" s="86" t="s">
        <v>1733</v>
      </c>
      <c r="C69" s="86" t="s">
        <v>6329</v>
      </c>
      <c r="D69" s="86"/>
      <c r="E69" s="86" t="str">
        <f t="shared" si="1"/>
        <v>H:\My Drive\DIV_SDM\BAG. PERSONALIA\01 Data Karyawan\Foto\CV\Andy Dwi Bastian (641807163).jpg</v>
      </c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 spans="1:26" ht="10.5" customHeight="1" x14ac:dyDescent="0.3">
      <c r="A70" s="86"/>
      <c r="B70" s="86" t="s">
        <v>2984</v>
      </c>
      <c r="C70" s="86" t="s">
        <v>6330</v>
      </c>
      <c r="D70" s="86"/>
      <c r="E70" s="86" t="str">
        <f t="shared" si="1"/>
        <v>H:\My Drive\DIV_SDM\BAG. PERSONALIA\01 Data Karyawan\Foto\CV\David Dwi Prakoso.jpg</v>
      </c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 spans="1:26" ht="10.5" customHeight="1" x14ac:dyDescent="0.3">
      <c r="A71" s="86"/>
      <c r="B71" s="86" t="s">
        <v>98</v>
      </c>
      <c r="C71" s="86" t="s">
        <v>6331</v>
      </c>
      <c r="D71" s="86"/>
      <c r="E71" s="86" t="str">
        <f t="shared" si="1"/>
        <v>H:\My Drive\DIV_SDM\BAG. PERSONALIA\01 Data Karyawan\Foto\CV\Anggitana Sussiaca.jpg</v>
      </c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 spans="1:26" ht="10.5" customHeight="1" x14ac:dyDescent="0.3">
      <c r="A72" s="86"/>
      <c r="B72" s="86" t="s">
        <v>3854</v>
      </c>
      <c r="C72" s="86" t="s">
        <v>6332</v>
      </c>
      <c r="D72" s="86"/>
      <c r="E72" s="86" t="str">
        <f t="shared" si="1"/>
        <v>H:\My Drive\DIV_SDM\BAG. PERSONALIA\01 Data Karyawan\Foto\CV\Anggoro_Daffa_Maulana_sukarno-removebg-preview.png</v>
      </c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 spans="1:26" ht="10.5" customHeight="1" x14ac:dyDescent="0.3">
      <c r="A73" s="86"/>
      <c r="B73" s="86" t="s">
        <v>3325</v>
      </c>
      <c r="C73" s="86" t="s">
        <v>6333</v>
      </c>
      <c r="D73" s="86"/>
      <c r="E73" s="86" t="str">
        <f t="shared" si="1"/>
        <v>H:\My Drive\DIV_SDM\BAG. PERSONALIA\01 Data Karyawan\Foto\CV\Anggun Setio Mituhu.jpg</v>
      </c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 spans="1:26" ht="10.5" customHeight="1" x14ac:dyDescent="0.3">
      <c r="A74" s="86"/>
      <c r="B74" s="86" t="s">
        <v>517</v>
      </c>
      <c r="C74" s="86" t="s">
        <v>6334</v>
      </c>
      <c r="D74" s="86"/>
      <c r="E74" s="86" t="str">
        <f t="shared" si="1"/>
        <v>H:\My Drive\DIV_SDM\BAG. PERSONALIA\01 Data Karyawan\Foto\CV\Anik Hari Saksono (642001013).jpg</v>
      </c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 spans="1:26" ht="10.5" customHeight="1" x14ac:dyDescent="0.3">
      <c r="A75" s="86"/>
      <c r="B75" s="86" t="s">
        <v>5080</v>
      </c>
      <c r="C75" s="86" t="s">
        <v>6335</v>
      </c>
      <c r="D75" s="86"/>
      <c r="E75" s="86" t="str">
        <f t="shared" si="1"/>
        <v>H:\My Drive\DIV_SDM\BAG. PERSONALIA\01 Data Karyawan\Foto\CV\Anida Nur Nasekha.JPG</v>
      </c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 spans="1:26" ht="10.5" customHeight="1" x14ac:dyDescent="0.3">
      <c r="A76" s="86"/>
      <c r="B76" s="86" t="s">
        <v>2095</v>
      </c>
      <c r="C76" s="86" t="s">
        <v>6336</v>
      </c>
      <c r="D76" s="86"/>
      <c r="E76" s="86" t="str">
        <f t="shared" si="1"/>
        <v>H:\My Drive\DIV_SDM\BAG. PERSONALIA\01 Data Karyawan\Foto\CV\Ardanil (641810201).jpg</v>
      </c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 spans="1:26" ht="10.5" customHeight="1" x14ac:dyDescent="0.3">
      <c r="A77" s="86"/>
      <c r="B77" s="86" t="s">
        <v>4130</v>
      </c>
      <c r="C77" s="86" t="s">
        <v>6337</v>
      </c>
      <c r="D77" s="86"/>
      <c r="E77" s="86" t="str">
        <f t="shared" si="1"/>
        <v>H:\My Drive\DIV_SDM\BAG. PERSONALIA\01 Data Karyawan\Foto\CV\Ardhika_wiratama-removebg-preview.png</v>
      </c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 spans="1:26" ht="10.5" customHeight="1" x14ac:dyDescent="0.3">
      <c r="A78" s="86"/>
      <c r="B78" s="86" t="s">
        <v>5733</v>
      </c>
      <c r="C78" s="86" t="s">
        <v>6338</v>
      </c>
      <c r="D78" s="86"/>
      <c r="E78" s="86" t="str">
        <f t="shared" si="1"/>
        <v>H:\My Drive\DIV_SDM\BAG. PERSONALIA\01 Data Karyawan\Foto\CV\Ardhiyanto Dwi Prabowo (642002076).jpg</v>
      </c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 spans="1:26" ht="10.5" customHeight="1" x14ac:dyDescent="0.3">
      <c r="A79" s="86"/>
      <c r="B79" s="86" t="s">
        <v>3689</v>
      </c>
      <c r="C79" s="86"/>
      <c r="D79" s="86"/>
      <c r="E79" s="86" t="str">
        <f t="shared" si="1"/>
        <v>H:\My Drive\DIV_SDM\BAG. PERSONALIA\01 Data Karyawan\Foto\CV\</v>
      </c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 spans="1:26" ht="10.5" customHeight="1" x14ac:dyDescent="0.3">
      <c r="A80" s="86"/>
      <c r="B80" s="86" t="s">
        <v>2433</v>
      </c>
      <c r="C80" s="86" t="s">
        <v>6339</v>
      </c>
      <c r="D80" s="86"/>
      <c r="E80" s="86" t="str">
        <f t="shared" si="1"/>
        <v>H:\My Drive\DIV_SDM\BAG. PERSONALIA\01 Data Karyawan\Foto\CV\Arhanul_Fariz.png</v>
      </c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 spans="1:26" ht="10.5" customHeight="1" x14ac:dyDescent="0.3">
      <c r="A81" s="86"/>
      <c r="B81" s="86" t="s">
        <v>5534</v>
      </c>
      <c r="C81" s="86" t="s">
        <v>6340</v>
      </c>
      <c r="D81" s="86"/>
      <c r="E81" s="86" t="str">
        <f t="shared" si="1"/>
        <v>H:\My Drive\DIV_SDM\BAG. PERSONALIA\01 Data Karyawan\Foto\CV\Ari Eko Prasetyo.JPG</v>
      </c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 spans="1:26" ht="10.5" customHeight="1" x14ac:dyDescent="0.3">
      <c r="A82" s="86"/>
      <c r="B82" s="86" t="s">
        <v>3495</v>
      </c>
      <c r="C82" s="86" t="s">
        <v>6341</v>
      </c>
      <c r="D82" s="86"/>
      <c r="E82" s="86" t="str">
        <f t="shared" si="1"/>
        <v>H:\My Drive\DIV_SDM\BAG. PERSONALIA\01 Data Karyawan\Foto\CV\Ari Irawan.jpg</v>
      </c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 spans="1:26" ht="10.5" customHeight="1" x14ac:dyDescent="0.3">
      <c r="A83" s="86"/>
      <c r="B83" s="86" t="s">
        <v>2314</v>
      </c>
      <c r="C83" s="86" t="s">
        <v>6342</v>
      </c>
      <c r="D83" s="86"/>
      <c r="E83" s="86" t="str">
        <f t="shared" si="1"/>
        <v>H:\My Drive\DIV_SDM\BAG. PERSONALIA\01 Data Karyawan\Foto\CV\Arie_Sihwanto.png</v>
      </c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 spans="1:26" ht="10.5" customHeight="1" x14ac:dyDescent="0.3">
      <c r="A84" s="86"/>
      <c r="B84" s="86" t="s">
        <v>2328</v>
      </c>
      <c r="C84" s="86" t="s">
        <v>6343</v>
      </c>
      <c r="D84" s="86"/>
      <c r="E84" s="86" t="str">
        <f t="shared" si="1"/>
        <v>H:\My Drive\DIV_SDM\BAG. PERSONALIA\01 Data Karyawan\Foto\CV\Ari T (641906237).jpg</v>
      </c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 spans="1:26" ht="10.5" customHeight="1" x14ac:dyDescent="0.3">
      <c r="A85" s="86"/>
      <c r="B85" s="86" t="s">
        <v>2041</v>
      </c>
      <c r="C85" s="86" t="s">
        <v>6344</v>
      </c>
      <c r="D85" s="86"/>
      <c r="E85" s="86" t="str">
        <f t="shared" si="1"/>
        <v>H:\My Drive\DIV_SDM\BAG. PERSONALIA\01 Data Karyawan\Foto\CV\Ari Wicaksono (641810198).jpg</v>
      </c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 spans="1:26" ht="10.5" customHeight="1" x14ac:dyDescent="0.3">
      <c r="A86" s="86"/>
      <c r="B86" s="86" t="s">
        <v>3766</v>
      </c>
      <c r="C86" s="86" t="s">
        <v>6345</v>
      </c>
      <c r="D86" s="86"/>
      <c r="E86" s="86" t="str">
        <f t="shared" si="1"/>
        <v>H:\My Drive\DIV_SDM\BAG. PERSONALIA\01 Data Karyawan\Foto\CV\Arief_Dwi_Kurniawan-removebg-preview.png</v>
      </c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 spans="1:26" ht="10.5" customHeight="1" x14ac:dyDescent="0.3">
      <c r="A87" s="86"/>
      <c r="B87" s="86" t="s">
        <v>4406</v>
      </c>
      <c r="C87" s="86" t="s">
        <v>6934</v>
      </c>
      <c r="D87" s="86"/>
      <c r="E87" s="86" t="str">
        <f t="shared" si="1"/>
        <v>H:\My Drive\DIV_SDM\BAG. PERSONALIA\01 Data Karyawan\Foto\CV\Arif Bahtiar.jpeg</v>
      </c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 spans="1:26" ht="10.5" customHeight="1" x14ac:dyDescent="0.3">
      <c r="A88" s="86"/>
      <c r="B88" s="86" t="s">
        <v>5748</v>
      </c>
      <c r="C88" s="86" t="s">
        <v>6346</v>
      </c>
      <c r="D88" s="86"/>
      <c r="E88" s="86" t="str">
        <f t="shared" si="1"/>
        <v>H:\My Drive\DIV_SDM\BAG. PERSONALIA\01 Data Karyawan\Foto\CV\Arif Muhaimin.jpeg</v>
      </c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 spans="1:26" ht="10.5" customHeight="1" x14ac:dyDescent="0.3">
      <c r="A89" s="86"/>
      <c r="B89" s="86" t="s">
        <v>979</v>
      </c>
      <c r="C89" s="86" t="s">
        <v>6347</v>
      </c>
      <c r="D89" s="86"/>
      <c r="E89" s="86" t="str">
        <f t="shared" si="1"/>
        <v>H:\My Drive\DIV_SDM\BAG. PERSONALIA\01 Data Karyawan\Foto\CV\Arif Sugianto (642001058).jpeg</v>
      </c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 spans="1:26" ht="10.5" customHeight="1" x14ac:dyDescent="0.3">
      <c r="A90" s="86"/>
      <c r="B90" s="86" t="s">
        <v>1125</v>
      </c>
      <c r="C90" s="86" t="s">
        <v>6348</v>
      </c>
      <c r="D90" s="86"/>
      <c r="E90" s="86" t="str">
        <f t="shared" si="1"/>
        <v>H:\My Drive\DIV_SDM\BAG. PERSONALIA\01 Data Karyawan\Foto\CV\Arifin Purnawirawan (642001048).jpg</v>
      </c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 spans="1:26" ht="10.5" customHeight="1" x14ac:dyDescent="0.3">
      <c r="A91" s="86"/>
      <c r="B91" s="86" t="s">
        <v>3263</v>
      </c>
      <c r="C91" s="86" t="s">
        <v>6349</v>
      </c>
      <c r="D91" s="86"/>
      <c r="E91" s="86" t="str">
        <f t="shared" si="1"/>
        <v>H:\My Drive\DIV_SDM\BAG. PERSONALIA\01 Data Karyawan\Foto\CV\Asep Saepul Mugni.png</v>
      </c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 spans="1:26" ht="10.5" customHeight="1" x14ac:dyDescent="0.3">
      <c r="A92" s="86"/>
      <c r="B92" s="86" t="s">
        <v>2448</v>
      </c>
      <c r="C92" s="86" t="s">
        <v>6350</v>
      </c>
      <c r="D92" s="86"/>
      <c r="E92" s="86" t="str">
        <f t="shared" si="1"/>
        <v>H:\My Drive\DIV_SDM\BAG. PERSONALIA\01 Data Karyawan\Foto\CV\Aswandi (641907251).jpeg</v>
      </c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 spans="1:26" ht="10.5" customHeight="1" x14ac:dyDescent="0.3">
      <c r="A93" s="86"/>
      <c r="B93" s="86" t="s">
        <v>1777</v>
      </c>
      <c r="C93" s="86" t="s">
        <v>6351</v>
      </c>
      <c r="D93" s="86"/>
      <c r="E93" s="86" t="str">
        <f t="shared" si="1"/>
        <v>H:\My Drive\DIV_SDM\BAG. PERSONALIA\01 Data Karyawan\Foto\CV\Avin Romadhona (641807166).jpg</v>
      </c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 spans="1:26" ht="10.5" customHeight="1" x14ac:dyDescent="0.3">
      <c r="A94" s="86"/>
      <c r="B94" s="86" t="s">
        <v>2910</v>
      </c>
      <c r="C94" s="86" t="s">
        <v>6352</v>
      </c>
      <c r="D94" s="86"/>
      <c r="E94" s="86" t="str">
        <f t="shared" si="1"/>
        <v>H:\My Drive\DIV_SDM\BAG. PERSONALIA\01 Data Karyawan\Foto\CV\Awal Romadoni.jpg</v>
      </c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 spans="1:26" ht="10.5" customHeight="1" x14ac:dyDescent="0.3">
      <c r="A95" s="86"/>
      <c r="B95" s="86" t="s">
        <v>3216</v>
      </c>
      <c r="C95" s="86" t="s">
        <v>6353</v>
      </c>
      <c r="D95" s="86"/>
      <c r="E95" s="86" t="str">
        <f t="shared" si="1"/>
        <v>H:\My Drive\DIV_SDM\BAG. PERSONALIA\01 Data Karyawan\Foto\CV\Awang Tunggal Dia Saputra.jpg</v>
      </c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 spans="1:26" ht="10.5" customHeight="1" x14ac:dyDescent="0.3">
      <c r="A96" s="86"/>
      <c r="B96" s="86" t="s">
        <v>4800</v>
      </c>
      <c r="C96" s="86" t="s">
        <v>6354</v>
      </c>
      <c r="D96" s="86"/>
      <c r="E96" s="86" t="str">
        <f t="shared" si="1"/>
        <v>H:\My Drive\DIV_SDM\BAG. PERSONALIA\01 Data Karyawan\Foto\CV\Ayub Isna Alhanif (2).JPG</v>
      </c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 spans="1:26" ht="10.5" customHeight="1" x14ac:dyDescent="0.3">
      <c r="A97" s="86"/>
      <c r="B97" s="86" t="s">
        <v>3576</v>
      </c>
      <c r="C97" s="86"/>
      <c r="D97" s="86"/>
      <c r="E97" s="86" t="str">
        <f t="shared" si="1"/>
        <v>H:\My Drive\DIV_SDM\BAG. PERSONALIA\01 Data Karyawan\Foto\CV\</v>
      </c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 spans="1:26" ht="10.5" customHeight="1" x14ac:dyDescent="0.3">
      <c r="A98" s="86"/>
      <c r="B98" s="86" t="s">
        <v>1114</v>
      </c>
      <c r="C98" s="86" t="s">
        <v>6355</v>
      </c>
      <c r="D98" s="86"/>
      <c r="E98" s="86" t="str">
        <f t="shared" si="1"/>
        <v>H:\My Drive\DIV_SDM\BAG. PERSONALIA\01 Data Karyawan\Foto\CV\Aziz Mahmudi (642001046).jpg</v>
      </c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 spans="1:26" ht="10.5" customHeight="1" x14ac:dyDescent="0.3">
      <c r="A99" s="86"/>
      <c r="B99" s="86" t="s">
        <v>2196</v>
      </c>
      <c r="C99" s="86" t="s">
        <v>6356</v>
      </c>
      <c r="D99" s="86"/>
      <c r="E99" s="86" t="str">
        <f t="shared" si="1"/>
        <v>H:\My Drive\DIV_SDM\BAG. PERSONALIA\01 Data Karyawan\Foto\CV\Azwar (641811208).jpg</v>
      </c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 spans="1:26" ht="10.5" customHeight="1" x14ac:dyDescent="0.3">
      <c r="A100" s="86"/>
      <c r="B100" s="86" t="s">
        <v>3222</v>
      </c>
      <c r="C100" s="86" t="s">
        <v>6357</v>
      </c>
      <c r="D100" s="86"/>
      <c r="E100" s="86" t="str">
        <f t="shared" si="1"/>
        <v>H:\My Drive\DIV_SDM\BAG. PERSONALIA\01 Data Karyawan\Foto\CV\Bagas Eko S.jpg</v>
      </c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 spans="1:26" ht="10.5" customHeight="1" x14ac:dyDescent="0.3">
      <c r="A101" s="86"/>
      <c r="B101" s="86" t="s">
        <v>2826</v>
      </c>
      <c r="C101" s="86" t="s">
        <v>6358</v>
      </c>
      <c r="D101" s="86"/>
      <c r="E101" s="86" t="str">
        <f t="shared" si="1"/>
        <v>H:\My Drive\DIV_SDM\BAG. PERSONALIA\01 Data Karyawan\Foto\CV\Bagas Yazid Ghozi.jpg</v>
      </c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 spans="1:26" ht="10.5" customHeight="1" x14ac:dyDescent="0.3">
      <c r="A102" s="86"/>
      <c r="B102" s="86" t="s">
        <v>108</v>
      </c>
      <c r="C102" s="86" t="s">
        <v>6359</v>
      </c>
      <c r="D102" s="86"/>
      <c r="E102" s="86" t="str">
        <f t="shared" si="1"/>
        <v>H:\My Drive\DIV_SDM\BAG. PERSONALIA\01 Data Karyawan\Foto\CV\Bagus_Adiib_Al-Haq-removebg-preview.png</v>
      </c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 spans="1:26" ht="10.5" customHeight="1" x14ac:dyDescent="0.3">
      <c r="A103" s="86"/>
      <c r="B103" s="86" t="s">
        <v>3860</v>
      </c>
      <c r="C103" s="86" t="s">
        <v>6360</v>
      </c>
      <c r="D103" s="86"/>
      <c r="E103" s="86" t="str">
        <f t="shared" si="1"/>
        <v>H:\My Drive\DIV_SDM\BAG. PERSONALIA\01 Data Karyawan\Foto\CV\Bagus_Amika_Pamungkas-removebg-preview.png</v>
      </c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 spans="1:26" ht="10.5" customHeight="1" x14ac:dyDescent="0.3">
      <c r="A104" s="86"/>
      <c r="B104" s="86" t="s">
        <v>1941</v>
      </c>
      <c r="C104" s="86" t="s">
        <v>6361</v>
      </c>
      <c r="D104" s="86"/>
      <c r="E104" s="86" t="str">
        <f t="shared" si="1"/>
        <v>H:\My Drive\DIV_SDM\BAG. PERSONALIA\01 Data Karyawan\Foto\CV\Bagus DC.jpg</v>
      </c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 spans="1:26" ht="10.5" customHeight="1" x14ac:dyDescent="0.3">
      <c r="A105" s="86"/>
      <c r="B105" s="86" t="s">
        <v>4980</v>
      </c>
      <c r="C105" s="86"/>
      <c r="D105" s="86"/>
      <c r="E105" s="86" t="str">
        <f t="shared" si="1"/>
        <v>H:\My Drive\DIV_SDM\BAG. PERSONALIA\01 Data Karyawan\Foto\CV\</v>
      </c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 spans="1:26" ht="10.5" customHeight="1" x14ac:dyDescent="0.3">
      <c r="A106" s="86"/>
      <c r="B106" s="86" t="s">
        <v>2456</v>
      </c>
      <c r="C106" s="86" t="s">
        <v>6362</v>
      </c>
      <c r="D106" s="86"/>
      <c r="E106" s="86" t="str">
        <f t="shared" si="1"/>
        <v>H:\My Drive\DIV_SDM\BAG. PERSONALIA\01 Data Karyawan\Foto\CV\Bagus_Istiandaru.png</v>
      </c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 spans="1:26" ht="10.5" customHeight="1" x14ac:dyDescent="0.3">
      <c r="A107" s="86"/>
      <c r="B107" s="86" t="s">
        <v>4419</v>
      </c>
      <c r="C107" s="86" t="s">
        <v>6935</v>
      </c>
      <c r="D107" s="86"/>
      <c r="E107" s="86" t="str">
        <f t="shared" si="1"/>
        <v>H:\My Drive\DIV_SDM\BAG. PERSONALIA\01 Data Karyawan\Foto\CV\Bagus setiawan.jpeg</v>
      </c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 spans="1:26" ht="10.5" customHeight="1" x14ac:dyDescent="0.3">
      <c r="A108" s="86"/>
      <c r="B108" s="86" t="s">
        <v>5574</v>
      </c>
      <c r="C108" s="86" t="s">
        <v>6363</v>
      </c>
      <c r="D108" s="86"/>
      <c r="E108" s="86" t="str">
        <f t="shared" si="1"/>
        <v>H:\My Drive\DIV_SDM\BAG. PERSONALIA\01 Data Karyawan\Foto\CV\Bambang Rudiantoro.JPG</v>
      </c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 spans="1:26" ht="10.5" customHeight="1" x14ac:dyDescent="0.3">
      <c r="A109" s="86"/>
      <c r="B109" s="86" t="s">
        <v>5005</v>
      </c>
      <c r="C109" s="86" t="s">
        <v>6364</v>
      </c>
      <c r="D109" s="86"/>
      <c r="E109" s="86" t="str">
        <f t="shared" si="1"/>
        <v>H:\My Drive\DIV_SDM\BAG. PERSONALIA\01 Data Karyawan\Foto\CV\Bambang Sutrisno (999500017).jpg</v>
      </c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 spans="1:26" ht="10.5" customHeight="1" x14ac:dyDescent="0.3">
      <c r="A110" s="86"/>
      <c r="B110" s="86" t="s">
        <v>4833</v>
      </c>
      <c r="C110" s="86" t="s">
        <v>6365</v>
      </c>
      <c r="D110" s="86"/>
      <c r="E110" s="86" t="str">
        <f t="shared" si="1"/>
        <v>H:\My Drive\DIV_SDM\BAG. PERSONALIA\01 Data Karyawan\Foto\CV\Bambang Trijoko (641801139).jpg</v>
      </c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 spans="1:26" ht="10.5" customHeight="1" x14ac:dyDescent="0.3">
      <c r="A111" s="86"/>
      <c r="B111" s="86" t="s">
        <v>69</v>
      </c>
      <c r="C111" s="86" t="s">
        <v>6366</v>
      </c>
      <c r="D111" s="86"/>
      <c r="E111" s="86" t="str">
        <f t="shared" si="1"/>
        <v>H:\My Drive\DIV_SDM\BAG. PERSONALIA\01 Data Karyawan\Foto\CV\Bangkit Sanjaya (972000054).jpg</v>
      </c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 spans="1:26" ht="10.5" customHeight="1" x14ac:dyDescent="0.3">
      <c r="A112" s="86"/>
      <c r="B112" s="86" t="s">
        <v>4361</v>
      </c>
      <c r="C112" s="86" t="s">
        <v>6936</v>
      </c>
      <c r="D112" s="86"/>
      <c r="E112" s="86" t="str">
        <f t="shared" si="1"/>
        <v>H:\My Drive\DIV_SDM\BAG. PERSONALIA\01 Data Karyawan\Foto\CV\Bayu Adi Pamungkas.jpeg</v>
      </c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 spans="1:26" ht="10.5" customHeight="1" x14ac:dyDescent="0.3">
      <c r="A113" s="86"/>
      <c r="B113" s="86" t="s">
        <v>1676</v>
      </c>
      <c r="C113" s="86" t="s">
        <v>6367</v>
      </c>
      <c r="D113" s="86"/>
      <c r="E113" s="86" t="str">
        <f t="shared" si="1"/>
        <v>H:\My Drive\DIV_SDM\BAG. PERSONALIA\01 Data Karyawan\Foto\CV\Bayu Dimas Nurarifin (641806159).jpg</v>
      </c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 spans="1:26" ht="10.5" customHeight="1" x14ac:dyDescent="0.3">
      <c r="A114" s="86"/>
      <c r="B114" s="86" t="s">
        <v>2962</v>
      </c>
      <c r="C114" s="86" t="s">
        <v>6368</v>
      </c>
      <c r="D114" s="86"/>
      <c r="E114" s="86" t="str">
        <f t="shared" si="1"/>
        <v>H:\My Drive\DIV_SDM\BAG. PERSONALIA\01 Data Karyawan\Foto\CV\Bayu Prasetyo.jpg</v>
      </c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 spans="1:26" ht="10.5" customHeight="1" x14ac:dyDescent="0.3">
      <c r="A115" s="86"/>
      <c r="B115" s="86" t="s">
        <v>5234</v>
      </c>
      <c r="C115" s="86" t="s">
        <v>6937</v>
      </c>
      <c r="D115" s="86"/>
      <c r="E115" s="86" t="str">
        <f t="shared" si="1"/>
        <v>H:\My Drive\DIV_SDM\BAG. PERSONALIA\01 Data Karyawan\Foto\CV\Bayu_Yulianto.png</v>
      </c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 spans="1:26" ht="10.5" customHeight="1" x14ac:dyDescent="0.3">
      <c r="A116" s="86"/>
      <c r="B116" s="86" t="s">
        <v>1580</v>
      </c>
      <c r="C116" s="86" t="s">
        <v>6369</v>
      </c>
      <c r="D116" s="86"/>
      <c r="E116" s="86" t="str">
        <f t="shared" si="1"/>
        <v>H:\My Drive\DIV_SDM\BAG. PERSONALIA\01 Data Karyawan\Foto\CV\Bekti Tri Wibowo (641806159).jpg</v>
      </c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 spans="1:26" ht="10.5" customHeight="1" x14ac:dyDescent="0.3">
      <c r="A117" s="86"/>
      <c r="B117" s="86" t="s">
        <v>1371</v>
      </c>
      <c r="C117" s="86" t="s">
        <v>6370</v>
      </c>
      <c r="D117" s="86"/>
      <c r="E117" s="86" t="str">
        <f t="shared" si="1"/>
        <v>H:\My Drive\DIV_SDM\BAG. PERSONALIA\01 Data Karyawan\Foto\CV\Berry Hartanto (642001030).jpg</v>
      </c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 spans="1:26" ht="10.5" customHeight="1" x14ac:dyDescent="0.3">
      <c r="A118" s="86"/>
      <c r="B118" s="86" t="s">
        <v>5791</v>
      </c>
      <c r="C118" s="86"/>
      <c r="D118" s="86"/>
      <c r="E118" s="86" t="str">
        <f t="shared" si="1"/>
        <v>H:\My Drive\DIV_SDM\BAG. PERSONALIA\01 Data Karyawan\Foto\CV\</v>
      </c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 spans="1:26" ht="10.5" customHeight="1" x14ac:dyDescent="0.3">
      <c r="A119" s="86"/>
      <c r="B119" s="86" t="s">
        <v>4078</v>
      </c>
      <c r="C119" s="86" t="s">
        <v>6371</v>
      </c>
      <c r="D119" s="86"/>
      <c r="E119" s="86" t="str">
        <f t="shared" si="1"/>
        <v>H:\My Drive\DIV_SDM\BAG. PERSONALIA\01 Data Karyawan\Foto\CV\Bima_Adi_Saputra-removebg-preview.png</v>
      </c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 spans="1:26" ht="10.5" customHeight="1" x14ac:dyDescent="0.3">
      <c r="A120" s="86"/>
      <c r="B120" s="86" t="s">
        <v>113</v>
      </c>
      <c r="C120" s="86" t="s">
        <v>6372</v>
      </c>
      <c r="D120" s="86"/>
      <c r="E120" s="86" t="str">
        <f t="shared" si="1"/>
        <v>H:\My Drive\DIV_SDM\BAG. PERSONALIA\01 Data Karyawan\Foto\CV\Bima_Aji_Kurniawan-removebg-preview.png</v>
      </c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 spans="1:26" ht="10.5" customHeight="1" x14ac:dyDescent="0.3">
      <c r="A121" s="86"/>
      <c r="B121" s="86" t="s">
        <v>3124</v>
      </c>
      <c r="C121" s="86" t="s">
        <v>6373</v>
      </c>
      <c r="D121" s="86"/>
      <c r="E121" s="86" t="str">
        <f t="shared" si="1"/>
        <v>H:\My Drive\DIV_SDM\BAG. PERSONALIA\01 Data Karyawan\Foto\CV\Bima Rizki Pratama.jpg</v>
      </c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 spans="1:26" ht="10.5" customHeight="1" x14ac:dyDescent="0.3">
      <c r="A122" s="86"/>
      <c r="B122" s="86" t="s">
        <v>2051</v>
      </c>
      <c r="C122" s="86" t="s">
        <v>6374</v>
      </c>
      <c r="D122" s="86"/>
      <c r="E122" s="86" t="str">
        <f t="shared" si="1"/>
        <v>H:\My Drive\DIV_SDM\BAG. PERSONALIA\01 Data Karyawan\Foto\CV\Bimasakti Wahyu Wibawa (641810195).jpg</v>
      </c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 spans="1:26" ht="10.5" customHeight="1" x14ac:dyDescent="0.3">
      <c r="A123" s="86"/>
      <c r="B123" s="86" t="s">
        <v>3315</v>
      </c>
      <c r="C123" s="86" t="s">
        <v>6375</v>
      </c>
      <c r="D123" s="86"/>
      <c r="E123" s="86" t="str">
        <f t="shared" si="1"/>
        <v>H:\My Drive\DIV_SDM\BAG. PERSONALIA\01 Data Karyawan\Foto\CV\Bimo Tri Prakoso.jpg</v>
      </c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 spans="1:26" ht="10.5" customHeight="1" x14ac:dyDescent="0.3">
      <c r="A124" s="86"/>
      <c r="B124" s="86" t="s">
        <v>5208</v>
      </c>
      <c r="C124" s="86" t="s">
        <v>6376</v>
      </c>
      <c r="D124" s="86"/>
      <c r="E124" s="86" t="str">
        <f t="shared" si="1"/>
        <v>H:\My Drive\DIV_SDM\BAG. PERSONALIA\01 Data Karyawan\Foto\CV\Bintang Gumilar (999600062).jpg</v>
      </c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 spans="1:26" ht="10.5" customHeight="1" x14ac:dyDescent="0.3">
      <c r="A125" s="86"/>
      <c r="B125" s="86" t="s">
        <v>5054</v>
      </c>
      <c r="C125" s="86" t="s">
        <v>6938</v>
      </c>
      <c r="D125" s="86"/>
      <c r="E125" s="86" t="str">
        <f t="shared" si="1"/>
        <v>H:\My Drive\DIV_SDM\BAG. PERSONALIA\01 Data Karyawan\Foto\CV\Bobon_Suryana.png</v>
      </c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 spans="1:26" ht="10.5" customHeight="1" x14ac:dyDescent="0.3">
      <c r="A126" s="86"/>
      <c r="B126" s="86" t="s">
        <v>3872</v>
      </c>
      <c r="C126" s="86" t="s">
        <v>6377</v>
      </c>
      <c r="D126" s="86"/>
      <c r="E126" s="86" t="str">
        <f t="shared" si="1"/>
        <v>H:\My Drive\DIV_SDM\BAG. PERSONALIA\01 Data Karyawan\Foto\CV\Brian_Dwi_Prastyo-removebg-preview.png</v>
      </c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 spans="1:26" ht="10.5" customHeight="1" x14ac:dyDescent="0.3">
      <c r="A127" s="86"/>
      <c r="B127" s="86" t="s">
        <v>1475</v>
      </c>
      <c r="C127" s="86" t="s">
        <v>6378</v>
      </c>
      <c r="D127" s="86"/>
      <c r="E127" s="86" t="str">
        <f t="shared" si="1"/>
        <v>H:\My Drive\DIV_SDM\BAG. PERSONALIA\01 Data Karyawan\Foto\CV\Brianto Cahyo Nugroho (972000053).jpg</v>
      </c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 spans="1:26" ht="10.5" customHeight="1" x14ac:dyDescent="0.3">
      <c r="A128" s="86"/>
      <c r="B128" s="86" t="s">
        <v>1185</v>
      </c>
      <c r="C128" s="86" t="s">
        <v>6379</v>
      </c>
      <c r="D128" s="86"/>
      <c r="E128" s="86" t="str">
        <f t="shared" si="1"/>
        <v>H:\My Drive\DIV_SDM\BAG. PERSONALIA\01 Data Karyawan\Foto\CV\Budi Hariyanto (642001044).jpg</v>
      </c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 spans="1:26" ht="10.5" customHeight="1" x14ac:dyDescent="0.3">
      <c r="A129" s="86"/>
      <c r="B129" s="86" t="s">
        <v>1170</v>
      </c>
      <c r="C129" s="86" t="s">
        <v>6380</v>
      </c>
      <c r="D129" s="86"/>
      <c r="E129" s="86" t="str">
        <f t="shared" si="1"/>
        <v>H:\My Drive\DIV_SDM\BAG. PERSONALIA\01 Data Karyawan\Foto\CV\Budiono (971900027).jpg</v>
      </c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 spans="1:26" ht="10.5" customHeight="1" x14ac:dyDescent="0.3">
      <c r="A130" s="86"/>
      <c r="B130" s="86" t="s">
        <v>4188</v>
      </c>
      <c r="C130" s="86" t="s">
        <v>6939</v>
      </c>
      <c r="D130" s="86"/>
      <c r="E130" s="86" t="str">
        <f t="shared" si="1"/>
        <v>H:\My Drive\DIV_SDM\BAG. PERSONALIA\01 Data Karyawan\Foto\CV\Cahaya_Sukma_Andika-removebg-preview.png</v>
      </c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 spans="1:26" ht="10.5" customHeight="1" x14ac:dyDescent="0.3">
      <c r="A131" s="86"/>
      <c r="B131" s="86" t="s">
        <v>1794</v>
      </c>
      <c r="C131" s="86" t="s">
        <v>6381</v>
      </c>
      <c r="D131" s="86"/>
      <c r="E131" s="86" t="str">
        <f t="shared" si="1"/>
        <v>H:\My Drive\DIV_SDM\BAG. PERSONALIA\01 Data Karyawan\Foto\CV\Catur Bumi Laksana (641807165).jpg</v>
      </c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 spans="1:26" ht="10.5" customHeight="1" x14ac:dyDescent="0.3">
      <c r="A132" s="86"/>
      <c r="B132" s="86" t="s">
        <v>4257</v>
      </c>
      <c r="C132" s="86"/>
      <c r="D132" s="86"/>
      <c r="E132" s="86" t="str">
        <f t="shared" ref="E132:E195" si="2">$D$3&amp;C132</f>
        <v>H:\My Drive\DIV_SDM\BAG. PERSONALIA\01 Data Karyawan\Foto\CV\</v>
      </c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 spans="1:26" ht="10.5" customHeight="1" x14ac:dyDescent="0.3">
      <c r="A133" s="86"/>
      <c r="B133" s="86" t="s">
        <v>4377</v>
      </c>
      <c r="C133" s="86"/>
      <c r="D133" s="86"/>
      <c r="E133" s="86" t="str">
        <f t="shared" si="2"/>
        <v>H:\My Drive\DIV_SDM\BAG. PERSONALIA\01 Data Karyawan\Foto\CV\</v>
      </c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 spans="1:26" ht="10.5" customHeight="1" x14ac:dyDescent="0.3">
      <c r="A134" s="86"/>
      <c r="B134" s="86" t="s">
        <v>5106</v>
      </c>
      <c r="C134" s="86" t="s">
        <v>6940</v>
      </c>
      <c r="D134" s="86"/>
      <c r="E134" s="86" t="str">
        <f t="shared" si="2"/>
        <v>H:\My Drive\DIV_SDM\BAG. PERSONALIA\01 Data Karyawan\Foto\CV\Cholik M Zamzam.png</v>
      </c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 spans="1:26" ht="10.5" customHeight="1" x14ac:dyDescent="0.3">
      <c r="A135" s="86"/>
      <c r="B135" s="86" t="s">
        <v>1903</v>
      </c>
      <c r="C135" s="86" t="s">
        <v>6382</v>
      </c>
      <c r="D135" s="86"/>
      <c r="E135" s="86" t="str">
        <f t="shared" si="2"/>
        <v>H:\My Drive\DIV_SDM\BAG. PERSONALIA\01 Data Karyawan\Foto\CV\Christoper Bagas Wirawan (971900039).jpg</v>
      </c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 spans="1:26" ht="10.5" customHeight="1" x14ac:dyDescent="0.3">
      <c r="A136" s="86"/>
      <c r="B136" s="86" t="s">
        <v>5170</v>
      </c>
      <c r="C136" s="86"/>
      <c r="D136" s="86"/>
      <c r="E136" s="86" t="str">
        <f t="shared" si="2"/>
        <v>H:\My Drive\DIV_SDM\BAG. PERSONALIA\01 Data Karyawan\Foto\CV\</v>
      </c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 spans="1:26" ht="10.5" customHeight="1" x14ac:dyDescent="0.3">
      <c r="A137" s="86"/>
      <c r="B137" s="86" t="s">
        <v>6383</v>
      </c>
      <c r="C137" s="86" t="s">
        <v>6384</v>
      </c>
      <c r="D137" s="86"/>
      <c r="E137" s="86" t="str">
        <f t="shared" si="2"/>
        <v>H:\My Drive\DIV_SDM\BAG. PERSONALIA\01 Data Karyawan\Foto\CV\Daffa Alifyansah.png</v>
      </c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 spans="1:26" ht="10.5" customHeight="1" x14ac:dyDescent="0.3">
      <c r="A138" s="86"/>
      <c r="B138" s="86" t="s">
        <v>3644</v>
      </c>
      <c r="C138" s="86" t="s">
        <v>6385</v>
      </c>
      <c r="D138" s="86"/>
      <c r="E138" s="86" t="str">
        <f t="shared" si="2"/>
        <v>H:\My Drive\DIV_SDM\BAG. PERSONALIA\01 Data Karyawan\Foto\CV\Dafil_Fandresa-removebg-preview.png</v>
      </c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 spans="1:26" ht="10.5" customHeight="1" x14ac:dyDescent="0.3">
      <c r="A139" s="86"/>
      <c r="B139" s="86" t="s">
        <v>5545</v>
      </c>
      <c r="C139" s="86" t="s">
        <v>6386</v>
      </c>
      <c r="D139" s="86"/>
      <c r="E139" s="86" t="str">
        <f t="shared" si="2"/>
        <v>H:\My Drive\DIV_SDM\BAG. PERSONALIA\01 Data Karyawan\Foto\CV\Danang Samudro.JPG</v>
      </c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 spans="1:26" ht="10.5" customHeight="1" x14ac:dyDescent="0.3">
      <c r="A140" s="86"/>
      <c r="B140" s="86" t="s">
        <v>4905</v>
      </c>
      <c r="C140" s="86" t="s">
        <v>6387</v>
      </c>
      <c r="D140" s="86"/>
      <c r="E140" s="86" t="str">
        <f t="shared" si="2"/>
        <v>H:\My Drive\DIV_SDM\BAG. PERSONALIA\01 Data Karyawan\Foto\CV\Dani Ramdani (641810187).jpg</v>
      </c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 spans="1:26" ht="10.5" customHeight="1" x14ac:dyDescent="0.3">
      <c r="A141" s="86"/>
      <c r="B141" s="86" t="s">
        <v>3878</v>
      </c>
      <c r="C141" s="86" t="s">
        <v>6388</v>
      </c>
      <c r="D141" s="86"/>
      <c r="E141" s="86" t="str">
        <f t="shared" si="2"/>
        <v>H:\My Drive\DIV_SDM\BAG. PERSONALIA\01 Data Karyawan\Foto\CV\Daniel_Meihendra-removebg-preview.png</v>
      </c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 spans="1:26" ht="10.5" customHeight="1" x14ac:dyDescent="0.3">
      <c r="A142" s="86"/>
      <c r="B142" s="86" t="s">
        <v>3885</v>
      </c>
      <c r="C142" s="86" t="s">
        <v>6389</v>
      </c>
      <c r="D142" s="86"/>
      <c r="E142" s="86" t="str">
        <f t="shared" si="2"/>
        <v>H:\My Drive\DIV_SDM\BAG. PERSONALIA\01 Data Karyawan\Foto\CV\Daris_Mustaqim_-removebg-preview.png</v>
      </c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 spans="1:26" ht="10.5" customHeight="1" x14ac:dyDescent="0.3">
      <c r="A143" s="86"/>
      <c r="B143" s="86" t="s">
        <v>4839</v>
      </c>
      <c r="C143" s="86"/>
      <c r="D143" s="86"/>
      <c r="E143" s="86" t="str">
        <f t="shared" si="2"/>
        <v>H:\My Drive\DIV_SDM\BAG. PERSONALIA\01 Data Karyawan\Foto\CV\</v>
      </c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 spans="1:26" ht="10.5" customHeight="1" x14ac:dyDescent="0.3">
      <c r="A144" s="86"/>
      <c r="B144" s="86" t="s">
        <v>1359</v>
      </c>
      <c r="C144" s="86" t="s">
        <v>6390</v>
      </c>
      <c r="D144" s="86"/>
      <c r="E144" s="86" t="str">
        <f t="shared" si="2"/>
        <v>H:\My Drive\DIV_SDM\BAG. PERSONALIA\01 Data Karyawan\Foto\CV\Darwanto (642001028).jpg</v>
      </c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 spans="1:26" ht="10.5" customHeight="1" x14ac:dyDescent="0.3">
      <c r="A145" s="86"/>
      <c r="B145" s="86" t="s">
        <v>3231</v>
      </c>
      <c r="C145" s="86" t="s">
        <v>6330</v>
      </c>
      <c r="D145" s="86"/>
      <c r="E145" s="86" t="str">
        <f t="shared" si="2"/>
        <v>H:\My Drive\DIV_SDM\BAG. PERSONALIA\01 Data Karyawan\Foto\CV\David Dwi Prakoso.jpg</v>
      </c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 spans="1:26" ht="10.5" customHeight="1" x14ac:dyDescent="0.3">
      <c r="A146" s="86"/>
      <c r="B146" s="86" t="s">
        <v>1805</v>
      </c>
      <c r="C146" s="86" t="s">
        <v>6391</v>
      </c>
      <c r="D146" s="86"/>
      <c r="E146" s="86" t="str">
        <f t="shared" si="2"/>
        <v>H:\My Drive\DIV_SDM\BAG. PERSONALIA\01 Data Karyawan\Foto\CV\Dede Suhendra (641807170).jpg</v>
      </c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 spans="1:26" ht="10.5" customHeight="1" x14ac:dyDescent="0.3">
      <c r="A147" s="86"/>
      <c r="B147" s="86" t="s">
        <v>561</v>
      </c>
      <c r="C147" s="86" t="s">
        <v>6392</v>
      </c>
      <c r="D147" s="86"/>
      <c r="E147" s="86" t="str">
        <f t="shared" si="2"/>
        <v>H:\My Drive\DIV_SDM\BAG. PERSONALIA\01 Data Karyawan\Foto\CV\Dedy Candra Kristianto (971800023).jpg</v>
      </c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 spans="1:26" ht="10.5" customHeight="1" x14ac:dyDescent="0.3">
      <c r="A148" s="86"/>
      <c r="B148" s="86" t="s">
        <v>95</v>
      </c>
      <c r="C148" s="86" t="s">
        <v>6941</v>
      </c>
      <c r="D148" s="86"/>
      <c r="E148" s="86" t="str">
        <f t="shared" si="2"/>
        <v>H:\My Drive\DIV_SDM\BAG. PERSONALIA\01 Data Karyawan\Foto\CV\Dela_Oktaviana.png</v>
      </c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 spans="1:26" ht="10.5" customHeight="1" x14ac:dyDescent="0.3">
      <c r="A149" s="86"/>
      <c r="B149" s="86" t="s">
        <v>3375</v>
      </c>
      <c r="C149" s="86" t="s">
        <v>6393</v>
      </c>
      <c r="D149" s="86"/>
      <c r="E149" s="86" t="str">
        <f t="shared" si="2"/>
        <v>H:\My Drive\DIV_SDM\BAG. PERSONALIA\01 Data Karyawan\Foto\CV\Denden Agung P.jpg</v>
      </c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 spans="1:26" ht="10.5" customHeight="1" x14ac:dyDescent="0.3">
      <c r="A150" s="86"/>
      <c r="B150" s="86" t="s">
        <v>1251</v>
      </c>
      <c r="C150" s="86" t="s">
        <v>6394</v>
      </c>
      <c r="D150" s="86"/>
      <c r="E150" s="86" t="str">
        <f t="shared" si="2"/>
        <v>H:\My Drive\DIV_SDM\BAG. PERSONALIA\01 Data Karyawan\Foto\CV\Dendi Hermawan (642001037).jpg</v>
      </c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 spans="1:26" ht="10.5" customHeight="1" x14ac:dyDescent="0.3">
      <c r="A151" s="86"/>
      <c r="B151" s="86" t="s">
        <v>6896</v>
      </c>
      <c r="C151" s="86" t="s">
        <v>6942</v>
      </c>
      <c r="D151" s="86"/>
      <c r="E151" s="86" t="str">
        <f t="shared" si="2"/>
        <v>H:\My Drive\DIV_SDM\BAG. PERSONALIA\01 Data Karyawan\Foto\CV\Deni Wulandani.jpeg</v>
      </c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 spans="1:26" ht="10.5" customHeight="1" x14ac:dyDescent="0.3">
      <c r="A152" s="86"/>
      <c r="B152" s="86" t="s">
        <v>3891</v>
      </c>
      <c r="C152" s="86" t="s">
        <v>6395</v>
      </c>
      <c r="D152" s="86"/>
      <c r="E152" s="86" t="str">
        <f t="shared" si="2"/>
        <v>H:\My Drive\DIV_SDM\BAG. PERSONALIA\01 Data Karyawan\Foto\CV\Denny Sapto Nugroho.jpeg</v>
      </c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 spans="1:26" ht="10.5" customHeight="1" x14ac:dyDescent="0.3">
      <c r="A153" s="86"/>
      <c r="B153" s="86" t="s">
        <v>4429</v>
      </c>
      <c r="C153" s="86" t="s">
        <v>6943</v>
      </c>
      <c r="D153" s="86"/>
      <c r="E153" s="86" t="str">
        <f t="shared" si="2"/>
        <v>H:\My Drive\DIV_SDM\BAG. PERSONALIA\01 Data Karyawan\Foto\CV\Deny_widianto-removebg-preview.png</v>
      </c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 spans="1:26" ht="10.5" customHeight="1" x14ac:dyDescent="0.3">
      <c r="A154" s="86"/>
      <c r="B154" s="86" t="s">
        <v>3900</v>
      </c>
      <c r="C154" s="86" t="s">
        <v>6396</v>
      </c>
      <c r="D154" s="86"/>
      <c r="E154" s="86" t="str">
        <f t="shared" si="2"/>
        <v>H:\My Drive\DIV_SDM\BAG. PERSONALIA\01 Data Karyawan\Foto\CV\Deo_Fajar_Saputra-removebg-preview.png</v>
      </c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 spans="1:26" ht="10.5" customHeight="1" x14ac:dyDescent="0.3">
      <c r="A155" s="86"/>
      <c r="B155" s="86" t="s">
        <v>2559</v>
      </c>
      <c r="C155" s="86" t="s">
        <v>6397</v>
      </c>
      <c r="D155" s="86"/>
      <c r="E155" s="86" t="str">
        <f t="shared" si="2"/>
        <v>H:\My Drive\DIV_SDM\BAG. PERSONALIA\01 Data Karyawan\Foto\CV\Deop Neusta YS (642002080).jpg</v>
      </c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 spans="1:26" ht="10.5" customHeight="1" x14ac:dyDescent="0.3">
      <c r="A156" s="86"/>
      <c r="B156" s="86" t="s">
        <v>4369</v>
      </c>
      <c r="C156" s="86" t="s">
        <v>6944</v>
      </c>
      <c r="D156" s="86"/>
      <c r="E156" s="86" t="str">
        <f t="shared" si="2"/>
        <v>H:\My Drive\DIV_SDM\BAG. PERSONALIA\01 Data Karyawan\Foto\CV\Deri_Yuda_Mahendra-removebg-preview.png</v>
      </c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 spans="1:26" ht="10.5" customHeight="1" x14ac:dyDescent="0.3">
      <c r="A157" s="86"/>
      <c r="B157" s="86" t="s">
        <v>1351</v>
      </c>
      <c r="C157" s="86" t="s">
        <v>6398</v>
      </c>
      <c r="D157" s="86"/>
      <c r="E157" s="86" t="str">
        <f t="shared" si="2"/>
        <v>H:\My Drive\DIV_SDM\BAG. PERSONALIA\01 Data Karyawan\Foto\CV\Deriza Deby Dwianto (971800020).jpg</v>
      </c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 spans="1:26" ht="10.5" customHeight="1" x14ac:dyDescent="0.3">
      <c r="A158" s="86"/>
      <c r="B158" s="86" t="s">
        <v>3007</v>
      </c>
      <c r="C158" s="86" t="s">
        <v>6945</v>
      </c>
      <c r="D158" s="86"/>
      <c r="E158" s="86" t="str">
        <f t="shared" si="2"/>
        <v>H:\My Drive\DIV_SDM\BAG. PERSONALIA\01 Data Karyawan\Foto\CV\Deviana.png</v>
      </c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 spans="1:26" ht="10.5" customHeight="1" x14ac:dyDescent="0.3">
      <c r="A159" s="86"/>
      <c r="B159" s="86" t="s">
        <v>1262</v>
      </c>
      <c r="C159" s="86" t="s">
        <v>6399</v>
      </c>
      <c r="D159" s="86"/>
      <c r="E159" s="86" t="str">
        <f t="shared" si="2"/>
        <v>H:\My Drive\DIV_SDM\BAG. PERSONALIA\01 Data Karyawan\Foto\CV\Dewangga Sulung Adhi Cahyono (642001043).jpg</v>
      </c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 spans="1:26" ht="10.5" customHeight="1" x14ac:dyDescent="0.3">
      <c r="A160" s="86"/>
      <c r="B160" s="86" t="s">
        <v>4440</v>
      </c>
      <c r="C160" s="86" t="s">
        <v>6946</v>
      </c>
      <c r="D160" s="86"/>
      <c r="E160" s="86" t="str">
        <f t="shared" si="2"/>
        <v>H:\My Drive\DIV_SDM\BAG. PERSONALIA\01 Data Karyawan\Foto\CV\Dhifan_Qinthara-removebg-preview.png</v>
      </c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 spans="1:26" ht="10.5" customHeight="1" x14ac:dyDescent="0.3">
      <c r="A161" s="86"/>
      <c r="B161" s="86" t="s">
        <v>4886</v>
      </c>
      <c r="C161" s="86" t="s">
        <v>6400</v>
      </c>
      <c r="D161" s="86"/>
      <c r="E161" s="86" t="str">
        <f t="shared" si="2"/>
        <v>H:\My Drive\DIV_SDM\BAG. PERSONALIA\01 Data Karyawan\Foto\CV\Diah Puspitasari (971900038).jpg</v>
      </c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 spans="1:26" ht="10.5" customHeight="1" x14ac:dyDescent="0.3">
      <c r="A162" s="86"/>
      <c r="B162" s="86" t="s">
        <v>2107</v>
      </c>
      <c r="C162" s="86" t="s">
        <v>6401</v>
      </c>
      <c r="D162" s="86"/>
      <c r="E162" s="86" t="str">
        <f t="shared" si="2"/>
        <v>H:\My Drive\DIV_SDM\BAG. PERSONALIA\01 Data Karyawan\Foto\CV\Dian Wirawan (641810189).jpg</v>
      </c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 spans="1:26" ht="10.5" customHeight="1" x14ac:dyDescent="0.3">
      <c r="A163" s="86"/>
      <c r="B163" s="86" t="s">
        <v>3543</v>
      </c>
      <c r="C163" s="86" t="s">
        <v>6402</v>
      </c>
      <c r="D163" s="86"/>
      <c r="E163" s="86" t="str">
        <f t="shared" si="2"/>
        <v>H:\My Drive\DIV_SDM\BAG. PERSONALIA\01 Data Karyawan\Foto\CV\Diaz Praba Yudistira.png</v>
      </c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 spans="1:26" ht="10.5" customHeight="1" x14ac:dyDescent="0.3">
      <c r="A164" s="86"/>
      <c r="B164" s="86" t="s">
        <v>4621</v>
      </c>
      <c r="C164" s="86" t="s">
        <v>6947</v>
      </c>
      <c r="D164" s="86"/>
      <c r="E164" s="86" t="str">
        <f t="shared" si="2"/>
        <v>H:\My Drive\DIV_SDM\BAG. PERSONALIA\01 Data Karyawan\Foto\CV\Diaz_Pratama-removebg-preview.png</v>
      </c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 spans="1:26" ht="10.5" customHeight="1" x14ac:dyDescent="0.3">
      <c r="A165" s="86"/>
      <c r="B165" s="86" t="s">
        <v>2116</v>
      </c>
      <c r="C165" s="86" t="s">
        <v>6403</v>
      </c>
      <c r="D165" s="86"/>
      <c r="E165" s="86" t="str">
        <f t="shared" si="2"/>
        <v>H:\My Drive\DIV_SDM\BAG. PERSONALIA\01 Data Karyawan\Foto\CV\Dicky Aldi Pratama (641810205).jpg</v>
      </c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 spans="1:26" ht="10.5" customHeight="1" x14ac:dyDescent="0.3">
      <c r="A166" s="86"/>
      <c r="B166" s="86" t="s">
        <v>4457</v>
      </c>
      <c r="C166" s="86" t="s">
        <v>6948</v>
      </c>
      <c r="D166" s="86"/>
      <c r="E166" s="86" t="str">
        <f t="shared" si="2"/>
        <v>H:\My Drive\DIV_SDM\BAG. PERSONALIA\01 Data Karyawan\Foto\CV\Dicky_Wahyudi_Putra-removebg-preview.png</v>
      </c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 spans="1:26" ht="10.5" customHeight="1" x14ac:dyDescent="0.3">
      <c r="A167" s="86"/>
      <c r="B167" s="86" t="s">
        <v>866</v>
      </c>
      <c r="C167" s="86" t="s">
        <v>6404</v>
      </c>
      <c r="D167" s="86"/>
      <c r="E167" s="86" t="str">
        <f t="shared" si="2"/>
        <v>H:\My Drive\DIV_SDM\BAG. PERSONALIA\01 Data Karyawan\Foto\CV\Didi Setiawan 9642001069).jpg</v>
      </c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 spans="1:26" ht="10.5" customHeight="1" x14ac:dyDescent="0.3">
      <c r="A168" s="86"/>
      <c r="B168" s="86" t="s">
        <v>638</v>
      </c>
      <c r="C168" s="86" t="s">
        <v>6405</v>
      </c>
      <c r="D168" s="86"/>
      <c r="E168" s="86" t="str">
        <f t="shared" si="2"/>
        <v>H:\My Drive\DIV_SDM\BAG. PERSONALIA\01 Data Karyawan\Foto\CV\Didik Hendri.jpg</v>
      </c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 spans="1:26" ht="10.5" customHeight="1" x14ac:dyDescent="0.3">
      <c r="A169" s="86"/>
      <c r="B169" s="86" t="s">
        <v>5254</v>
      </c>
      <c r="C169" s="86"/>
      <c r="D169" s="86"/>
      <c r="E169" s="86" t="str">
        <f t="shared" si="2"/>
        <v>H:\My Drive\DIV_SDM\BAG. PERSONALIA\01 Data Karyawan\Foto\CV\</v>
      </c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 spans="1:26" ht="10.5" customHeight="1" x14ac:dyDescent="0.3">
      <c r="A170" s="86"/>
      <c r="B170" s="86" t="s">
        <v>1448</v>
      </c>
      <c r="C170" s="86" t="s">
        <v>6406</v>
      </c>
      <c r="D170" s="86"/>
      <c r="E170" s="86" t="str">
        <f t="shared" si="2"/>
        <v>H:\My Drive\DIV_SDM\BAG. PERSONALIA\01 Data Karyawan\Foto\CV\Diki Robinson (642001027).jpg</v>
      </c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 spans="1:26" ht="10.5" customHeight="1" x14ac:dyDescent="0.3">
      <c r="A171" s="86"/>
      <c r="B171" s="86" t="s">
        <v>5644</v>
      </c>
      <c r="C171" s="86"/>
      <c r="D171" s="86"/>
      <c r="E171" s="86" t="str">
        <f t="shared" si="2"/>
        <v>H:\My Drive\DIV_SDM\BAG. PERSONALIA\01 Data Karyawan\Foto\CV\</v>
      </c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 spans="1:26" ht="10.5" customHeight="1" x14ac:dyDescent="0.3">
      <c r="A172" s="86"/>
      <c r="B172" s="86" t="s">
        <v>3785</v>
      </c>
      <c r="C172" s="86" t="s">
        <v>6407</v>
      </c>
      <c r="D172" s="86"/>
      <c r="E172" s="86" t="str">
        <f t="shared" si="2"/>
        <v>H:\My Drive\DIV_SDM\BAG. PERSONALIA\01 Data Karyawan\Foto\CV\Dimas_Dwi_Kurniawan-removebg-preview.png</v>
      </c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 spans="1:26" ht="10.5" customHeight="1" x14ac:dyDescent="0.3">
      <c r="A173" s="86"/>
      <c r="B173" s="86" t="s">
        <v>1632</v>
      </c>
      <c r="C173" s="86" t="s">
        <v>6408</v>
      </c>
      <c r="D173" s="86"/>
      <c r="E173" s="86" t="str">
        <f t="shared" si="2"/>
        <v>H:\My Drive\DIV_SDM\BAG. PERSONALIA\01 Data Karyawan\Foto\CV\Dimas Enggar Pambudi (641805147).jpg</v>
      </c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 spans="1:26" ht="10.5" customHeight="1" x14ac:dyDescent="0.3">
      <c r="A174" s="86"/>
      <c r="B174" s="86" t="s">
        <v>1645</v>
      </c>
      <c r="C174" s="86" t="s">
        <v>6409</v>
      </c>
      <c r="D174" s="86"/>
      <c r="E174" s="86" t="str">
        <f t="shared" si="2"/>
        <v>H:\My Drive\DIV_SDM\BAG. PERSONALIA\01 Data Karyawan\Foto\CV\Dimas Muchsin Ardiansyah (641805145).jpg</v>
      </c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 spans="1:26" ht="10.5" customHeight="1" x14ac:dyDescent="0.3">
      <c r="A175" s="86"/>
      <c r="B175" s="86" t="s">
        <v>1149</v>
      </c>
      <c r="C175" s="86" t="s">
        <v>6410</v>
      </c>
      <c r="D175" s="86"/>
      <c r="E175" s="86" t="str">
        <f t="shared" si="2"/>
        <v>H:\My Drive\DIV_SDM\BAG. PERSONALIA\01 Data Karyawan\Foto\CV\Dimas Suhardiyono (971800019).png</v>
      </c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 spans="1:26" ht="10.5" customHeight="1" x14ac:dyDescent="0.3">
      <c r="A176" s="86"/>
      <c r="B176" s="86" t="s">
        <v>2944</v>
      </c>
      <c r="C176" s="86" t="s">
        <v>6411</v>
      </c>
      <c r="D176" s="86"/>
      <c r="E176" s="86" t="str">
        <f t="shared" si="2"/>
        <v>H:\My Drive\DIV_SDM\BAG. PERSONALIA\01 Data Karyawan\Foto\CV\Dimas Yoga Margihanto.jpg</v>
      </c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 spans="1:26" ht="10.5" customHeight="1" x14ac:dyDescent="0.3">
      <c r="A177" s="86"/>
      <c r="B177" s="86" t="s">
        <v>680</v>
      </c>
      <c r="C177" s="86" t="s">
        <v>6412</v>
      </c>
      <c r="D177" s="86"/>
      <c r="E177" s="86" t="str">
        <f t="shared" si="2"/>
        <v>H:\My Drive\DIV_SDM\BAG. PERSONALIA\01 Data Karyawan\Foto\CV\Dionisius Wiratama (642001012).jpg</v>
      </c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 spans="1:26" ht="10.5" customHeight="1" x14ac:dyDescent="0.3">
      <c r="A178" s="86"/>
      <c r="B178" s="86" t="s">
        <v>3015</v>
      </c>
      <c r="C178" s="86" t="s">
        <v>6949</v>
      </c>
      <c r="D178" s="86"/>
      <c r="E178" s="86" t="str">
        <f t="shared" si="2"/>
        <v>H:\My Drive\DIV_SDM\BAG. PERSONALIA\01 Data Karyawan\Foto\CV\Dita_Karolin.png</v>
      </c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 spans="1:26" ht="10.5" customHeight="1" x14ac:dyDescent="0.3">
      <c r="A179" s="86"/>
      <c r="B179" s="86" t="s">
        <v>6413</v>
      </c>
      <c r="C179" s="86" t="s">
        <v>6414</v>
      </c>
      <c r="D179" s="86"/>
      <c r="E179" s="86" t="str">
        <f t="shared" si="2"/>
        <v>H:\My Drive\DIV_SDM\BAG. PERSONALIA\01 Data Karyawan\Foto\CV\Difa Wirakusuma.jpg</v>
      </c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 spans="1:26" ht="10.5" customHeight="1" x14ac:dyDescent="0.3">
      <c r="A180" s="86"/>
      <c r="B180" s="86" t="s">
        <v>5514</v>
      </c>
      <c r="C180" s="86" t="s">
        <v>6950</v>
      </c>
      <c r="D180" s="86"/>
      <c r="E180" s="86" t="str">
        <f t="shared" si="2"/>
        <v>H:\My Drive\DIV_SDM\BAG. PERSONALIA\01 Data Karyawan\Foto\CV\Joko Iswahyudi.jpg</v>
      </c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 spans="1:26" ht="10.5" customHeight="1" x14ac:dyDescent="0.3">
      <c r="A181" s="86"/>
      <c r="B181" s="86" t="s">
        <v>1053</v>
      </c>
      <c r="C181" s="86" t="s">
        <v>6415</v>
      </c>
      <c r="D181" s="86"/>
      <c r="E181" s="86" t="str">
        <f t="shared" si="2"/>
        <v>H:\My Drive\DIV_SDM\BAG. PERSONALIA\01 Data Karyawan\Foto\CV\Dodik Panca Prasetyawan (642001052).jpg</v>
      </c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 spans="1:26" ht="10.5" customHeight="1" x14ac:dyDescent="0.3">
      <c r="A182" s="86"/>
      <c r="B182" s="86" t="s">
        <v>2846</v>
      </c>
      <c r="C182" s="86" t="s">
        <v>6416</v>
      </c>
      <c r="D182" s="86"/>
      <c r="E182" s="86" t="str">
        <f t="shared" si="2"/>
        <v>H:\My Drive\DIV_SDM\BAG. PERSONALIA\01 Data Karyawan\Foto\CV\Doni Ahmad.jpg</v>
      </c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 spans="1:26" ht="10.5" customHeight="1" x14ac:dyDescent="0.3">
      <c r="A183" s="86"/>
      <c r="B183" s="86" t="s">
        <v>4932</v>
      </c>
      <c r="C183" s="86" t="s">
        <v>6417</v>
      </c>
      <c r="D183" s="86"/>
      <c r="E183" s="86" t="str">
        <f t="shared" si="2"/>
        <v>H:\My Drive\DIV_SDM\BAG. PERSONALIA\01 Data Karyawan\Foto\CV\Doni Dwi Saputro (642001002).jpg</v>
      </c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 spans="1:26" ht="10.5" customHeight="1" x14ac:dyDescent="0.3">
      <c r="A184" s="86"/>
      <c r="B184" s="86" t="s">
        <v>5725</v>
      </c>
      <c r="C184" s="86"/>
      <c r="D184" s="86"/>
      <c r="E184" s="86" t="str">
        <f t="shared" si="2"/>
        <v>H:\My Drive\DIV_SDM\BAG. PERSONALIA\01 Data Karyawan\Foto\CV\</v>
      </c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 spans="1:26" ht="10.5" customHeight="1" x14ac:dyDescent="0.3">
      <c r="A185" s="86"/>
      <c r="B185" s="86" t="s">
        <v>3703</v>
      </c>
      <c r="C185" s="86" t="s">
        <v>6418</v>
      </c>
      <c r="D185" s="86"/>
      <c r="E185" s="86" t="str">
        <f t="shared" si="2"/>
        <v>H:\My Drive\DIV_SDM\BAG. PERSONALIA\01 Data Karyawan\Foto\CV\Doni Igo Murti Wardana.png</v>
      </c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 spans="1:26" ht="10.5" customHeight="1" x14ac:dyDescent="0.3">
      <c r="A186" s="86"/>
      <c r="B186" s="86" t="s">
        <v>1689</v>
      </c>
      <c r="C186" s="86" t="s">
        <v>6419</v>
      </c>
      <c r="D186" s="86"/>
      <c r="E186" s="86" t="str">
        <f t="shared" si="2"/>
        <v>H:\My Drive\DIV_SDM\BAG. PERSONALIA\01 Data Karyawan\Foto\CV\Doni Nur Anggi Prastyo (642001002).jpg</v>
      </c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 spans="1:26" ht="10.5" customHeight="1" x14ac:dyDescent="0.3">
      <c r="A187" s="86"/>
      <c r="B187" s="86" t="s">
        <v>2594</v>
      </c>
      <c r="C187" s="86" t="s">
        <v>6420</v>
      </c>
      <c r="D187" s="86"/>
      <c r="E187" s="86" t="str">
        <f t="shared" si="2"/>
        <v>H:\My Drive\DIV_SDM\BAG. PERSONALIA\01 Data Karyawan\Foto\CV\Donisah Siregar (642002083).jpg</v>
      </c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 spans="1:26" ht="10.5" customHeight="1" x14ac:dyDescent="0.3">
      <c r="A188" s="86"/>
      <c r="B188" s="86" t="s">
        <v>5224</v>
      </c>
      <c r="C188" s="86" t="s">
        <v>6421</v>
      </c>
      <c r="D188" s="86"/>
      <c r="E188" s="86" t="str">
        <f t="shared" si="2"/>
        <v>H:\My Drive\DIV_SDM\BAG. PERSONALIA\01 Data Karyawan\Foto\CV\Doni Erowadi.JPG</v>
      </c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 spans="1:26" ht="10.5" customHeight="1" x14ac:dyDescent="0.3">
      <c r="A189" s="86"/>
      <c r="B189" s="86" t="s">
        <v>1812</v>
      </c>
      <c r="C189" s="86" t="s">
        <v>6422</v>
      </c>
      <c r="D189" s="86"/>
      <c r="E189" s="86" t="str">
        <f t="shared" si="2"/>
        <v>H:\My Drive\DIV_SDM\BAG. PERSONALIA\01 Data Karyawan\Foto\CV\Dony Pramono (641807162).jpg</v>
      </c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 spans="1:26" ht="10.5" customHeight="1" x14ac:dyDescent="0.3">
      <c r="A190" s="86"/>
      <c r="B190" s="86" t="s">
        <v>3906</v>
      </c>
      <c r="C190" s="86" t="s">
        <v>6423</v>
      </c>
      <c r="D190" s="86"/>
      <c r="E190" s="86" t="str">
        <f t="shared" si="2"/>
        <v>H:\My Drive\DIV_SDM\BAG. PERSONALIA\01 Data Karyawan\Foto\CV\Dwi_Agus_Is_Saputra-removebg-preview.png</v>
      </c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 spans="1:26" ht="10.5" customHeight="1" x14ac:dyDescent="0.3">
      <c r="A191" s="86"/>
      <c r="B191" s="86" t="s">
        <v>380</v>
      </c>
      <c r="C191" s="86" t="s">
        <v>6424</v>
      </c>
      <c r="D191" s="86"/>
      <c r="E191" s="86" t="str">
        <f t="shared" si="2"/>
        <v>H:\My Drive\DIV_SDM\BAG. PERSONALIA\01 Data Karyawan\Foto\CV\Dwi Anna Andik Prasetyo (971500002).jpg</v>
      </c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 spans="1:26" ht="10.5" customHeight="1" x14ac:dyDescent="0.3">
      <c r="A192" s="86"/>
      <c r="B192" s="86" t="s">
        <v>5040</v>
      </c>
      <c r="C192" s="86" t="s">
        <v>6425</v>
      </c>
      <c r="D192" s="86"/>
      <c r="E192" s="86" t="str">
        <f t="shared" si="2"/>
        <v>H:\My Drive\DIV_SDM\BAG. PERSONALIA\01 Data Karyawan\Foto\CV\Dwi Ari Wibowo (642001018).jpg</v>
      </c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 spans="1:26" ht="10.5" customHeight="1" x14ac:dyDescent="0.3">
      <c r="A193" s="86"/>
      <c r="B193" s="86" t="s">
        <v>1820</v>
      </c>
      <c r="C193" s="86" t="s">
        <v>6426</v>
      </c>
      <c r="D193" s="86"/>
      <c r="E193" s="86" t="str">
        <f t="shared" si="2"/>
        <v>H:\My Drive\DIV_SDM\BAG. PERSONALIA\01 Data Karyawan\Foto\CV\Dwi Arianto (641807161).jpg</v>
      </c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 spans="1:26" ht="10.5" customHeight="1" x14ac:dyDescent="0.3">
      <c r="A194" s="86"/>
      <c r="B194" s="86" t="s">
        <v>3661</v>
      </c>
      <c r="C194" s="86"/>
      <c r="D194" s="86"/>
      <c r="E194" s="86" t="str">
        <f t="shared" si="2"/>
        <v>H:\My Drive\DIV_SDM\BAG. PERSONALIA\01 Data Karyawan\Foto\CV\</v>
      </c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 spans="1:26" ht="10.5" customHeight="1" x14ac:dyDescent="0.3">
      <c r="A195" s="86"/>
      <c r="B195" s="86" t="s">
        <v>2342</v>
      </c>
      <c r="C195" s="86" t="s">
        <v>6427</v>
      </c>
      <c r="D195" s="86"/>
      <c r="E195" s="86" t="str">
        <f t="shared" si="2"/>
        <v>H:\My Drive\DIV_SDM\BAG. PERSONALIA\01 Data Karyawan\Foto\CV\Edi Prasetiyawan.png</v>
      </c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 spans="1:26" ht="10.5" customHeight="1" x14ac:dyDescent="0.3">
      <c r="A196" s="86"/>
      <c r="B196" s="86" t="s">
        <v>3912</v>
      </c>
      <c r="C196" s="86" t="s">
        <v>6428</v>
      </c>
      <c r="D196" s="86"/>
      <c r="E196" s="86" t="str">
        <f t="shared" ref="E196:E259" si="3">$D$3&amp;C196</f>
        <v>H:\My Drive\DIV_SDM\BAG. PERSONALIA\01 Data Karyawan\Foto\CV\Eka_Nova_Agfi_Putera-removebg-preview.png</v>
      </c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 spans="1:26" ht="10.5" customHeight="1" x14ac:dyDescent="0.3">
      <c r="A197" s="86"/>
      <c r="B197" s="86" t="s">
        <v>1277</v>
      </c>
      <c r="C197" s="86" t="s">
        <v>6429</v>
      </c>
      <c r="D197" s="86"/>
      <c r="E197" s="86" t="str">
        <f t="shared" si="3"/>
        <v>H:\My Drive\DIV_SDM\BAG. PERSONALIA\01 Data Karyawan\Foto\CV\Eko Nur Cahyo Putro (642001042).jpg</v>
      </c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 spans="1:26" ht="10.5" customHeight="1" x14ac:dyDescent="0.3">
      <c r="A198" s="86"/>
      <c r="B198" s="86" t="s">
        <v>2704</v>
      </c>
      <c r="C198" s="86" t="s">
        <v>6430</v>
      </c>
      <c r="D198" s="86"/>
      <c r="E198" s="86" t="str">
        <f t="shared" si="3"/>
        <v>H:\My Drive\DIV_SDM\BAG. PERSONALIA\01 Data Karyawan\Foto\CV\Eko_Prasetiyo-removebg-preview.png</v>
      </c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6" ht="10.5" customHeight="1" x14ac:dyDescent="0.3">
      <c r="A199" s="86"/>
      <c r="B199" s="86" t="s">
        <v>747</v>
      </c>
      <c r="C199" s="86" t="s">
        <v>6431</v>
      </c>
      <c r="D199" s="86"/>
      <c r="E199" s="86" t="str">
        <f t="shared" si="3"/>
        <v>H:\My Drive\DIV_SDM\BAG. PERSONALIA\01 Data Karyawan\Foto\CV\Eko Prasetyo (971900030).jpg</v>
      </c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 spans="1:26" ht="10.5" customHeight="1" x14ac:dyDescent="0.3">
      <c r="A200" s="86"/>
      <c r="B200" s="86" t="s">
        <v>4474</v>
      </c>
      <c r="C200" s="86" t="s">
        <v>6951</v>
      </c>
      <c r="D200" s="86"/>
      <c r="E200" s="86" t="str">
        <f t="shared" si="3"/>
        <v>H:\My Drive\DIV_SDM\BAG. PERSONALIA\01 Data Karyawan\Foto\CV\Elang_mahmudi-removebg-preview.png</v>
      </c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 spans="1:26" ht="10.5" customHeight="1" x14ac:dyDescent="0.3">
      <c r="A201" s="86"/>
      <c r="B201" s="86" t="s">
        <v>4629</v>
      </c>
      <c r="C201" s="86" t="s">
        <v>6952</v>
      </c>
      <c r="D201" s="86"/>
      <c r="E201" s="86" t="str">
        <f t="shared" si="3"/>
        <v>H:\My Drive\DIV_SDM\BAG. PERSONALIA\01 Data Karyawan\Foto\CV\Elang_Raihan_Permana-removebg-preview.png</v>
      </c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 spans="1:26" ht="10.5" customHeight="1" x14ac:dyDescent="0.3">
      <c r="A202" s="86"/>
      <c r="B202" s="86" t="s">
        <v>2763</v>
      </c>
      <c r="C202" s="86" t="s">
        <v>6432</v>
      </c>
      <c r="D202" s="86"/>
      <c r="E202" s="86" t="str">
        <f t="shared" si="3"/>
        <v>H:\My Drive\DIV_SDM\BAG. PERSONALIA\01 Data Karyawan\Foto\CV\Ely_Yudioko-removebg-preview.png</v>
      </c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 spans="1:26" ht="10.5" customHeight="1" x14ac:dyDescent="0.3">
      <c r="A203" s="86"/>
      <c r="B203" s="86" t="s">
        <v>5629</v>
      </c>
      <c r="C203" s="86" t="s">
        <v>6433</v>
      </c>
      <c r="D203" s="86"/>
      <c r="E203" s="86" t="str">
        <f t="shared" si="3"/>
        <v>H:\My Drive\DIV_SDM\BAG. PERSONALIA\01 Data Karyawan\Foto\CV\Endang Hermawan.jpeg</v>
      </c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 spans="1:26" ht="10.5" customHeight="1" x14ac:dyDescent="0.3">
      <c r="A204" s="86"/>
      <c r="B204" s="86" t="s">
        <v>6851</v>
      </c>
      <c r="C204" s="86"/>
      <c r="D204" s="86"/>
      <c r="E204" s="86" t="str">
        <f t="shared" si="3"/>
        <v>H:\My Drive\DIV_SDM\BAG. PERSONALIA\01 Data Karyawan\Foto\CV\</v>
      </c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 spans="1:26" ht="10.5" customHeight="1" x14ac:dyDescent="0.3">
      <c r="A205" s="86"/>
      <c r="B205" s="86" t="s">
        <v>1295</v>
      </c>
      <c r="C205" s="86" t="s">
        <v>6434</v>
      </c>
      <c r="D205" s="86"/>
      <c r="E205" s="86" t="str">
        <f t="shared" si="3"/>
        <v>H:\My Drive\DIV_SDM\BAG. PERSONALIA\01 Data Karyawan\Foto\CV\Endrawan (642001036).jpg</v>
      </c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 spans="1:26" ht="10.5" customHeight="1" x14ac:dyDescent="0.3">
      <c r="A206" s="86"/>
      <c r="B206" s="86" t="s">
        <v>4913</v>
      </c>
      <c r="C206" s="86"/>
      <c r="D206" s="86"/>
      <c r="E206" s="86" t="str">
        <f t="shared" si="3"/>
        <v>H:\My Drive\DIV_SDM\BAG. PERSONALIA\01 Data Karyawan\Foto\CV\</v>
      </c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 spans="1:26" ht="10.5" customHeight="1" x14ac:dyDescent="0.3">
      <c r="A207" s="86"/>
      <c r="B207" s="86" t="s">
        <v>3394</v>
      </c>
      <c r="C207" s="86" t="s">
        <v>6435</v>
      </c>
      <c r="D207" s="86"/>
      <c r="E207" s="86" t="str">
        <f t="shared" si="3"/>
        <v>H:\My Drive\DIV_SDM\BAG. PERSONALIA\01 Data Karyawan\Foto\CV\Erwin Bagus Saputro.jpg</v>
      </c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 spans="1:26" ht="10.5" customHeight="1" x14ac:dyDescent="0.3">
      <c r="A208" s="86"/>
      <c r="B208" s="86" t="s">
        <v>3611</v>
      </c>
      <c r="C208" s="86"/>
      <c r="D208" s="86"/>
      <c r="E208" s="86" t="str">
        <f t="shared" si="3"/>
        <v>H:\My Drive\DIV_SDM\BAG. PERSONALIA\01 Data Karyawan\Foto\CV\</v>
      </c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 spans="1:26" ht="10.5" customHeight="1" x14ac:dyDescent="0.3">
      <c r="A209" s="86"/>
      <c r="B209" s="86" t="s">
        <v>1331</v>
      </c>
      <c r="C209" s="86" t="s">
        <v>6436</v>
      </c>
      <c r="D209" s="86"/>
      <c r="E209" s="86" t="str">
        <f t="shared" si="3"/>
        <v>H:\My Drive\DIV_SDM\BAG. PERSONALIA\01 Data Karyawan\Foto\CV\Faila Dzul Luthfi (971800018).jpg</v>
      </c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 spans="1:26" ht="10.5" customHeight="1" x14ac:dyDescent="0.3">
      <c r="A210" s="86"/>
      <c r="B210" s="86" t="s">
        <v>3924</v>
      </c>
      <c r="C210" s="86" t="s">
        <v>6437</v>
      </c>
      <c r="D210" s="86"/>
      <c r="E210" s="86" t="str">
        <f t="shared" si="3"/>
        <v>H:\My Drive\DIV_SDM\BAG. PERSONALIA\01 Data Karyawan\Foto\CV\Faisak_Khobbi-removebg-preview.png</v>
      </c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 spans="1:26" ht="10.5" customHeight="1" x14ac:dyDescent="0.3">
      <c r="A211" s="86"/>
      <c r="B211" s="86" t="s">
        <v>3918</v>
      </c>
      <c r="C211" s="86" t="s">
        <v>6438</v>
      </c>
      <c r="D211" s="86"/>
      <c r="E211" s="86" t="str">
        <f t="shared" si="3"/>
        <v>H:\My Drive\DIV_SDM\BAG. PERSONALIA\01 Data Karyawan\Foto\CV\Faishol_Rijalut_Tammimi-removebg-preview.png</v>
      </c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 spans="1:26" ht="10.5" customHeight="1" x14ac:dyDescent="0.3">
      <c r="A212" s="86"/>
      <c r="B212" s="86" t="s">
        <v>3240</v>
      </c>
      <c r="C212" s="86" t="s">
        <v>6439</v>
      </c>
      <c r="D212" s="86"/>
      <c r="E212" s="86" t="str">
        <f t="shared" si="3"/>
        <v>H:\My Drive\DIV_SDM\BAG. PERSONALIA\01 Data Karyawan\Foto\CV\Faiz Nizamudij.jpg</v>
      </c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 spans="1:26" ht="10.5" customHeight="1" x14ac:dyDescent="0.3">
      <c r="A213" s="86"/>
      <c r="B213" s="86" t="s">
        <v>4987</v>
      </c>
      <c r="C213" s="86" t="s">
        <v>6440</v>
      </c>
      <c r="D213" s="86"/>
      <c r="E213" s="86" t="str">
        <f t="shared" si="3"/>
        <v>H:\My Drive\DIV_SDM\BAG. PERSONALIA\01 Data Karyawan\Foto\CV\Faizal Rizqi Nur Ekwanudin (641807167).jpg</v>
      </c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 spans="1:26" ht="10.5" customHeight="1" x14ac:dyDescent="0.3">
      <c r="A214" s="86"/>
      <c r="B214" s="86" t="s">
        <v>4299</v>
      </c>
      <c r="C214" s="86" t="s">
        <v>6953</v>
      </c>
      <c r="D214" s="86"/>
      <c r="E214" s="86" t="str">
        <f t="shared" si="3"/>
        <v>H:\My Drive\DIV_SDM\BAG. PERSONALIA\01 Data Karyawan\Foto\CV\Faizin.jpg</v>
      </c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 spans="1:26" ht="10.5" customHeight="1" x14ac:dyDescent="0.3">
      <c r="A215" s="86"/>
      <c r="B215" s="86" t="s">
        <v>3930</v>
      </c>
      <c r="C215" s="86" t="s">
        <v>6441</v>
      </c>
      <c r="D215" s="86"/>
      <c r="E215" s="86" t="str">
        <f t="shared" si="3"/>
        <v>H:\My Drive\DIV_SDM\BAG. PERSONALIA\01 Data Karyawan\Foto\CV\FAJAR_ADHA_ANGGORO-removebg-preview.png</v>
      </c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 spans="1:26" ht="10.5" customHeight="1" x14ac:dyDescent="0.3">
      <c r="A216" s="86"/>
      <c r="B216" s="86" t="s">
        <v>5821</v>
      </c>
      <c r="C216" s="86" t="s">
        <v>6442</v>
      </c>
      <c r="D216" s="86"/>
      <c r="E216" s="86" t="str">
        <f t="shared" si="3"/>
        <v>H:\My Drive\DIV_SDM\BAG. PERSONALIA\01 Data Karyawan\Foto\CV\Fallah Dzu Nur Aini (642002072).jpg</v>
      </c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 spans="1:26" ht="10.5" customHeight="1" x14ac:dyDescent="0.3">
      <c r="A217" s="86"/>
      <c r="B217" s="86" t="s">
        <v>4636</v>
      </c>
      <c r="C217" s="86" t="s">
        <v>6954</v>
      </c>
      <c r="D217" s="86"/>
      <c r="E217" s="86" t="str">
        <f t="shared" si="3"/>
        <v>H:\My Drive\DIV_SDM\BAG. PERSONALIA\01 Data Karyawan\Foto\CV\Faqih_Abdurrohman_Kusti-removebg-preview.png</v>
      </c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 spans="1:26" ht="10.5" customHeight="1" x14ac:dyDescent="0.3">
      <c r="A218" s="86"/>
      <c r="B218" s="86" t="s">
        <v>5413</v>
      </c>
      <c r="C218" s="86" t="s">
        <v>6955</v>
      </c>
      <c r="D218" s="86"/>
      <c r="E218" s="86" t="str">
        <f t="shared" si="3"/>
        <v>H:\My Drive\DIV_SDM\BAG. PERSONALIA\01 Data Karyawan\Foto\CV\Fatkhurrozi.jpg</v>
      </c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 spans="1:26" ht="10.5" customHeight="1" x14ac:dyDescent="0.3">
      <c r="A219" s="86"/>
      <c r="B219" s="86" t="s">
        <v>1502</v>
      </c>
      <c r="C219" s="86" t="s">
        <v>6443</v>
      </c>
      <c r="D219" s="86"/>
      <c r="E219" s="86" t="str">
        <f t="shared" si="3"/>
        <v>H:\My Drive\DIV_SDM\BAG. PERSONALIA\01 Data Karyawan\Foto\CV\Fava_Wira_Pratama-removebg-preview.png</v>
      </c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 spans="1:26" ht="10.5" customHeight="1" x14ac:dyDescent="0.3">
      <c r="A220" s="86"/>
      <c r="B220" s="86" t="s">
        <v>1843</v>
      </c>
      <c r="C220" s="86" t="s">
        <v>6444</v>
      </c>
      <c r="D220" s="86"/>
      <c r="E220" s="86" t="str">
        <f t="shared" si="3"/>
        <v>H:\My Drive\DIV_SDM\BAG. PERSONALIA\01 Data Karyawan\Foto\CV\Febri Herdian (641808176).jpg</v>
      </c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 spans="1:26" ht="10.5" customHeight="1" x14ac:dyDescent="0.3">
      <c r="A221" s="86"/>
      <c r="B221" s="86" t="s">
        <v>962</v>
      </c>
      <c r="C221" s="86" t="s">
        <v>6445</v>
      </c>
      <c r="D221" s="86"/>
      <c r="E221" s="86" t="str">
        <f t="shared" si="3"/>
        <v>H:\My Drive\DIV_SDM\BAG. PERSONALIA\01 Data Karyawan\Foto\CV\Febri Prasetya (642001053).jpg</v>
      </c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 spans="1:26" ht="10.5" customHeight="1" x14ac:dyDescent="0.3">
      <c r="A222" s="86"/>
      <c r="B222" s="86" t="s">
        <v>2060</v>
      </c>
      <c r="C222" s="86" t="s">
        <v>6446</v>
      </c>
      <c r="D222" s="86"/>
      <c r="E222" s="86" t="str">
        <f t="shared" si="3"/>
        <v>H:\My Drive\DIV_SDM\BAG. PERSONALIA\01 Data Karyawan\Foto\CV\Febriansyah (641810185).jpg</v>
      </c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 spans="1:26" ht="10.5" customHeight="1" x14ac:dyDescent="0.3">
      <c r="A223" s="86"/>
      <c r="B223" s="86" t="s">
        <v>2787</v>
      </c>
      <c r="C223" s="86" t="s">
        <v>6447</v>
      </c>
      <c r="D223" s="86"/>
      <c r="E223" s="86" t="str">
        <f t="shared" si="3"/>
        <v>H:\My Drive\DIV_SDM\BAG. PERSONALIA\01 Data Karyawan\Foto\CV\Fendik Siswanto.jpg</v>
      </c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 spans="1:26" ht="10.5" customHeight="1" x14ac:dyDescent="0.3">
      <c r="A224" s="86"/>
      <c r="B224" s="86" t="s">
        <v>2857</v>
      </c>
      <c r="C224" s="86" t="s">
        <v>6448</v>
      </c>
      <c r="D224" s="86"/>
      <c r="E224" s="86" t="str">
        <f t="shared" si="3"/>
        <v>H:\My Drive\DIV_SDM\BAG. PERSONALIA\01 Data Karyawan\Foto\CV\Ferry Apriyanto.jpg</v>
      </c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 spans="1:26" ht="10.5" customHeight="1" x14ac:dyDescent="0.3">
      <c r="A225" s="86"/>
      <c r="B225" s="86" t="s">
        <v>3552</v>
      </c>
      <c r="C225" s="86" t="s">
        <v>6449</v>
      </c>
      <c r="D225" s="86"/>
      <c r="E225" s="86" t="str">
        <f t="shared" si="3"/>
        <v>H:\My Drive\DIV_SDM\BAG. PERSONALIA\01 Data Karyawan\Foto\CV\Figo Muhammad Hernatias.png</v>
      </c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 spans="1:26" ht="10.5" customHeight="1" x14ac:dyDescent="0.3">
      <c r="A226" s="86"/>
      <c r="B226" s="86" t="s">
        <v>4645</v>
      </c>
      <c r="C226" s="86"/>
      <c r="D226" s="86"/>
      <c r="E226" s="86" t="str">
        <f t="shared" si="3"/>
        <v>H:\My Drive\DIV_SDM\BAG. PERSONALIA\01 Data Karyawan\Foto\CV\</v>
      </c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 spans="1:26" ht="10.5" customHeight="1" x14ac:dyDescent="0.3">
      <c r="A227" s="86"/>
      <c r="B227" s="86" t="s">
        <v>1700</v>
      </c>
      <c r="C227" s="86" t="s">
        <v>6450</v>
      </c>
      <c r="D227" s="86"/>
      <c r="E227" s="86" t="str">
        <f t="shared" si="3"/>
        <v>H:\My Drive\DIV_SDM\BAG. PERSONALIA\01 Data Karyawan\Foto\CV\Firdaus Kurnia Firmansyah (641806160).jpg</v>
      </c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 spans="1:26" ht="10.5" customHeight="1" x14ac:dyDescent="0.3">
      <c r="A228" s="86"/>
      <c r="B228" s="86" t="s">
        <v>3795</v>
      </c>
      <c r="C228" s="86" t="s">
        <v>6451</v>
      </c>
      <c r="D228" s="86"/>
      <c r="E228" s="86" t="str">
        <f t="shared" si="3"/>
        <v>H:\My Drive\DIV_SDM\BAG. PERSONALIA\01 Data Karyawan\Foto\CV\Firman_Maulana_R-removebg-preview.png</v>
      </c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 spans="1:26" ht="10.5" customHeight="1" x14ac:dyDescent="0.3">
      <c r="A229" s="86"/>
      <c r="B229" s="86" t="s">
        <v>2275</v>
      </c>
      <c r="C229" s="86" t="s">
        <v>6452</v>
      </c>
      <c r="D229" s="86"/>
      <c r="E229" s="86" t="str">
        <f t="shared" si="3"/>
        <v>H:\My Drive\DIV_SDM\BAG. PERSONALIA\01 Data Karyawan\Foto\CV\Firzki Prasetya (641906235).jpg</v>
      </c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 spans="1:26" ht="10.5" customHeight="1" x14ac:dyDescent="0.3">
      <c r="A230" s="86"/>
      <c r="B230" s="86" t="s">
        <v>3936</v>
      </c>
      <c r="C230" s="86" t="s">
        <v>6453</v>
      </c>
      <c r="D230" s="86"/>
      <c r="E230" s="86" t="str">
        <f t="shared" si="3"/>
        <v>H:\My Drive\DIV_SDM\BAG. PERSONALIA\01 Data Karyawan\Foto\CV\fitrial_nova_arianto-removebg-preview.png</v>
      </c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 spans="1:26" ht="10.5" customHeight="1" x14ac:dyDescent="0.3">
      <c r="A231" s="86"/>
      <c r="B231" s="86" t="s">
        <v>105</v>
      </c>
      <c r="C231" s="86"/>
      <c r="D231" s="86"/>
      <c r="E231" s="86" t="str">
        <f t="shared" si="3"/>
        <v>H:\My Drive\DIV_SDM\BAG. PERSONALIA\01 Data Karyawan\Foto\CV\</v>
      </c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 spans="1:26" ht="10.5" customHeight="1" x14ac:dyDescent="0.3">
      <c r="A232" s="86"/>
      <c r="B232" s="86" t="s">
        <v>5665</v>
      </c>
      <c r="C232" s="86" t="s">
        <v>6454</v>
      </c>
      <c r="D232" s="86"/>
      <c r="E232" s="86" t="str">
        <f t="shared" si="3"/>
        <v>H:\My Drive\DIV_SDM\BAG. PERSONALIA\01 Data Karyawan\Foto\CV\Flora Winarsih (971700013).jpg</v>
      </c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 spans="1:26" ht="10.5" customHeight="1" x14ac:dyDescent="0.3">
      <c r="A233" s="86"/>
      <c r="B233" s="86" t="s">
        <v>3021</v>
      </c>
      <c r="C233" s="86"/>
      <c r="D233" s="86"/>
      <c r="E233" s="86" t="str">
        <f t="shared" si="3"/>
        <v>H:\My Drive\DIV_SDM\BAG. PERSONALIA\01 Data Karyawan\Foto\CV\</v>
      </c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 spans="1:26" ht="10.5" customHeight="1" x14ac:dyDescent="0.3">
      <c r="A234" s="86"/>
      <c r="B234" s="86" t="s">
        <v>2219</v>
      </c>
      <c r="C234" s="86" t="s">
        <v>6455</v>
      </c>
      <c r="D234" s="86"/>
      <c r="E234" s="86" t="str">
        <f t="shared" si="3"/>
        <v>H:\My Drive\DIV_SDM\BAG. PERSONALIA\01 Data Karyawan\Foto\CV\Fuad Aziz (972000052).jpg</v>
      </c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 spans="1:26" ht="10.5" customHeight="1" x14ac:dyDescent="0.3">
      <c r="A235" s="86"/>
      <c r="B235" s="86" t="s">
        <v>3193</v>
      </c>
      <c r="C235" s="86" t="s">
        <v>6456</v>
      </c>
      <c r="D235" s="86"/>
      <c r="E235" s="86" t="str">
        <f t="shared" si="3"/>
        <v>H:\My Drive\DIV_SDM\BAG. PERSONALIA\01 Data Karyawan\Foto\CV\Fuad Bawazir.jpg</v>
      </c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 spans="1:26" ht="10.5" customHeight="1" x14ac:dyDescent="0.3">
      <c r="A236" s="86"/>
      <c r="B236" s="86" t="s">
        <v>4820</v>
      </c>
      <c r="C236" s="86" t="s">
        <v>6956</v>
      </c>
      <c r="D236" s="86"/>
      <c r="E236" s="86" t="str">
        <f t="shared" si="3"/>
        <v>H:\My Drive\DIV_SDM\BAG. PERSONALIA\01 Data Karyawan\Foto\CV\Gaguk-removebg-preview.png</v>
      </c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 spans="1:26" ht="10.5" customHeight="1" x14ac:dyDescent="0.3">
      <c r="A237" s="86"/>
      <c r="B237" s="86" t="s">
        <v>5147</v>
      </c>
      <c r="C237" s="86" t="s">
        <v>6457</v>
      </c>
      <c r="D237" s="86"/>
      <c r="E237" s="86" t="str">
        <f t="shared" si="3"/>
        <v>H:\My Drive\DIV_SDM\BAG. PERSONALIA\01 Data Karyawan\Foto\CV\Galant Mahasna (991000007).jpg</v>
      </c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 spans="1:26" ht="10.5" customHeight="1" x14ac:dyDescent="0.3">
      <c r="A238" s="86"/>
      <c r="B238" s="86" t="s">
        <v>5033</v>
      </c>
      <c r="C238" s="86" t="s">
        <v>6458</v>
      </c>
      <c r="D238" s="86"/>
      <c r="E238" s="86" t="str">
        <f t="shared" si="3"/>
        <v>H:\My Drive\DIV_SDM\BAG. PERSONALIA\01 Data Karyawan\Foto\CV\Gangsar Purwanto (642001066).jpg</v>
      </c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 spans="1:26" ht="10.5" customHeight="1" x14ac:dyDescent="0.3">
      <c r="A239" s="86"/>
      <c r="B239" s="86" t="s">
        <v>4868</v>
      </c>
      <c r="C239" s="86" t="s">
        <v>6459</v>
      </c>
      <c r="D239" s="86"/>
      <c r="E239" s="86" t="str">
        <f t="shared" si="3"/>
        <v>H:\My Drive\DIV_SDM\BAG. PERSONALIA\01 Data Karyawan\Foto\CV\Garit Rito Nadi (64201023).jpg</v>
      </c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 spans="1:26" ht="10.5" customHeight="1" x14ac:dyDescent="0.3">
      <c r="A240" s="86"/>
      <c r="B240" s="86" t="s">
        <v>4232</v>
      </c>
      <c r="C240" s="86"/>
      <c r="D240" s="86"/>
      <c r="E240" s="86" t="str">
        <f t="shared" si="3"/>
        <v>H:\My Drive\DIV_SDM\BAG. PERSONALIA\01 Data Karyawan\Foto\CV\</v>
      </c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 spans="1:26" ht="10.5" customHeight="1" x14ac:dyDescent="0.3">
      <c r="A241" s="86"/>
      <c r="B241" s="86" t="s">
        <v>4919</v>
      </c>
      <c r="C241" s="86" t="s">
        <v>6460</v>
      </c>
      <c r="D241" s="86"/>
      <c r="E241" s="86" t="str">
        <f t="shared" si="3"/>
        <v>H:\My Drive\DIV_SDM\BAG. PERSONALIA\01 Data Karyawan\Foto\CV\Gatot Budi Santoso (642001049).jpg</v>
      </c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 spans="1:26" ht="10.5" customHeight="1" x14ac:dyDescent="0.3">
      <c r="A242" s="86"/>
      <c r="B242" s="86" t="s">
        <v>1217</v>
      </c>
      <c r="C242" s="86" t="s">
        <v>6461</v>
      </c>
      <c r="D242" s="86"/>
      <c r="E242" s="86" t="str">
        <f t="shared" si="3"/>
        <v>H:\My Drive\DIV_SDM\BAG. PERSONALIA\01 Data Karyawan\Foto\CV\Ghozi Nafiri Fathul Adhim.jpg</v>
      </c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 spans="1:26" ht="10.5" customHeight="1" x14ac:dyDescent="0.3">
      <c r="A243" s="86"/>
      <c r="B243" s="86" t="s">
        <v>3504</v>
      </c>
      <c r="C243" s="86" t="s">
        <v>6462</v>
      </c>
      <c r="D243" s="86"/>
      <c r="E243" s="86" t="str">
        <f t="shared" si="3"/>
        <v>H:\My Drive\DIV_SDM\BAG. PERSONALIA\01 Data Karyawan\Foto\CV\Gigih Cahyo P.jpg</v>
      </c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 spans="1:26" ht="10.5" customHeight="1" x14ac:dyDescent="0.3">
      <c r="A244" s="86"/>
      <c r="B244" s="86" t="s">
        <v>1706</v>
      </c>
      <c r="C244" s="86" t="s">
        <v>6463</v>
      </c>
      <c r="D244" s="86"/>
      <c r="E244" s="86" t="str">
        <f t="shared" si="3"/>
        <v>H:\My Drive\DIV_SDM\BAG. PERSONALIA\01 Data Karyawan\Foto\CV\Gilang Akbar Wicaksono (641806157).jpg</v>
      </c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 spans="1:26" ht="10.5" customHeight="1" x14ac:dyDescent="0.3">
      <c r="A245" s="86"/>
      <c r="B245" s="86" t="s">
        <v>933</v>
      </c>
      <c r="C245" s="86" t="s">
        <v>6464</v>
      </c>
      <c r="D245" s="86"/>
      <c r="E245" s="86" t="str">
        <f t="shared" si="3"/>
        <v>H:\My Drive\DIV_SDM\BAG. PERSONALIA\01 Data Karyawan\Foto\CV\Gunawan (642001060).jpg</v>
      </c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 spans="1:26" ht="10.5" customHeight="1" x14ac:dyDescent="0.3">
      <c r="A246" s="86"/>
      <c r="B246" s="86" t="s">
        <v>4967</v>
      </c>
      <c r="C246" s="86"/>
      <c r="D246" s="86"/>
      <c r="E246" s="86" t="str">
        <f t="shared" si="3"/>
        <v>H:\My Drive\DIV_SDM\BAG. PERSONALIA\01 Data Karyawan\Foto\CV\</v>
      </c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 spans="1:26" ht="10.5" customHeight="1" x14ac:dyDescent="0.3">
      <c r="A247" s="86"/>
      <c r="B247" s="86" t="s">
        <v>5048</v>
      </c>
      <c r="C247" s="86" t="s">
        <v>6465</v>
      </c>
      <c r="D247" s="86"/>
      <c r="E247" s="86" t="str">
        <f t="shared" si="3"/>
        <v>H:\My Drive\DIV_SDM\BAG. PERSONALIA\01 Data Karyawan\Foto\CV\Hadi Saputra.jpg</v>
      </c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 spans="1:26" ht="10.5" customHeight="1" x14ac:dyDescent="0.3">
      <c r="A248" s="86"/>
      <c r="B248" s="86" t="s">
        <v>4944</v>
      </c>
      <c r="C248" s="86" t="s">
        <v>6466</v>
      </c>
      <c r="D248" s="86"/>
      <c r="E248" s="86" t="str">
        <f t="shared" si="3"/>
        <v>H:\My Drive\DIV_SDM\BAG. PERSONALIA\01 Data Karyawan\Foto\CV\Hadid Kalimarso (2).JPG</v>
      </c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 spans="1:26" ht="10.5" customHeight="1" x14ac:dyDescent="0.3">
      <c r="A249" s="86"/>
      <c r="B249" s="86" t="s">
        <v>4148</v>
      </c>
      <c r="C249" s="86" t="s">
        <v>6467</v>
      </c>
      <c r="D249" s="86"/>
      <c r="E249" s="86" t="str">
        <f t="shared" si="3"/>
        <v>H:\My Drive\DIV_SDM\BAG. PERSONALIA\01 Data Karyawan\Foto\CV\Hafif rafiathallah.jpeg</v>
      </c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 spans="1:26" ht="10.5" customHeight="1" x14ac:dyDescent="0.3">
      <c r="A250" s="86"/>
      <c r="B250" s="86" t="s">
        <v>3653</v>
      </c>
      <c r="C250" s="86" t="s">
        <v>6468</v>
      </c>
      <c r="D250" s="86"/>
      <c r="E250" s="86" t="str">
        <f t="shared" si="3"/>
        <v>H:\My Drive\DIV_SDM\BAG. PERSONALIA\01 Data Karyawan\Foto\CV\Hafiz_Fadhillah-removebg-preview.png</v>
      </c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 spans="1:26" ht="10.5" customHeight="1" x14ac:dyDescent="0.3">
      <c r="A251" s="86"/>
      <c r="B251" s="86" t="s">
        <v>6469</v>
      </c>
      <c r="C251" s="86"/>
      <c r="D251" s="86"/>
      <c r="E251" s="86" t="str">
        <f t="shared" si="3"/>
        <v>H:\My Drive\DIV_SDM\BAG. PERSONALIA\01 Data Karyawan\Foto\CV\</v>
      </c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 spans="1:26" ht="10.5" customHeight="1" x14ac:dyDescent="0.3">
      <c r="A252" s="86"/>
      <c r="B252" s="86" t="s">
        <v>5160</v>
      </c>
      <c r="C252" s="86" t="s">
        <v>6470</v>
      </c>
      <c r="D252" s="86"/>
      <c r="E252" s="86" t="str">
        <f t="shared" si="3"/>
        <v>H:\My Drive\DIV_SDM\BAG. PERSONALIA\01 Data Karyawan\Foto\CV\Hanna Dita Puspita (991000008).jpg</v>
      </c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 spans="1:26" ht="10.5" customHeight="1" x14ac:dyDescent="0.3">
      <c r="A253" s="86"/>
      <c r="B253" s="86" t="s">
        <v>2674</v>
      </c>
      <c r="C253" s="86" t="s">
        <v>6471</v>
      </c>
      <c r="D253" s="86"/>
      <c r="E253" s="86" t="str">
        <f t="shared" si="3"/>
        <v>H:\My Drive\DIV_SDM\BAG. PERSONALIA\01 Data Karyawan\Foto\CV\Hari Subekti (3).png</v>
      </c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 spans="1:26" ht="10.5" customHeight="1" x14ac:dyDescent="0.3">
      <c r="A254" s="86"/>
      <c r="B254" s="86" t="s">
        <v>2753</v>
      </c>
      <c r="C254" s="86" t="s">
        <v>6472</v>
      </c>
      <c r="D254" s="86"/>
      <c r="E254" s="86" t="str">
        <f t="shared" si="3"/>
        <v>H:\My Drive\DIV_SDM\BAG. PERSONALIA\01 Data Karyawan\Foto\CV\Harianto-removebg-preview.png</v>
      </c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 spans="1:26" ht="10.5" customHeight="1" x14ac:dyDescent="0.3">
      <c r="A255" s="86"/>
      <c r="B255" s="86" t="s">
        <v>3054</v>
      </c>
      <c r="C255" s="86" t="s">
        <v>6473</v>
      </c>
      <c r="D255" s="86"/>
      <c r="E255" s="86" t="str">
        <f t="shared" si="3"/>
        <v>H:\My Drive\DIV_SDM\BAG. PERSONALIA\01 Data Karyawan\Foto\CV\Hariyandi.jpg</v>
      </c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 spans="1:26" ht="10.5" customHeight="1" x14ac:dyDescent="0.3">
      <c r="A256" s="86"/>
      <c r="B256" s="86" t="s">
        <v>5381</v>
      </c>
      <c r="C256" s="86" t="s">
        <v>6474</v>
      </c>
      <c r="D256" s="86"/>
      <c r="E256" s="86" t="str">
        <f t="shared" si="3"/>
        <v>H:\My Drive\DIV_SDM\BAG. PERSONALIA\01 Data Karyawan\Foto\CV\Hariyanto.JPG</v>
      </c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 spans="1:26" ht="10.5" customHeight="1" x14ac:dyDescent="0.3">
      <c r="A257" s="86"/>
      <c r="B257" s="86" t="s">
        <v>1895</v>
      </c>
      <c r="C257" s="86" t="s">
        <v>6475</v>
      </c>
      <c r="D257" s="86"/>
      <c r="E257" s="86" t="str">
        <f t="shared" si="3"/>
        <v>H:\My Drive\DIV_SDM\BAG. PERSONALIA\01 Data Karyawan\Foto\CV\Harlista Dwi Oktyasworo (971900040).jpg</v>
      </c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 spans="1:26" ht="10.5" customHeight="1" x14ac:dyDescent="0.3">
      <c r="A258" s="86"/>
      <c r="B258" s="86" t="s">
        <v>6476</v>
      </c>
      <c r="C258" s="86" t="s">
        <v>6477</v>
      </c>
      <c r="D258" s="86"/>
      <c r="E258" s="86" t="str">
        <f t="shared" si="3"/>
        <v>H:\My Drive\DIV_SDM\BAG. PERSONALIA\01 Data Karyawan\Foto\CV\Harsyi Adjie Seftian (642002077).jpg</v>
      </c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 spans="1:26" ht="10.5" customHeight="1" x14ac:dyDescent="0.3">
      <c r="A259" s="86"/>
      <c r="B259" s="86" t="s">
        <v>90</v>
      </c>
      <c r="C259" s="86" t="s">
        <v>6478</v>
      </c>
      <c r="D259" s="86"/>
      <c r="E259" s="86" t="str">
        <f t="shared" si="3"/>
        <v>H:\My Drive\DIV_SDM\BAG. PERSONALIA\01 Data Karyawan\Foto\CV\Hartono (999200022).jpg</v>
      </c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 spans="1:26" ht="10.5" customHeight="1" x14ac:dyDescent="0.3">
      <c r="A260" s="86"/>
      <c r="B260" s="86" t="s">
        <v>1554</v>
      </c>
      <c r="C260" s="86" t="s">
        <v>6479</v>
      </c>
      <c r="D260" s="86"/>
      <c r="E260" s="86" t="str">
        <f t="shared" ref="E260:E323" si="4">$D$3&amp;C260</f>
        <v>H:\My Drive\DIV_SDM\BAG. PERSONALIA\01 Data Karyawan\Foto\CV\Hatmoko Hadi Saputro (641801140).jpg</v>
      </c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 spans="1:26" ht="10.5" customHeight="1" x14ac:dyDescent="0.3">
      <c r="A261" s="86"/>
      <c r="B261" s="86" t="s">
        <v>2540</v>
      </c>
      <c r="C261" s="86" t="s">
        <v>6480</v>
      </c>
      <c r="D261" s="86"/>
      <c r="E261" s="86" t="str">
        <f t="shared" si="4"/>
        <v>H:\My Drive\DIV_SDM\BAG. PERSONALIA\01 Data Karyawan\Foto\CV\Helmi Saputra (642002073).jpg</v>
      </c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 spans="1:26" ht="10.5" customHeight="1" x14ac:dyDescent="0.3">
      <c r="A262" s="86"/>
      <c r="B262" s="86" t="s">
        <v>3584</v>
      </c>
      <c r="C262" s="86" t="s">
        <v>6481</v>
      </c>
      <c r="D262" s="86"/>
      <c r="E262" s="86" t="str">
        <f t="shared" si="4"/>
        <v>H:\My Drive\DIV_SDM\BAG. PERSONALIA\01 Data Karyawan\Foto\CV\Hendra Hermanto.png</v>
      </c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 spans="1:26" ht="10.5" customHeight="1" x14ac:dyDescent="0.3">
      <c r="A263" s="86"/>
      <c r="B263" s="86" t="s">
        <v>1719</v>
      </c>
      <c r="C263" s="86" t="s">
        <v>6482</v>
      </c>
      <c r="D263" s="86"/>
      <c r="E263" s="86" t="str">
        <f t="shared" si="4"/>
        <v>H:\My Drive\DIV_SDM\BAG. PERSONALIA\01 Data Karyawan\Foto\CV\Hepi Putra Raharja (641806156).jpg</v>
      </c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 spans="1:26" ht="10.5" customHeight="1" x14ac:dyDescent="0.3">
      <c r="A264" s="86"/>
      <c r="B264" s="86" t="s">
        <v>776</v>
      </c>
      <c r="C264" s="86" t="s">
        <v>6483</v>
      </c>
      <c r="D264" s="86"/>
      <c r="E264" s="86" t="str">
        <f t="shared" si="4"/>
        <v>H:\My Drive\DIV_SDM\BAG. PERSONALIA\01 Data Karyawan\Foto\CV\Herbid Dwi Saputro.jpg</v>
      </c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 spans="1:26" ht="10.5" customHeight="1" x14ac:dyDescent="0.3">
      <c r="A265" s="86"/>
      <c r="B265" s="86" t="s">
        <v>4103</v>
      </c>
      <c r="C265" s="86"/>
      <c r="D265" s="86"/>
      <c r="E265" s="86" t="str">
        <f t="shared" si="4"/>
        <v>H:\My Drive\DIV_SDM\BAG. PERSONALIA\01 Data Karyawan\Foto\CV\</v>
      </c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 spans="1:26" ht="10.5" customHeight="1" x14ac:dyDescent="0.3">
      <c r="A266" s="86"/>
      <c r="B266" s="86" t="s">
        <v>5368</v>
      </c>
      <c r="C266" s="86" t="s">
        <v>6484</v>
      </c>
      <c r="D266" s="86"/>
      <c r="E266" s="86" t="str">
        <f t="shared" si="4"/>
        <v>H:\My Drive\DIV_SDM\BAG. PERSONALIA\01 Data Karyawan\Foto\CV\Herman Eko Susilo (2).JPG</v>
      </c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 spans="1:26" ht="10.5" customHeight="1" x14ac:dyDescent="0.3">
      <c r="A267" s="86"/>
      <c r="B267" s="86" t="s">
        <v>1008</v>
      </c>
      <c r="C267" s="86" t="s">
        <v>6485</v>
      </c>
      <c r="D267" s="86"/>
      <c r="E267" s="86" t="str">
        <f t="shared" si="4"/>
        <v>H:\My Drive\DIV_SDM\BAG. PERSONALIA\01 Data Karyawan\Foto\CV\Heri Nurwantyo (642001055).jpg</v>
      </c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 spans="1:26" ht="10.5" customHeight="1" x14ac:dyDescent="0.3">
      <c r="A268" s="86"/>
      <c r="B268" s="86" t="s">
        <v>3287</v>
      </c>
      <c r="C268" s="86"/>
      <c r="D268" s="86"/>
      <c r="E268" s="86" t="str">
        <f t="shared" si="4"/>
        <v>H:\My Drive\DIV_SDM\BAG. PERSONALIA\01 Data Karyawan\Foto\CV\</v>
      </c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 spans="1:26" ht="10.5" customHeight="1" x14ac:dyDescent="0.3">
      <c r="A269" s="86"/>
      <c r="B269" s="86" t="s">
        <v>628</v>
      </c>
      <c r="C269" s="86" t="s">
        <v>6486</v>
      </c>
      <c r="D269" s="86"/>
      <c r="E269" s="86" t="str">
        <f t="shared" si="4"/>
        <v>H:\My Drive\DIV_SDM\BAG. PERSONALIA\01 Data Karyawan\Foto\CV\Ichsanudin (642001004).jpg</v>
      </c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 spans="1:26" ht="10.5" customHeight="1" x14ac:dyDescent="0.3">
      <c r="A270" s="86"/>
      <c r="B270" s="86" t="s">
        <v>2615</v>
      </c>
      <c r="C270" s="86" t="s">
        <v>6487</v>
      </c>
      <c r="D270" s="86"/>
      <c r="E270" s="86" t="str">
        <f t="shared" si="4"/>
        <v>H:\My Drive\DIV_SDM\BAG. PERSONALIA\01 Data Karyawan\Foto\CV\Ichwan Firdaus Alamsyah (642002086).jpg</v>
      </c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 spans="1:26" ht="10.5" customHeight="1" x14ac:dyDescent="0.3">
      <c r="A271" s="86"/>
      <c r="B271" s="86" t="s">
        <v>3734</v>
      </c>
      <c r="C271" s="86"/>
      <c r="D271" s="86"/>
      <c r="E271" s="86" t="str">
        <f t="shared" si="4"/>
        <v>H:\My Drive\DIV_SDM\BAG. PERSONALIA\01 Data Karyawan\Foto\CV\</v>
      </c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 spans="1:26" ht="10.5" customHeight="1" x14ac:dyDescent="0.3">
      <c r="A272" s="86"/>
      <c r="B272" s="86" t="s">
        <v>3942</v>
      </c>
      <c r="C272" s="86" t="s">
        <v>6488</v>
      </c>
      <c r="D272" s="86"/>
      <c r="E272" s="86" t="str">
        <f t="shared" si="4"/>
        <v>H:\My Drive\DIV_SDM\BAG. PERSONALIA\01 Data Karyawan\Foto\CV\Ikhsal_Yuda_Pradana-removebg-preview.png</v>
      </c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 spans="1:26" ht="10.5" customHeight="1" x14ac:dyDescent="0.3">
      <c r="A273" s="86"/>
      <c r="B273" s="86" t="s">
        <v>2266</v>
      </c>
      <c r="C273" s="86" t="s">
        <v>6489</v>
      </c>
      <c r="D273" s="86"/>
      <c r="E273" s="86" t="str">
        <f t="shared" si="4"/>
        <v>H:\My Drive\DIV_SDM\BAG. PERSONALIA\01 Data Karyawan\Foto\CV\Ikhsan Anugrah (641906236).jpg</v>
      </c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 spans="1:26" ht="10.5" customHeight="1" x14ac:dyDescent="0.3">
      <c r="A274" s="86"/>
      <c r="B274" s="86" t="s">
        <v>3623</v>
      </c>
      <c r="C274" s="86" t="s">
        <v>6490</v>
      </c>
      <c r="D274" s="86"/>
      <c r="E274" s="86" t="str">
        <f t="shared" si="4"/>
        <v>H:\My Drive\DIV_SDM\BAG. PERSONALIA\01 Data Karyawan\Foto\CV\Ilham Yusuf Tri Hardian.png</v>
      </c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 spans="1:26" ht="10.5" customHeight="1" x14ac:dyDescent="0.3">
      <c r="A275" s="86"/>
      <c r="B275" s="86" t="s">
        <v>2472</v>
      </c>
      <c r="C275" s="86" t="s">
        <v>6491</v>
      </c>
      <c r="D275" s="86"/>
      <c r="E275" s="86" t="str">
        <f t="shared" si="4"/>
        <v>H:\My Drive\DIV_SDM\BAG. PERSONALIA\01 Data Karyawan\Foto\CV\Ilhamsyah (641907248).jpeg</v>
      </c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 spans="1:26" ht="10.5" customHeight="1" x14ac:dyDescent="0.3">
      <c r="A276" s="86"/>
      <c r="B276" s="86" t="s">
        <v>440</v>
      </c>
      <c r="C276" s="86" t="s">
        <v>6492</v>
      </c>
      <c r="D276" s="86"/>
      <c r="E276" s="86" t="str">
        <f t="shared" si="4"/>
        <v>H:\My Drive\DIV_SDM\BAG. PERSONALIA\01 Data Karyawan\Foto\CV\Imam Agus Asfarori.jpg</v>
      </c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 spans="1:26" ht="10.5" customHeight="1" x14ac:dyDescent="0.3">
      <c r="A277" s="86"/>
      <c r="B277" s="86" t="s">
        <v>1856</v>
      </c>
      <c r="C277" s="86" t="s">
        <v>6493</v>
      </c>
      <c r="D277" s="86"/>
      <c r="E277" s="86" t="str">
        <f t="shared" si="4"/>
        <v>H:\My Drive\DIV_SDM\BAG. PERSONALIA\01 Data Karyawan\Foto\CV\Imam Juansyah (641808171).jpg</v>
      </c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 spans="1:26" ht="10.5" customHeight="1" x14ac:dyDescent="0.3">
      <c r="A278" s="86"/>
      <c r="B278" s="86" t="s">
        <v>1073</v>
      </c>
      <c r="C278" s="86" t="s">
        <v>6494</v>
      </c>
      <c r="D278" s="86"/>
      <c r="E278" s="86" t="str">
        <f t="shared" si="4"/>
        <v>H:\My Drive\DIV_SDM\BAG. PERSONALIA\01 Data Karyawan\Foto\CV\Imron Abidin (971800016).jpg</v>
      </c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 spans="1:26" ht="10.5" customHeight="1" x14ac:dyDescent="0.3">
      <c r="A279" s="86"/>
      <c r="B279" s="86" t="s">
        <v>293</v>
      </c>
      <c r="C279" s="86"/>
      <c r="D279" s="86"/>
      <c r="E279" s="86" t="str">
        <f t="shared" si="4"/>
        <v>H:\My Drive\DIV_SDM\BAG. PERSONALIA\01 Data Karyawan\Foto\CV\</v>
      </c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 spans="1:26" ht="10.5" customHeight="1" x14ac:dyDescent="0.3">
      <c r="A280" s="86"/>
      <c r="B280" s="86" t="s">
        <v>3448</v>
      </c>
      <c r="C280" s="86" t="s">
        <v>6495</v>
      </c>
      <c r="D280" s="86"/>
      <c r="E280" s="86" t="str">
        <f t="shared" si="4"/>
        <v>H:\My Drive\DIV_SDM\BAG. PERSONALIA\01 Data Karyawan\Foto\CV\Inggit Wahyu Afrian.jpg</v>
      </c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 spans="1:26" ht="10.5" customHeight="1" x14ac:dyDescent="0.3">
      <c r="A281" s="86"/>
      <c r="B281" s="86" t="s">
        <v>2773</v>
      </c>
      <c r="C281" s="86" t="s">
        <v>6496</v>
      </c>
      <c r="D281" s="86"/>
      <c r="E281" s="86" t="str">
        <f t="shared" si="4"/>
        <v>H:\My Drive\DIV_SDM\BAG. PERSONALIA\01 Data Karyawan\Foto\CV\Ira_Dwi_Sari-removebg-preview.png</v>
      </c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 spans="1:26" ht="10.5" customHeight="1" x14ac:dyDescent="0.3">
      <c r="A282" s="86"/>
      <c r="B282" s="86" t="s">
        <v>5132</v>
      </c>
      <c r="C282" s="86" t="s">
        <v>6497</v>
      </c>
      <c r="D282" s="86"/>
      <c r="E282" s="86" t="str">
        <f t="shared" si="4"/>
        <v>H:\My Drive\DIV_SDM\BAG. PERSONALIA\01 Data Karyawan\Foto\CV\irma widayanti.jpg</v>
      </c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 spans="1:26" ht="10.5" customHeight="1" x14ac:dyDescent="0.3">
      <c r="A283" s="86"/>
      <c r="B283" s="86" t="s">
        <v>4308</v>
      </c>
      <c r="C283" s="86" t="s">
        <v>6957</v>
      </c>
      <c r="D283" s="86"/>
      <c r="E283" s="86" t="str">
        <f t="shared" si="4"/>
        <v>H:\My Drive\DIV_SDM\BAG. PERSONALIA\01 Data Karyawan\Foto\CV\Irvan Bagus Saputro.jpg</v>
      </c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 spans="1:26" ht="10.5" customHeight="1" x14ac:dyDescent="0.3">
      <c r="A284" s="86"/>
      <c r="B284" s="86" t="s">
        <v>3948</v>
      </c>
      <c r="C284" s="86" t="s">
        <v>6498</v>
      </c>
      <c r="D284" s="86"/>
      <c r="E284" s="86" t="str">
        <f t="shared" si="4"/>
        <v>H:\My Drive\DIV_SDM\BAG. PERSONALIA\01 Data Karyawan\Foto\CV\IRVAN_FRASTYO_AFRITAMA-removebg-preview.png</v>
      </c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 spans="1:26" ht="10.5" customHeight="1" x14ac:dyDescent="0.3">
      <c r="A285" s="86"/>
      <c r="B285" s="86" t="s">
        <v>403</v>
      </c>
      <c r="C285" s="86" t="s">
        <v>6499</v>
      </c>
      <c r="D285" s="86"/>
      <c r="E285" s="86" t="str">
        <f t="shared" si="4"/>
        <v>H:\My Drive\DIV_SDM\BAG. PERSONALIA\01 Data Karyawan\Foto\CV\Irwan Ahmadi (642001016).jpg</v>
      </c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 spans="1:26" ht="10.5" customHeight="1" x14ac:dyDescent="0.3">
      <c r="A286" s="86"/>
      <c r="B286" s="86" t="s">
        <v>2610</v>
      </c>
      <c r="C286" s="86" t="s">
        <v>6500</v>
      </c>
      <c r="D286" s="86"/>
      <c r="E286" s="86" t="str">
        <f t="shared" si="4"/>
        <v>H:\My Drive\DIV_SDM\BAG. PERSONALIA\01 Data Karyawan\Foto\CV\Isbangun.JPG</v>
      </c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 spans="1:26" ht="10.5" customHeight="1" x14ac:dyDescent="0.3">
      <c r="A287" s="86"/>
      <c r="B287" s="86" t="s">
        <v>2465</v>
      </c>
      <c r="C287" s="86" t="s">
        <v>6501</v>
      </c>
      <c r="D287" s="86"/>
      <c r="E287" s="86" t="str">
        <f t="shared" si="4"/>
        <v>H:\My Drive\DIV_SDM\BAG. PERSONALIA\01 Data Karyawan\Foto\CV\Ismail.png</v>
      </c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 spans="1:26" ht="10.5" customHeight="1" x14ac:dyDescent="0.3">
      <c r="A288" s="86"/>
      <c r="B288" s="86" t="s">
        <v>5764</v>
      </c>
      <c r="C288" s="86" t="s">
        <v>6502</v>
      </c>
      <c r="D288" s="86"/>
      <c r="E288" s="86" t="str">
        <f t="shared" si="4"/>
        <v>H:\My Drive\DIV_SDM\BAG. PERSONALIA\01 Data Karyawan\Foto\CV\Iswanto (999700007).jpg</v>
      </c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 spans="1:26" ht="10.5" customHeight="1" x14ac:dyDescent="0.3">
      <c r="A289" s="86"/>
      <c r="B289" s="86" t="s">
        <v>5614</v>
      </c>
      <c r="C289" s="86" t="s">
        <v>6503</v>
      </c>
      <c r="D289" s="86"/>
      <c r="E289" s="86" t="str">
        <f t="shared" si="4"/>
        <v>H:\My Drive\DIV_SDM\BAG. PERSONALIA\01 Data Karyawan\Foto\CV\Iwan Maulana.jpg</v>
      </c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 spans="1:26" ht="10.5" customHeight="1" x14ac:dyDescent="0.3">
      <c r="A290" s="86"/>
      <c r="B290" s="86" t="s">
        <v>5777</v>
      </c>
      <c r="C290" s="86" t="s">
        <v>6504</v>
      </c>
      <c r="D290" s="86"/>
      <c r="E290" s="86" t="str">
        <f t="shared" si="4"/>
        <v>H:\My Drive\DIV_SDM\BAG. PERSONALIA\01 Data Karyawan\Foto\CV\Jepri Leksana (642002081).jpg</v>
      </c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 spans="1:26" ht="10.5" customHeight="1" x14ac:dyDescent="0.3">
      <c r="A291" s="86"/>
      <c r="B291" s="86" t="s">
        <v>2583</v>
      </c>
      <c r="C291" s="86" t="s">
        <v>6505</v>
      </c>
      <c r="D291" s="86"/>
      <c r="E291" s="86" t="str">
        <f t="shared" si="4"/>
        <v>H:\My Drive\DIV_SDM\BAG. PERSONALIA\01 Data Karyawan\Foto\CV\Jefri Ramadhan (642002075).jpg</v>
      </c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 spans="1:26" ht="10.5" customHeight="1" x14ac:dyDescent="0.3">
      <c r="A292" s="86"/>
      <c r="B292" s="86" t="s">
        <v>3135</v>
      </c>
      <c r="C292" s="86" t="s">
        <v>6506</v>
      </c>
      <c r="D292" s="86"/>
      <c r="E292" s="86" t="str">
        <f t="shared" si="4"/>
        <v>H:\My Drive\DIV_SDM\BAG. PERSONALIA\01 Data Karyawan\Foto\CV\Jeri Apdi Saputra.jpg</v>
      </c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 spans="1:26" ht="10.5" customHeight="1" x14ac:dyDescent="0.3">
      <c r="A293" s="86"/>
      <c r="B293" s="86" t="s">
        <v>2124</v>
      </c>
      <c r="C293" s="86" t="s">
        <v>6507</v>
      </c>
      <c r="D293" s="86"/>
      <c r="E293" s="86" t="str">
        <f t="shared" si="4"/>
        <v>H:\My Drive\DIV_SDM\BAG. PERSONALIA\01 Data Karyawan\Foto\CV\Jimi Angel.png</v>
      </c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 spans="1:26" ht="10.5" customHeight="1" x14ac:dyDescent="0.3">
      <c r="A294" s="86"/>
      <c r="B294" s="86" t="s">
        <v>3962</v>
      </c>
      <c r="C294" s="86" t="s">
        <v>6508</v>
      </c>
      <c r="D294" s="86"/>
      <c r="E294" s="86" t="str">
        <f t="shared" si="4"/>
        <v>H:\My Drive\DIV_SDM\BAG. PERSONALIA\01 Data Karyawan\Foto\CV\Jimmy_Laksmana_Sanjaya-removebg-preview.png</v>
      </c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 spans="1:26" ht="10.5" customHeight="1" x14ac:dyDescent="0.3">
      <c r="A295" s="86"/>
      <c r="B295" s="86" t="s">
        <v>4123</v>
      </c>
      <c r="C295" s="86" t="s">
        <v>6509</v>
      </c>
      <c r="D295" s="86"/>
      <c r="E295" s="86" t="str">
        <f t="shared" si="4"/>
        <v>H:\My Drive\DIV_SDM\BAG. PERSONALIA\01 Data Karyawan\Foto\CV\JOHAN_ADHITYA-removebg-preview.png</v>
      </c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 spans="1:26" ht="10.5" customHeight="1" x14ac:dyDescent="0.3">
      <c r="A296" s="86"/>
      <c r="B296" s="86" t="s">
        <v>5285</v>
      </c>
      <c r="C296" s="86" t="s">
        <v>6510</v>
      </c>
      <c r="D296" s="86"/>
      <c r="E296" s="86" t="str">
        <f t="shared" si="4"/>
        <v>H:\My Drive\DIV_SDM\BAG. PERSONALIA\01 Data Karyawan\Foto\CV\Joko Priyanto (4).JPG</v>
      </c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 spans="1:26" ht="10.5" customHeight="1" x14ac:dyDescent="0.3">
      <c r="A297" s="86"/>
      <c r="B297" s="86" t="s">
        <v>583</v>
      </c>
      <c r="C297" s="86" t="s">
        <v>6511</v>
      </c>
      <c r="D297" s="86"/>
      <c r="E297" s="86" t="str">
        <f t="shared" si="4"/>
        <v>H:\My Drive\DIV_SDM\BAG. PERSONALIA\01 Data Karyawan\Foto\CV\Joko Purnomo (971700010).jpg</v>
      </c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 spans="1:26" ht="10.5" customHeight="1" x14ac:dyDescent="0.3">
      <c r="A298" s="86"/>
      <c r="B298" s="86" t="s">
        <v>500</v>
      </c>
      <c r="C298" s="86" t="s">
        <v>6512</v>
      </c>
      <c r="D298" s="86"/>
      <c r="E298" s="86" t="str">
        <f t="shared" si="4"/>
        <v>H:\My Drive\DIV_SDM\BAG. PERSONALIA\01 Data Karyawan\Foto\CV\Joko Sutrisno (971700005).jpg</v>
      </c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 spans="1:26" ht="10.5" customHeight="1" x14ac:dyDescent="0.3">
      <c r="A299" s="86"/>
      <c r="B299" s="86" t="s">
        <v>4812</v>
      </c>
      <c r="C299" s="86" t="s">
        <v>6513</v>
      </c>
      <c r="D299" s="86"/>
      <c r="E299" s="86" t="str">
        <f t="shared" si="4"/>
        <v>H:\My Drive\DIV_SDM\BAG. PERSONALIA\01 Data Karyawan\Foto\CV\Joni Muhamat Zakaria (642002078).jpg</v>
      </c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 spans="1:26" ht="10.5" customHeight="1" x14ac:dyDescent="0.3">
      <c r="A300" s="86"/>
      <c r="B300" s="86" t="s">
        <v>3955</v>
      </c>
      <c r="C300" s="86" t="s">
        <v>6514</v>
      </c>
      <c r="D300" s="86"/>
      <c r="E300" s="86" t="str">
        <f t="shared" si="4"/>
        <v>H:\My Drive\DIV_SDM\BAG. PERSONALIA\01 Data Karyawan\Foto\CV\JONI_PRASETYO-removebg-preview.png</v>
      </c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 spans="1:26" ht="10.5" customHeight="1" x14ac:dyDescent="0.3">
      <c r="A301" s="86"/>
      <c r="B301" s="86" t="s">
        <v>5321</v>
      </c>
      <c r="C301" s="86" t="s">
        <v>6515</v>
      </c>
      <c r="D301" s="86"/>
      <c r="E301" s="86" t="str">
        <f t="shared" si="4"/>
        <v>H:\My Drive\DIV_SDM\BAG. PERSONALIA\01 Data Karyawan\Foto\CV\Juhadi.JPG</v>
      </c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 spans="1:26" ht="10.5" customHeight="1" x14ac:dyDescent="0.3">
      <c r="A302" s="86"/>
      <c r="B302" s="86" t="s">
        <v>1037</v>
      </c>
      <c r="C302" s="86" t="s">
        <v>6516</v>
      </c>
      <c r="D302" s="86"/>
      <c r="E302" s="86" t="str">
        <f t="shared" si="4"/>
        <v>H:\My Drive\DIV_SDM\BAG. PERSONALIA\01 Data Karyawan\Foto\CV\Julius Debby Kristiyanto (971800014).jpg</v>
      </c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 spans="1:26" ht="10.5" customHeight="1" x14ac:dyDescent="0.3">
      <c r="A303" s="86"/>
      <c r="B303" s="86" t="s">
        <v>5740</v>
      </c>
      <c r="C303" s="86"/>
      <c r="D303" s="86"/>
      <c r="E303" s="86" t="str">
        <f t="shared" si="4"/>
        <v>H:\My Drive\DIV_SDM\BAG. PERSONALIA\01 Data Karyawan\Foto\CV\</v>
      </c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 spans="1:26" ht="10.5" customHeight="1" x14ac:dyDescent="0.3">
      <c r="A304" s="86"/>
      <c r="B304" s="86" t="s">
        <v>5425</v>
      </c>
      <c r="C304" s="86" t="s">
        <v>6517</v>
      </c>
      <c r="D304" s="86"/>
      <c r="E304" s="86" t="str">
        <f t="shared" si="4"/>
        <v>H:\My Drive\DIV_SDM\BAG. PERSONALIA\01 Data Karyawan\Foto\CV\Kasinul Umami.JPG</v>
      </c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 spans="1:26" ht="10.5" customHeight="1" x14ac:dyDescent="0.3">
      <c r="A305" s="86"/>
      <c r="B305" s="86" t="s">
        <v>5448</v>
      </c>
      <c r="C305" s="86" t="s">
        <v>6958</v>
      </c>
      <c r="D305" s="86"/>
      <c r="E305" s="86" t="str">
        <f t="shared" si="4"/>
        <v>H:\My Drive\DIV_SDM\BAG. PERSONALIA\01 Data Karyawan\Foto\CV\Kasturi.png</v>
      </c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 spans="1:26" ht="10.5" customHeight="1" x14ac:dyDescent="0.3">
      <c r="A306" s="86"/>
      <c r="B306" s="86" t="s">
        <v>3710</v>
      </c>
      <c r="C306" s="86" t="s">
        <v>6518</v>
      </c>
      <c r="D306" s="86"/>
      <c r="E306" s="86" t="str">
        <f t="shared" si="4"/>
        <v>H:\My Drive\DIV_SDM\BAG. PERSONALIA\01 Data Karyawan\Foto\CV\Khodiris Salam.png</v>
      </c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 spans="1:26" ht="10.5" customHeight="1" x14ac:dyDescent="0.3">
      <c r="A307" s="86"/>
      <c r="B307" s="86" t="s">
        <v>1594</v>
      </c>
      <c r="C307" s="86" t="s">
        <v>6519</v>
      </c>
      <c r="D307" s="86"/>
      <c r="E307" s="86" t="str">
        <f t="shared" si="4"/>
        <v>H:\My Drive\DIV_SDM\BAG. PERSONALIA\01 Data Karyawan\Foto\CV\Khohar Leo Kurniawan (641805146).jpg</v>
      </c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 spans="1:26" ht="10.5" customHeight="1" x14ac:dyDescent="0.3">
      <c r="A308" s="86"/>
      <c r="B308" s="86" t="s">
        <v>831</v>
      </c>
      <c r="C308" s="86" t="s">
        <v>6520</v>
      </c>
      <c r="D308" s="86"/>
      <c r="E308" s="86" t="str">
        <f t="shared" si="4"/>
        <v>H:\My Drive\DIV_SDM\BAG. PERSONALIA\01 Data Karyawan\Foto\CV\Khoiri Bayu Setiawan (642001014).jpg</v>
      </c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 spans="1:26" ht="10.5" customHeight="1" x14ac:dyDescent="0.3">
      <c r="A309" s="86"/>
      <c r="B309" s="86" t="s">
        <v>1968</v>
      </c>
      <c r="C309" s="86" t="s">
        <v>6521</v>
      </c>
      <c r="D309" s="86"/>
      <c r="E309" s="86" t="str">
        <f t="shared" si="4"/>
        <v>H:\My Drive\DIV_SDM\BAG. PERSONALIA\01 Data Karyawan\Foto\CV\KMS M Jimi.jpg</v>
      </c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 spans="1:26" ht="10.5" customHeight="1" x14ac:dyDescent="0.3">
      <c r="A310" s="86"/>
      <c r="B310" s="86" t="s">
        <v>1106</v>
      </c>
      <c r="C310" s="86" t="s">
        <v>6522</v>
      </c>
      <c r="D310" s="86"/>
      <c r="E310" s="86" t="str">
        <f t="shared" si="4"/>
        <v>H:\My Drive\DIV_SDM\BAG. PERSONALIA\01 Data Karyawan\Foto\CV\Komaruzzaman (642001047).jpg</v>
      </c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 spans="1:26" ht="10.5" customHeight="1" x14ac:dyDescent="0.3">
      <c r="A311" s="86"/>
      <c r="B311" s="86" t="s">
        <v>1322</v>
      </c>
      <c r="C311" s="86" t="s">
        <v>6523</v>
      </c>
      <c r="D311" s="86"/>
      <c r="E311" s="86" t="str">
        <f t="shared" si="4"/>
        <v>H:\My Drive\DIV_SDM\BAG. PERSONALIA\01 Data Karyawan\Foto\CV\Korona Alfindi Febryantika (972000051).jpg</v>
      </c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 spans="1:26" ht="10.5" customHeight="1" x14ac:dyDescent="0.3">
      <c r="A312" s="86"/>
      <c r="B312" s="86" t="s">
        <v>4488</v>
      </c>
      <c r="C312" s="86"/>
      <c r="D312" s="86"/>
      <c r="E312" s="86" t="str">
        <f t="shared" si="4"/>
        <v>H:\My Drive\DIV_SDM\BAG. PERSONALIA\01 Data Karyawan\Foto\CV\</v>
      </c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 spans="1:26" ht="10.5" customHeight="1" x14ac:dyDescent="0.3">
      <c r="A313" s="86"/>
      <c r="B313" s="86" t="s">
        <v>4097</v>
      </c>
      <c r="C313" s="86" t="s">
        <v>6524</v>
      </c>
      <c r="D313" s="86"/>
      <c r="E313" s="86" t="str">
        <f t="shared" si="4"/>
        <v>H:\My Drive\DIV_SDM\BAG. PERSONALIA\01 Data Karyawan\Foto\CV\Kukuh_Andriatmoko.-removebg-preview.png</v>
      </c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 spans="1:26" ht="10.5" customHeight="1" x14ac:dyDescent="0.3">
      <c r="A314" s="86"/>
      <c r="B314" s="86" t="s">
        <v>2160</v>
      </c>
      <c r="C314" s="86" t="s">
        <v>6525</v>
      </c>
      <c r="D314" s="86"/>
      <c r="E314" s="86" t="str">
        <f t="shared" si="4"/>
        <v>H:\My Drive\DIV_SDM\BAG. PERSONALIA\01 Data Karyawan\Foto\CV\Kurniawan Budi Mulya (641810186).jpg</v>
      </c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 spans="1:26" ht="10.5" customHeight="1" x14ac:dyDescent="0.3">
      <c r="A315" s="86"/>
      <c r="B315" s="86" t="s">
        <v>4763</v>
      </c>
      <c r="C315" s="86" t="s">
        <v>6526</v>
      </c>
      <c r="D315" s="86"/>
      <c r="E315" s="86" t="str">
        <f t="shared" si="4"/>
        <v>H:\My Drive\DIV_SDM\BAG. PERSONALIA\01 Data Karyawan\Foto\CV\Laila Kurnia Sari.JPG</v>
      </c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 spans="1:26" ht="10.5" customHeight="1" x14ac:dyDescent="0.3">
      <c r="A316" s="86"/>
      <c r="B316" s="86" t="s">
        <v>5457</v>
      </c>
      <c r="C316" s="86" t="s">
        <v>6959</v>
      </c>
      <c r="D316" s="86"/>
      <c r="E316" s="86" t="str">
        <f t="shared" si="4"/>
        <v>H:\My Drive\DIV_SDM\BAG. PERSONALIA\01 Data Karyawan\Foto\CV\Lasidi.png</v>
      </c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 spans="1:26" ht="10.5" customHeight="1" x14ac:dyDescent="0.3">
      <c r="A317" s="86"/>
      <c r="B317" s="86" t="s">
        <v>904</v>
      </c>
      <c r="C317" s="86" t="s">
        <v>6527</v>
      </c>
      <c r="D317" s="86"/>
      <c r="E317" s="86" t="str">
        <f t="shared" si="4"/>
        <v>H:\My Drive\DIV_SDM\BAG. PERSONALIA\01 Data Karyawan\Foto\CV\Laurentius Yhoan.jpg</v>
      </c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 spans="1:26" ht="10.5" customHeight="1" x14ac:dyDescent="0.3">
      <c r="A318" s="86"/>
      <c r="B318" s="86" t="s">
        <v>618</v>
      </c>
      <c r="C318" s="86" t="s">
        <v>6528</v>
      </c>
      <c r="D318" s="86"/>
      <c r="E318" s="86" t="str">
        <f t="shared" si="4"/>
        <v>H:\My Drive\DIV_SDM\BAG. PERSONALIA\01 Data Karyawan\Foto\CV\Lingga Bekti Kurnianto (642001020).jpg</v>
      </c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 spans="1:26" ht="10.5" customHeight="1" x14ac:dyDescent="0.3">
      <c r="A319" s="86"/>
      <c r="B319" s="86" t="s">
        <v>1098</v>
      </c>
      <c r="C319" s="86" t="s">
        <v>6529</v>
      </c>
      <c r="D319" s="86"/>
      <c r="E319" s="86" t="str">
        <f t="shared" si="4"/>
        <v>H:\My Drive\DIV_SDM\BAG. PERSONALIA\01 Data Karyawan\Foto\CV\M Fahmi (641702080).jpg</v>
      </c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 spans="1:26" ht="10.5" customHeight="1" x14ac:dyDescent="0.3">
      <c r="A320" s="86"/>
      <c r="B320" s="86" t="s">
        <v>4938</v>
      </c>
      <c r="C320" s="86" t="s">
        <v>6530</v>
      </c>
      <c r="D320" s="86"/>
      <c r="E320" s="86" t="str">
        <f t="shared" si="4"/>
        <v>H:\My Drive\DIV_SDM\BAG. PERSONALIA\01 Data Karyawan\Foto\CV\M Wahyu Romadon (641810182).jpg</v>
      </c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 spans="1:26" ht="10.5" customHeight="1" x14ac:dyDescent="0.3">
      <c r="A321" s="86"/>
      <c r="B321" s="86" t="s">
        <v>5871</v>
      </c>
      <c r="C321" s="86" t="s">
        <v>6531</v>
      </c>
      <c r="D321" s="86"/>
      <c r="E321" s="86" t="str">
        <f t="shared" si="4"/>
        <v>H:\My Drive\DIV_SDM\BAG. PERSONALIA\01 Data Karyawan\Foto\CV\M Akhirul Ramadhan (641906239).jpg</v>
      </c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 spans="1:26" ht="10.5" customHeight="1" x14ac:dyDescent="0.3">
      <c r="A322" s="86"/>
      <c r="B322" s="86" t="s">
        <v>5089</v>
      </c>
      <c r="C322" s="86" t="s">
        <v>6532</v>
      </c>
      <c r="D322" s="86"/>
      <c r="E322" s="86" t="str">
        <f t="shared" si="4"/>
        <v>H:\My Drive\DIV_SDM\BAG. PERSONALIA\01 Data Karyawan\Foto\CV\M Rizani.jpg</v>
      </c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 spans="1:26" ht="10.5" customHeight="1" x14ac:dyDescent="0.3">
      <c r="A323" s="86"/>
      <c r="B323" s="86" t="s">
        <v>1863</v>
      </c>
      <c r="C323" s="86" t="s">
        <v>6533</v>
      </c>
      <c r="D323" s="86"/>
      <c r="E323" s="86" t="str">
        <f t="shared" si="4"/>
        <v>H:\My Drive\DIV_SDM\BAG. PERSONALIA\01 Data Karyawan\Foto\CV\M Rizki Firdaus (641808173).jpg</v>
      </c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 spans="1:26" ht="10.5" customHeight="1" x14ac:dyDescent="0.3">
      <c r="A324" s="86"/>
      <c r="B324" s="86" t="s">
        <v>3358</v>
      </c>
      <c r="C324" s="86" t="s">
        <v>6534</v>
      </c>
      <c r="D324" s="86"/>
      <c r="E324" s="86" t="str">
        <f t="shared" ref="E324:E387" si="5">$D$3&amp;C324</f>
        <v>H:\My Drive\DIV_SDM\BAG. PERSONALIA\01 Data Karyawan\Foto\CV\Marselo.jpg</v>
      </c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 spans="1:26" ht="10.5" customHeight="1" x14ac:dyDescent="0.3">
      <c r="A325" s="86"/>
      <c r="B325" s="86" t="s">
        <v>3558</v>
      </c>
      <c r="C325" s="86" t="s">
        <v>6535</v>
      </c>
      <c r="D325" s="86"/>
      <c r="E325" s="86" t="str">
        <f t="shared" si="5"/>
        <v>H:\My Drive\DIV_SDM\BAG. PERSONALIA\01 Data Karyawan\Foto\CV\Maulana Jihan.jpg</v>
      </c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 spans="1:26" ht="10.5" customHeight="1" x14ac:dyDescent="0.3">
      <c r="A326" s="86"/>
      <c r="B326" s="86" t="s">
        <v>3335</v>
      </c>
      <c r="C326" s="86" t="s">
        <v>6536</v>
      </c>
      <c r="D326" s="86"/>
      <c r="E326" s="86" t="str">
        <f t="shared" si="5"/>
        <v>H:\My Drive\DIV_SDM\BAG. PERSONALIA\01 Data Karyawan\Foto\CV\Maulana Zakaria.jpg</v>
      </c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 spans="1:26" ht="10.5" customHeight="1" x14ac:dyDescent="0.3">
      <c r="A327" s="86"/>
      <c r="B327" s="86" t="s">
        <v>5592</v>
      </c>
      <c r="C327" s="86" t="s">
        <v>6537</v>
      </c>
      <c r="D327" s="86"/>
      <c r="E327" s="86" t="str">
        <f t="shared" si="5"/>
        <v>H:\My Drive\DIV_SDM\BAG. PERSONALIA\01 Data Karyawan\Foto\CV\Maulina.jpg</v>
      </c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 spans="1:26" ht="10.5" customHeight="1" x14ac:dyDescent="0.3">
      <c r="A328" s="86"/>
      <c r="B328" s="86" t="s">
        <v>1606</v>
      </c>
      <c r="C328" s="86" t="s">
        <v>6538</v>
      </c>
      <c r="D328" s="86"/>
      <c r="E328" s="86" t="str">
        <f t="shared" si="5"/>
        <v>H:\My Drive\DIV_SDM\BAG. PERSONALIA\01 Data Karyawan\Foto\CV\Mega Kartika Putra Hadi (641805148).jpg</v>
      </c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 spans="1:26" ht="10.5" customHeight="1" x14ac:dyDescent="0.3">
      <c r="A329" s="86"/>
      <c r="B329" s="86" t="s">
        <v>1981</v>
      </c>
      <c r="C329" s="86" t="s">
        <v>6539</v>
      </c>
      <c r="D329" s="86"/>
      <c r="E329" s="86" t="str">
        <f t="shared" si="5"/>
        <v>H:\My Drive\DIV_SDM\BAG. PERSONALIA\01 Data Karyawan\Foto\CV\MGS Dimas Syahreza (641810196).jpg</v>
      </c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 spans="1:26" ht="10.5" customHeight="1" x14ac:dyDescent="0.3">
      <c r="A330" s="86"/>
      <c r="B330" s="86" t="s">
        <v>4737</v>
      </c>
      <c r="C330" s="86" t="s">
        <v>6540</v>
      </c>
      <c r="D330" s="86"/>
      <c r="E330" s="86" t="str">
        <f t="shared" si="5"/>
        <v>H:\My Drive\DIV_SDM\BAG. PERSONALIA\01 Data Karyawan\Foto\CV\Mhd Ilham Damanik (6420020820.jpg</v>
      </c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 spans="1:26" ht="10.5" customHeight="1" x14ac:dyDescent="0.3">
      <c r="A331" s="86"/>
      <c r="B331" s="86" t="s">
        <v>4848</v>
      </c>
      <c r="C331" s="86" t="s">
        <v>6541</v>
      </c>
      <c r="D331" s="86"/>
      <c r="E331" s="86" t="str">
        <f t="shared" si="5"/>
        <v>H:\My Drive\DIV_SDM\BAG. PERSONALIA\01 Data Karyawan\Foto\CV\Miftakhul Ulum (642001041).jpg</v>
      </c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 spans="1:26" ht="10.5" customHeight="1" x14ac:dyDescent="0.3">
      <c r="A332" s="86"/>
      <c r="B332" s="86" t="s">
        <v>5402</v>
      </c>
      <c r="C332" s="86" t="s">
        <v>6542</v>
      </c>
      <c r="D332" s="86"/>
      <c r="E332" s="86" t="str">
        <f t="shared" si="5"/>
        <v>H:\My Drive\DIV_SDM\BAG. PERSONALIA\01 Data Karyawan\Foto\CV\Minarto.JPG</v>
      </c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 spans="1:26" ht="10.5" customHeight="1" x14ac:dyDescent="0.3">
      <c r="A333" s="86"/>
      <c r="B333" s="86" t="s">
        <v>4653</v>
      </c>
      <c r="C333" s="86" t="s">
        <v>6960</v>
      </c>
      <c r="D333" s="86"/>
      <c r="E333" s="86" t="str">
        <f t="shared" si="5"/>
        <v>H:\My Drive\DIV_SDM\BAG. PERSONALIA\01 Data Karyawan\Foto\CV\MIZANUL_ULUM-removebg-preview.png</v>
      </c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 spans="1:26" ht="10.5" customHeight="1" x14ac:dyDescent="0.3">
      <c r="A334" s="86"/>
      <c r="B334" s="86" t="s">
        <v>3368</v>
      </c>
      <c r="C334" s="86" t="s">
        <v>6961</v>
      </c>
      <c r="D334" s="86"/>
      <c r="E334" s="86" t="str">
        <f t="shared" si="5"/>
        <v>H:\My Drive\DIV_SDM\BAG. PERSONALIA\01 Data Karyawan\Foto\CV\Moch Dony Anggoro.png</v>
      </c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 spans="1:26" ht="10.5" customHeight="1" x14ac:dyDescent="0.3">
      <c r="A335" s="86"/>
      <c r="B335" s="86" t="s">
        <v>3980</v>
      </c>
      <c r="C335" s="86" t="s">
        <v>6543</v>
      </c>
      <c r="D335" s="86"/>
      <c r="E335" s="86" t="str">
        <f t="shared" si="5"/>
        <v>H:\My Drive\DIV_SDM\BAG. PERSONALIA\01 Data Karyawan\Foto\CV\MOCH_YOGI_NUROHMAN-removebg-preview.png</v>
      </c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 spans="1:26" ht="10.5" customHeight="1" x14ac:dyDescent="0.3">
      <c r="A336" s="86"/>
      <c r="B336" s="86" t="s">
        <v>3169</v>
      </c>
      <c r="C336" s="86" t="s">
        <v>6544</v>
      </c>
      <c r="D336" s="86"/>
      <c r="E336" s="86" t="str">
        <f t="shared" si="5"/>
        <v>H:\My Drive\DIV_SDM\BAG. PERSONALIA\01 Data Karyawan\Foto\CV\Mochamad Sandi Nur Ramadan.jpg</v>
      </c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 spans="1:26" ht="10.5" customHeight="1" x14ac:dyDescent="0.3">
      <c r="A337" s="86"/>
      <c r="B337" s="86" t="s">
        <v>5608</v>
      </c>
      <c r="C337" s="86"/>
      <c r="D337" s="86"/>
      <c r="E337" s="86" t="str">
        <f t="shared" si="5"/>
        <v>H:\My Drive\DIV_SDM\BAG. PERSONALIA\01 Data Karyawan\Foto\CV\</v>
      </c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 spans="1:26" ht="10.5" customHeight="1" x14ac:dyDescent="0.3">
      <c r="A338" s="86"/>
      <c r="B338" s="86" t="s">
        <v>4663</v>
      </c>
      <c r="C338" s="86" t="s">
        <v>6962</v>
      </c>
      <c r="D338" s="86"/>
      <c r="E338" s="86" t="str">
        <f t="shared" si="5"/>
        <v>H:\My Drive\DIV_SDM\BAG. PERSONALIA\01 Data Karyawan\Foto\CV\Moh._Taufiq_Mahendra-removebg-preview.png</v>
      </c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 spans="1:26" ht="10.5" customHeight="1" x14ac:dyDescent="0.3">
      <c r="A339" s="86"/>
      <c r="B339" s="86" t="s">
        <v>1523</v>
      </c>
      <c r="C339" s="86" t="s">
        <v>6545</v>
      </c>
      <c r="D339" s="86"/>
      <c r="E339" s="86" t="str">
        <f t="shared" si="5"/>
        <v>H:\My Drive\DIV_SDM\BAG. PERSONALIA\01 Data Karyawan\Foto\CV\M Sukron (641801134).jpg</v>
      </c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 spans="1:26" ht="10.5" customHeight="1" x14ac:dyDescent="0.3">
      <c r="A340" s="86"/>
      <c r="B340" s="86" t="s">
        <v>654</v>
      </c>
      <c r="C340" s="86" t="s">
        <v>6546</v>
      </c>
      <c r="D340" s="86"/>
      <c r="E340" s="86" t="str">
        <f t="shared" si="5"/>
        <v>H:\My Drive\DIV_SDM\BAG. PERSONALIA\01 Data Karyawan\Foto\CV\M Ridwan Ismail (642001015).jpg</v>
      </c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 spans="1:26" ht="10.5" customHeight="1" x14ac:dyDescent="0.3">
      <c r="A341" s="86"/>
      <c r="B341" s="86" t="s">
        <v>5808</v>
      </c>
      <c r="C341" s="86" t="s">
        <v>6547</v>
      </c>
      <c r="D341" s="86"/>
      <c r="E341" s="86" t="str">
        <f t="shared" si="5"/>
        <v>H:\My Drive\DIV_SDM\BAG. PERSONALIA\01 Data Karyawan\Foto\CV\Zulkarnaini (641907250).jpeg</v>
      </c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 spans="1:26" ht="10.5" customHeight="1" x14ac:dyDescent="0.3">
      <c r="A342" s="86"/>
      <c r="B342" s="86" t="s">
        <v>3974</v>
      </c>
      <c r="C342" s="86" t="s">
        <v>6548</v>
      </c>
      <c r="D342" s="86"/>
      <c r="E342" s="86" t="str">
        <f t="shared" si="5"/>
        <v>H:\My Drive\DIV_SDM\BAG. PERSONALIA\01 Data Karyawan\Foto\CV\Much_Kevin_Fauzi_Muqorrobin-removebg-preview.png</v>
      </c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 spans="1:26" ht="10.5" customHeight="1" x14ac:dyDescent="0.3">
      <c r="A343" s="86"/>
      <c r="B343" s="86" t="s">
        <v>3079</v>
      </c>
      <c r="C343" s="86" t="s">
        <v>6549</v>
      </c>
      <c r="D343" s="86"/>
      <c r="E343" s="86" t="str">
        <f t="shared" si="5"/>
        <v>H:\My Drive\DIV_SDM\BAG. PERSONALIA\01 Data Karyawan\Foto\CV\Muchammad Nur Ismail.jpg</v>
      </c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 spans="1:26" ht="10.5" customHeight="1" x14ac:dyDescent="0.3">
      <c r="A344" s="86"/>
      <c r="B344" s="86" t="s">
        <v>649</v>
      </c>
      <c r="C344" s="86" t="s">
        <v>6963</v>
      </c>
      <c r="D344" s="86"/>
      <c r="E344" s="86" t="str">
        <f t="shared" si="5"/>
        <v>H:\My Drive\DIV_SDM\BAG. PERSONALIA\01 Data Karyawan\Foto\CV\Mujiono.png</v>
      </c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 spans="1:26" ht="10.5" customHeight="1" x14ac:dyDescent="0.3">
      <c r="A345" s="86"/>
      <c r="B345" s="86" t="s">
        <v>3063</v>
      </c>
      <c r="C345" s="86" t="s">
        <v>6550</v>
      </c>
      <c r="D345" s="86"/>
      <c r="E345" s="86" t="str">
        <f t="shared" si="5"/>
        <v>H:\My Drive\DIV_SDM\BAG. PERSONALIA\01 Data Karyawan\Foto\CV\Muhamad Fachri Riyansah.jpg</v>
      </c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 spans="1:26" ht="10.5" customHeight="1" x14ac:dyDescent="0.3">
      <c r="A346" s="86"/>
      <c r="B346" s="86" t="s">
        <v>5020</v>
      </c>
      <c r="C346" s="86" t="s">
        <v>6551</v>
      </c>
      <c r="D346" s="86"/>
      <c r="E346" s="86" t="str">
        <f t="shared" si="5"/>
        <v>H:\My Drive\DIV_SDM\BAG. PERSONALIA\01 Data Karyawan\Foto\CV\Muhammad Hidayat Adi Pratama.JPG</v>
      </c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 spans="1:26" ht="10.5" customHeight="1" x14ac:dyDescent="0.3">
      <c r="A347" s="86"/>
      <c r="B347" s="86" t="s">
        <v>3157</v>
      </c>
      <c r="C347" s="86" t="s">
        <v>6552</v>
      </c>
      <c r="D347" s="86"/>
      <c r="E347" s="86" t="str">
        <f t="shared" si="5"/>
        <v>H:\My Drive\DIV_SDM\BAG. PERSONALIA\01 Data Karyawan\Foto\CV\Muhamad Irfan.jpg</v>
      </c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 spans="1:26" ht="10.5" customHeight="1" x14ac:dyDescent="0.3">
      <c r="A348" s="86"/>
      <c r="B348" s="86" t="s">
        <v>1532</v>
      </c>
      <c r="C348" s="86" t="s">
        <v>6553</v>
      </c>
      <c r="D348" s="86"/>
      <c r="E348" s="86" t="str">
        <f t="shared" si="5"/>
        <v>H:\My Drive\DIV_SDM\BAG. PERSONALIA\01 Data Karyawan\Foto\CV\M Nurul Irfan (641801133).jpg</v>
      </c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 spans="1:26" ht="10.5" customHeight="1" x14ac:dyDescent="0.3">
      <c r="A349" s="86"/>
      <c r="B349" s="86" t="s">
        <v>1959</v>
      </c>
      <c r="C349" s="86" t="s">
        <v>6554</v>
      </c>
      <c r="D349" s="86"/>
      <c r="E349" s="86" t="str">
        <f t="shared" si="5"/>
        <v>H:\My Drive\DIV_SDM\BAG. PERSONALIA\01 Data Karyawan\Foto\CV\M Prabowo (641809178).jpg</v>
      </c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 spans="1:26" ht="10.5" customHeight="1" x14ac:dyDescent="0.3">
      <c r="A350" s="86"/>
      <c r="B350" s="86" t="s">
        <v>4670</v>
      </c>
      <c r="C350" s="86" t="s">
        <v>6964</v>
      </c>
      <c r="D350" s="86"/>
      <c r="E350" s="86" t="str">
        <f t="shared" si="5"/>
        <v>H:\My Drive\DIV_SDM\BAG. PERSONALIA\01 Data Karyawan\Foto\CV\Muhammad_abdul_aziz-removebg-preview.png</v>
      </c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 spans="1:26" ht="10.5" customHeight="1" x14ac:dyDescent="0.3">
      <c r="A351" s="86"/>
      <c r="B351" s="86" t="s">
        <v>4503</v>
      </c>
      <c r="C351" s="86" t="s">
        <v>6965</v>
      </c>
      <c r="D351" s="86"/>
      <c r="E351" s="86" t="str">
        <f t="shared" si="5"/>
        <v>H:\My Drive\DIV_SDM\BAG. PERSONALIA\01 Data Karyawan\Foto\CV\Muhammad_Aldhi_Saputro-removebg-preview.png</v>
      </c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 spans="1:26" ht="10.5" customHeight="1" x14ac:dyDescent="0.3">
      <c r="A352" s="86"/>
      <c r="B352" s="86" t="s">
        <v>3045</v>
      </c>
      <c r="C352" s="86" t="s">
        <v>6555</v>
      </c>
      <c r="D352" s="86"/>
      <c r="E352" s="86" t="str">
        <f t="shared" si="5"/>
        <v>H:\My Drive\DIV_SDM\BAG. PERSONALIA\01 Data Karyawan\Foto\CV\Muhammad Al Saufi.jpg</v>
      </c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 spans="1:26" ht="10.5" customHeight="1" x14ac:dyDescent="0.3">
      <c r="A353" s="86"/>
      <c r="B353" s="86" t="s">
        <v>2780</v>
      </c>
      <c r="C353" s="86" t="s">
        <v>6556</v>
      </c>
      <c r="D353" s="86"/>
      <c r="E353" s="86" t="str">
        <f t="shared" si="5"/>
        <v>H:\My Drive\DIV_SDM\BAG. PERSONALIA\01 Data Karyawan\Foto\CV\M Bangun Sabrinna.jpg</v>
      </c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 spans="1:26" ht="10.5" customHeight="1" x14ac:dyDescent="0.3">
      <c r="A354" s="86"/>
      <c r="B354" s="86" t="s">
        <v>3594</v>
      </c>
      <c r="C354" s="86" t="s">
        <v>6557</v>
      </c>
      <c r="D354" s="86"/>
      <c r="E354" s="86" t="str">
        <f t="shared" si="5"/>
        <v>H:\My Drive\DIV_SDM\BAG. PERSONALIA\01 Data Karyawan\Foto\CV\MUHAMMAD_BAYU_DIRGANTARA-removebg-preview.png</v>
      </c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 spans="1:26" ht="10.5" customHeight="1" x14ac:dyDescent="0.3">
      <c r="A355" s="86"/>
      <c r="B355" s="86" t="s">
        <v>3968</v>
      </c>
      <c r="C355" s="86" t="s">
        <v>6558</v>
      </c>
      <c r="D355" s="86"/>
      <c r="E355" s="86" t="str">
        <f t="shared" si="5"/>
        <v>H:\My Drive\DIV_SDM\BAG. PERSONALIA\01 Data Karyawan\Foto\CV\Muhammad_Firman_Lazuardi-removebg-preview.png</v>
      </c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 spans="1:26" ht="10.5" customHeight="1" x14ac:dyDescent="0.3">
      <c r="A356" s="86"/>
      <c r="B356" s="86" t="s">
        <v>4058</v>
      </c>
      <c r="C356" s="86" t="s">
        <v>6559</v>
      </c>
      <c r="D356" s="86"/>
      <c r="E356" s="86" t="str">
        <f t="shared" si="5"/>
        <v>H:\My Drive\DIV_SDM\BAG. PERSONALIA\01 Data Karyawan\Foto\CV\Muhammad_Galih_Yudha_Pratama-removebg-preview.png</v>
      </c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 spans="1:26" ht="10.5" customHeight="1" x14ac:dyDescent="0.3">
      <c r="A357" s="86"/>
      <c r="B357" s="86" t="s">
        <v>5061</v>
      </c>
      <c r="C357" s="86"/>
      <c r="D357" s="86"/>
      <c r="E357" s="86" t="str">
        <f t="shared" si="5"/>
        <v>H:\My Drive\DIV_SDM\BAG. PERSONALIA\01 Data Karyawan\Foto\CV\</v>
      </c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 spans="1:26" ht="10.5" customHeight="1" x14ac:dyDescent="0.3">
      <c r="A358" s="86"/>
      <c r="B358" s="86" t="s">
        <v>1661</v>
      </c>
      <c r="C358" s="86" t="s">
        <v>6560</v>
      </c>
      <c r="D358" s="86"/>
      <c r="E358" s="86" t="str">
        <f t="shared" si="5"/>
        <v>H:\My Drive\DIV_SDM\BAG. PERSONALIA\01 Data Karyawan\Foto\CV\M Hidayat.jpg</v>
      </c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 spans="1:26" ht="10.5" customHeight="1" x14ac:dyDescent="0.3">
      <c r="A359" s="86"/>
      <c r="B359" s="86" t="s">
        <v>4856</v>
      </c>
      <c r="C359" s="86" t="s">
        <v>6561</v>
      </c>
      <c r="D359" s="86"/>
      <c r="E359" s="86" t="str">
        <f t="shared" si="5"/>
        <v>H:\My Drive\DIV_SDM\BAG. PERSONALIA\01 Data Karyawan\Foto\CV\M Ilham (641906238).jpg</v>
      </c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 spans="1:26" ht="10.5" customHeight="1" x14ac:dyDescent="0.3">
      <c r="A360" s="86"/>
      <c r="B360" s="86" t="s">
        <v>2175</v>
      </c>
      <c r="C360" s="86" t="s">
        <v>6562</v>
      </c>
      <c r="D360" s="86"/>
      <c r="E360" s="86" t="str">
        <f t="shared" si="5"/>
        <v>H:\My Drive\DIV_SDM\BAG. PERSONALIA\01 Data Karyawan\Foto\CV\Muhammad Iqbal (642002084).jpg</v>
      </c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 spans="1:26" ht="10.5" customHeight="1" x14ac:dyDescent="0.3">
      <c r="A361" s="86"/>
      <c r="B361" s="86" t="s">
        <v>2175</v>
      </c>
      <c r="C361" s="86" t="s">
        <v>6563</v>
      </c>
      <c r="D361" s="86"/>
      <c r="E361" s="86" t="str">
        <f t="shared" si="5"/>
        <v>H:\My Drive\DIV_SDM\BAG. PERSONALIA\01 Data Karyawan\Foto\CV\M Iqbal (641810193).jpg</v>
      </c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 spans="1:26" ht="10.5" customHeight="1" x14ac:dyDescent="0.3">
      <c r="A362" s="86"/>
      <c r="B362" s="86" t="s">
        <v>6786</v>
      </c>
      <c r="C362" s="86" t="s">
        <v>6564</v>
      </c>
      <c r="D362" s="86"/>
      <c r="E362" s="86" t="str">
        <f t="shared" si="5"/>
        <v>H:\My Drive\DIV_SDM\BAG. PERSONALIA\01 Data Karyawan\Foto\CV\M Iqbal Albanjari.png</v>
      </c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 spans="1:26" ht="10.5" customHeight="1" x14ac:dyDescent="0.3">
      <c r="A363" s="86"/>
      <c r="B363" s="86" t="s">
        <v>2075</v>
      </c>
      <c r="C363" s="86" t="s">
        <v>6565</v>
      </c>
      <c r="D363" s="86"/>
      <c r="E363" s="86" t="str">
        <f t="shared" si="5"/>
        <v>H:\My Drive\DIV_SDM\BAG. PERSONALIA\01 Data Karyawan\Foto\CV\M Irsan Pratama (641810202).jpg</v>
      </c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 spans="1:26" ht="10.5" customHeight="1" x14ac:dyDescent="0.3">
      <c r="A364" s="86"/>
      <c r="B364" s="86" t="s">
        <v>2089</v>
      </c>
      <c r="C364" s="86" t="s">
        <v>6566</v>
      </c>
      <c r="D364" s="86"/>
      <c r="E364" s="86" t="str">
        <f t="shared" si="5"/>
        <v>H:\My Drive\DIV_SDM\BAG. PERSONALIA\01 Data Karyawan\Foto\CV\M Kasi Ghusoory (64180197).jpg</v>
      </c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 spans="1:26" ht="10.5" customHeight="1" x14ac:dyDescent="0.3">
      <c r="A365" s="86"/>
      <c r="B365" s="86" t="s">
        <v>3635</v>
      </c>
      <c r="C365" s="86" t="s">
        <v>6567</v>
      </c>
      <c r="D365" s="86"/>
      <c r="E365" s="86" t="str">
        <f t="shared" si="5"/>
        <v>H:\My Drive\DIV_SDM\BAG. PERSONALIA\01 Data Karyawan\Foto\CV\M Lintang Arafi Ichsan.png</v>
      </c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 spans="1:26" ht="10.5" customHeight="1" x14ac:dyDescent="0.3">
      <c r="A366" s="86"/>
      <c r="B366" s="86" t="s">
        <v>5072</v>
      </c>
      <c r="C366" s="86" t="s">
        <v>6568</v>
      </c>
      <c r="D366" s="86"/>
      <c r="E366" s="86" t="str">
        <f t="shared" si="5"/>
        <v>H:\My Drive\DIV_SDM\BAG. PERSONALIA\01 Data Karyawan\Foto\CV\M Riki Hamdani (641809177).jpg</v>
      </c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 spans="1:26" ht="10.5" customHeight="1" x14ac:dyDescent="0.3">
      <c r="A367" s="86"/>
      <c r="B367" s="86" t="s">
        <v>3728</v>
      </c>
      <c r="C367" s="86"/>
      <c r="D367" s="86"/>
      <c r="E367" s="86" t="str">
        <f t="shared" si="5"/>
        <v>H:\My Drive\DIV_SDM\BAG. PERSONALIA\01 Data Karyawan\Foto\CV\</v>
      </c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 spans="1:26" ht="10.5" customHeight="1" x14ac:dyDescent="0.3">
      <c r="A368" s="86"/>
      <c r="B368" s="86" t="s">
        <v>330</v>
      </c>
      <c r="C368" s="86" t="s">
        <v>6966</v>
      </c>
      <c r="D368" s="86"/>
      <c r="E368" s="86" t="str">
        <f t="shared" si="5"/>
        <v>H:\My Drive\DIV_SDM\BAG. PERSONALIA\01 Data Karyawan\Foto\CV\Muhammad_Tsamarah_Natizatus_Suluk-removebg-preview.png</v>
      </c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 spans="1:26" ht="10.5" customHeight="1" x14ac:dyDescent="0.3">
      <c r="A369" s="86"/>
      <c r="B369" s="86" t="s">
        <v>5696</v>
      </c>
      <c r="C369" s="86"/>
      <c r="D369" s="86"/>
      <c r="E369" s="86" t="str">
        <f t="shared" si="5"/>
        <v>H:\My Drive\DIV_SDM\BAG. PERSONALIA\01 Data Karyawan\Foto\CV\</v>
      </c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 spans="1:26" ht="10.5" customHeight="1" x14ac:dyDescent="0.3">
      <c r="A370" s="86"/>
      <c r="B370" s="86" t="s">
        <v>1436</v>
      </c>
      <c r="C370" s="86" t="s">
        <v>6569</v>
      </c>
      <c r="D370" s="86"/>
      <c r="E370" s="86" t="str">
        <f t="shared" si="5"/>
        <v>H:\My Drive\DIV_SDM\BAG. PERSONALIA\01 Data Karyawan\Foto\CV\M Vinando (642001026).jpg</v>
      </c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 spans="1:26" ht="10.5" customHeight="1" x14ac:dyDescent="0.3">
      <c r="A371" s="86"/>
      <c r="B371" s="86" t="s">
        <v>1949</v>
      </c>
      <c r="C371" s="86" t="s">
        <v>6570</v>
      </c>
      <c r="D371" s="86"/>
      <c r="E371" s="86" t="str">
        <f t="shared" si="5"/>
        <v>H:\My Drive\DIV_SDM\BAG. PERSONALIA\01 Data Karyawan\Foto\CV\Muhammad_Yuniar_Fijriantoro-removebg-preview.png</v>
      </c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 spans="1:26" ht="10.5" customHeight="1" x14ac:dyDescent="0.3">
      <c r="A372" s="86"/>
      <c r="B372" s="86" t="s">
        <v>1303</v>
      </c>
      <c r="C372" s="86" t="s">
        <v>6571</v>
      </c>
      <c r="D372" s="86"/>
      <c r="E372" s="86" t="str">
        <f t="shared" si="5"/>
        <v>H:\My Drive\DIV_SDM\BAG. PERSONALIA\01 Data Karyawan\Foto\CV\Muhtarom (642001039).jpg</v>
      </c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 spans="1:26" ht="10.5" customHeight="1" x14ac:dyDescent="0.3">
      <c r="A373" s="86"/>
      <c r="B373" s="86" t="s">
        <v>6852</v>
      </c>
      <c r="C373" s="86"/>
      <c r="D373" s="86"/>
      <c r="E373" s="86" t="str">
        <f t="shared" si="5"/>
        <v>H:\My Drive\DIV_SDM\BAG. PERSONALIA\01 Data Karyawan\Foto\CV\</v>
      </c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spans="1:26" ht="10.5" customHeight="1" x14ac:dyDescent="0.3">
      <c r="A374" s="86"/>
      <c r="B374" s="86" t="s">
        <v>2732</v>
      </c>
      <c r="C374" s="86" t="s">
        <v>6572</v>
      </c>
      <c r="D374" s="86"/>
      <c r="E374" s="86" t="str">
        <f t="shared" si="5"/>
        <v>H:\My Drive\DIV_SDM\BAG. PERSONALIA\01 Data Karyawan\Foto\CV\Mukson.jpg</v>
      </c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spans="1:26" ht="10.5" customHeight="1" x14ac:dyDescent="0.3">
      <c r="A375" s="86"/>
      <c r="B375" s="86" t="s">
        <v>5814</v>
      </c>
      <c r="C375" s="86" t="s">
        <v>6573</v>
      </c>
      <c r="D375" s="86"/>
      <c r="E375" s="86" t="str">
        <f t="shared" si="5"/>
        <v>H:\My Drive\DIV_SDM\BAG. PERSONALIA\01 Data Karyawan\Foto\CV\Munirul_Ichwani-removebg-preview.png</v>
      </c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spans="1:26" ht="10.5" customHeight="1" x14ac:dyDescent="0.3">
      <c r="A376" s="86"/>
      <c r="B376" s="86" t="s">
        <v>1425</v>
      </c>
      <c r="C376" s="86" t="s">
        <v>6574</v>
      </c>
      <c r="D376" s="86"/>
      <c r="E376" s="86" t="str">
        <f t="shared" si="5"/>
        <v>H:\My Drive\DIV_SDM\BAG. PERSONALIA\01 Data Karyawan\Foto\CV\Nanang Adi Saputra (642001032).jpg</v>
      </c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spans="1:26" ht="10.5" customHeight="1" x14ac:dyDescent="0.3">
      <c r="A377" s="86"/>
      <c r="B377" s="86" t="s">
        <v>3748</v>
      </c>
      <c r="C377" s="86"/>
      <c r="D377" s="86"/>
      <c r="E377" s="86" t="str">
        <f t="shared" si="5"/>
        <v>H:\My Drive\DIV_SDM\BAG. PERSONALIA\01 Data Karyawan\Foto\CV\</v>
      </c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spans="1:26" ht="10.5" customHeight="1" x14ac:dyDescent="0.3">
      <c r="A378" s="86"/>
      <c r="B378" s="86" t="s">
        <v>3670</v>
      </c>
      <c r="C378" s="86" t="s">
        <v>6575</v>
      </c>
      <c r="D378" s="86"/>
      <c r="E378" s="86" t="str">
        <f t="shared" si="5"/>
        <v>H:\My Drive\DIV_SDM\BAG. PERSONALIA\01 Data Karyawan\Foto\CV\Nazeem Ahmed Alvarizi.jpg</v>
      </c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spans="1:26" ht="10.5" customHeight="1" x14ac:dyDescent="0.3">
      <c r="A379" s="86"/>
      <c r="B379" s="86" t="s">
        <v>4772</v>
      </c>
      <c r="C379" s="86"/>
      <c r="D379" s="86"/>
      <c r="E379" s="86" t="str">
        <f t="shared" si="5"/>
        <v>H:\My Drive\DIV_SDM\BAG. PERSONALIA\01 Data Karyawan\Foto\CV\</v>
      </c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spans="1:26" ht="10.5" customHeight="1" x14ac:dyDescent="0.3">
      <c r="A380" s="86"/>
      <c r="B380" s="86" t="s">
        <v>2491</v>
      </c>
      <c r="C380" s="86" t="s">
        <v>6576</v>
      </c>
      <c r="D380" s="86"/>
      <c r="E380" s="86" t="str">
        <f t="shared" si="5"/>
        <v>H:\My Drive\DIV_SDM\BAG. PERSONALIA\01 Data Karyawan\Foto\CV\Norfi Janoko.jpg</v>
      </c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spans="1:26" ht="10.5" customHeight="1" x14ac:dyDescent="0.3">
      <c r="A381" s="86"/>
      <c r="B381" s="86" t="s">
        <v>793</v>
      </c>
      <c r="C381" s="86" t="s">
        <v>6577</v>
      </c>
      <c r="D381" s="86"/>
      <c r="E381" s="86" t="str">
        <f t="shared" si="5"/>
        <v>H:\My Drive\DIV_SDM\BAG. PERSONALIA\01 Data Karyawan\Foto\CV\Noviana_Hariyanto-removebg-preview.png</v>
      </c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spans="1:26" ht="10.5" customHeight="1" x14ac:dyDescent="0.3">
      <c r="A382" s="86"/>
      <c r="B382" s="86" t="s">
        <v>74</v>
      </c>
      <c r="C382" s="86" t="s">
        <v>6578</v>
      </c>
      <c r="D382" s="86"/>
      <c r="E382" s="86" t="str">
        <f t="shared" si="5"/>
        <v>H:\My Drive\DIV_SDM\BAG. PERSONALIA\01 Data Karyawan\Foto\CV\Novikasari (971800021).jpg</v>
      </c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spans="1:26" ht="10.5" customHeight="1" x14ac:dyDescent="0.3">
      <c r="A383" s="86"/>
      <c r="B383" s="86" t="s">
        <v>546</v>
      </c>
      <c r="C383" s="86" t="s">
        <v>6579</v>
      </c>
      <c r="D383" s="86"/>
      <c r="E383" s="86" t="str">
        <f t="shared" si="5"/>
        <v>H:\My Drive\DIV_SDM\BAG. PERSONALIA\01 Data Karyawan\Foto\CV\Nur Cahyono (971900046).jpg</v>
      </c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spans="1:26" ht="10.5" customHeight="1" x14ac:dyDescent="0.3">
      <c r="A384" s="86"/>
      <c r="B384" s="86" t="s">
        <v>5480</v>
      </c>
      <c r="C384" s="86" t="s">
        <v>6967</v>
      </c>
      <c r="D384" s="86"/>
      <c r="E384" s="86" t="str">
        <f t="shared" si="5"/>
        <v>H:\My Drive\DIV_SDM\BAG. PERSONALIA\01 Data Karyawan\Foto\CV\Nur_Cholis-removebg-preview.png</v>
      </c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spans="1:26" ht="10.5" customHeight="1" x14ac:dyDescent="0.3">
      <c r="A385" s="86"/>
      <c r="B385" s="86" t="s">
        <v>1063</v>
      </c>
      <c r="C385" s="86" t="s">
        <v>6580</v>
      </c>
      <c r="D385" s="86"/>
      <c r="E385" s="86" t="str">
        <f t="shared" si="5"/>
        <v>H:\My Drive\DIV_SDM\BAG. PERSONALIA\01 Data Karyawan\Foto\CV\Nur Oktaria (971800015).jpg</v>
      </c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spans="1:26" ht="10.5" customHeight="1" x14ac:dyDescent="0.3">
      <c r="A386" s="86"/>
      <c r="B386" s="86" t="s">
        <v>5138</v>
      </c>
      <c r="C386" s="86" t="s">
        <v>6968</v>
      </c>
      <c r="D386" s="86"/>
      <c r="E386" s="86" t="str">
        <f t="shared" si="5"/>
        <v>H:\My Drive\DIV_SDM\BAG. PERSONALIA\01 Data Karyawan\Foto\CV\Nur_Sholeh__6_-removebg-preview.png</v>
      </c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spans="1:26" ht="10.5" customHeight="1" x14ac:dyDescent="0.3">
      <c r="A387" s="86"/>
      <c r="B387" s="86" t="s">
        <v>913</v>
      </c>
      <c r="C387" s="86" t="s">
        <v>6581</v>
      </c>
      <c r="D387" s="86"/>
      <c r="E387" s="86" t="str">
        <f t="shared" si="5"/>
        <v>H:\My Drive\DIV_SDM\BAG. PERSONALIA\01 Data Karyawan\Foto\CV\Nursamsi (642001061).jpg</v>
      </c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spans="1:26" ht="10.5" customHeight="1" x14ac:dyDescent="0.3">
      <c r="A388" s="86"/>
      <c r="B388" s="86" t="s">
        <v>2951</v>
      </c>
      <c r="C388" s="86" t="s">
        <v>6582</v>
      </c>
      <c r="D388" s="86"/>
      <c r="E388" s="86" t="str">
        <f t="shared" ref="E388:E451" si="6">$D$3&amp;C388</f>
        <v>H:\My Drive\DIV_SDM\BAG. PERSONALIA\01 Data Karyawan\Foto\CV\Nurul Rochman.jpg</v>
      </c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spans="1:26" ht="10.5" customHeight="1" x14ac:dyDescent="0.3">
      <c r="A389" s="86"/>
      <c r="B389" s="86" t="s">
        <v>4678</v>
      </c>
      <c r="C389" s="86" t="s">
        <v>6969</v>
      </c>
      <c r="D389" s="86"/>
      <c r="E389" s="86" t="str">
        <f t="shared" si="6"/>
        <v>H:\My Drive\DIV_SDM\BAG. PERSONALIA\01 Data Karyawan\Foto\CV\OCTO_AMRI_MANSYURIN-removebg-preview.png</v>
      </c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spans="1:26" ht="10.5" customHeight="1" x14ac:dyDescent="0.3">
      <c r="A390" s="86"/>
      <c r="B390" s="86" t="s">
        <v>1932</v>
      </c>
      <c r="C390" s="86" t="s">
        <v>6583</v>
      </c>
      <c r="D390" s="86"/>
      <c r="E390" s="86" t="str">
        <f t="shared" si="6"/>
        <v>H:\My Drive\DIV_SDM\BAG. PERSONALIA\01 Data Karyawan\Foto\CV\Okta Setyanida (971900035).jpg</v>
      </c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spans="1:26" ht="10.5" customHeight="1" x14ac:dyDescent="0.3">
      <c r="A391" s="86"/>
      <c r="B391" s="86" t="s">
        <v>2550</v>
      </c>
      <c r="C391" s="86" t="s">
        <v>6584</v>
      </c>
      <c r="D391" s="86"/>
      <c r="E391" s="86" t="str">
        <f t="shared" si="6"/>
        <v>H:\My Drive\DIV_SDM\BAG. PERSONALIA\01 Data Karyawan\Foto\CV\Oktari Ayu Wandira (642002074).jpg</v>
      </c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spans="1:26" ht="10.5" customHeight="1" x14ac:dyDescent="0.3">
      <c r="A392" s="86"/>
      <c r="B392" s="86" t="s">
        <v>3038</v>
      </c>
      <c r="C392" s="86" t="s">
        <v>6585</v>
      </c>
      <c r="D392" s="86"/>
      <c r="E392" s="86" t="str">
        <f t="shared" si="6"/>
        <v>H:\My Drive\DIV_SDM\BAG. PERSONALIA\01 Data Karyawan\Foto\CV\Oktavian Frans Sanjaya.jpg</v>
      </c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spans="1:26" ht="10.5" customHeight="1" x14ac:dyDescent="0.3">
      <c r="A393" s="86"/>
      <c r="B393" s="86" t="s">
        <v>2867</v>
      </c>
      <c r="C393" s="86" t="s">
        <v>6586</v>
      </c>
      <c r="D393" s="86"/>
      <c r="E393" s="86" t="str">
        <f t="shared" si="6"/>
        <v>H:\My Drive\DIV_SDM\BAG. PERSONALIA\01 Data Karyawan\Foto\CV\Oktaviyanto.jpg</v>
      </c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spans="1:26" ht="10.5" customHeight="1" x14ac:dyDescent="0.3">
      <c r="A394" s="86"/>
      <c r="B394" s="86" t="s">
        <v>340</v>
      </c>
      <c r="C394" s="86" t="s">
        <v>6970</v>
      </c>
      <c r="D394" s="86"/>
      <c r="E394" s="86" t="str">
        <f t="shared" si="6"/>
        <v>H:\My Drive\DIV_SDM\BAG. PERSONALIA\01 Data Karyawan\Foto\CV\Oky nur fahrezi.jpeg</v>
      </c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spans="1:26" ht="10.5" customHeight="1" x14ac:dyDescent="0.3">
      <c r="A395" s="86"/>
      <c r="B395" s="86" t="s">
        <v>3682</v>
      </c>
      <c r="C395" s="86" t="s">
        <v>6566</v>
      </c>
      <c r="D395" s="86"/>
      <c r="E395" s="86" t="str">
        <f t="shared" si="6"/>
        <v>H:\My Drive\DIV_SDM\BAG. PERSONALIA\01 Data Karyawan\Foto\CV\M Kasi Ghusoory (64180197).jpg</v>
      </c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spans="1:26" ht="10.5" customHeight="1" x14ac:dyDescent="0.3">
      <c r="A396" s="86"/>
      <c r="B396" s="86" t="s">
        <v>4223</v>
      </c>
      <c r="C396" s="86" t="s">
        <v>6971</v>
      </c>
      <c r="D396" s="86"/>
      <c r="E396" s="86" t="str">
        <f t="shared" si="6"/>
        <v>H:\My Drive\DIV_SDM\BAG. PERSONALIA\01 Data Karyawan\Foto\CV\Once_Muhammad_Zulfikar-removebg-preview.png</v>
      </c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spans="1:26" ht="10.5" customHeight="1" x14ac:dyDescent="0.3">
      <c r="A397" s="86"/>
      <c r="B397" s="86" t="s">
        <v>1457</v>
      </c>
      <c r="C397" s="86" t="s">
        <v>6587</v>
      </c>
      <c r="D397" s="86"/>
      <c r="E397" s="86" t="str">
        <f t="shared" si="6"/>
        <v>H:\My Drive\DIV_SDM\BAG. PERSONALIA\01 Data Karyawan\Foto\CV\Ongky Yusfiantara (642001024).jpg</v>
      </c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spans="1:26" ht="10.5" customHeight="1" x14ac:dyDescent="0.3">
      <c r="A398" s="86"/>
      <c r="B398" s="86" t="s">
        <v>1546</v>
      </c>
      <c r="C398" s="86" t="s">
        <v>6588</v>
      </c>
      <c r="D398" s="86"/>
      <c r="E398" s="86" t="str">
        <f t="shared" si="6"/>
        <v>H:\My Drive\DIV_SDM\BAG. PERSONALIA\01 Data Karyawan\Foto\CV\Oskar Anggara (641801137).jpg</v>
      </c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spans="1:26" ht="10.5" customHeight="1" x14ac:dyDescent="0.3">
      <c r="A399" s="86"/>
      <c r="B399" s="86" t="s">
        <v>2835</v>
      </c>
      <c r="C399" s="86" t="s">
        <v>6589</v>
      </c>
      <c r="D399" s="86"/>
      <c r="E399" s="86" t="str">
        <f t="shared" si="6"/>
        <v>H:\My Drive\DIV_SDM\BAG. PERSONALIA\01 Data Karyawan\Foto\CV\pamungkas 1.jpg</v>
      </c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spans="1:26" ht="10.5" customHeight="1" x14ac:dyDescent="0.3">
      <c r="A400" s="86"/>
      <c r="B400" s="86" t="s">
        <v>4994</v>
      </c>
      <c r="C400" s="86" t="s">
        <v>6590</v>
      </c>
      <c r="D400" s="86"/>
      <c r="E400" s="86" t="str">
        <f t="shared" si="6"/>
        <v>H:\My Drive\DIV_SDM\BAG. PERSONALIA\01 Data Karyawan\Foto\CV\Panji Sulaksono (990900012).jpg</v>
      </c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spans="1:26" ht="10.5" customHeight="1" x14ac:dyDescent="0.3">
      <c r="A401" s="86"/>
      <c r="B401" s="86" t="s">
        <v>4387</v>
      </c>
      <c r="C401" s="86" t="s">
        <v>6972</v>
      </c>
      <c r="D401" s="86"/>
      <c r="E401" s="86" t="str">
        <f t="shared" si="6"/>
        <v>H:\My Drive\DIV_SDM\BAG. PERSONALIA\01 Data Karyawan\Foto\CV\Pradhita Fadhil Muktinugraha.jpeg</v>
      </c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spans="1:26" ht="10.5" customHeight="1" x14ac:dyDescent="0.3">
      <c r="A402" s="86"/>
      <c r="B402" s="86" t="s">
        <v>4926</v>
      </c>
      <c r="C402" s="86" t="s">
        <v>6591</v>
      </c>
      <c r="D402" s="86"/>
      <c r="E402" s="86" t="str">
        <f t="shared" si="6"/>
        <v>H:\My Drive\DIV_SDM\BAG. PERSONALIA\01 Data Karyawan\Foto\CV\Prahasta Eka Pratama (641811207).jpg</v>
      </c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spans="1:26" ht="10.5" customHeight="1" x14ac:dyDescent="0.3">
      <c r="A403" s="86"/>
      <c r="B403" s="86" t="s">
        <v>2796</v>
      </c>
      <c r="C403" s="86" t="s">
        <v>6592</v>
      </c>
      <c r="D403" s="86"/>
      <c r="E403" s="86" t="str">
        <f t="shared" si="6"/>
        <v>H:\My Drive\DIV_SDM\BAG. PERSONALIA\01 Data Karyawan\Foto\CV\Prasetyo Ari Anggoro.jpg</v>
      </c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spans="1:26" ht="10.5" customHeight="1" x14ac:dyDescent="0.3">
      <c r="A404" s="86"/>
      <c r="B404" s="86" t="s">
        <v>5841</v>
      </c>
      <c r="C404" s="86" t="s">
        <v>6593</v>
      </c>
      <c r="D404" s="86"/>
      <c r="E404" s="86" t="str">
        <f t="shared" si="6"/>
        <v>H:\My Drive\DIV_SDM\BAG. PERSONALIA\01 Data Karyawan\Foto\CV\Pratama Bagus Aji Syahputra (641812210).jpg</v>
      </c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spans="1:26" ht="10.5" customHeight="1" x14ac:dyDescent="0.3">
      <c r="A405" s="86"/>
      <c r="B405" s="86" t="s">
        <v>3271</v>
      </c>
      <c r="C405" s="86" t="s">
        <v>6594</v>
      </c>
      <c r="D405" s="86"/>
      <c r="E405" s="86" t="str">
        <f t="shared" si="6"/>
        <v>H:\My Drive\DIV_SDM\BAG. PERSONALIA\01 Data Karyawan\Foto\CV\Prima Lestian Herlambang.jpg</v>
      </c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spans="1:26" ht="10.5" customHeight="1" x14ac:dyDescent="0.3">
      <c r="A406" s="86"/>
      <c r="B406" s="86" t="s">
        <v>3090</v>
      </c>
      <c r="C406" s="86" t="s">
        <v>6595</v>
      </c>
      <c r="D406" s="86"/>
      <c r="E406" s="86" t="str">
        <f t="shared" si="6"/>
        <v>H:\My Drive\DIV_SDM\BAG. PERSONALIA\01 Data Karyawan\Foto\CV\Priyogo Susilo.jpg</v>
      </c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spans="1:26" ht="10.5" customHeight="1" x14ac:dyDescent="0.3">
      <c r="A407" s="86"/>
      <c r="B407" s="86" t="s">
        <v>4956</v>
      </c>
      <c r="C407" s="86" t="s">
        <v>6596</v>
      </c>
      <c r="D407" s="86"/>
      <c r="E407" s="86" t="str">
        <f t="shared" si="6"/>
        <v>H:\My Drive\DIV_SDM\BAG. PERSONALIA\01 Data Karyawan\Foto\CV\Priyono.JPG</v>
      </c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spans="1:26" ht="10.5" customHeight="1" x14ac:dyDescent="0.3">
      <c r="A408" s="86"/>
      <c r="B408" s="86" t="s">
        <v>4514</v>
      </c>
      <c r="C408" s="86" t="s">
        <v>6973</v>
      </c>
      <c r="D408" s="86"/>
      <c r="E408" s="86" t="str">
        <f t="shared" si="6"/>
        <v>H:\My Drive\DIV_SDM\BAG. PERSONALIA\01 Data Karyawan\Foto\CV\PUPUT_SANTOSO-removebg-preview.png</v>
      </c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spans="1:26" ht="10.5" customHeight="1" x14ac:dyDescent="0.3">
      <c r="A409" s="86"/>
      <c r="B409" s="86" t="s">
        <v>458</v>
      </c>
      <c r="C409" s="86" t="s">
        <v>6597</v>
      </c>
      <c r="D409" s="86"/>
      <c r="E409" s="86" t="str">
        <f t="shared" si="6"/>
        <v>H:\My Drive\DIV_SDM\BAG. PERSONALIA\01 Data Karyawan\Foto\CV\Puput Wahyudhianto (971800026).jpg</v>
      </c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spans="1:26" ht="10.5" customHeight="1" x14ac:dyDescent="0.3">
      <c r="A410" s="86"/>
      <c r="B410" s="86" t="s">
        <v>1021</v>
      </c>
      <c r="C410" s="86" t="s">
        <v>6598</v>
      </c>
      <c r="D410" s="86"/>
      <c r="E410" s="86" t="str">
        <f t="shared" si="6"/>
        <v>H:\My Drive\DIV_SDM\BAG. PERSONALIA\01 Data Karyawan\Foto\CV\Purwanto (642001059).jpg</v>
      </c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spans="1:26" ht="10.5" customHeight="1" x14ac:dyDescent="0.3">
      <c r="A411" s="86"/>
      <c r="B411" s="86" t="s">
        <v>3866</v>
      </c>
      <c r="C411" s="86"/>
      <c r="D411" s="86"/>
      <c r="E411" s="86" t="str">
        <f t="shared" si="6"/>
        <v>H:\My Drive\DIV_SDM\BAG. PERSONALIA\01 Data Karyawan\Foto\CV\</v>
      </c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spans="1:26" ht="10.5" customHeight="1" x14ac:dyDescent="0.3">
      <c r="A412" s="86"/>
      <c r="B412" s="86" t="s">
        <v>5585</v>
      </c>
      <c r="C412" s="86" t="s">
        <v>6599</v>
      </c>
      <c r="D412" s="86"/>
      <c r="E412" s="86" t="str">
        <f t="shared" si="6"/>
        <v>H:\My Drive\DIV_SDM\BAG. PERSONALIA\01 Data Karyawan\Foto\CV\Putra MAT (3).JPG</v>
      </c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spans="1:26" ht="10.5" customHeight="1" x14ac:dyDescent="0.3">
      <c r="A413" s="86"/>
      <c r="B413" s="86" t="s">
        <v>888</v>
      </c>
      <c r="C413" s="86" t="s">
        <v>6600</v>
      </c>
      <c r="D413" s="86"/>
      <c r="E413" s="86" t="str">
        <f t="shared" si="6"/>
        <v>H:\My Drive\DIV_SDM\BAG. PERSONALIA\01 Data Karyawan\Foto\CV\Putra Satria Bintang Pamungkas (642001065).jpg</v>
      </c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spans="1:26" ht="10.5" customHeight="1" x14ac:dyDescent="0.3">
      <c r="A414" s="86"/>
      <c r="B414" s="86" t="s">
        <v>4526</v>
      </c>
      <c r="C414" s="86" t="s">
        <v>6974</v>
      </c>
      <c r="D414" s="86"/>
      <c r="E414" s="86" t="str">
        <f t="shared" si="6"/>
        <v>H:\My Drive\DIV_SDM\BAG. PERSONALIA\01 Data Karyawan\Foto\CV\Putut_Pujiono-removebg-preview.png</v>
      </c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spans="1:26" ht="10.5" customHeight="1" x14ac:dyDescent="0.3">
      <c r="A415" s="86"/>
      <c r="B415" s="86" t="s">
        <v>2285</v>
      </c>
      <c r="C415" s="86" t="s">
        <v>6601</v>
      </c>
      <c r="D415" s="86"/>
      <c r="E415" s="86" t="str">
        <f t="shared" si="6"/>
        <v>H:\My Drive\DIV_SDM\BAG. PERSONALIA\01 Data Karyawan\Foto\CV\Qhoirul Wafiudin (641907269).jpeg</v>
      </c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spans="1:26" ht="10.5" customHeight="1" x14ac:dyDescent="0.3">
      <c r="A416" s="86"/>
      <c r="B416" s="86" t="s">
        <v>1159</v>
      </c>
      <c r="C416" s="86" t="s">
        <v>6602</v>
      </c>
      <c r="D416" s="86"/>
      <c r="E416" s="86" t="str">
        <f t="shared" si="6"/>
        <v>H:\My Drive\DIV_SDM\BAG. PERSONALIA\01 Data Karyawan\Foto\CV\R Praja Kusuma Nugraha (971800017).jpg</v>
      </c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spans="1:26" ht="10.5" customHeight="1" x14ac:dyDescent="0.3">
      <c r="A417" s="86"/>
      <c r="B417" s="86" t="s">
        <v>86</v>
      </c>
      <c r="C417" s="86" t="s">
        <v>6603</v>
      </c>
      <c r="D417" s="86"/>
      <c r="E417" s="86" t="str">
        <f t="shared" si="6"/>
        <v>H:\My Drive\DIV_SDM\BAG. PERSONALIA\01 Data Karyawan\Foto\CV\R_Sonny_Yanupraja-removebg-preview.png</v>
      </c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spans="1:26" ht="10.5" customHeight="1" x14ac:dyDescent="0.3">
      <c r="A418" s="86"/>
      <c r="B418" s="86" t="s">
        <v>4543</v>
      </c>
      <c r="C418" s="86" t="s">
        <v>6975</v>
      </c>
      <c r="D418" s="86"/>
      <c r="E418" s="86" t="str">
        <f t="shared" si="6"/>
        <v>H:\My Drive\DIV_SDM\BAG. PERSONALIA\01 Data Karyawan\Foto\CV\RACMAD_RUDI_SAPUTRA-removebg-preview.png</v>
      </c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spans="1:26" ht="10.5" customHeight="1" x14ac:dyDescent="0.3">
      <c r="A419" s="86"/>
      <c r="B419" s="86" t="s">
        <v>3986</v>
      </c>
      <c r="C419" s="86" t="s">
        <v>6604</v>
      </c>
      <c r="D419" s="86"/>
      <c r="E419" s="86" t="str">
        <f t="shared" si="6"/>
        <v>H:\My Drive\DIV_SDM\BAG. PERSONALIA\01 Data Karyawan\Foto\CV\Raditya_Wisnu_Pradana-removebg-preview.png</v>
      </c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spans="1:26" ht="10.5" customHeight="1" x14ac:dyDescent="0.3">
      <c r="A420" s="86"/>
      <c r="B420" s="86" t="s">
        <v>1914</v>
      </c>
      <c r="C420" s="86" t="s">
        <v>6605</v>
      </c>
      <c r="D420" s="86"/>
      <c r="E420" s="86" t="str">
        <f t="shared" si="6"/>
        <v>H:\My Drive\DIV_SDM\BAG. PERSONALIA\01 Data Karyawan\Foto\CV\Rahardian_Indra_Mayuriidz-removebg-preview.png</v>
      </c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spans="1:26" ht="10.5" customHeight="1" x14ac:dyDescent="0.3">
      <c r="A421" s="86"/>
      <c r="B421" s="86" t="s">
        <v>6895</v>
      </c>
      <c r="C421" s="86" t="s">
        <v>6976</v>
      </c>
      <c r="D421" s="86"/>
      <c r="E421" s="86" t="str">
        <f t="shared" si="6"/>
        <v>H:\My Drive\DIV_SDM\BAG. PERSONALIA\01 Data Karyawan\Foto\CV\Rahardian Titus Nurdiansyah.jpeg</v>
      </c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spans="1:26" ht="10.5" customHeight="1" x14ac:dyDescent="0.3">
      <c r="A422" s="86"/>
      <c r="B422" s="86" t="s">
        <v>4245</v>
      </c>
      <c r="C422" s="86" t="s">
        <v>6977</v>
      </c>
      <c r="D422" s="86"/>
      <c r="E422" s="86" t="str">
        <f t="shared" si="6"/>
        <v>H:\My Drive\DIV_SDM\BAG. PERSONALIA\01 Data Karyawan\Foto\CV\Rahmadi_Purwanto-removebg-preview.png</v>
      </c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spans="1:26" ht="10.5" customHeight="1" x14ac:dyDescent="0.3">
      <c r="A423" s="86"/>
      <c r="B423" s="86" t="s">
        <v>2348</v>
      </c>
      <c r="C423" s="86" t="s">
        <v>6606</v>
      </c>
      <c r="D423" s="86"/>
      <c r="E423" s="86" t="str">
        <f t="shared" si="6"/>
        <v>H:\My Drive\DIV_SDM\BAG. PERSONALIA\01 Data Karyawan\Foto\CV\Rahman Damanik (641907247).jpeg</v>
      </c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spans="1:26" ht="10.5" customHeight="1" x14ac:dyDescent="0.3">
      <c r="A424" s="86"/>
      <c r="B424" s="86" t="s">
        <v>4065</v>
      </c>
      <c r="C424" s="86" t="s">
        <v>6607</v>
      </c>
      <c r="D424" s="86"/>
      <c r="E424" s="86" t="str">
        <f t="shared" si="6"/>
        <v>H:\My Drive\DIV_SDM\BAG. PERSONALIA\01 Data Karyawan\Foto\CV\RAHMAT_SYAIFUDIN-removebg-preview.png</v>
      </c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spans="1:26" ht="10.5" customHeight="1" x14ac:dyDescent="0.3">
      <c r="A425" s="86"/>
      <c r="B425" s="86" t="s">
        <v>4051</v>
      </c>
      <c r="C425" s="86" t="s">
        <v>6608</v>
      </c>
      <c r="D425" s="86"/>
      <c r="E425" s="86" t="str">
        <f t="shared" si="6"/>
        <v>H:\My Drive\DIV_SDM\BAG. PERSONALIA\01 Data Karyawan\Foto\CV\Rais Jatmiko.jpeg</v>
      </c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spans="1:26" ht="10.5" customHeight="1" x14ac:dyDescent="0.3">
      <c r="A426" s="86"/>
      <c r="B426" s="86" t="s">
        <v>2727</v>
      </c>
      <c r="C426" s="86"/>
      <c r="D426" s="86"/>
      <c r="E426" s="86" t="str">
        <f t="shared" si="6"/>
        <v>H:\My Drive\DIV_SDM\BAG. PERSONALIA\01 Data Karyawan\Foto\CV\</v>
      </c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spans="1:26" ht="10.5" customHeight="1" x14ac:dyDescent="0.3">
      <c r="A427" s="86"/>
      <c r="B427" s="86" t="s">
        <v>5097</v>
      </c>
      <c r="C427" s="86" t="s">
        <v>6609</v>
      </c>
      <c r="D427" s="86"/>
      <c r="E427" s="86" t="str">
        <f t="shared" si="6"/>
        <v>H:\My Drive\DIV_SDM\BAG. PERSONALIA\01 Data Karyawan\Foto\CV\Rama Sutami Salim.jpg</v>
      </c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spans="1:26" ht="10.5" customHeight="1" x14ac:dyDescent="0.3">
      <c r="A428" s="86"/>
      <c r="B428" s="86" t="s">
        <v>6850</v>
      </c>
      <c r="C428" s="86"/>
      <c r="D428" s="86"/>
      <c r="E428" s="86" t="str">
        <f t="shared" si="6"/>
        <v>H:\My Drive\DIV_SDM\BAG. PERSONALIA\01 Data Karyawan\Foto\CV\</v>
      </c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spans="1:26" ht="10.5" customHeight="1" x14ac:dyDescent="0.3">
      <c r="A429" s="86"/>
      <c r="B429" s="86" t="s">
        <v>1995</v>
      </c>
      <c r="C429" s="86" t="s">
        <v>6610</v>
      </c>
      <c r="D429" s="86"/>
      <c r="E429" s="86" t="str">
        <f t="shared" si="6"/>
        <v>H:\My Drive\DIV_SDM\BAG. PERSONALIA\01 Data Karyawan\Foto\CV\Randi Ardiman (641810206).jpg</v>
      </c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spans="1:26" ht="10.5" customHeight="1" x14ac:dyDescent="0.3">
      <c r="A430" s="86"/>
      <c r="B430" s="86" t="s">
        <v>3308</v>
      </c>
      <c r="C430" s="86" t="s">
        <v>6611</v>
      </c>
      <c r="D430" s="86"/>
      <c r="E430" s="86" t="str">
        <f t="shared" si="6"/>
        <v>H:\My Drive\DIV_SDM\BAG. PERSONALIA\01 Data Karyawan\Foto\CV\Randu Ariandi.jpg</v>
      </c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spans="1:26" ht="10.5" customHeight="1" x14ac:dyDescent="0.3">
      <c r="A431" s="86"/>
      <c r="B431" s="86" t="s">
        <v>842</v>
      </c>
      <c r="C431" s="86" t="s">
        <v>6612</v>
      </c>
      <c r="D431" s="86"/>
      <c r="E431" s="86" t="str">
        <f t="shared" si="6"/>
        <v>H:\My Drive\DIV_SDM\BAG. PERSONALIA\01 Data Karyawan\Foto\CV\Ratih Widiastuti (971700011).jpg</v>
      </c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spans="1:26" ht="10.5" customHeight="1" x14ac:dyDescent="0.3">
      <c r="A432" s="86"/>
      <c r="B432" s="86" t="s">
        <v>5243</v>
      </c>
      <c r="C432" s="86"/>
      <c r="D432" s="86"/>
      <c r="E432" s="86" t="str">
        <f t="shared" si="6"/>
        <v>H:\My Drive\DIV_SDM\BAG. PERSONALIA\01 Data Karyawan\Foto\CV\</v>
      </c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spans="1:26" ht="10.5" customHeight="1" x14ac:dyDescent="0.3">
      <c r="A433" s="86"/>
      <c r="B433" s="86" t="s">
        <v>5266</v>
      </c>
      <c r="C433" s="86" t="s">
        <v>6613</v>
      </c>
      <c r="D433" s="86"/>
      <c r="E433" s="86" t="str">
        <f t="shared" si="6"/>
        <v>H:\My Drive\DIV_SDM\BAG. PERSONALIA\01 Data Karyawan\Foto\CV\Reihan.jpg</v>
      </c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spans="1:26" ht="10.5" customHeight="1" x14ac:dyDescent="0.3">
      <c r="A434" s="86"/>
      <c r="B434" s="86" t="s">
        <v>3564</v>
      </c>
      <c r="C434" s="86" t="s">
        <v>6614</v>
      </c>
      <c r="D434" s="86"/>
      <c r="E434" s="86" t="str">
        <f t="shared" si="6"/>
        <v>H:\My Drive\DIV_SDM\BAG. PERSONALIA\01 Data Karyawan\Foto\CV\Reka Patria Raflyliano.jpg</v>
      </c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spans="1:26" ht="10.5" customHeight="1" x14ac:dyDescent="0.3">
      <c r="A435" s="86"/>
      <c r="B435" s="86" t="s">
        <v>1743</v>
      </c>
      <c r="C435" s="86" t="s">
        <v>6615</v>
      </c>
      <c r="D435" s="86"/>
      <c r="E435" s="86" t="str">
        <f t="shared" si="6"/>
        <v>H:\My Drive\DIV_SDM\BAG. PERSONALIA\01 Data Karyawan\Foto\CV\Rendhy Eko Nur Cahyo (641807169).jpg</v>
      </c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spans="1:26" ht="10.5" customHeight="1" x14ac:dyDescent="0.3">
      <c r="A436" s="86"/>
      <c r="B436" s="86" t="s">
        <v>4340</v>
      </c>
      <c r="C436" s="86"/>
      <c r="D436" s="86"/>
      <c r="E436" s="86" t="str">
        <f t="shared" si="6"/>
        <v>H:\My Drive\DIV_SDM\BAG. PERSONALIA\01 Data Karyawan\Foto\CV\</v>
      </c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spans="1:26" ht="10.5" customHeight="1" x14ac:dyDescent="0.3">
      <c r="A437" s="86"/>
      <c r="B437" s="86" t="s">
        <v>879</v>
      </c>
      <c r="C437" s="86" t="s">
        <v>6616</v>
      </c>
      <c r="D437" s="86"/>
      <c r="E437" s="86" t="str">
        <f t="shared" si="6"/>
        <v>H:\My Drive\DIV_SDM\BAG. PERSONALIA\01 Data Karyawan\Foto\CV\Revan Pradipta (642001067).jpg</v>
      </c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spans="1:26" ht="10.5" customHeight="1" x14ac:dyDescent="0.3">
      <c r="A438" s="86"/>
      <c r="B438" s="86" t="s">
        <v>3455</v>
      </c>
      <c r="C438" s="86"/>
      <c r="D438" s="86"/>
      <c r="E438" s="86" t="str">
        <f t="shared" si="6"/>
        <v>H:\My Drive\DIV_SDM\BAG. PERSONALIA\01 Data Karyawan\Foto\CV\</v>
      </c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spans="1:26" ht="10.5" customHeight="1" x14ac:dyDescent="0.3">
      <c r="A439" s="86"/>
      <c r="B439" s="86" t="s">
        <v>102</v>
      </c>
      <c r="C439" s="86"/>
      <c r="D439" s="86"/>
      <c r="E439" s="86" t="str">
        <f t="shared" si="6"/>
        <v>H:\My Drive\DIV_SDM\BAG. PERSONALIA\01 Data Karyawan\Foto\CV\</v>
      </c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spans="1:26" ht="10.5" customHeight="1" x14ac:dyDescent="0.3">
      <c r="A440" s="86"/>
      <c r="B440" s="86" t="s">
        <v>4179</v>
      </c>
      <c r="C440" s="86" t="s">
        <v>6617</v>
      </c>
      <c r="D440" s="86"/>
      <c r="E440" s="86" t="str">
        <f t="shared" si="6"/>
        <v>H:\My Drive\DIV_SDM\BAG. PERSONALIA\01 Data Karyawan\Foto\CV\REZA_KRISTI_OKTAVIA-removebg-preview.png</v>
      </c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spans="1:26" ht="10.5" customHeight="1" x14ac:dyDescent="0.3">
      <c r="A441" s="86"/>
      <c r="B441" s="86" t="s">
        <v>3252</v>
      </c>
      <c r="C441" s="86" t="s">
        <v>6618</v>
      </c>
      <c r="D441" s="86"/>
      <c r="E441" s="86" t="str">
        <f t="shared" si="6"/>
        <v>H:\My Drive\DIV_SDM\BAG. PERSONALIA\01 Data Karyawan\Foto\CV\Rezaldhy Erlangga.jpg</v>
      </c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spans="1:26" ht="10.5" customHeight="1" x14ac:dyDescent="0.3">
      <c r="A442" s="86"/>
      <c r="B442" s="86" t="s">
        <v>2804</v>
      </c>
      <c r="C442" s="86" t="s">
        <v>6619</v>
      </c>
      <c r="D442" s="86"/>
      <c r="E442" s="86" t="str">
        <f t="shared" si="6"/>
        <v>H:\My Drive\DIV_SDM\BAG. PERSONALIA\01 Data Karyawan\Foto\CV\Rian Adji P.JPG</v>
      </c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spans="1:26" ht="10.5" customHeight="1" x14ac:dyDescent="0.3">
      <c r="A443" s="86"/>
      <c r="B443" s="86" t="s">
        <v>2530</v>
      </c>
      <c r="C443" s="86" t="s">
        <v>6620</v>
      </c>
      <c r="D443" s="86"/>
      <c r="E443" s="86" t="str">
        <f t="shared" si="6"/>
        <v>H:\My Drive\DIV_SDM\BAG. PERSONALIA\01 Data Karyawan\Foto\CV\Rian Pratama.jpg</v>
      </c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spans="1:26" ht="10.5" customHeight="1" x14ac:dyDescent="0.3">
      <c r="A444" s="86"/>
      <c r="B444" s="86" t="s">
        <v>2363</v>
      </c>
      <c r="C444" s="86" t="s">
        <v>6621</v>
      </c>
      <c r="D444" s="86"/>
      <c r="E444" s="86" t="str">
        <f t="shared" si="6"/>
        <v>H:\My Drive\DIV_SDM\BAG. PERSONALIA\01 Data Karyawan\Foto\CV\Rian Wijaya Pratama (641907278).jpg</v>
      </c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spans="1:26" ht="10.5" customHeight="1" x14ac:dyDescent="0.3">
      <c r="A445" s="86"/>
      <c r="B445" s="86" t="s">
        <v>5297</v>
      </c>
      <c r="C445" s="86" t="s">
        <v>6622</v>
      </c>
      <c r="D445" s="86"/>
      <c r="E445" s="86" t="str">
        <f t="shared" si="6"/>
        <v>H:\My Drive\DIV_SDM\BAG. PERSONALIA\01 Data Karyawan\Foto\CV\Riant Adzandy.png</v>
      </c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spans="1:26" ht="10.5" customHeight="1" x14ac:dyDescent="0.3">
      <c r="A446" s="86"/>
      <c r="B446" s="86" t="s">
        <v>4743</v>
      </c>
      <c r="C446" s="86" t="s">
        <v>6623</v>
      </c>
      <c r="D446" s="86"/>
      <c r="E446" s="86" t="str">
        <f t="shared" si="6"/>
        <v>H:\My Drive\DIV_SDM\BAG. PERSONALIA\01 Data Karyawan\Foto\CV\Ricky Wijaya (641810200).jpg</v>
      </c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spans="1:26" ht="10.5" customHeight="1" x14ac:dyDescent="0.3">
      <c r="A447" s="86"/>
      <c r="B447" s="86" t="s">
        <v>1876</v>
      </c>
      <c r="C447" s="86" t="s">
        <v>6624</v>
      </c>
      <c r="D447" s="86"/>
      <c r="E447" s="86" t="str">
        <f t="shared" si="6"/>
        <v>H:\My Drive\DIV_SDM\BAG. PERSONALIA\01 Data Karyawan\Foto\CV\Rifqi Tegar Laksono (971900044).jpg</v>
      </c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spans="1:26" ht="10.5" customHeight="1" x14ac:dyDescent="0.3">
      <c r="A448" s="86"/>
      <c r="B448" s="86" t="s">
        <v>2925</v>
      </c>
      <c r="C448" s="86" t="s">
        <v>6625</v>
      </c>
      <c r="D448" s="86"/>
      <c r="E448" s="86" t="str">
        <f t="shared" si="6"/>
        <v>H:\My Drive\DIV_SDM\BAG. PERSONALIA\01 Data Karyawan\Foto\CV\Rija Cahyadi.jpg</v>
      </c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spans="1:26" ht="10.5" customHeight="1" x14ac:dyDescent="0.3">
      <c r="A449" s="86"/>
      <c r="B449" s="86" t="s">
        <v>391</v>
      </c>
      <c r="C449" s="86" t="s">
        <v>6626</v>
      </c>
      <c r="D449" s="86"/>
      <c r="E449" s="86" t="str">
        <f t="shared" si="6"/>
        <v>H:\My Drive\DIV_SDM\BAG. PERSONALIA\01 Data Karyawan\Foto\CV\Rika Kusumaning Indramtoko (971500003).jpg</v>
      </c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spans="1:26" ht="10.5" customHeight="1" x14ac:dyDescent="0.3">
      <c r="A450" s="86"/>
      <c r="B450" s="86" t="s">
        <v>853</v>
      </c>
      <c r="C450" s="86" t="s">
        <v>6627</v>
      </c>
      <c r="D450" s="86"/>
      <c r="E450" s="86" t="str">
        <f t="shared" si="6"/>
        <v>H:\My Drive\DIV_SDM\BAG. PERSONALIA\01 Data Karyawan\Foto\CV\Riko Sanjaya (642001068).jpg</v>
      </c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spans="1:26" ht="10.5" customHeight="1" x14ac:dyDescent="0.3">
      <c r="A451" s="86"/>
      <c r="B451" s="86" t="s">
        <v>352</v>
      </c>
      <c r="C451" s="86" t="s">
        <v>6978</v>
      </c>
      <c r="D451" s="86"/>
      <c r="E451" s="86" t="str">
        <f t="shared" si="6"/>
        <v>H:\My Drive\DIV_SDM\BAG. PERSONALIA\01 Data Karyawan\Foto\CV\Risma_Alfiyani-removebg-preview.png</v>
      </c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spans="1:26" ht="10.5" customHeight="1" x14ac:dyDescent="0.3">
      <c r="A452" s="86"/>
      <c r="B452" s="86" t="s">
        <v>2570</v>
      </c>
      <c r="C452" s="86" t="s">
        <v>6628</v>
      </c>
      <c r="D452" s="86"/>
      <c r="E452" s="86" t="str">
        <f t="shared" ref="E452:E515" si="7">$D$3&amp;C452</f>
        <v>H:\My Drive\DIV_SDM\BAG. PERSONALIA\01 Data Karyawan\Foto\CV\Riyan Andika (642002079).jpg</v>
      </c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spans="1:26" ht="10.5" customHeight="1" x14ac:dyDescent="0.3">
      <c r="A453" s="86"/>
      <c r="B453" s="86" t="s">
        <v>4720</v>
      </c>
      <c r="C453" s="86" t="s">
        <v>6979</v>
      </c>
      <c r="D453" s="86"/>
      <c r="E453" s="86" t="str">
        <f t="shared" si="7"/>
        <v>H:\My Drive\DIV_SDM\BAG. PERSONALIA\01 Data Karyawan\Foto\CV\Rizal Agus Pratama.jpg</v>
      </c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spans="1:26" ht="10.5" customHeight="1" x14ac:dyDescent="0.3">
      <c r="A454" s="86"/>
      <c r="B454" s="86" t="s">
        <v>4071</v>
      </c>
      <c r="C454" s="86" t="s">
        <v>6629</v>
      </c>
      <c r="D454" s="86"/>
      <c r="E454" s="86" t="str">
        <f t="shared" si="7"/>
        <v>H:\My Drive\DIV_SDM\BAG. PERSONALIA\01 Data Karyawan\Foto\CV\RIZAL_ILHAM_RIFAI-removebg-preview.png</v>
      </c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spans="1:26" ht="10.5" customHeight="1" x14ac:dyDescent="0.3">
      <c r="A455" s="86"/>
      <c r="B455" s="86" t="s">
        <v>3146</v>
      </c>
      <c r="C455" s="86" t="s">
        <v>6630</v>
      </c>
      <c r="D455" s="86"/>
      <c r="E455" s="86" t="str">
        <f t="shared" si="7"/>
        <v>H:\My Drive\DIV_SDM\BAG. PERSONALIA\01 Data Karyawan\Foto\CV\Rizki Kurniawan.jpg</v>
      </c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spans="1:26" ht="10.5" customHeight="1" x14ac:dyDescent="0.3">
      <c r="A456" s="86"/>
      <c r="B456" s="86" t="s">
        <v>4785</v>
      </c>
      <c r="C456" s="86"/>
      <c r="D456" s="86"/>
      <c r="E456" s="86" t="str">
        <f t="shared" si="7"/>
        <v>H:\My Drive\DIV_SDM\BAG. PERSONALIA\01 Data Karyawan\Foto\CV\</v>
      </c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spans="1:26" ht="10.5" customHeight="1" x14ac:dyDescent="0.3">
      <c r="A457" s="86"/>
      <c r="B457" s="86" t="s">
        <v>2137</v>
      </c>
      <c r="C457" s="86" t="s">
        <v>6631</v>
      </c>
      <c r="D457" s="86"/>
      <c r="E457" s="86" t="str">
        <f t="shared" si="7"/>
        <v>H:\My Drive\DIV_SDM\BAG. PERSONALIA\01 Data Karyawan\Foto\CV\Rizk Novriansyah (641810190).jpg</v>
      </c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spans="1:26" ht="10.5" customHeight="1" x14ac:dyDescent="0.3">
      <c r="A458" s="86"/>
      <c r="B458" s="86" t="s">
        <v>2626</v>
      </c>
      <c r="C458" s="86" t="s">
        <v>6632</v>
      </c>
      <c r="D458" s="86"/>
      <c r="E458" s="86" t="str">
        <f t="shared" si="7"/>
        <v>H:\My Drive\DIV_SDM\BAG. PERSONALIA\01 Data Karyawan\Foto\CV\Rizky Maulana Indrosaputro (642003087).jpg</v>
      </c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spans="1:26" ht="10.5" customHeight="1" x14ac:dyDescent="0.3">
      <c r="A459" s="86"/>
      <c r="B459" s="86" t="s">
        <v>996</v>
      </c>
      <c r="C459" s="86" t="s">
        <v>6633</v>
      </c>
      <c r="D459" s="86"/>
      <c r="E459" s="86" t="str">
        <f t="shared" si="7"/>
        <v>H:\My Drive\DIV_SDM\BAG. PERSONALIA\01 Data Karyawan\Foto\CV\Rofingi (642001056).jpg</v>
      </c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spans="1:26" ht="10.5" customHeight="1" x14ac:dyDescent="0.3">
      <c r="A460" s="86"/>
      <c r="B460" s="86" t="s">
        <v>3993</v>
      </c>
      <c r="C460" s="86"/>
      <c r="D460" s="86"/>
      <c r="E460" s="86" t="str">
        <f t="shared" si="7"/>
        <v>H:\My Drive\DIV_SDM\BAG. PERSONALIA\01 Data Karyawan\Foto\CV\</v>
      </c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spans="1:26" ht="10.5" customHeight="1" x14ac:dyDescent="0.3">
      <c r="A461" s="86"/>
      <c r="B461" s="86" t="s">
        <v>5713</v>
      </c>
      <c r="C461" s="86" t="s">
        <v>6634</v>
      </c>
      <c r="D461" s="86"/>
      <c r="E461" s="86" t="str">
        <f t="shared" si="7"/>
        <v>H:\My Drive\DIV_SDM\BAG. PERSONALIA\01 Data Karyawan\Foto\CV\Rudi Hariyanto.JPG</v>
      </c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spans="1:26" ht="10.5" customHeight="1" x14ac:dyDescent="0.3">
      <c r="A462" s="86"/>
      <c r="B462" s="86" t="s">
        <v>5125</v>
      </c>
      <c r="C462" s="86" t="s">
        <v>6635</v>
      </c>
      <c r="D462" s="86"/>
      <c r="E462" s="86" t="str">
        <f t="shared" si="7"/>
        <v>H:\My Drive\DIV_SDM\BAG. PERSONALIA\01 Data Karyawan\Foto\CV\Rudi Hartono (642001054).jpg</v>
      </c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spans="1:26" ht="10.5" customHeight="1" x14ac:dyDescent="0.3">
      <c r="A463" s="86"/>
      <c r="B463" s="86" t="s">
        <v>1385</v>
      </c>
      <c r="C463" s="86" t="s">
        <v>6636</v>
      </c>
      <c r="D463" s="86"/>
      <c r="E463" s="86" t="str">
        <f t="shared" si="7"/>
        <v>H:\My Drive\DIV_SDM\BAG. PERSONALIA\01 Data Karyawan\Foto\CV\Rudik Haryanto (642001033).jpg</v>
      </c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spans="1:26" ht="10.5" customHeight="1" x14ac:dyDescent="0.3">
      <c r="A464" s="86"/>
      <c r="B464" s="86" t="s">
        <v>1086</v>
      </c>
      <c r="C464" s="86" t="s">
        <v>6637</v>
      </c>
      <c r="D464" s="86"/>
      <c r="E464" s="86" t="str">
        <f t="shared" si="7"/>
        <v>H:\My Drive\DIV_SDM\BAG. PERSONALIA\01 Data Karyawan\Foto\CV\Rudi Susanto (971800024).jpg</v>
      </c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spans="1:26" ht="10.5" customHeight="1" x14ac:dyDescent="0.3">
      <c r="A465" s="86"/>
      <c r="B465" s="86" t="s">
        <v>4710</v>
      </c>
      <c r="C465" s="86" t="s">
        <v>6980</v>
      </c>
      <c r="D465" s="86"/>
      <c r="E465" s="86" t="str">
        <f t="shared" si="7"/>
        <v>H:\My Drive\DIV_SDM\BAG. PERSONALIA\01 Data Karyawan\Foto\CV\Runi Widiastuti.jpg</v>
      </c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spans="1:26" ht="10.5" customHeight="1" x14ac:dyDescent="0.3">
      <c r="A466" s="86"/>
      <c r="B466" s="86" t="s">
        <v>476</v>
      </c>
      <c r="C466" s="86" t="s">
        <v>6638</v>
      </c>
      <c r="D466" s="86"/>
      <c r="E466" s="86" t="str">
        <f t="shared" si="7"/>
        <v>H:\My Drive\DIV_SDM\BAG. PERSONALIA\01 Data Karyawan\Foto\CV\Sadikun.jpg</v>
      </c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spans="1:26" ht="10.5" customHeight="1" x14ac:dyDescent="0.3">
      <c r="A467" s="86"/>
      <c r="B467" s="86" t="s">
        <v>2376</v>
      </c>
      <c r="C467" s="86" t="s">
        <v>6639</v>
      </c>
      <c r="D467" s="86"/>
      <c r="E467" s="86" t="str">
        <f t="shared" si="7"/>
        <v>H:\My Drive\DIV_SDM\BAG. PERSONALIA\01 Data Karyawan\Foto\CV\Sahban Arif.png</v>
      </c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spans="1:26" ht="10.5" customHeight="1" x14ac:dyDescent="0.3">
      <c r="A468" s="86"/>
      <c r="B468" s="86" t="s">
        <v>5491</v>
      </c>
      <c r="C468" s="86" t="s">
        <v>6981</v>
      </c>
      <c r="D468" s="86"/>
      <c r="E468" s="86" t="str">
        <f t="shared" si="7"/>
        <v>H:\My Drive\DIV_SDM\BAG. PERSONALIA\01 Data Karyawan\Foto\CV\Saifulloh Rozi.jpg</v>
      </c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spans="1:26" ht="10.5" customHeight="1" x14ac:dyDescent="0.3">
      <c r="A469" s="86"/>
      <c r="B469" s="86" t="s">
        <v>4556</v>
      </c>
      <c r="C469" s="86"/>
      <c r="D469" s="86"/>
      <c r="E469" s="86" t="str">
        <f t="shared" si="7"/>
        <v>H:\My Drive\DIV_SDM\BAG. PERSONALIA\01 Data Karyawan\Foto\CV\</v>
      </c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spans="1:26" ht="10.5" customHeight="1" x14ac:dyDescent="0.3">
      <c r="A470" s="86"/>
      <c r="B470" s="86" t="s">
        <v>4090</v>
      </c>
      <c r="C470" s="86" t="s">
        <v>6640</v>
      </c>
      <c r="D470" s="86"/>
      <c r="E470" s="86" t="str">
        <f t="shared" si="7"/>
        <v>H:\My Drive\DIV_SDM\BAG. PERSONALIA\01 Data Karyawan\Foto\CV\Samuri-removebg-preview.png</v>
      </c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spans="1:26" ht="10.5" customHeight="1" x14ac:dyDescent="0.3">
      <c r="A471" s="86"/>
      <c r="B471" s="86" t="s">
        <v>3110</v>
      </c>
      <c r="C471" s="86" t="s">
        <v>6641</v>
      </c>
      <c r="D471" s="86"/>
      <c r="E471" s="86" t="str">
        <f t="shared" si="7"/>
        <v>H:\My Drive\DIV_SDM\BAG. PERSONALIA\01 Data Karyawan\Foto\CV\Sandy Mahesta.jpg</v>
      </c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spans="1:26" ht="10.5" customHeight="1" x14ac:dyDescent="0.3">
      <c r="A472" s="86"/>
      <c r="B472" s="86" t="s">
        <v>2817</v>
      </c>
      <c r="C472" s="86" t="s">
        <v>6642</v>
      </c>
      <c r="D472" s="86"/>
      <c r="E472" s="86" t="str">
        <f t="shared" si="7"/>
        <v>H:\My Drive\DIV_SDM\BAG. PERSONALIA\01 Data Karyawan\Foto\CV\Sarah Ayu J.jpg</v>
      </c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spans="1:26" ht="10.5" customHeight="1" x14ac:dyDescent="0.3">
      <c r="A473" s="86"/>
      <c r="B473" s="86" t="s">
        <v>79</v>
      </c>
      <c r="C473" s="86" t="s">
        <v>6643</v>
      </c>
      <c r="D473" s="86"/>
      <c r="E473" s="86" t="str">
        <f t="shared" si="7"/>
        <v>H:\My Drive\DIV_SDM\BAG. PERSONALIA\01 Data Karyawan\Foto\CV\Satria Gustiana Rahardi (971900043).jpg</v>
      </c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spans="1:26" ht="10.5" customHeight="1" x14ac:dyDescent="0.3">
      <c r="A474" s="86"/>
      <c r="B474" s="86" t="s">
        <v>5756</v>
      </c>
      <c r="C474" s="86" t="s">
        <v>6644</v>
      </c>
      <c r="D474" s="86"/>
      <c r="E474" s="86" t="str">
        <f t="shared" si="7"/>
        <v>H:\My Drive\DIV_SDM\BAG. PERSONALIA\01 Data Karyawan\Foto\CV\Satrya_sigit_prakoso-removebg-preview.png</v>
      </c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spans="1:26" ht="10.5" customHeight="1" x14ac:dyDescent="0.3">
      <c r="A475" s="86"/>
      <c r="B475" s="86" t="s">
        <v>5027</v>
      </c>
      <c r="C475" s="86" t="s">
        <v>6645</v>
      </c>
      <c r="D475" s="86"/>
      <c r="E475" s="86" t="str">
        <f t="shared" si="7"/>
        <v>H:\My Drive\DIV_SDM\BAG. PERSONALIA\01 Data Karyawan\Foto\CV\Semoga Jayaa.jpg</v>
      </c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spans="1:26" ht="10.5" customHeight="1" x14ac:dyDescent="0.3">
      <c r="A476" s="86"/>
      <c r="B476" s="86" t="s">
        <v>4017</v>
      </c>
      <c r="C476" s="86" t="s">
        <v>6646</v>
      </c>
      <c r="D476" s="86"/>
      <c r="E476" s="86" t="str">
        <f t="shared" si="7"/>
        <v>H:\My Drive\DIV_SDM\BAG. PERSONALIA\01 Data Karyawan\Foto\CV\SETYA_AJI_WIBOWO-removebg-preview.png</v>
      </c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spans="1:26" ht="10.5" customHeight="1" x14ac:dyDescent="0.3">
      <c r="A477" s="86"/>
      <c r="B477" s="86" t="s">
        <v>4209</v>
      </c>
      <c r="C477" s="86" t="s">
        <v>6982</v>
      </c>
      <c r="D477" s="86"/>
      <c r="E477" s="86" t="str">
        <f t="shared" si="7"/>
        <v>H:\My Drive\DIV_SDM\BAG. PERSONALIA\01 Data Karyawan\Foto\CV\Setyo_Roy_Andika-removebg-preview.png</v>
      </c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spans="1:26" ht="10.5" customHeight="1" x14ac:dyDescent="0.3">
      <c r="A478" s="86"/>
      <c r="B478" s="86" t="s">
        <v>5272</v>
      </c>
      <c r="C478" s="86" t="s">
        <v>6647</v>
      </c>
      <c r="D478" s="86"/>
      <c r="E478" s="86" t="str">
        <f t="shared" si="7"/>
        <v>H:\My Drive\DIV_SDM\BAG. PERSONALIA\01 Data Karyawan\Foto\CV\Setyo Wibowo (999600008).jpg</v>
      </c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spans="1:26" ht="10.5" customHeight="1" x14ac:dyDescent="0.3">
      <c r="A479" s="86"/>
      <c r="B479" s="86" t="s">
        <v>1830</v>
      </c>
      <c r="C479" s="86" t="s">
        <v>6648</v>
      </c>
      <c r="D479" s="86"/>
      <c r="E479" s="86" t="str">
        <f t="shared" si="7"/>
        <v>H:\My Drive\DIV_SDM\BAG. PERSONALIA\01 Data Karyawan\Foto\CV\Shofwan Mahsyurdin (641808174).jpg</v>
      </c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spans="1:26" ht="10.5" customHeight="1" x14ac:dyDescent="0.3">
      <c r="A480" s="86"/>
      <c r="B480" s="86" t="s">
        <v>4688</v>
      </c>
      <c r="C480" s="86" t="s">
        <v>6983</v>
      </c>
      <c r="D480" s="86"/>
      <c r="E480" s="86" t="str">
        <f t="shared" si="7"/>
        <v>H:\My Drive\DIV_SDM\BAG. PERSONALIA\01 Data Karyawan\Foto\CV\SHONUFIT_AR_ROYAN_FIRDAUS-removebg-preview.png</v>
      </c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spans="1:26" ht="10.5" customHeight="1" x14ac:dyDescent="0.3">
      <c r="A481" s="86"/>
      <c r="B481" s="86" t="s">
        <v>666</v>
      </c>
      <c r="C481" s="86" t="s">
        <v>6649</v>
      </c>
      <c r="D481" s="86"/>
      <c r="E481" s="86" t="str">
        <f t="shared" si="7"/>
        <v>H:\My Drive\DIV_SDM\BAG. PERSONALIA\01 Data Karyawan\Foto\CV\Sigit Eko Susanto (642001011).jpg</v>
      </c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spans="1:26" ht="10.5" customHeight="1" x14ac:dyDescent="0.3">
      <c r="A482" s="86"/>
      <c r="B482" s="86" t="s">
        <v>4281</v>
      </c>
      <c r="C482" s="86" t="s">
        <v>6710</v>
      </c>
      <c r="D482" s="86"/>
      <c r="E482" s="86" t="str">
        <f t="shared" si="7"/>
        <v>H:\My Drive\DIV_SDM\BAG. PERSONALIA\01 Data Karyawan\Foto\CV\Sigit Sugiarto 999800002 HC.png</v>
      </c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spans="1:26" ht="10.5" customHeight="1" x14ac:dyDescent="0.3">
      <c r="A483" s="86"/>
      <c r="B483" s="86" t="s">
        <v>2188</v>
      </c>
      <c r="C483" s="86" t="s">
        <v>6650</v>
      </c>
      <c r="D483" s="86"/>
      <c r="E483" s="86" t="str">
        <f t="shared" si="7"/>
        <v>H:\My Drive\DIV_SDM\BAG. PERSONALIA\01 Data Karyawan\Foto\CV\Sigit Usmanto (641810192).jpg</v>
      </c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spans="1:26" ht="10.5" customHeight="1" x14ac:dyDescent="0.3">
      <c r="A484" s="86"/>
      <c r="B484" s="86" t="s">
        <v>2879</v>
      </c>
      <c r="C484" s="86" t="s">
        <v>6651</v>
      </c>
      <c r="D484" s="86"/>
      <c r="E484" s="86" t="str">
        <f t="shared" si="7"/>
        <v>H:\My Drive\DIV_SDM\BAG. PERSONALIA\01 Data Karyawan\Foto\CV\Sigit Wahyu.jpg</v>
      </c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spans="1:26" ht="10.5" customHeight="1" x14ac:dyDescent="0.3">
      <c r="A485" s="86"/>
      <c r="B485" s="86" t="s">
        <v>2741</v>
      </c>
      <c r="C485" s="86" t="s">
        <v>6652</v>
      </c>
      <c r="D485" s="86"/>
      <c r="E485" s="86" t="str">
        <f t="shared" si="7"/>
        <v>H:\My Drive\DIV_SDM\BAG. PERSONALIA\01 Data Karyawan\Foto\CV\Siswahyudi.JPG</v>
      </c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spans="1:26" ht="10.5" customHeight="1" x14ac:dyDescent="0.3">
      <c r="A486" s="86"/>
      <c r="B486" s="86" t="s">
        <v>2718</v>
      </c>
      <c r="C486" s="86" t="s">
        <v>6653</v>
      </c>
      <c r="D486" s="86"/>
      <c r="E486" s="86" t="str">
        <f t="shared" si="7"/>
        <v>H:\My Drive\DIV_SDM\BAG. PERSONALIA\01 Data Karyawan\Foto\CV\siswanto-removebg-preview.png</v>
      </c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spans="1:26" ht="10.5" customHeight="1" x14ac:dyDescent="0.3">
      <c r="A487" s="86"/>
      <c r="B487" s="86" t="s">
        <v>4779</v>
      </c>
      <c r="C487" s="86"/>
      <c r="D487" s="86"/>
      <c r="E487" s="86" t="str">
        <f t="shared" si="7"/>
        <v>H:\My Drive\DIV_SDM\BAG. PERSONALIA\01 Data Karyawan\Foto\CV\</v>
      </c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spans="1:26" ht="10.5" customHeight="1" x14ac:dyDescent="0.3">
      <c r="A488" s="86"/>
      <c r="B488" s="86" t="s">
        <v>5014</v>
      </c>
      <c r="C488" s="86" t="s">
        <v>6654</v>
      </c>
      <c r="D488" s="86"/>
      <c r="E488" s="86" t="str">
        <f t="shared" si="7"/>
        <v>H:\My Drive\DIV_SDM\BAG. PERSONALIA\01 Data Karyawan\Foto\CV\Suci Herlambang.jpg</v>
      </c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spans="1:26" ht="10.5" customHeight="1" x14ac:dyDescent="0.3">
      <c r="A489" s="86"/>
      <c r="B489" s="86" t="s">
        <v>1753</v>
      </c>
      <c r="C489" s="86" t="s">
        <v>6655</v>
      </c>
      <c r="D489" s="86"/>
      <c r="E489" s="86" t="str">
        <f t="shared" si="7"/>
        <v>H:\My Drive\DIV_SDM\BAG. PERSONALIA\01 Data Karyawan\Foto\CV\Sudarmawan (641807168).jpg</v>
      </c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spans="1:26" ht="10.5" customHeight="1" x14ac:dyDescent="0.3">
      <c r="A490" s="86"/>
      <c r="B490" s="86" t="s">
        <v>470</v>
      </c>
      <c r="C490" s="86" t="s">
        <v>6656</v>
      </c>
      <c r="D490" s="86"/>
      <c r="E490" s="86" t="str">
        <f t="shared" si="7"/>
        <v>H:\My Drive\DIV_SDM\BAG. PERSONALIA\01 Data Karyawan\Foto\CV\Sugiyanto (642001050).jpg</v>
      </c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spans="1:26" ht="10.5" customHeight="1" x14ac:dyDescent="0.3">
      <c r="A491" s="86"/>
      <c r="B491" s="86" t="s">
        <v>5195</v>
      </c>
      <c r="C491" s="86" t="s">
        <v>6657</v>
      </c>
      <c r="D491" s="86"/>
      <c r="E491" s="86" t="str">
        <f t="shared" si="7"/>
        <v>H:\My Drive\DIV_SDM\BAG. PERSONALIA\01 Data Karyawan\Foto\CV\Sugiyatno (999900116).jpg</v>
      </c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spans="1:26" ht="10.5" customHeight="1" x14ac:dyDescent="0.3">
      <c r="A492" s="86"/>
      <c r="B492" s="86" t="s">
        <v>4084</v>
      </c>
      <c r="C492" s="86" t="s">
        <v>6658</v>
      </c>
      <c r="D492" s="86"/>
      <c r="E492" s="86" t="str">
        <f t="shared" si="7"/>
        <v>H:\My Drive\DIV_SDM\BAG. PERSONALIA\01 Data Karyawan\Foto\CV\Sujito-removebg-preview.png</v>
      </c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spans="1:26" ht="10.5" customHeight="1" x14ac:dyDescent="0.3">
      <c r="A493" s="86"/>
      <c r="B493" s="86" t="s">
        <v>2035</v>
      </c>
      <c r="C493" s="86" t="s">
        <v>6984</v>
      </c>
      <c r="D493" s="86"/>
      <c r="E493" s="86" t="str">
        <f t="shared" si="7"/>
        <v>H:\My Drive\DIV_SDM\BAG. PERSONALIA\01 Data Karyawan\Foto\CV\Sukirno.png</v>
      </c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spans="1:26" ht="10.5" customHeight="1" x14ac:dyDescent="0.3">
      <c r="A494" s="86"/>
      <c r="B494" s="86" t="s">
        <v>4566</v>
      </c>
      <c r="C494" s="86" t="s">
        <v>6985</v>
      </c>
      <c r="D494" s="86"/>
      <c r="E494" s="86" t="str">
        <f t="shared" si="7"/>
        <v>H:\My Drive\DIV_SDM\BAG. PERSONALIA\01 Data Karyawan\Foto\CV\Sukma_Farissyah-removebg-preview.png</v>
      </c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spans="1:26" ht="10.5" customHeight="1" x14ac:dyDescent="0.3">
      <c r="A495" s="86"/>
      <c r="B495" s="86" t="s">
        <v>3810</v>
      </c>
      <c r="C495" s="86" t="s">
        <v>6659</v>
      </c>
      <c r="D495" s="86"/>
      <c r="E495" s="86" t="str">
        <f t="shared" si="7"/>
        <v>H:\My Drive\DIV_SDM\BAG. PERSONALIA\01 Data Karyawan\Foto\CV\Sultan_Alfiantsyah-removebg-preview.png</v>
      </c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spans="1:26" ht="10.5" customHeight="1" x14ac:dyDescent="0.3">
      <c r="A496" s="86"/>
      <c r="B496" s="86" t="s">
        <v>4729</v>
      </c>
      <c r="C496" s="86" t="s">
        <v>6660</v>
      </c>
      <c r="D496" s="86"/>
      <c r="E496" s="86" t="str">
        <f t="shared" si="7"/>
        <v>H:\My Drive\DIV_SDM\BAG. PERSONALIA\01 Data Karyawan\Foto\CV\Supriono (642001001).jpg</v>
      </c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spans="1:26" ht="10.5" customHeight="1" x14ac:dyDescent="0.3">
      <c r="A497" s="86"/>
      <c r="B497" s="86" t="s">
        <v>5503</v>
      </c>
      <c r="C497" s="86" t="s">
        <v>6661</v>
      </c>
      <c r="D497" s="86"/>
      <c r="E497" s="86" t="str">
        <f t="shared" si="7"/>
        <v>H:\My Drive\DIV_SDM\BAG. PERSONALIA\01 Data Karyawan\Foto\CV\Supriyadi (641810194).jpg</v>
      </c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spans="1:26" ht="10.5" customHeight="1" x14ac:dyDescent="0.3">
      <c r="A498" s="86"/>
      <c r="B498" s="86" t="s">
        <v>4862</v>
      </c>
      <c r="C498" s="86" t="s">
        <v>6662</v>
      </c>
      <c r="D498" s="86"/>
      <c r="E498" s="86" t="str">
        <f t="shared" si="7"/>
        <v>H:\My Drive\DIV_SDM\BAG. PERSONALIA\01 Data Karyawan\Foto\CV\Supriyadi.JPG</v>
      </c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spans="1:26" ht="10.5" customHeight="1" x14ac:dyDescent="0.3">
      <c r="A499" s="86"/>
      <c r="B499" s="86" t="s">
        <v>1640</v>
      </c>
      <c r="C499" s="86"/>
      <c r="D499" s="86"/>
      <c r="E499" s="86" t="str">
        <f t="shared" si="7"/>
        <v>H:\My Drive\DIV_SDM\BAG. PERSONALIA\01 Data Karyawan\Foto\CV\</v>
      </c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spans="1:26" ht="10.5" customHeight="1" x14ac:dyDescent="0.3">
      <c r="A500" s="86"/>
      <c r="B500" s="86" t="s">
        <v>4293</v>
      </c>
      <c r="C500" s="86" t="s">
        <v>6986</v>
      </c>
      <c r="D500" s="86"/>
      <c r="E500" s="86" t="str">
        <f t="shared" si="7"/>
        <v>H:\My Drive\DIV_SDM\BAG. PERSONALIA\01 Data Karyawan\Foto\CV\Surjono.png</v>
      </c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spans="1:26" ht="10.5" customHeight="1" x14ac:dyDescent="0.3">
      <c r="A501" s="86"/>
      <c r="B501" s="86" t="s">
        <v>821</v>
      </c>
      <c r="C501" s="86" t="s">
        <v>6663</v>
      </c>
      <c r="D501" s="86"/>
      <c r="E501" s="86" t="str">
        <f t="shared" si="7"/>
        <v>H:\My Drive\DIV_SDM\BAG. PERSONALIA\01 Data Karyawan\Foto\CV\Suryat Dwi Pramono (642001007).jpg</v>
      </c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spans="1:26" ht="10.5" customHeight="1" x14ac:dyDescent="0.3">
      <c r="A502" s="86"/>
      <c r="B502" s="86" t="s">
        <v>3178</v>
      </c>
      <c r="C502" s="86" t="s">
        <v>6987</v>
      </c>
      <c r="D502" s="86"/>
      <c r="E502" s="86" t="str">
        <f t="shared" si="7"/>
        <v>H:\My Drive\DIV_SDM\BAG. PERSONALIA\01 Data Karyawan\Foto\CV\Suryono.jpg</v>
      </c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spans="1:26" ht="10.5" customHeight="1" x14ac:dyDescent="0.3">
      <c r="A503" s="86"/>
      <c r="B503" s="86" t="s">
        <v>4584</v>
      </c>
      <c r="C503" s="86"/>
      <c r="D503" s="86"/>
      <c r="E503" s="86" t="str">
        <f t="shared" si="7"/>
        <v>H:\My Drive\DIV_SDM\BAG. PERSONALIA\01 Data Karyawan\Foto\CV\</v>
      </c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spans="1:26" ht="10.5" customHeight="1" x14ac:dyDescent="0.3">
      <c r="A504" s="86"/>
      <c r="B504" s="86" t="s">
        <v>5438</v>
      </c>
      <c r="C504" s="86" t="s">
        <v>6988</v>
      </c>
      <c r="D504" s="86"/>
      <c r="E504" s="86" t="str">
        <f t="shared" si="7"/>
        <v>H:\My Drive\DIV_SDM\BAG. PERSONALIA\01 Data Karyawan\Foto\CV\Sutanto.png</v>
      </c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spans="1:26" ht="10.5" customHeight="1" x14ac:dyDescent="0.3">
      <c r="A505" s="86"/>
      <c r="B505" s="86" t="s">
        <v>5468</v>
      </c>
      <c r="C505" s="86" t="s">
        <v>6989</v>
      </c>
      <c r="D505" s="86"/>
      <c r="E505" s="86" t="str">
        <f t="shared" si="7"/>
        <v>H:\My Drive\DIV_SDM\BAG. PERSONALIA\01 Data Karyawan\Foto\CV\Sutarbi.jpg</v>
      </c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spans="1:26" ht="10.5" customHeight="1" x14ac:dyDescent="0.3">
      <c r="A506" s="86"/>
      <c r="B506" s="86" t="s">
        <v>5620</v>
      </c>
      <c r="C506" s="86"/>
      <c r="D506" s="86"/>
      <c r="E506" s="86" t="str">
        <f t="shared" si="7"/>
        <v>H:\My Drive\DIV_SDM\BAG. PERSONALIA\01 Data Karyawan\Foto\CV\</v>
      </c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spans="1:26" ht="10.5" customHeight="1" x14ac:dyDescent="0.3">
      <c r="A507" s="86"/>
      <c r="B507" s="86" t="s">
        <v>601</v>
      </c>
      <c r="C507" s="86" t="s">
        <v>6664</v>
      </c>
      <c r="D507" s="86"/>
      <c r="E507" s="86" t="str">
        <f t="shared" si="7"/>
        <v>H:\My Drive\DIV_SDM\BAG. PERSONALIA\01 Data Karyawan\Foto\CV\Sutrisno.jpg</v>
      </c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spans="1:26" ht="10.5" customHeight="1" x14ac:dyDescent="0.3">
      <c r="A508" s="86"/>
      <c r="B508" s="86" t="s">
        <v>2254</v>
      </c>
      <c r="C508" s="86" t="s">
        <v>6665</v>
      </c>
      <c r="D508" s="86"/>
      <c r="E508" s="86" t="str">
        <f t="shared" si="7"/>
        <v>H:\My Drive\DIV_SDM\BAG. PERSONALIA\01 Data Karyawan\Foto\CV\Sutrisno Sitorus (641907249).jpeg</v>
      </c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spans="1:26" ht="10.5" customHeight="1" x14ac:dyDescent="0.3">
      <c r="A509" s="86"/>
      <c r="B509" s="86" t="s">
        <v>705</v>
      </c>
      <c r="C509" s="86" t="s">
        <v>6666</v>
      </c>
      <c r="D509" s="86"/>
      <c r="E509" s="86" t="str">
        <f t="shared" si="7"/>
        <v>H:\My Drive\DIV_SDM\BAG. PERSONALIA\01 Data Karyawan\Foto\CV\Suwardoyok (642001010).jpg</v>
      </c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spans="1:26" ht="10.5" customHeight="1" x14ac:dyDescent="0.3">
      <c r="A510" s="86"/>
      <c r="B510" s="86" t="s">
        <v>3998</v>
      </c>
      <c r="C510" s="86" t="s">
        <v>6667</v>
      </c>
      <c r="D510" s="86"/>
      <c r="E510" s="86" t="str">
        <f t="shared" si="7"/>
        <v>H:\My Drive\DIV_SDM\BAG. PERSONALIA\01 Data Karyawan\Foto\CV\Syahrizal Rohmatul Nugroho.jpeg</v>
      </c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spans="1:26" ht="10.5" customHeight="1" x14ac:dyDescent="0.3">
      <c r="A511" s="86"/>
      <c r="B511" s="86" t="s">
        <v>4045</v>
      </c>
      <c r="C511" s="86" t="s">
        <v>6668</v>
      </c>
      <c r="D511" s="86"/>
      <c r="E511" s="86" t="str">
        <f t="shared" si="7"/>
        <v>H:\My Drive\DIV_SDM\BAG. PERSONALIA\01 Data Karyawan\Foto\CV\TEGUH_NUR_KHOLIS.-removebg-preview.png</v>
      </c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spans="1:26" ht="10.5" customHeight="1" x14ac:dyDescent="0.3">
      <c r="A512" s="86"/>
      <c r="B512" s="86" t="s">
        <v>5182</v>
      </c>
      <c r="C512" s="86" t="s">
        <v>6669</v>
      </c>
      <c r="D512" s="86"/>
      <c r="E512" s="86" t="str">
        <f t="shared" si="7"/>
        <v>H:\My Drive\DIV_SDM\BAG. PERSONALIA\01 Data Karyawan\Foto\CV\Teguh Priyatna.jpg</v>
      </c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spans="1:26" ht="10.5" customHeight="1" x14ac:dyDescent="0.3">
      <c r="A513" s="86"/>
      <c r="B513" s="86" t="s">
        <v>5333</v>
      </c>
      <c r="C513" s="86" t="s">
        <v>6670</v>
      </c>
      <c r="D513" s="86"/>
      <c r="E513" s="86" t="str">
        <f t="shared" si="7"/>
        <v>H:\My Drive\DIV_SDM\BAG. PERSONALIA\01 Data Karyawan\Foto\CV\Teguh Yulianto.jpg</v>
      </c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spans="1:26" ht="10.5" customHeight="1" x14ac:dyDescent="0.3">
      <c r="A514" s="86"/>
      <c r="B514" s="86" t="s">
        <v>3466</v>
      </c>
      <c r="C514" s="86"/>
      <c r="D514" s="86"/>
      <c r="E514" s="86" t="str">
        <f t="shared" si="7"/>
        <v>H:\My Drive\DIV_SDM\BAG. PERSONALIA\01 Data Karyawan\Foto\CV\</v>
      </c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spans="1:26" ht="10.5" customHeight="1" x14ac:dyDescent="0.3">
      <c r="A515" s="86"/>
      <c r="B515" s="86" t="s">
        <v>6849</v>
      </c>
      <c r="C515" s="86"/>
      <c r="D515" s="86"/>
      <c r="E515" s="86" t="str">
        <f t="shared" si="7"/>
        <v>H:\My Drive\DIV_SDM\BAG. PERSONALIA\01 Data Karyawan\Foto\CV\</v>
      </c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spans="1:26" ht="10.5" customHeight="1" x14ac:dyDescent="0.3">
      <c r="A516" s="86"/>
      <c r="B516" s="86" t="s">
        <v>3717</v>
      </c>
      <c r="C516" s="86" t="s">
        <v>6671</v>
      </c>
      <c r="D516" s="86"/>
      <c r="E516" s="86" t="str">
        <f t="shared" ref="E516:E560" si="8">$D$3&amp;C516</f>
        <v>H:\My Drive\DIV_SDM\BAG. PERSONALIA\01 Data Karyawan\Foto\CV\Tito Petrick.png</v>
      </c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spans="1:26" ht="10.5" customHeight="1" x14ac:dyDescent="0.3">
      <c r="A517" s="86"/>
      <c r="B517" s="86" t="s">
        <v>1399</v>
      </c>
      <c r="C517" s="86" t="s">
        <v>6672</v>
      </c>
      <c r="D517" s="86"/>
      <c r="E517" s="86" t="str">
        <f t="shared" si="8"/>
        <v>H:\My Drive\DIV_SDM\BAG. PERSONALIA\01 Data Karyawan\Foto\CV\Tomi_Suharto__642001029_-removebg-preview.png</v>
      </c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spans="1:26" ht="10.5" customHeight="1" x14ac:dyDescent="0.3">
      <c r="A518" s="86"/>
      <c r="B518" s="86" t="s">
        <v>488</v>
      </c>
      <c r="C518" s="86" t="s">
        <v>6673</v>
      </c>
      <c r="D518" s="86"/>
      <c r="E518" s="86" t="str">
        <f t="shared" si="8"/>
        <v>H:\My Drive\DIV_SDM\BAG. PERSONALIA\01 Data Karyawan\Foto\CV\Tri Anang Susanto (971700007).jpg</v>
      </c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spans="1:26" ht="10.5" customHeight="1" x14ac:dyDescent="0.3">
      <c r="A519" s="86"/>
      <c r="B519" s="86" t="s">
        <v>2889</v>
      </c>
      <c r="C519" s="86" t="s">
        <v>6674</v>
      </c>
      <c r="D519" s="86"/>
      <c r="E519" s="86" t="str">
        <f t="shared" si="8"/>
        <v>H:\My Drive\DIV_SDM\BAG. PERSONALIA\01 Data Karyawan\Foto\CV\Tri Bagus Ridho.jpg</v>
      </c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spans="1:26" ht="10.5" customHeight="1" x14ac:dyDescent="0.3">
      <c r="A520" s="86"/>
      <c r="B520" s="86" t="s">
        <v>1226</v>
      </c>
      <c r="C520" s="86" t="s">
        <v>6675</v>
      </c>
      <c r="D520" s="86"/>
      <c r="E520" s="86" t="str">
        <f t="shared" si="8"/>
        <v>H:\My Drive\DIV_SDM\BAG. PERSONALIA\01 Data Karyawan\Foto\CV\Tri Diantoro (642001038).jpg</v>
      </c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spans="1:26" ht="10.5" customHeight="1" x14ac:dyDescent="0.3">
      <c r="A521" s="86"/>
      <c r="B521" s="86" t="s">
        <v>4598</v>
      </c>
      <c r="C521" s="86" t="s">
        <v>6990</v>
      </c>
      <c r="D521" s="86"/>
      <c r="E521" s="86" t="str">
        <f t="shared" si="8"/>
        <v>H:\My Drive\DIV_SDM\BAG. PERSONALIA\01 Data Karyawan\Foto\CV\TRI_HANDOKO-removebg-preview.png</v>
      </c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spans="1:26" ht="10.5" customHeight="1" x14ac:dyDescent="0.3">
      <c r="A522" s="86"/>
      <c r="B522" s="86" t="s">
        <v>5685</v>
      </c>
      <c r="C522" s="86" t="s">
        <v>6676</v>
      </c>
      <c r="D522" s="86"/>
      <c r="E522" s="86" t="str">
        <f t="shared" si="8"/>
        <v>H:\My Drive\DIV_SDM\BAG. PERSONALIA\01 Data Karyawan\Foto\CV\Tri Hari S.JPG</v>
      </c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spans="1:26" ht="10.5" customHeight="1" x14ac:dyDescent="0.3">
      <c r="A523" s="86"/>
      <c r="B523" s="86" t="s">
        <v>4004</v>
      </c>
      <c r="C523" s="86" t="s">
        <v>6677</v>
      </c>
      <c r="D523" s="86"/>
      <c r="E523" s="86" t="str">
        <f t="shared" si="8"/>
        <v>H:\My Drive\DIV_SDM\BAG. PERSONALIA\01 Data Karyawan\Foto\CV\Tri_siswanto-removebg-preview.png</v>
      </c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spans="1:26" ht="10.5" customHeight="1" x14ac:dyDescent="0.3">
      <c r="A524" s="86"/>
      <c r="B524" s="86" t="s">
        <v>3431</v>
      </c>
      <c r="C524" s="86" t="s">
        <v>6678</v>
      </c>
      <c r="D524" s="86"/>
      <c r="E524" s="86" t="str">
        <f t="shared" si="8"/>
        <v>H:\My Drive\DIV_SDM\BAG. PERSONALIA\01 Data Karyawan\Foto\CV\Trustha Ashar Ramadhan.jpg</v>
      </c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spans="1:26" ht="10.5" customHeight="1" x14ac:dyDescent="0.3">
      <c r="A525" s="86"/>
      <c r="B525" s="86" t="s">
        <v>3100</v>
      </c>
      <c r="C525" s="86" t="s">
        <v>6679</v>
      </c>
      <c r="D525" s="86"/>
      <c r="E525" s="86" t="str">
        <f t="shared" si="8"/>
        <v>H:\My Drive\DIV_SDM\BAG. PERSONALIA\01 Data Karyawan\Foto\CV\Tubagus Vikry Iskandar.jpg</v>
      </c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spans="1:26" ht="10.5" customHeight="1" x14ac:dyDescent="0.3">
      <c r="A526" s="86"/>
      <c r="B526" s="86" t="s">
        <v>592</v>
      </c>
      <c r="C526" s="86" t="s">
        <v>6680</v>
      </c>
      <c r="D526" s="86"/>
      <c r="E526" s="86" t="str">
        <f t="shared" si="8"/>
        <v>H:\My Drive\DIV_SDM\BAG. PERSONALIA\01 Data Karyawan\Foto\CV\Unggul Widiyanto (971700008).jpg</v>
      </c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spans="1:26" ht="10.5" customHeight="1" x14ac:dyDescent="0.3">
      <c r="A527" s="86"/>
      <c r="B527" s="86" t="s">
        <v>2602</v>
      </c>
      <c r="C527" s="86" t="s">
        <v>6681</v>
      </c>
      <c r="D527" s="86"/>
      <c r="E527" s="86" t="str">
        <f t="shared" si="8"/>
        <v>H:\My Drive\DIV_SDM\BAG. PERSONALIA\01 Data Karyawan\Foto\CV\Verry Chrisdiantoro Rubbis (642002085).jpg</v>
      </c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spans="1:26" ht="10.5" customHeight="1" x14ac:dyDescent="0.3">
      <c r="A528" s="86"/>
      <c r="B528" s="86" t="s">
        <v>4159</v>
      </c>
      <c r="C528" s="86"/>
      <c r="D528" s="86"/>
      <c r="E528" s="86" t="str">
        <f t="shared" si="8"/>
        <v>H:\My Drive\DIV_SDM\BAG. PERSONALIA\01 Data Karyawan\Foto\CV\</v>
      </c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spans="1:26" ht="10.5" customHeight="1" x14ac:dyDescent="0.3">
      <c r="A529" s="86"/>
      <c r="B529" s="86" t="s">
        <v>3818</v>
      </c>
      <c r="C529" s="86"/>
      <c r="D529" s="86"/>
      <c r="E529" s="86" t="str">
        <f t="shared" si="8"/>
        <v>H:\My Drive\DIV_SDM\BAG. PERSONALIA\01 Data Karyawan\Foto\CV\</v>
      </c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spans="1:26" ht="10.5" customHeight="1" x14ac:dyDescent="0.3">
      <c r="A530" s="86"/>
      <c r="B530" s="86" t="s">
        <v>2900</v>
      </c>
      <c r="C530" s="86" t="s">
        <v>6682</v>
      </c>
      <c r="D530" s="86"/>
      <c r="E530" s="86" t="str">
        <f t="shared" si="8"/>
        <v>H:\My Drive\DIV_SDM\BAG. PERSONALIA\01 Data Karyawan\Foto\CV\Wahab.JPG</v>
      </c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spans="1:26" ht="10.5" customHeight="1" x14ac:dyDescent="0.3">
      <c r="A531" s="86"/>
      <c r="B531" s="86" t="s">
        <v>3402</v>
      </c>
      <c r="C531" s="86" t="s">
        <v>6683</v>
      </c>
      <c r="D531" s="86"/>
      <c r="E531" s="86" t="str">
        <f t="shared" si="8"/>
        <v>H:\My Drive\DIV_SDM\BAG. PERSONALIA\01 Data Karyawan\Foto\CV\Wahyu Bagus Kusuma.jpg</v>
      </c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spans="1:26" ht="10.5" customHeight="1" x14ac:dyDescent="0.3">
      <c r="A532" s="86"/>
      <c r="B532" s="86" t="s">
        <v>3832</v>
      </c>
      <c r="C532" s="86" t="s">
        <v>6684</v>
      </c>
      <c r="D532" s="86"/>
      <c r="E532" s="86" t="str">
        <f t="shared" si="8"/>
        <v>H:\My Drive\DIV_SDM\BAG. PERSONALIA\01 Data Karyawan\Foto\CV\Wahyu_Utomo-removebg-preview.png</v>
      </c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spans="1:26" ht="10.5" customHeight="1" x14ac:dyDescent="0.3">
      <c r="A533" s="86"/>
      <c r="B533" s="86" t="s">
        <v>361</v>
      </c>
      <c r="C533" s="86" t="s">
        <v>6684</v>
      </c>
      <c r="D533" s="86"/>
      <c r="E533" s="86" t="str">
        <f t="shared" si="8"/>
        <v>H:\My Drive\DIV_SDM\BAG. PERSONALIA\01 Data Karyawan\Foto\CV\Wahyu_Utomo-removebg-preview.png</v>
      </c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spans="1:26" ht="10.5" customHeight="1" x14ac:dyDescent="0.3">
      <c r="A534" s="86"/>
      <c r="B534" s="86" t="s">
        <v>4011</v>
      </c>
      <c r="C534" s="86" t="s">
        <v>6685</v>
      </c>
      <c r="D534" s="86"/>
      <c r="E534" s="86" t="str">
        <f t="shared" si="8"/>
        <v>H:\My Drive\DIV_SDM\BAG. PERSONALIA\01 Data Karyawan\Foto\CV\WASIS BUDI UTOMO.jpeg</v>
      </c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spans="1:26" ht="10.5" customHeight="1" x14ac:dyDescent="0.3">
      <c r="A535" s="86"/>
      <c r="B535" s="86" t="s">
        <v>3345</v>
      </c>
      <c r="C535" s="86" t="s">
        <v>6686</v>
      </c>
      <c r="D535" s="86"/>
      <c r="E535" s="86" t="str">
        <f t="shared" si="8"/>
        <v>H:\My Drive\DIV_SDM\BAG. PERSONALIA\01 Data Karyawan\Foto\CV\Widhi Musliqim.jpg</v>
      </c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spans="1:26" ht="10.5" customHeight="1" x14ac:dyDescent="0.3">
      <c r="A536" s="86"/>
      <c r="B536" s="86" t="s">
        <v>4027</v>
      </c>
      <c r="C536" s="86" t="s">
        <v>6687</v>
      </c>
      <c r="D536" s="86"/>
      <c r="E536" s="86" t="str">
        <f t="shared" si="8"/>
        <v>H:\My Drive\DIV_SDM\BAG. PERSONALIA\01 Data Karyawan\Foto\CV\Wihana_Wagirahayutama-removebg-preview.png</v>
      </c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spans="1:26" ht="10.5" customHeight="1" x14ac:dyDescent="0.3">
      <c r="A537" s="86"/>
      <c r="B537" s="86" t="s">
        <v>5655</v>
      </c>
      <c r="C537" s="86" t="s">
        <v>6688</v>
      </c>
      <c r="D537" s="86"/>
      <c r="E537" s="86" t="str">
        <f t="shared" si="8"/>
        <v>H:\My Drive\DIV_SDM\BAG. PERSONALIA\01 Data Karyawan\Foto\CV\Wildha Ayu Kartika (4).JPG</v>
      </c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spans="1:26" ht="10.5" customHeight="1" x14ac:dyDescent="0.3">
      <c r="A538" s="86"/>
      <c r="B538" s="86" t="s">
        <v>2212</v>
      </c>
      <c r="C538" s="86" t="s">
        <v>6689</v>
      </c>
      <c r="D538" s="86"/>
      <c r="E538" s="86" t="str">
        <f t="shared" si="8"/>
        <v>H:\My Drive\DIV_SDM\BAG. PERSONALIA\01 Data Karyawan\Foto\CV\Yanti_Safitri-removebg-preview.png</v>
      </c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spans="1:26" ht="10.5" customHeight="1" x14ac:dyDescent="0.3">
      <c r="A539" s="86"/>
      <c r="B539" s="86" t="s">
        <v>4792</v>
      </c>
      <c r="C539" s="86" t="s">
        <v>6690</v>
      </c>
      <c r="D539" s="86"/>
      <c r="E539" s="86" t="str">
        <f t="shared" si="8"/>
        <v>H:\My Drive\DIV_SDM\BAG. PERSONALIA\01 Data Karyawan\Foto\CV\Yanuar Kristiyawan.jpg</v>
      </c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spans="1:26" ht="10.5" customHeight="1" x14ac:dyDescent="0.3">
      <c r="A540" s="86"/>
      <c r="B540" s="86" t="s">
        <v>3297</v>
      </c>
      <c r="C540" s="86" t="s">
        <v>6691</v>
      </c>
      <c r="D540" s="86"/>
      <c r="E540" s="86" t="str">
        <f t="shared" si="8"/>
        <v>H:\My Drive\DIV_SDM\BAG. PERSONALIA\01 Data Karyawan\Foto\CV\Yasir Arafad.jpg</v>
      </c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spans="1:26" ht="10.5" customHeight="1" x14ac:dyDescent="0.3">
      <c r="A541" s="86"/>
      <c r="B541" s="86" t="s">
        <v>4876</v>
      </c>
      <c r="C541" s="86" t="s">
        <v>6692</v>
      </c>
      <c r="D541" s="86"/>
      <c r="E541" s="86" t="str">
        <f t="shared" si="8"/>
        <v>H:\My Drive\DIV_SDM\BAG. PERSONALIA\01 Data Karyawan\Foto\CV\Yeni Rubiantoro.JPG</v>
      </c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spans="1:26" ht="10.5" customHeight="1" x14ac:dyDescent="0.3">
      <c r="A542" s="86"/>
      <c r="B542" s="86" t="s">
        <v>3183</v>
      </c>
      <c r="C542" s="86" t="s">
        <v>6693</v>
      </c>
      <c r="D542" s="86"/>
      <c r="E542" s="86" t="str">
        <f t="shared" si="8"/>
        <v>H:\My Drive\DIV_SDM\BAG. PERSONALIA\01 Data Karyawan\Foto\CV\Yoga Adi Pratama.jpg</v>
      </c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spans="1:26" ht="10.5" customHeight="1" x14ac:dyDescent="0.3">
      <c r="A543" s="86"/>
      <c r="B543" s="86" t="s">
        <v>1488</v>
      </c>
      <c r="C543" s="86" t="s">
        <v>6694</v>
      </c>
      <c r="D543" s="86"/>
      <c r="E543" s="86" t="str">
        <f t="shared" si="8"/>
        <v>H:\My Drive\DIV_SDM\BAG. PERSONALIA\01 Data Karyawan\Foto\CV\Yoga Bima Aji Wardana (642001034).jpg</v>
      </c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spans="1:26" ht="10.5" customHeight="1" x14ac:dyDescent="0.3">
      <c r="A544" s="86"/>
      <c r="B544" s="86" t="s">
        <v>3412</v>
      </c>
      <c r="C544" s="86" t="s">
        <v>6695</v>
      </c>
      <c r="D544" s="86"/>
      <c r="E544" s="86" t="str">
        <f t="shared" si="8"/>
        <v>H:\My Drive\DIV_SDM\BAG. PERSONALIA\01 Data Karyawan\Foto\CV\Yoga Indra Irawan.jpg</v>
      </c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spans="1:26" ht="10.5" customHeight="1" x14ac:dyDescent="0.3">
      <c r="A545" s="86"/>
      <c r="B545" s="86" t="s">
        <v>3570</v>
      </c>
      <c r="C545" s="86" t="s">
        <v>6696</v>
      </c>
      <c r="D545" s="86"/>
      <c r="E545" s="86" t="str">
        <f t="shared" si="8"/>
        <v>H:\My Drive\DIV_SDM\BAG. PERSONALIA\01 Data Karyawan\Foto\CV\Yoga Wicaksana.jpg</v>
      </c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spans="1:26" ht="10.5" customHeight="1" x14ac:dyDescent="0.3">
      <c r="A546" s="86"/>
      <c r="B546" s="86" t="s">
        <v>3510</v>
      </c>
      <c r="C546" s="86" t="s">
        <v>6697</v>
      </c>
      <c r="D546" s="86"/>
      <c r="E546" s="86" t="str">
        <f t="shared" si="8"/>
        <v>H:\My Drive\DIV_SDM\BAG. PERSONALIA\01 Data Karyawan\Foto\CV\Yolandha Erhasya.jpg</v>
      </c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spans="1:26" ht="10.5" customHeight="1" x14ac:dyDescent="0.3">
      <c r="A547" s="86"/>
      <c r="B547" s="86" t="s">
        <v>2933</v>
      </c>
      <c r="C547" s="86" t="s">
        <v>6698</v>
      </c>
      <c r="D547" s="86"/>
      <c r="E547" s="86" t="str">
        <f t="shared" si="8"/>
        <v>H:\My Drive\DIV_SDM\BAG. PERSONALIA\01 Data Karyawan\Foto\CV\Yonny Widiantoro.jpeg</v>
      </c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spans="1:26" ht="10.5" customHeight="1" x14ac:dyDescent="0.3">
      <c r="A548" s="86"/>
      <c r="B548" s="86" t="s">
        <v>2522</v>
      </c>
      <c r="C548" s="86" t="s">
        <v>6699</v>
      </c>
      <c r="D548" s="86"/>
      <c r="E548" s="86" t="str">
        <f t="shared" si="8"/>
        <v>H:\My Drive\DIV_SDM\BAG. PERSONALIA\01 Data Karyawan\Foto\CV\Yovi_Mahaputra-removebg-preview.png</v>
      </c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spans="1:26" ht="10.5" customHeight="1" x14ac:dyDescent="0.3">
      <c r="A549" s="86"/>
      <c r="B549" s="86" t="s">
        <v>4033</v>
      </c>
      <c r="C549" s="86" t="s">
        <v>6700</v>
      </c>
      <c r="D549" s="86"/>
      <c r="E549" s="86" t="str">
        <f t="shared" si="8"/>
        <v>H:\My Drive\DIV_SDM\BAG. PERSONALIA\01 Data Karyawan\Foto\CV\Yuda_Hendra_Prastowo-removebg-preview.png</v>
      </c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spans="1:26" ht="10.5" customHeight="1" x14ac:dyDescent="0.3">
      <c r="A550" s="86"/>
      <c r="B550" s="86" t="s">
        <v>1466</v>
      </c>
      <c r="C550" s="86" t="s">
        <v>6701</v>
      </c>
      <c r="D550" s="86"/>
      <c r="E550" s="86" t="str">
        <f t="shared" si="8"/>
        <v>H:\My Drive\DIV_SDM\BAG. PERSONALIA\01 Data Karyawan\Foto\CV\Yudi Hantoro (642001031).jpg</v>
      </c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spans="1:26" ht="10.5" customHeight="1" x14ac:dyDescent="0.3">
      <c r="A551" s="86"/>
      <c r="B551" s="86" t="s">
        <v>5343</v>
      </c>
      <c r="C551" s="86" t="s">
        <v>6702</v>
      </c>
      <c r="D551" s="86"/>
      <c r="E551" s="86" t="str">
        <f t="shared" si="8"/>
        <v>H:\My Drive\DIV_SDM\BAG. PERSONALIA\01 Data Karyawan\Foto\CV\Yuli Setiono (2).JPG</v>
      </c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spans="1:26" ht="10.5" customHeight="1" x14ac:dyDescent="0.3">
      <c r="A552" s="86"/>
      <c r="B552" s="86" t="s">
        <v>2660</v>
      </c>
      <c r="C552" s="86" t="s">
        <v>6703</v>
      </c>
      <c r="D552" s="86"/>
      <c r="E552" s="86" t="str">
        <f t="shared" si="8"/>
        <v>H:\My Drive\DIV_SDM\BAG. PERSONALIA\01 Data Karyawan\Foto\CV\Yulia_Whirdawati-removebg-preview.png</v>
      </c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spans="1:26" ht="10.5" customHeight="1" x14ac:dyDescent="0.3">
      <c r="A553" s="86"/>
      <c r="B553" s="86" t="s">
        <v>1651</v>
      </c>
      <c r="C553" s="86" t="s">
        <v>6704</v>
      </c>
      <c r="D553" s="86"/>
      <c r="E553" s="86" t="str">
        <f t="shared" si="8"/>
        <v>H:\My Drive\DIV_SDM\BAG. PERSONALIA\01 Data Karyawan\Foto\CV\Yuliantoro-removebg-preview.png</v>
      </c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spans="1:26" ht="10.5" customHeight="1" x14ac:dyDescent="0.3">
      <c r="A554" s="86"/>
      <c r="B554" s="86" t="s">
        <v>370</v>
      </c>
      <c r="C554" s="86" t="s">
        <v>6991</v>
      </c>
      <c r="D554" s="86"/>
      <c r="E554" s="86" t="str">
        <f t="shared" si="8"/>
        <v>H:\My Drive\DIV_SDM\BAG. PERSONALIA\01 Data Karyawan\Foto\CV\Yusuf_Abdullah-removebg-preview.png</v>
      </c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spans="1:26" ht="10.5" customHeight="1" x14ac:dyDescent="0.3">
      <c r="A555" s="86"/>
      <c r="B555" s="86" t="s">
        <v>3438</v>
      </c>
      <c r="C555" s="86" t="s">
        <v>6705</v>
      </c>
      <c r="D555" s="86"/>
      <c r="E555" s="86" t="str">
        <f t="shared" si="8"/>
        <v>H:\My Drive\DIV_SDM\BAG. PERSONALIA\01 Data Karyawan\Foto\CV\Yusuf Baktiar.jpg</v>
      </c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spans="1:26" ht="10.5" customHeight="1" x14ac:dyDescent="0.3">
      <c r="A556" s="86"/>
      <c r="B556" s="86" t="s">
        <v>2502</v>
      </c>
      <c r="C556" s="86" t="s">
        <v>6706</v>
      </c>
      <c r="D556" s="86"/>
      <c r="E556" s="86" t="str">
        <f t="shared" si="8"/>
        <v>H:\My Drive\DIV_SDM\BAG. PERSONALIA\01 Data Karyawan\Foto\CV\Yusup Zakaria (641907250).jpg</v>
      </c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spans="1:26" ht="10.5" customHeight="1" x14ac:dyDescent="0.3">
      <c r="A557" s="86"/>
      <c r="B557" s="86" t="s">
        <v>3519</v>
      </c>
      <c r="C557" s="86" t="s">
        <v>6707</v>
      </c>
      <c r="D557" s="86"/>
      <c r="E557" s="86" t="str">
        <f t="shared" si="8"/>
        <v>H:\My Drive\DIV_SDM\BAG. PERSONALIA\01 Data Karyawan\Foto\CV\Zaim Habib.png</v>
      </c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spans="1:26" ht="10.5" customHeight="1" x14ac:dyDescent="0.3">
      <c r="A558" s="86"/>
      <c r="B558" s="86" t="s">
        <v>4039</v>
      </c>
      <c r="C558" s="86" t="s">
        <v>6708</v>
      </c>
      <c r="D558" s="86"/>
      <c r="E558" s="86" t="str">
        <f t="shared" si="8"/>
        <v>H:\My Drive\DIV_SDM\BAG. PERSONALIA\01 Data Karyawan\Foto\CV\Zhaler_Bagya_Putra-removebg-preview.png</v>
      </c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spans="1:26" ht="10.5" customHeight="1" x14ac:dyDescent="0.3">
      <c r="A559" s="86"/>
      <c r="B559" s="86" t="s">
        <v>3824</v>
      </c>
      <c r="C559" s="86" t="s">
        <v>6709</v>
      </c>
      <c r="D559" s="86"/>
      <c r="E559" s="86" t="str">
        <f t="shared" si="8"/>
        <v>H:\My Drive\DIV_SDM\BAG. PERSONALIA\01 Data Karyawan\Foto\CV\Zhilal_Ratu_Aqilah-removebg-preview.png</v>
      </c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spans="1:26" ht="10.5" customHeight="1" x14ac:dyDescent="0.3">
      <c r="A560" s="86"/>
      <c r="B560" s="86" t="s">
        <v>2512</v>
      </c>
      <c r="C560" s="86" t="s">
        <v>6547</v>
      </c>
      <c r="D560" s="86"/>
      <c r="E560" s="86" t="str">
        <f t="shared" si="8"/>
        <v>H:\My Drive\DIV_SDM\BAG. PERSONALIA\01 Data Karyawan\Foto\CV\Zulkarnaini (641907250).jpeg</v>
      </c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spans="1:26" ht="10.5" customHeight="1" x14ac:dyDescent="0.3">
      <c r="A561" s="86"/>
      <c r="B561" s="86" t="s">
        <v>7000</v>
      </c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spans="1:26" ht="10.5" customHeight="1" x14ac:dyDescent="0.3">
      <c r="A562" s="86"/>
      <c r="B562" s="86" t="s">
        <v>7001</v>
      </c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spans="1:26" ht="10.5" customHeight="1" x14ac:dyDescent="0.3">
      <c r="A563" s="86"/>
      <c r="B563" s="86" t="s">
        <v>7002</v>
      </c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spans="1:26" ht="10.5" customHeight="1" x14ac:dyDescent="0.3">
      <c r="A564" s="86"/>
      <c r="B564" s="86" t="s">
        <v>7003</v>
      </c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spans="1:26" ht="10.5" customHeight="1" x14ac:dyDescent="0.3">
      <c r="A565" s="86"/>
      <c r="B565" s="86" t="s">
        <v>7007</v>
      </c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spans="1:26" ht="10.5" customHeight="1" x14ac:dyDescent="0.3">
      <c r="A566" s="86"/>
      <c r="B566" s="86" t="s">
        <v>7004</v>
      </c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spans="1:26" ht="10.5" customHeight="1" x14ac:dyDescent="0.3">
      <c r="A567" s="86"/>
      <c r="B567" s="86" t="s">
        <v>7005</v>
      </c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spans="1:26" ht="10.5" customHeight="1" x14ac:dyDescent="0.3">
      <c r="A568" s="86"/>
      <c r="B568" s="86" t="s">
        <v>7006</v>
      </c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spans="1:26" ht="10.5" customHeight="1" x14ac:dyDescent="0.3">
      <c r="A569" s="86"/>
      <c r="B569" s="86" t="s">
        <v>7008</v>
      </c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spans="1:26" ht="10.5" customHeight="1" x14ac:dyDescent="0.3">
      <c r="A570" s="86"/>
      <c r="B570" s="86" t="s">
        <v>7009</v>
      </c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spans="1:26" ht="10.5" customHeight="1" x14ac:dyDescent="0.3">
      <c r="A571" s="86"/>
      <c r="B571" s="86" t="s">
        <v>7010</v>
      </c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spans="1:26" ht="10.5" customHeight="1" x14ac:dyDescent="0.3">
      <c r="A572" s="86"/>
      <c r="B572" s="86" t="s">
        <v>7011</v>
      </c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spans="1:26" ht="10.5" customHeight="1" x14ac:dyDescent="0.3">
      <c r="A573" s="86"/>
      <c r="B573" s="86" t="s">
        <v>7012</v>
      </c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spans="1:26" ht="10.5" customHeight="1" x14ac:dyDescent="0.3">
      <c r="A574" s="86"/>
      <c r="B574" s="86" t="s">
        <v>7013</v>
      </c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spans="1:26" ht="10.5" customHeight="1" x14ac:dyDescent="0.3">
      <c r="A575" s="86"/>
      <c r="B575" s="86" t="s">
        <v>7014</v>
      </c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spans="1:26" ht="10.5" customHeight="1" x14ac:dyDescent="0.3">
      <c r="A576" s="86"/>
      <c r="B576" s="86" t="s">
        <v>7015</v>
      </c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spans="1:26" ht="10.5" customHeight="1" x14ac:dyDescent="0.3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spans="1:26" ht="10.5" customHeight="1" x14ac:dyDescent="0.3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spans="1:26" ht="10.5" customHeight="1" x14ac:dyDescent="0.3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spans="1:26" ht="10.5" customHeight="1" x14ac:dyDescent="0.3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spans="1:26" ht="10.5" customHeight="1" x14ac:dyDescent="0.3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spans="1:26" ht="10.5" customHeight="1" x14ac:dyDescent="0.3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spans="1:26" ht="10.5" customHeight="1" x14ac:dyDescent="0.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spans="1:26" ht="10.5" customHeight="1" x14ac:dyDescent="0.3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spans="1:26" ht="10.5" customHeight="1" x14ac:dyDescent="0.3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spans="1:26" ht="10.5" customHeight="1" x14ac:dyDescent="0.3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spans="1:26" ht="10.5" customHeight="1" x14ac:dyDescent="0.3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spans="1:26" ht="10.5" customHeight="1" x14ac:dyDescent="0.3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spans="1:26" ht="10.5" customHeight="1" x14ac:dyDescent="0.3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spans="1:26" ht="10.5" customHeight="1" x14ac:dyDescent="0.3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spans="1:26" ht="10.5" customHeight="1" x14ac:dyDescent="0.3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spans="1:26" ht="10.5" customHeight="1" x14ac:dyDescent="0.3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spans="1:26" ht="10.5" customHeight="1" x14ac:dyDescent="0.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spans="1:26" ht="10.5" customHeight="1" x14ac:dyDescent="0.3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spans="1:26" ht="10.5" customHeight="1" x14ac:dyDescent="0.3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spans="1:26" ht="10.5" customHeight="1" x14ac:dyDescent="0.3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spans="1:26" ht="10.5" customHeight="1" x14ac:dyDescent="0.3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spans="1:26" ht="10.5" customHeight="1" x14ac:dyDescent="0.3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spans="1:26" ht="10.5" customHeight="1" x14ac:dyDescent="0.3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spans="1:26" ht="10.5" customHeight="1" x14ac:dyDescent="0.3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spans="1:26" ht="10.5" customHeight="1" x14ac:dyDescent="0.3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spans="1:26" ht="10.5" customHeight="1" x14ac:dyDescent="0.3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spans="1:26" ht="10.5" customHeight="1" x14ac:dyDescent="0.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spans="1:26" ht="10.5" customHeight="1" x14ac:dyDescent="0.3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spans="1:26" ht="10.5" customHeight="1" x14ac:dyDescent="0.3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spans="1:26" ht="10.5" customHeight="1" x14ac:dyDescent="0.3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spans="1:26" ht="10.5" customHeight="1" x14ac:dyDescent="0.3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spans="1:26" ht="10.5" customHeight="1" x14ac:dyDescent="0.3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spans="1:26" ht="10.5" customHeight="1" x14ac:dyDescent="0.3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spans="1:26" ht="10.5" customHeight="1" x14ac:dyDescent="0.3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spans="1:26" ht="10.5" customHeight="1" x14ac:dyDescent="0.3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spans="1:26" ht="10.5" customHeight="1" x14ac:dyDescent="0.3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spans="1:26" ht="10.5" customHeight="1" x14ac:dyDescent="0.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spans="1:26" ht="10.5" customHeight="1" x14ac:dyDescent="0.3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spans="1:26" ht="10.5" customHeight="1" x14ac:dyDescent="0.3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spans="1:26" ht="10.5" customHeight="1" x14ac:dyDescent="0.3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spans="1:26" ht="10.5" customHeight="1" x14ac:dyDescent="0.3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spans="1:26" ht="10.5" customHeight="1" x14ac:dyDescent="0.3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spans="1:26" ht="10.5" customHeight="1" x14ac:dyDescent="0.3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spans="1:26" ht="10.5" customHeight="1" x14ac:dyDescent="0.3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spans="1:26" ht="10.5" customHeight="1" x14ac:dyDescent="0.3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spans="1:26" ht="10.5" customHeight="1" x14ac:dyDescent="0.3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spans="1:26" ht="10.5" customHeight="1" x14ac:dyDescent="0.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spans="1:26" ht="10.5" customHeight="1" x14ac:dyDescent="0.3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spans="1:26" ht="10.5" customHeight="1" x14ac:dyDescent="0.3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spans="1:26" ht="10.5" customHeight="1" x14ac:dyDescent="0.3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spans="1:26" ht="10.5" customHeight="1" x14ac:dyDescent="0.3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spans="1:26" ht="10.5" customHeight="1" x14ac:dyDescent="0.3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spans="1:26" ht="10.5" customHeight="1" x14ac:dyDescent="0.3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spans="1:26" ht="10.5" customHeight="1" x14ac:dyDescent="0.3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spans="1:26" ht="10.5" customHeight="1" x14ac:dyDescent="0.3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spans="1:26" ht="10.5" customHeight="1" x14ac:dyDescent="0.3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spans="1:26" ht="10.5" customHeight="1" x14ac:dyDescent="0.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spans="1:26" ht="10.5" customHeight="1" x14ac:dyDescent="0.3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spans="1:26" ht="10.5" customHeight="1" x14ac:dyDescent="0.3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spans="1:26" ht="10.5" customHeight="1" x14ac:dyDescent="0.3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spans="1:26" ht="10.5" customHeight="1" x14ac:dyDescent="0.3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spans="1:26" ht="10.5" customHeight="1" x14ac:dyDescent="0.3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spans="1:26" ht="10.5" customHeight="1" x14ac:dyDescent="0.3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spans="1:26" ht="10.5" customHeight="1" x14ac:dyDescent="0.3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spans="1:26" ht="10.5" customHeight="1" x14ac:dyDescent="0.3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spans="1:26" ht="10.5" customHeight="1" x14ac:dyDescent="0.3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spans="1:26" ht="10.5" customHeight="1" x14ac:dyDescent="0.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spans="1:26" ht="10.5" customHeight="1" x14ac:dyDescent="0.3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spans="1:26" ht="10.5" customHeight="1" x14ac:dyDescent="0.3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spans="1:26" ht="10.5" customHeight="1" x14ac:dyDescent="0.3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spans="1:26" ht="10.5" customHeight="1" x14ac:dyDescent="0.3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spans="1:26" ht="10.5" customHeight="1" x14ac:dyDescent="0.3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spans="1:26" ht="10.5" customHeight="1" x14ac:dyDescent="0.3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spans="1:26" ht="10.5" customHeight="1" x14ac:dyDescent="0.3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spans="1:26" ht="10.5" customHeight="1" x14ac:dyDescent="0.3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spans="1:26" ht="10.5" customHeight="1" x14ac:dyDescent="0.3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spans="1:26" ht="10.5" customHeight="1" x14ac:dyDescent="0.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spans="1:26" ht="10.5" customHeight="1" x14ac:dyDescent="0.3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spans="1:26" ht="10.5" customHeight="1" x14ac:dyDescent="0.3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spans="1:26" ht="10.5" customHeight="1" x14ac:dyDescent="0.3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spans="1:26" ht="10.5" customHeight="1" x14ac:dyDescent="0.3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spans="1:26" ht="10.5" customHeight="1" x14ac:dyDescent="0.3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spans="1:26" ht="10.5" customHeight="1" x14ac:dyDescent="0.3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spans="1:26" ht="10.5" customHeight="1" x14ac:dyDescent="0.3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spans="1:26" ht="10.5" customHeight="1" x14ac:dyDescent="0.3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spans="1:26" ht="10.5" customHeight="1" x14ac:dyDescent="0.3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spans="1:26" ht="10.5" customHeight="1" x14ac:dyDescent="0.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spans="1:26" ht="10.5" customHeight="1" x14ac:dyDescent="0.3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spans="1:26" ht="10.5" customHeight="1" x14ac:dyDescent="0.3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spans="1:26" ht="10.5" customHeight="1" x14ac:dyDescent="0.3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spans="1:26" ht="10.5" customHeight="1" x14ac:dyDescent="0.3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spans="1:26" ht="10.5" customHeight="1" x14ac:dyDescent="0.3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spans="1:26" ht="10.5" customHeight="1" x14ac:dyDescent="0.3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spans="1:26" ht="10.5" customHeight="1" x14ac:dyDescent="0.3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spans="1:26" ht="10.5" customHeight="1" x14ac:dyDescent="0.3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spans="1:26" ht="10.5" customHeight="1" x14ac:dyDescent="0.3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spans="1:26" ht="10.5" customHeight="1" x14ac:dyDescent="0.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spans="1:26" ht="10.5" customHeight="1" x14ac:dyDescent="0.3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spans="1:26" ht="10.5" customHeight="1" x14ac:dyDescent="0.3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spans="1:26" ht="10.5" customHeight="1" x14ac:dyDescent="0.3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spans="1:26" ht="10.5" customHeight="1" x14ac:dyDescent="0.3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spans="1:26" ht="10.5" customHeight="1" x14ac:dyDescent="0.3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spans="1:26" ht="10.5" customHeight="1" x14ac:dyDescent="0.3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spans="1:26" ht="10.5" customHeight="1" x14ac:dyDescent="0.3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spans="1:26" ht="10.5" customHeight="1" x14ac:dyDescent="0.3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spans="1:26" ht="10.5" customHeight="1" x14ac:dyDescent="0.3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spans="1:26" ht="10.5" customHeight="1" x14ac:dyDescent="0.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spans="1:26" ht="10.5" customHeight="1" x14ac:dyDescent="0.3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spans="1:26" ht="10.5" customHeight="1" x14ac:dyDescent="0.3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spans="1:26" ht="10.5" customHeight="1" x14ac:dyDescent="0.3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spans="1:26" ht="10.5" customHeight="1" x14ac:dyDescent="0.3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spans="1:26" ht="10.5" customHeight="1" x14ac:dyDescent="0.3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spans="1:26" ht="10.5" customHeight="1" x14ac:dyDescent="0.3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spans="1:26" ht="10.5" customHeight="1" x14ac:dyDescent="0.3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spans="1:26" ht="10.5" customHeight="1" x14ac:dyDescent="0.3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spans="1:26" ht="10.5" customHeight="1" x14ac:dyDescent="0.3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spans="1:26" ht="10.5" customHeight="1" x14ac:dyDescent="0.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spans="1:26" ht="10.5" customHeight="1" x14ac:dyDescent="0.3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spans="1:26" ht="10.5" customHeight="1" x14ac:dyDescent="0.3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spans="1:26" ht="10.5" customHeight="1" x14ac:dyDescent="0.3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spans="1:26" ht="10.5" customHeight="1" x14ac:dyDescent="0.3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spans="1:26" ht="10.5" customHeight="1" x14ac:dyDescent="0.3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spans="1:26" ht="10.5" customHeight="1" x14ac:dyDescent="0.3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spans="1:26" ht="10.5" customHeight="1" x14ac:dyDescent="0.3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spans="1:26" ht="10.5" customHeight="1" x14ac:dyDescent="0.3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spans="1:26" ht="10.5" customHeight="1" x14ac:dyDescent="0.3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spans="1:26" ht="10.5" customHeight="1" x14ac:dyDescent="0.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spans="1:26" ht="10.5" customHeight="1" x14ac:dyDescent="0.3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spans="1:26" ht="10.5" customHeight="1" x14ac:dyDescent="0.3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spans="1:26" ht="10.5" customHeight="1" x14ac:dyDescent="0.3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spans="1:26" ht="10.5" customHeight="1" x14ac:dyDescent="0.3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spans="1:26" ht="10.5" customHeight="1" x14ac:dyDescent="0.3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spans="1:26" ht="10.5" customHeight="1" x14ac:dyDescent="0.3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spans="1:26" ht="10.5" customHeight="1" x14ac:dyDescent="0.3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spans="1:26" ht="10.5" customHeight="1" x14ac:dyDescent="0.3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spans="1:26" ht="10.5" customHeight="1" x14ac:dyDescent="0.3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spans="1:26" ht="10.5" customHeight="1" x14ac:dyDescent="0.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spans="1:26" ht="15.75" customHeight="1" x14ac:dyDescent="0.3"/>
    <row r="715" spans="1:26" ht="15.75" customHeight="1" x14ac:dyDescent="0.3"/>
    <row r="716" spans="1:26" ht="15.75" customHeight="1" x14ac:dyDescent="0.3"/>
    <row r="717" spans="1:26" ht="15.75" customHeight="1" x14ac:dyDescent="0.3"/>
    <row r="718" spans="1:26" ht="15.75" customHeight="1" x14ac:dyDescent="0.3"/>
    <row r="719" spans="1:26" ht="15.75" customHeight="1" x14ac:dyDescent="0.3"/>
    <row r="720" spans="1:26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2:E512" xr:uid="{F0D120D3-0B79-40A1-B1D9-681BD7F6FE45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2F21-7E07-46E0-83FF-D24964114966}">
  <sheetPr codeName="Sheet6">
    <pageSetUpPr fitToPage="1"/>
  </sheetPr>
  <dimension ref="A1:Z1007"/>
  <sheetViews>
    <sheetView showGridLines="0" zoomScale="74" zoomScaleNormal="74" workbookViewId="0">
      <selection activeCell="E9" sqref="E9"/>
    </sheetView>
  </sheetViews>
  <sheetFormatPr defaultColWidth="14.44140625" defaultRowHeight="15" customHeight="1" x14ac:dyDescent="0.3"/>
  <cols>
    <col min="1" max="1" width="8.77734375" customWidth="1"/>
    <col min="2" max="2" width="7.77734375" customWidth="1"/>
    <col min="3" max="3" width="37.21875" customWidth="1"/>
    <col min="4" max="4" width="3.21875" customWidth="1"/>
    <col min="5" max="5" width="40.5546875" customWidth="1"/>
    <col min="6" max="6" width="17.77734375" customWidth="1"/>
    <col min="7" max="7" width="18.44140625" customWidth="1"/>
    <col min="8" max="26" width="8.77734375" customWidth="1"/>
  </cols>
  <sheetData>
    <row r="1" spans="1:26" ht="14.25" customHeight="1" x14ac:dyDescent="0.3">
      <c r="A1" s="94"/>
      <c r="B1" s="94"/>
      <c r="C1" s="94"/>
      <c r="D1" s="95"/>
      <c r="E1" s="2"/>
      <c r="F1" s="94"/>
      <c r="G1" s="96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spans="1:26" ht="14.25" customHeight="1" x14ac:dyDescent="0.3">
      <c r="A2" s="94"/>
      <c r="B2" s="94"/>
      <c r="C2" s="94"/>
      <c r="D2" s="95"/>
      <c r="E2" s="2"/>
      <c r="F2" s="94"/>
      <c r="G2" s="96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4.25" customHeight="1" x14ac:dyDescent="0.3">
      <c r="A3" s="94"/>
      <c r="B3" s="94"/>
      <c r="C3" s="94"/>
      <c r="D3" s="95"/>
      <c r="E3" s="2"/>
      <c r="F3" s="94"/>
      <c r="G3" s="96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24.75" customHeight="1" x14ac:dyDescent="0.3">
      <c r="A4" s="94"/>
      <c r="B4" s="94"/>
      <c r="C4" s="345" t="s">
        <v>6711</v>
      </c>
      <c r="D4" s="346"/>
      <c r="E4" s="346"/>
      <c r="F4" s="346"/>
      <c r="G4" s="346"/>
      <c r="H4" s="346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25" customHeight="1" x14ac:dyDescent="0.3">
      <c r="A5" s="94"/>
      <c r="B5" s="94"/>
      <c r="C5" s="94"/>
      <c r="D5" s="95"/>
      <c r="E5" s="2"/>
      <c r="F5" s="94"/>
      <c r="G5" s="96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4.25" customHeight="1" x14ac:dyDescent="0.3">
      <c r="A6" s="94"/>
      <c r="B6" s="94"/>
      <c r="C6" s="94"/>
      <c r="D6" s="95"/>
      <c r="E6" s="2"/>
      <c r="F6" s="94"/>
      <c r="G6" s="96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4.25" customHeight="1" x14ac:dyDescent="0.3">
      <c r="A7" s="94"/>
      <c r="B7" s="94"/>
      <c r="C7" s="94"/>
      <c r="D7" s="95"/>
      <c r="E7" s="2"/>
      <c r="F7" s="94"/>
      <c r="G7" s="96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14.25" customHeight="1" x14ac:dyDescent="0.3">
      <c r="A8" s="94"/>
      <c r="B8" s="94"/>
      <c r="C8" s="97" t="s">
        <v>6712</v>
      </c>
      <c r="D8" s="95"/>
      <c r="E8" s="2"/>
      <c r="F8" s="94"/>
      <c r="G8" s="96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spans="1:26" ht="14.25" customHeight="1" x14ac:dyDescent="0.3">
      <c r="A9" s="94"/>
      <c r="B9" s="94"/>
      <c r="C9" s="94" t="s">
        <v>60</v>
      </c>
      <c r="D9" s="95" t="s">
        <v>6713</v>
      </c>
      <c r="E9" s="2" t="s">
        <v>2212</v>
      </c>
      <c r="F9" s="94"/>
      <c r="G9" s="96"/>
      <c r="H9" s="94"/>
      <c r="I9" s="94"/>
      <c r="J9" s="94"/>
      <c r="K9" s="94" t="str">
        <f>VLOOKUP($E$9,DataFoto!B3:E600,4,0)</f>
        <v>H:\My Drive\DIV_SDM\BAG. PERSONALIA\01 Data Karyawan\Foto\CV\Yanti_Safitri-removebg-preview.png</v>
      </c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spans="1:26" ht="14.25" customHeight="1" x14ac:dyDescent="0.3">
      <c r="A10" s="94"/>
      <c r="B10" s="94"/>
      <c r="C10" s="94" t="s">
        <v>5894</v>
      </c>
      <c r="D10" s="95" t="s">
        <v>6713</v>
      </c>
      <c r="E10" s="2">
        <f>_xlfn.IFNA(VLOOKUP($E$9,Database!$D$5:$BF$382,2,0),VLOOKUP($E$9,logut!$C$4:$BA$499,2,0))</f>
        <v>972000050</v>
      </c>
      <c r="F10" s="94"/>
      <c r="G10" s="96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spans="1:26" ht="14.25" customHeight="1" x14ac:dyDescent="0.3">
      <c r="A11" s="94"/>
      <c r="B11" s="94"/>
      <c r="C11" s="94" t="s">
        <v>226</v>
      </c>
      <c r="D11" s="95" t="s">
        <v>6713</v>
      </c>
      <c r="E11" s="281">
        <f>_xlfn.IFNA(VLOOKUP($E$9,Database!$D$5:$BF$382,7,0),VLOOKUP($E$9,logut!$C$4:$BA$499,7,0))</f>
        <v>43468</v>
      </c>
      <c r="F11" s="94"/>
      <c r="G11" s="96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ht="14.25" customHeight="1" x14ac:dyDescent="0.3">
      <c r="A12" s="94"/>
      <c r="B12" s="94"/>
      <c r="C12" s="94" t="s">
        <v>227</v>
      </c>
      <c r="D12" s="95" t="s">
        <v>6713</v>
      </c>
      <c r="E12" s="98" t="str">
        <f ca="1">DATEDIF(E11,TODAY(),"Y")&amp;" Tahun"</f>
        <v>6 Tahun</v>
      </c>
      <c r="F12" s="94"/>
      <c r="G12" s="96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4.25" customHeight="1" x14ac:dyDescent="0.3">
      <c r="A13" s="94"/>
      <c r="B13" s="94"/>
      <c r="C13" s="94" t="s">
        <v>228</v>
      </c>
      <c r="D13" s="95" t="s">
        <v>6713</v>
      </c>
      <c r="E13" s="2" t="str">
        <f ca="1">DATEDIF(E11,TODAY(),"Ym")&amp;" Bulan"</f>
        <v>8 Bulan</v>
      </c>
      <c r="F13" s="94"/>
      <c r="G13" s="96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ht="14.25" customHeight="1" x14ac:dyDescent="0.3">
      <c r="A14" s="94"/>
      <c r="B14" s="94"/>
      <c r="C14" s="94" t="s">
        <v>182</v>
      </c>
      <c r="D14" s="95" t="s">
        <v>6713</v>
      </c>
      <c r="E14" s="2" t="str">
        <f>_xlfn.IFNA(VLOOKUP($E$9,Database!$D$5:$BF$382,11,0),VLOOKUP($E$9,logut!$C$4:$BA$499,11,0))</f>
        <v>IMSS</v>
      </c>
      <c r="F14" s="94"/>
      <c r="G14" s="96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ht="14.25" customHeight="1" x14ac:dyDescent="0.3">
      <c r="A15" s="94"/>
      <c r="B15" s="94"/>
      <c r="C15" s="94" t="s">
        <v>5895</v>
      </c>
      <c r="D15" s="95" t="s">
        <v>6713</v>
      </c>
      <c r="E15" s="2" t="str">
        <f>_xlfn.IFNA(VLOOKUP($E$9,Database!$D$5:$BF$382,15,0),VLOOKUP($E$9,logut!$C$4:$BA$499,15,0))</f>
        <v>Kepala Bagian</v>
      </c>
      <c r="F15" s="94"/>
      <c r="G15" s="96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ht="14.25" customHeight="1" x14ac:dyDescent="0.3">
      <c r="A16" s="94"/>
      <c r="B16" s="94"/>
      <c r="C16" s="94" t="s">
        <v>6714</v>
      </c>
      <c r="D16" s="95" t="s">
        <v>6713</v>
      </c>
      <c r="E16" s="2" t="str">
        <f>_xlfn.IFNA(VLOOKUP($E$9,Database!$D$5:$BF$382,20,0),VLOOKUP($E$9,logut!$C$4:$BA$499,18,0))</f>
        <v>SDM</v>
      </c>
      <c r="F16" s="94"/>
      <c r="G16" s="96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ht="14.25" customHeight="1" x14ac:dyDescent="0.3">
      <c r="A17" s="94"/>
      <c r="B17" s="94"/>
      <c r="C17" s="94" t="s">
        <v>183</v>
      </c>
      <c r="D17" s="95" t="s">
        <v>6713</v>
      </c>
      <c r="E17" s="2" t="str">
        <f>_xlfn.IFNA(VLOOKUP($E$9,Database!$D$5:$BF$382,21,0),VLOOKUP($E$9,logut!$C$4:$BA$499,19,0))</f>
        <v>SDM, Manajemen Risiko dan Umum</v>
      </c>
      <c r="F17" s="94"/>
      <c r="G17" s="96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ht="14.25" customHeight="1" x14ac:dyDescent="0.3">
      <c r="A18" s="94"/>
      <c r="B18" s="94"/>
      <c r="C18" s="94" t="s">
        <v>238</v>
      </c>
      <c r="D18" s="95" t="s">
        <v>6713</v>
      </c>
      <c r="E18" s="2" t="str">
        <f>_xlfn.IFNA(VLOOKUP($E$9,Database!$D$5:$BF$382,22,0),VLOOKUP($E$9,logut!$C$4:$BA$499,21,0))</f>
        <v>Keuangan SDM dan Manajemen Risiko</v>
      </c>
      <c r="F18" s="94"/>
      <c r="G18" s="96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ht="14.25" customHeight="1" x14ac:dyDescent="0.3">
      <c r="A19" s="94"/>
      <c r="B19" s="94"/>
      <c r="C19" s="94" t="s">
        <v>212</v>
      </c>
      <c r="D19" s="95" t="s">
        <v>6713</v>
      </c>
      <c r="E19" s="2" t="str">
        <f>_xlfn.IFNA(VLOOKUP($E$9,Database!$D$5:$BF$382,25,0),VLOOKUP($E$9,logut!$C$4:$BA$499,23,0))</f>
        <v>Perempuan</v>
      </c>
      <c r="F19" s="94"/>
      <c r="G19" s="96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ht="14.25" customHeight="1" x14ac:dyDescent="0.3">
      <c r="A20" s="94"/>
      <c r="B20" s="94"/>
      <c r="C20" s="94" t="s">
        <v>241</v>
      </c>
      <c r="D20" s="95" t="s">
        <v>6713</v>
      </c>
      <c r="E20" s="2" t="str">
        <f>_xlfn.IFNA(VLOOKUP($E$9,Database!$D$5:$BF$382,26,0),VLOOKUP($E$9,logut!$C$4:$BA$499,24,0))</f>
        <v>Madiun</v>
      </c>
      <c r="F20" s="94"/>
      <c r="G20" s="96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ht="14.25" customHeight="1" x14ac:dyDescent="0.3">
      <c r="A21" s="94"/>
      <c r="B21" s="94"/>
      <c r="C21" s="94" t="s">
        <v>242</v>
      </c>
      <c r="D21" s="95" t="s">
        <v>6713</v>
      </c>
      <c r="E21" s="281">
        <f>_xlfn.IFNA(VLOOKUP($E$9,Database!$D$5:$BF$382,27,0),VLOOKUP($E$9,logut!$C$4:$BA$499,25,0))</f>
        <v>35312</v>
      </c>
      <c r="F21" s="94"/>
      <c r="G21" s="96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ht="14.25" customHeight="1" x14ac:dyDescent="0.3">
      <c r="A22" s="94"/>
      <c r="B22" s="94"/>
      <c r="C22" s="94" t="s">
        <v>243</v>
      </c>
      <c r="D22" s="95" t="s">
        <v>6713</v>
      </c>
      <c r="E22" s="2">
        <f ca="1">_xlfn.IFNA(VLOOKUP($E$9,Database!$D$5:$BF$382,28,0),VLOOKUP($E$9,logut!$C$4:$BA$499,26,0))</f>
        <v>29</v>
      </c>
      <c r="F22" s="94"/>
      <c r="G22" s="96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ht="14.25" customHeight="1" x14ac:dyDescent="0.3">
      <c r="A23" s="94"/>
      <c r="B23" s="94"/>
      <c r="C23" s="94" t="s">
        <v>244</v>
      </c>
      <c r="D23" s="95" t="s">
        <v>6713</v>
      </c>
      <c r="E23" s="2" t="str">
        <f>_xlfn.IFNA(VLOOKUP($E$9,Database!$D$5:$BF$382,29,0),VLOOKUP($E$9,logut!$C$4:$BA$499,27,0))</f>
        <v>351907460996000 1</v>
      </c>
      <c r="F23" s="94"/>
      <c r="G23" s="96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ht="14.25" customHeight="1" x14ac:dyDescent="0.3">
      <c r="A24" s="94"/>
      <c r="B24" s="94"/>
      <c r="C24" s="94" t="s">
        <v>245</v>
      </c>
      <c r="D24" s="95" t="s">
        <v>6713</v>
      </c>
      <c r="E24" s="2" t="str">
        <f>_xlfn.IFNA(VLOOKUP($E$9,Database!$D$5:$BF$382,30,0),VLOOKUP($E$9,logut!$C$4:$BA$499,28,0))</f>
        <v>Ds. Kresek RT37/RW04 Kec Wungu, Kab. Madiun</v>
      </c>
      <c r="F24" s="94"/>
      <c r="G24" s="96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ht="14.25" customHeight="1" x14ac:dyDescent="0.3">
      <c r="A25" s="94"/>
      <c r="B25" s="94"/>
      <c r="C25" s="94" t="s">
        <v>246</v>
      </c>
      <c r="D25" s="95" t="s">
        <v>6713</v>
      </c>
      <c r="E25" s="2" t="str">
        <f>_xlfn.IFNA(VLOOKUP($E$9,Database!$D$5:$BF$382,31,0),VLOOKUP($E$9,logut!$C$4:$BA$499,29,0))</f>
        <v>0813 5744 1966</v>
      </c>
      <c r="F25" s="94"/>
      <c r="G25" s="96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ht="14.25" customHeight="1" x14ac:dyDescent="0.3">
      <c r="A26" s="94"/>
      <c r="B26" s="94"/>
      <c r="C26" s="94" t="s">
        <v>249</v>
      </c>
      <c r="D26" s="95" t="s">
        <v>6713</v>
      </c>
      <c r="E26" s="2" t="str">
        <f>_xlfn.IFNA(VLOOKUP($E$9,Database!$D$5:$BF$382,34,0),VLOOKUP($E$9,logut!$C$4:$BA$499,31,0))</f>
        <v>safitri.yanti44@gmail.com</v>
      </c>
      <c r="F26" s="94"/>
      <c r="G26" s="96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ht="14.25" customHeight="1" x14ac:dyDescent="0.3">
      <c r="A27" s="94"/>
      <c r="B27" s="94"/>
      <c r="C27" s="94" t="s">
        <v>214</v>
      </c>
      <c r="D27" s="95" t="s">
        <v>6713</v>
      </c>
      <c r="E27" s="2" t="str">
        <f>_xlfn.IFNA(VLOOKUP($E$9,Database!$D$5:$BF$382,37,0),VLOOKUP($E$9,logut!$C$4:$BA$499,34,0))</f>
        <v>Menikah</v>
      </c>
      <c r="F27" s="94"/>
      <c r="G27" s="96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ht="14.25" customHeight="1" x14ac:dyDescent="0.3">
      <c r="A28" s="94"/>
      <c r="B28" s="94"/>
      <c r="C28" s="94" t="s">
        <v>264</v>
      </c>
      <c r="D28" s="95" t="s">
        <v>6713</v>
      </c>
      <c r="E28" s="2">
        <f>_xlfn.IFNA(VLOOKUP($E$9,Database!$D$5:$BF$382,50,0),VLOOKUP($E$9,logut!$C$4:$BA$499,46,0))</f>
        <v>0</v>
      </c>
      <c r="F28" s="94"/>
      <c r="G28" s="96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ht="14.25" customHeight="1" x14ac:dyDescent="0.3">
      <c r="A29" s="94"/>
      <c r="B29" s="94"/>
      <c r="C29" s="94" t="s">
        <v>265</v>
      </c>
      <c r="D29" s="95" t="s">
        <v>6713</v>
      </c>
      <c r="E29" s="2" t="str">
        <f>_xlfn.IFNA(VLOOKUP($E$9,Database!$D$5:$BF$382,51,0),VLOOKUP($E$9,logut!$C$4:$BA$499,47,0))</f>
        <v>Islam</v>
      </c>
      <c r="F29" s="94"/>
      <c r="G29" s="96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ht="14.25" customHeight="1" x14ac:dyDescent="0.3">
      <c r="A30" s="94"/>
      <c r="B30" s="94"/>
      <c r="C30" s="94" t="s">
        <v>6715</v>
      </c>
      <c r="D30" s="95" t="s">
        <v>6713</v>
      </c>
      <c r="E30" s="2" t="str">
        <f>_xlfn.IFNA(VLOOKUP($E$9,Database!$D$5:$BF$382,52,0),VLOOKUP($E$9,logut!$C$4:$BA$499,48,0))</f>
        <v>S1</v>
      </c>
      <c r="F30" s="94"/>
      <c r="G30" s="96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ht="14.25" customHeight="1" x14ac:dyDescent="0.3">
      <c r="A31" s="94"/>
      <c r="B31" s="94"/>
      <c r="C31" s="94" t="s">
        <v>63</v>
      </c>
      <c r="D31" s="95" t="s">
        <v>6713</v>
      </c>
      <c r="E31" s="2" t="str">
        <f>_xlfn.IFNA(VLOOKUP($E$9,Database!$D$5:$BF$382,53,0),VLOOKUP($E$9,logut!$C$4:$BA$499,49,0))</f>
        <v>Pendidikan Fisika</v>
      </c>
      <c r="F31" s="94"/>
      <c r="G31" s="96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ht="14.25" customHeight="1" x14ac:dyDescent="0.3">
      <c r="A32" s="94"/>
      <c r="B32" s="94"/>
      <c r="C32" s="94" t="s">
        <v>64</v>
      </c>
      <c r="D32" s="95" t="s">
        <v>6713</v>
      </c>
      <c r="E32" s="2" t="str">
        <f>_xlfn.IFNA(VLOOKUP($E$9,Database!$D$5:$BF$382,54,0),VLOOKUP($E$9,logut!$C$4:$BA$499,50,0))</f>
        <v>Universitas PGRI Madiun</v>
      </c>
      <c r="F32" s="94"/>
      <c r="G32" s="96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ht="14.25" customHeight="1" x14ac:dyDescent="0.3">
      <c r="A33" s="94"/>
      <c r="B33" s="94"/>
      <c r="C33" s="94" t="s">
        <v>266</v>
      </c>
      <c r="D33" s="95" t="s">
        <v>6713</v>
      </c>
      <c r="E33" s="2">
        <f>_xlfn.IFNA(VLOOKUP($E$9,Database!$D$5:$BF$382,55,0),VLOOKUP($E$9,logut!$C$4:$BA$499,51,0))</f>
        <v>2014</v>
      </c>
      <c r="F33" s="94"/>
      <c r="G33" s="96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ht="14.25" customHeight="1" x14ac:dyDescent="0.3">
      <c r="A34" s="94"/>
      <c r="B34" s="94"/>
      <c r="C34" s="94"/>
      <c r="D34" s="95"/>
      <c r="E34" s="2"/>
      <c r="F34" s="94"/>
      <c r="G34" s="96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4.25" customHeight="1" x14ac:dyDescent="0.3">
      <c r="A35" s="94"/>
      <c r="B35" s="94"/>
      <c r="C35" s="97" t="s">
        <v>6716</v>
      </c>
      <c r="D35" s="95"/>
      <c r="E35" s="2"/>
      <c r="F35" s="94"/>
      <c r="G35" s="96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ht="14.25" customHeight="1" x14ac:dyDescent="0.3">
      <c r="A36" s="99"/>
      <c r="B36" s="99"/>
      <c r="C36" s="99" t="s">
        <v>5895</v>
      </c>
      <c r="D36" s="100"/>
      <c r="E36" s="101" t="s">
        <v>6717</v>
      </c>
      <c r="F36" s="99" t="s">
        <v>8</v>
      </c>
      <c r="G36" s="102" t="s">
        <v>6718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spans="1:26" ht="14.25" customHeight="1" x14ac:dyDescent="0.3">
      <c r="A37" s="94" t="e">
        <f t="array" aca="1" ref="A37:G45" ca="1">_xlfn._xlws.FILTER('Data Mutasi'!$C$4:$I$9983,'Data Mutasi'!$C$4:$C$9983=CV!$E$9,0)</f>
        <v>#NAME?</v>
      </c>
      <c r="B37" s="94" t="e">
        <f ca="1"/>
        <v>#NAME?</v>
      </c>
      <c r="C37" s="94" t="e">
        <f ca="1"/>
        <v>#NAME?</v>
      </c>
      <c r="D37" s="95" t="e">
        <f ca="1"/>
        <v>#NAME?</v>
      </c>
      <c r="E37" s="2" t="e">
        <f ca="1"/>
        <v>#NAME?</v>
      </c>
      <c r="F37" s="94" t="e">
        <f ca="1"/>
        <v>#NAME?</v>
      </c>
      <c r="G37" s="96" t="e">
        <f ca="1"/>
        <v>#NAME?</v>
      </c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ht="14.25" customHeight="1" x14ac:dyDescent="0.3">
      <c r="A38" s="94" t="e">
        <f ca="1"/>
        <v>#NAME?</v>
      </c>
      <c r="B38" s="94" t="e">
        <f ca="1"/>
        <v>#NAME?</v>
      </c>
      <c r="C38" s="94" t="e">
        <f ca="1"/>
        <v>#NAME?</v>
      </c>
      <c r="D38" s="95" t="e">
        <f ca="1"/>
        <v>#NAME?</v>
      </c>
      <c r="E38" s="2" t="e">
        <f ca="1"/>
        <v>#NAME?</v>
      </c>
      <c r="F38" s="94" t="e">
        <f ca="1"/>
        <v>#NAME?</v>
      </c>
      <c r="G38" s="96" t="e">
        <f ca="1"/>
        <v>#NAME?</v>
      </c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ht="14.25" customHeight="1" x14ac:dyDescent="0.3">
      <c r="A39" s="94" t="e">
        <f ca="1"/>
        <v>#NAME?</v>
      </c>
      <c r="B39" s="94" t="e">
        <f ca="1"/>
        <v>#NAME?</v>
      </c>
      <c r="C39" s="94" t="e">
        <f ca="1"/>
        <v>#NAME?</v>
      </c>
      <c r="D39" s="95" t="e">
        <f ca="1"/>
        <v>#NAME?</v>
      </c>
      <c r="E39" s="2" t="e">
        <f ca="1"/>
        <v>#NAME?</v>
      </c>
      <c r="F39" s="94" t="e">
        <f ca="1"/>
        <v>#NAME?</v>
      </c>
      <c r="G39" s="96" t="e">
        <f ca="1"/>
        <v>#NAME?</v>
      </c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ht="14.25" customHeight="1" x14ac:dyDescent="0.3">
      <c r="A40" s="94" t="e">
        <f ca="1"/>
        <v>#NAME?</v>
      </c>
      <c r="B40" s="94" t="e">
        <f ca="1"/>
        <v>#NAME?</v>
      </c>
      <c r="C40" s="94" t="e">
        <f ca="1"/>
        <v>#NAME?</v>
      </c>
      <c r="D40" s="95" t="e">
        <f ca="1"/>
        <v>#NAME?</v>
      </c>
      <c r="E40" s="2" t="e">
        <f ca="1"/>
        <v>#NAME?</v>
      </c>
      <c r="F40" s="94" t="e">
        <f ca="1"/>
        <v>#NAME?</v>
      </c>
      <c r="G40" s="96" t="e">
        <f ca="1"/>
        <v>#NAME?</v>
      </c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ht="14.25" customHeight="1" x14ac:dyDescent="0.3">
      <c r="A41" s="94" t="e">
        <f ca="1"/>
        <v>#NAME?</v>
      </c>
      <c r="B41" s="94" t="e">
        <f ca="1"/>
        <v>#NAME?</v>
      </c>
      <c r="C41" s="94" t="e">
        <f ca="1"/>
        <v>#NAME?</v>
      </c>
      <c r="D41" s="95" t="e">
        <f ca="1"/>
        <v>#NAME?</v>
      </c>
      <c r="E41" s="2" t="e">
        <f ca="1"/>
        <v>#NAME?</v>
      </c>
      <c r="F41" s="94" t="e">
        <f ca="1"/>
        <v>#NAME?</v>
      </c>
      <c r="G41" s="96" t="e">
        <f ca="1"/>
        <v>#NAME?</v>
      </c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ht="14.25" customHeight="1" x14ac:dyDescent="0.3">
      <c r="A42" s="94" t="e">
        <f ca="1"/>
        <v>#NAME?</v>
      </c>
      <c r="B42" s="94" t="e">
        <f ca="1"/>
        <v>#NAME?</v>
      </c>
      <c r="C42" s="94" t="e">
        <f ca="1"/>
        <v>#NAME?</v>
      </c>
      <c r="D42" s="95" t="e">
        <f ca="1"/>
        <v>#NAME?</v>
      </c>
      <c r="E42" s="2" t="e">
        <f ca="1"/>
        <v>#NAME?</v>
      </c>
      <c r="F42" s="94" t="e">
        <f ca="1"/>
        <v>#NAME?</v>
      </c>
      <c r="G42" s="96" t="e">
        <f ca="1"/>
        <v>#NAME?</v>
      </c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ht="14.25" customHeight="1" x14ac:dyDescent="0.3">
      <c r="A43" s="94" t="e">
        <f ca="1"/>
        <v>#NAME?</v>
      </c>
      <c r="B43" s="94" t="e">
        <f ca="1"/>
        <v>#NAME?</v>
      </c>
      <c r="C43" s="94" t="e">
        <f ca="1"/>
        <v>#NAME?</v>
      </c>
      <c r="D43" s="95" t="e">
        <f ca="1"/>
        <v>#NAME?</v>
      </c>
      <c r="E43" s="2" t="e">
        <f ca="1"/>
        <v>#NAME?</v>
      </c>
      <c r="F43" s="94" t="e">
        <f ca="1"/>
        <v>#NAME?</v>
      </c>
      <c r="G43" s="96" t="e">
        <f ca="1"/>
        <v>#NAME?</v>
      </c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ht="14.25" customHeight="1" x14ac:dyDescent="0.3">
      <c r="A44" s="94" t="e">
        <f ca="1"/>
        <v>#NAME?</v>
      </c>
      <c r="B44" s="94" t="e">
        <f ca="1"/>
        <v>#NAME?</v>
      </c>
      <c r="C44" s="94" t="e">
        <f ca="1"/>
        <v>#NAME?</v>
      </c>
      <c r="D44" s="95" t="e">
        <f ca="1"/>
        <v>#NAME?</v>
      </c>
      <c r="E44" s="2" t="e">
        <f ca="1"/>
        <v>#NAME?</v>
      </c>
      <c r="F44" s="94" t="e">
        <f ca="1"/>
        <v>#NAME?</v>
      </c>
      <c r="G44" s="96" t="e">
        <f ca="1"/>
        <v>#NAME?</v>
      </c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ht="14.25" customHeight="1" x14ac:dyDescent="0.3">
      <c r="A45" s="94" t="e">
        <f ca="1"/>
        <v>#NAME?</v>
      </c>
      <c r="B45" s="94" t="e">
        <f ca="1"/>
        <v>#NAME?</v>
      </c>
      <c r="C45" s="94" t="e">
        <f ca="1"/>
        <v>#NAME?</v>
      </c>
      <c r="D45" s="95" t="e">
        <f ca="1"/>
        <v>#NAME?</v>
      </c>
      <c r="E45" s="2" t="e">
        <f ca="1"/>
        <v>#NAME?</v>
      </c>
      <c r="F45" s="94" t="e">
        <f ca="1"/>
        <v>#NAME?</v>
      </c>
      <c r="G45" s="96" t="e">
        <f ca="1"/>
        <v>#NAME?</v>
      </c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ht="14.25" customHeight="1" x14ac:dyDescent="0.3">
      <c r="A46" s="94"/>
      <c r="B46" s="94"/>
      <c r="C46" s="94"/>
      <c r="D46" s="95"/>
      <c r="E46" s="2"/>
      <c r="F46" s="94"/>
      <c r="G46" s="96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ht="14.25" customHeight="1" x14ac:dyDescent="0.3">
      <c r="A47" s="94"/>
      <c r="B47" s="94"/>
      <c r="C47" s="94"/>
      <c r="D47" s="95"/>
      <c r="E47" s="2"/>
      <c r="F47" s="94"/>
      <c r="G47" s="96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ht="14.25" customHeight="1" x14ac:dyDescent="0.3">
      <c r="A48" s="94"/>
      <c r="B48" s="94"/>
      <c r="C48" s="94"/>
      <c r="D48" s="95"/>
      <c r="E48" s="2"/>
      <c r="F48" s="94"/>
      <c r="G48" s="96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ht="14.25" customHeight="1" x14ac:dyDescent="0.3">
      <c r="A49" s="94"/>
      <c r="B49" s="94"/>
      <c r="C49" s="94"/>
      <c r="D49" s="95"/>
      <c r="E49" s="2"/>
      <c r="F49" s="94"/>
      <c r="G49" s="96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ht="14.25" customHeight="1" x14ac:dyDescent="0.3">
      <c r="A50" s="94"/>
      <c r="B50" s="94"/>
      <c r="C50" s="94"/>
      <c r="D50" s="95"/>
      <c r="E50" s="2"/>
      <c r="F50" s="94"/>
      <c r="G50" s="96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ht="14.25" customHeight="1" x14ac:dyDescent="0.3">
      <c r="A51" s="94"/>
      <c r="B51" s="94"/>
      <c r="C51" s="94"/>
      <c r="D51" s="95"/>
      <c r="E51" s="2"/>
      <c r="F51" s="94"/>
      <c r="G51" s="96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ht="14.25" customHeight="1" x14ac:dyDescent="0.3">
      <c r="A52" s="94"/>
      <c r="B52" s="94"/>
      <c r="C52" s="94"/>
      <c r="D52" s="95"/>
      <c r="E52" s="2"/>
      <c r="F52" s="94"/>
      <c r="G52" s="96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ht="14.25" customHeight="1" x14ac:dyDescent="0.3">
      <c r="A53" s="94"/>
      <c r="B53" s="94"/>
      <c r="C53" s="94"/>
      <c r="D53" s="95"/>
      <c r="E53" s="2"/>
      <c r="F53" s="94"/>
      <c r="G53" s="96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ht="14.25" customHeight="1" x14ac:dyDescent="0.3">
      <c r="A54" s="94"/>
      <c r="B54" s="94"/>
      <c r="C54" s="94"/>
      <c r="D54" s="95"/>
      <c r="E54" s="2"/>
      <c r="F54" s="94"/>
      <c r="G54" s="96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ht="14.25" customHeight="1" x14ac:dyDescent="0.3">
      <c r="A55" s="94"/>
      <c r="B55" s="94"/>
      <c r="C55" s="94"/>
      <c r="D55" s="95"/>
      <c r="E55" s="2"/>
      <c r="F55" s="94"/>
      <c r="G55" s="96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ht="14.25" customHeight="1" x14ac:dyDescent="0.3">
      <c r="A56" s="94"/>
      <c r="B56" s="94"/>
      <c r="C56" s="94"/>
      <c r="D56" s="95"/>
      <c r="E56" s="2"/>
      <c r="F56" s="94"/>
      <c r="G56" s="96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ht="14.25" customHeight="1" x14ac:dyDescent="0.3">
      <c r="A57" s="94"/>
      <c r="B57" s="94"/>
      <c r="C57" s="97" t="s">
        <v>6719</v>
      </c>
      <c r="D57" s="95"/>
      <c r="E57" s="2"/>
      <c r="F57" s="94"/>
      <c r="G57" s="96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ht="14.25" customHeight="1" x14ac:dyDescent="0.3">
      <c r="A58" s="94"/>
      <c r="B58" s="94"/>
      <c r="C58" s="99" t="s">
        <v>6720</v>
      </c>
      <c r="D58" s="100"/>
      <c r="E58" s="101" t="s">
        <v>6718</v>
      </c>
      <c r="F58" s="94"/>
      <c r="G58" s="96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ht="14.25" customHeight="1" x14ac:dyDescent="0.3">
      <c r="A59" s="94" t="e">
        <f t="array" aca="1" ref="A59:E60" ca="1">_xlfn._xlws.FILTER([3]Sertifikasi!$B$2:$F$500,[3]Sertifikasi!$B$2:$B$500=$E$9,0)</f>
        <v>#NAME?</v>
      </c>
      <c r="B59" s="94" t="e">
        <f ca="1"/>
        <v>#NAME?</v>
      </c>
      <c r="C59" s="103" t="e">
        <f ca="1"/>
        <v>#NAME?</v>
      </c>
      <c r="D59" s="104" t="e">
        <f ca="1"/>
        <v>#NAME?</v>
      </c>
      <c r="E59" s="105" t="e">
        <f ca="1"/>
        <v>#NAME?</v>
      </c>
      <c r="F59" s="103"/>
      <c r="G59" s="105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spans="1:26" ht="14.25" customHeight="1" x14ac:dyDescent="0.3">
      <c r="A60" s="94" t="e">
        <f ca="1"/>
        <v>#NAME?</v>
      </c>
      <c r="B60" s="94" t="e">
        <f ca="1"/>
        <v>#NAME?</v>
      </c>
      <c r="C60" s="103" t="e">
        <f ca="1"/>
        <v>#NAME?</v>
      </c>
      <c r="D60" s="104" t="e">
        <f ca="1"/>
        <v>#NAME?</v>
      </c>
      <c r="E60" s="105" t="e">
        <f ca="1"/>
        <v>#NAME?</v>
      </c>
      <c r="F60" s="103"/>
      <c r="G60" s="105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spans="1:26" ht="14.25" customHeight="1" x14ac:dyDescent="0.3">
      <c r="A61" s="94"/>
      <c r="B61" s="94"/>
      <c r="C61" s="103"/>
      <c r="D61" s="104"/>
      <c r="E61" s="105"/>
      <c r="F61" s="103"/>
      <c r="G61" s="105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ht="14.25" customHeight="1" x14ac:dyDescent="0.3">
      <c r="A62" s="94"/>
      <c r="B62" s="94"/>
      <c r="C62" s="103"/>
      <c r="D62" s="104"/>
      <c r="E62" s="105"/>
      <c r="F62" s="103"/>
      <c r="G62" s="105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spans="1:26" ht="14.25" customHeight="1" x14ac:dyDescent="0.3">
      <c r="A63" s="94"/>
      <c r="B63" s="94"/>
      <c r="C63" s="103"/>
      <c r="D63" s="104"/>
      <c r="E63" s="105"/>
      <c r="F63" s="103"/>
      <c r="G63" s="105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spans="1:26" ht="14.25" customHeight="1" x14ac:dyDescent="0.3">
      <c r="A64" s="94"/>
      <c r="B64" s="94"/>
      <c r="C64" s="103"/>
      <c r="D64" s="104"/>
      <c r="E64" s="105"/>
      <c r="F64" s="103"/>
      <c r="G64" s="105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spans="1:26" ht="14.25" customHeight="1" x14ac:dyDescent="0.3">
      <c r="A65" s="94"/>
      <c r="B65" s="94"/>
      <c r="C65" s="103"/>
      <c r="D65" s="104"/>
      <c r="E65" s="105"/>
      <c r="F65" s="103"/>
      <c r="G65" s="105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spans="1:26" ht="14.25" customHeight="1" x14ac:dyDescent="0.3">
      <c r="A66" s="94"/>
      <c r="B66" s="94"/>
      <c r="C66" s="103"/>
      <c r="D66" s="104"/>
      <c r="E66" s="105"/>
      <c r="F66" s="103"/>
      <c r="G66" s="105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ht="14.25" customHeight="1" x14ac:dyDescent="0.3">
      <c r="A67" s="94"/>
      <c r="B67" s="94"/>
      <c r="C67" s="94"/>
      <c r="D67" s="95"/>
      <c r="E67" s="96"/>
      <c r="F67" s="94"/>
      <c r="G67" s="106" t="s">
        <v>6912</v>
      </c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ht="14.25" customHeight="1" x14ac:dyDescent="0.3">
      <c r="A68" s="94"/>
      <c r="B68" s="94"/>
      <c r="C68" s="94"/>
      <c r="D68" s="95"/>
      <c r="E68" s="96"/>
      <c r="F68" s="94"/>
      <c r="G68" s="107" t="s">
        <v>6721</v>
      </c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ht="14.25" customHeight="1" x14ac:dyDescent="0.3">
      <c r="A69" s="94"/>
      <c r="B69" s="94"/>
      <c r="C69" s="94"/>
      <c r="D69" s="95"/>
      <c r="E69" s="96"/>
      <c r="F69" s="94"/>
      <c r="G69" s="107" t="s">
        <v>6722</v>
      </c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ht="14.25" customHeight="1" x14ac:dyDescent="0.3">
      <c r="A70" s="94"/>
      <c r="B70" s="94"/>
      <c r="C70" s="94"/>
      <c r="D70" s="95"/>
      <c r="E70" s="96"/>
      <c r="F70" s="94"/>
      <c r="G70" s="107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ht="14.25" customHeight="1" x14ac:dyDescent="0.3">
      <c r="A71" s="94"/>
      <c r="B71" s="94"/>
      <c r="C71" s="94"/>
      <c r="D71" s="95"/>
      <c r="E71" s="96"/>
      <c r="F71" s="94"/>
      <c r="G71" s="106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ht="14.25" customHeight="1" x14ac:dyDescent="0.3">
      <c r="A72" s="94"/>
      <c r="B72" s="94"/>
      <c r="C72" s="94"/>
      <c r="D72" s="95"/>
      <c r="E72" s="96"/>
      <c r="F72" s="94"/>
      <c r="G72" s="106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ht="14.25" customHeight="1" x14ac:dyDescent="0.3">
      <c r="A73" s="94"/>
      <c r="B73" s="94"/>
      <c r="C73" s="94"/>
      <c r="D73" s="95"/>
      <c r="E73" s="96"/>
      <c r="F73" s="94"/>
      <c r="G73" s="106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ht="14.25" customHeight="1" x14ac:dyDescent="0.3">
      <c r="A74" s="94"/>
      <c r="B74" s="94"/>
      <c r="C74" s="94"/>
      <c r="D74" s="95"/>
      <c r="E74" s="96"/>
      <c r="F74" s="94"/>
      <c r="G74" s="108" t="s">
        <v>6723</v>
      </c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ht="14.25" customHeight="1" x14ac:dyDescent="0.3">
      <c r="A75" s="94"/>
      <c r="B75" s="94"/>
      <c r="C75" s="94"/>
      <c r="D75" s="95"/>
      <c r="E75" s="96"/>
      <c r="F75" s="94"/>
      <c r="G75" s="96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4.25" customHeight="1" x14ac:dyDescent="0.3">
      <c r="A76" s="94"/>
      <c r="B76" s="94"/>
      <c r="C76" s="94"/>
      <c r="D76" s="95"/>
      <c r="E76" s="2"/>
      <c r="F76" s="94"/>
      <c r="G76" s="96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</row>
    <row r="77" spans="1:26" ht="14.25" customHeight="1" x14ac:dyDescent="0.3">
      <c r="A77" s="94"/>
      <c r="B77" s="94"/>
      <c r="C77" s="94"/>
      <c r="D77" s="95"/>
      <c r="E77" s="2"/>
      <c r="F77" s="94"/>
      <c r="G77" s="96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ht="14.25" customHeight="1" x14ac:dyDescent="0.3">
      <c r="A78" s="94"/>
      <c r="B78" s="94"/>
      <c r="C78" s="94"/>
      <c r="D78" s="95"/>
      <c r="E78" s="2"/>
      <c r="F78" s="94"/>
      <c r="G78" s="96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ht="14.25" customHeight="1" x14ac:dyDescent="0.3">
      <c r="A79" s="94"/>
      <c r="B79" s="94"/>
      <c r="C79" s="94"/>
      <c r="D79" s="95"/>
      <c r="E79" s="2"/>
      <c r="F79" s="94"/>
      <c r="G79" s="96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ht="14.25" customHeight="1" x14ac:dyDescent="0.3">
      <c r="A80" s="94"/>
      <c r="B80" s="94"/>
      <c r="C80" s="94"/>
      <c r="D80" s="95"/>
      <c r="E80" s="2"/>
      <c r="F80" s="94"/>
      <c r="G80" s="96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ht="14.25" customHeight="1" x14ac:dyDescent="0.3">
      <c r="A81" s="94"/>
      <c r="B81" s="94"/>
      <c r="C81" s="94"/>
      <c r="D81" s="95"/>
      <c r="E81" s="2"/>
      <c r="F81" s="94"/>
      <c r="G81" s="96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ht="14.25" customHeight="1" x14ac:dyDescent="0.3">
      <c r="A82" s="94"/>
      <c r="B82" s="94"/>
      <c r="C82" s="94"/>
      <c r="D82" s="95"/>
      <c r="E82" s="2"/>
      <c r="F82" s="94"/>
      <c r="G82" s="96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ht="14.25" customHeight="1" x14ac:dyDescent="0.3">
      <c r="A83" s="94"/>
      <c r="B83" s="94"/>
      <c r="C83" s="94"/>
      <c r="D83" s="95"/>
      <c r="E83" s="2"/>
      <c r="F83" s="94"/>
      <c r="G83" s="96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ht="14.25" customHeight="1" x14ac:dyDescent="0.3">
      <c r="A84" s="94"/>
      <c r="B84" s="94"/>
      <c r="C84" s="94"/>
      <c r="D84" s="95"/>
      <c r="E84" s="2"/>
      <c r="F84" s="94"/>
      <c r="G84" s="96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ht="14.25" customHeight="1" x14ac:dyDescent="0.3">
      <c r="A85" s="94"/>
      <c r="B85" s="94"/>
      <c r="C85" s="94"/>
      <c r="D85" s="95"/>
      <c r="E85" s="2"/>
      <c r="F85" s="94"/>
      <c r="G85" s="96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ht="14.25" customHeight="1" x14ac:dyDescent="0.3">
      <c r="A86" s="94"/>
      <c r="B86" s="94"/>
      <c r="C86" s="94"/>
      <c r="D86" s="95"/>
      <c r="E86" s="2"/>
      <c r="F86" s="94"/>
      <c r="G86" s="96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ht="14.25" customHeight="1" x14ac:dyDescent="0.3">
      <c r="A87" s="94"/>
      <c r="B87" s="94"/>
      <c r="C87" s="94"/>
      <c r="D87" s="95"/>
      <c r="E87" s="2"/>
      <c r="F87" s="94"/>
      <c r="G87" s="96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ht="14.25" customHeight="1" x14ac:dyDescent="0.3">
      <c r="A88" s="94"/>
      <c r="B88" s="94"/>
      <c r="C88" s="94"/>
      <c r="D88" s="95"/>
      <c r="E88" s="2"/>
      <c r="F88" s="94"/>
      <c r="G88" s="96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ht="14.25" customHeight="1" x14ac:dyDescent="0.3">
      <c r="A89" s="94"/>
      <c r="B89" s="94"/>
      <c r="C89" s="94"/>
      <c r="D89" s="95"/>
      <c r="E89" s="2"/>
      <c r="F89" s="94"/>
      <c r="G89" s="96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ht="14.25" customHeight="1" x14ac:dyDescent="0.3">
      <c r="A90" s="94"/>
      <c r="B90" s="94"/>
      <c r="C90" s="94"/>
      <c r="D90" s="95"/>
      <c r="E90" s="2"/>
      <c r="F90" s="94"/>
      <c r="G90" s="96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ht="14.25" customHeight="1" x14ac:dyDescent="0.3">
      <c r="A91" s="94"/>
      <c r="B91" s="94"/>
      <c r="C91" s="94"/>
      <c r="D91" s="95"/>
      <c r="E91" s="2"/>
      <c r="F91" s="94"/>
      <c r="G91" s="96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ht="14.25" customHeight="1" x14ac:dyDescent="0.3">
      <c r="A92" s="94"/>
      <c r="B92" s="94"/>
      <c r="C92" s="94"/>
      <c r="D92" s="95"/>
      <c r="E92" s="2"/>
      <c r="F92" s="94"/>
      <c r="G92" s="96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ht="14.25" customHeight="1" x14ac:dyDescent="0.3">
      <c r="A93" s="94"/>
      <c r="B93" s="94"/>
      <c r="C93" s="94"/>
      <c r="D93" s="95"/>
      <c r="E93" s="2"/>
      <c r="F93" s="94"/>
      <c r="G93" s="96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ht="14.25" customHeight="1" x14ac:dyDescent="0.3">
      <c r="A94" s="94"/>
      <c r="B94" s="94"/>
      <c r="C94" s="94"/>
      <c r="D94" s="95"/>
      <c r="E94" s="2"/>
      <c r="F94" s="94"/>
      <c r="G94" s="96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ht="14.25" customHeight="1" x14ac:dyDescent="0.3">
      <c r="A95" s="94"/>
      <c r="B95" s="94"/>
      <c r="C95" s="94"/>
      <c r="D95" s="95"/>
      <c r="E95" s="2"/>
      <c r="F95" s="94"/>
      <c r="G95" s="96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ht="14.25" customHeight="1" x14ac:dyDescent="0.3">
      <c r="A96" s="94"/>
      <c r="B96" s="94"/>
      <c r="C96" s="94"/>
      <c r="D96" s="95"/>
      <c r="E96" s="2"/>
      <c r="F96" s="94"/>
      <c r="G96" s="96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ht="14.25" customHeight="1" x14ac:dyDescent="0.3">
      <c r="A97" s="94"/>
      <c r="B97" s="94"/>
      <c r="C97" s="94"/>
      <c r="D97" s="95"/>
      <c r="E97" s="2"/>
      <c r="F97" s="94"/>
      <c r="G97" s="96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ht="14.25" customHeight="1" x14ac:dyDescent="0.3">
      <c r="A98" s="94"/>
      <c r="B98" s="94"/>
      <c r="C98" s="94"/>
      <c r="D98" s="95"/>
      <c r="E98" s="2"/>
      <c r="F98" s="94"/>
      <c r="G98" s="96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ht="14.25" customHeight="1" x14ac:dyDescent="0.3">
      <c r="A99" s="94"/>
      <c r="B99" s="94"/>
      <c r="C99" s="94"/>
      <c r="D99" s="95"/>
      <c r="E99" s="2"/>
      <c r="F99" s="94"/>
      <c r="G99" s="96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ht="14.25" customHeight="1" x14ac:dyDescent="0.3">
      <c r="A100" s="94"/>
      <c r="B100" s="94"/>
      <c r="C100" s="94"/>
      <c r="D100" s="95"/>
      <c r="E100" s="2"/>
      <c r="F100" s="94"/>
      <c r="G100" s="96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ht="14.25" customHeight="1" x14ac:dyDescent="0.3">
      <c r="A101" s="94"/>
      <c r="B101" s="94"/>
      <c r="C101" s="94"/>
      <c r="D101" s="95"/>
      <c r="E101" s="2"/>
      <c r="F101" s="94"/>
      <c r="G101" s="96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ht="14.25" customHeight="1" x14ac:dyDescent="0.3">
      <c r="A102" s="94"/>
      <c r="B102" s="94"/>
      <c r="C102" s="94"/>
      <c r="D102" s="95"/>
      <c r="E102" s="2"/>
      <c r="F102" s="94"/>
      <c r="G102" s="96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ht="14.25" customHeight="1" x14ac:dyDescent="0.3">
      <c r="A103" s="94"/>
      <c r="B103" s="94"/>
      <c r="C103" s="94"/>
      <c r="D103" s="95"/>
      <c r="E103" s="2"/>
      <c r="F103" s="94"/>
      <c r="G103" s="96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ht="14.25" customHeight="1" x14ac:dyDescent="0.3">
      <c r="A104" s="94"/>
      <c r="B104" s="94"/>
      <c r="C104" s="94"/>
      <c r="D104" s="95"/>
      <c r="E104" s="2"/>
      <c r="F104" s="94"/>
      <c r="G104" s="96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ht="14.25" customHeight="1" x14ac:dyDescent="0.3">
      <c r="A105" s="94"/>
      <c r="B105" s="94"/>
      <c r="C105" s="94"/>
      <c r="D105" s="95"/>
      <c r="E105" s="2"/>
      <c r="F105" s="94"/>
      <c r="G105" s="96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ht="14.25" customHeight="1" x14ac:dyDescent="0.3">
      <c r="A106" s="94"/>
      <c r="B106" s="94"/>
      <c r="C106" s="94"/>
      <c r="D106" s="95"/>
      <c r="E106" s="2"/>
      <c r="F106" s="94"/>
      <c r="G106" s="96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ht="14.25" customHeight="1" x14ac:dyDescent="0.3">
      <c r="A107" s="94"/>
      <c r="B107" s="94"/>
      <c r="C107" s="94"/>
      <c r="D107" s="95"/>
      <c r="E107" s="2"/>
      <c r="F107" s="94"/>
      <c r="G107" s="96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ht="14.25" customHeight="1" x14ac:dyDescent="0.3">
      <c r="A108" s="94"/>
      <c r="B108" s="94"/>
      <c r="C108" s="94"/>
      <c r="D108" s="95"/>
      <c r="E108" s="2"/>
      <c r="F108" s="94"/>
      <c r="G108" s="96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ht="14.25" customHeight="1" x14ac:dyDescent="0.3">
      <c r="A109" s="94"/>
      <c r="B109" s="94"/>
      <c r="C109" s="94"/>
      <c r="D109" s="95"/>
      <c r="E109" s="2"/>
      <c r="F109" s="94"/>
      <c r="G109" s="96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ht="14.25" customHeight="1" x14ac:dyDescent="0.3">
      <c r="A110" s="94"/>
      <c r="B110" s="94"/>
      <c r="C110" s="94"/>
      <c r="D110" s="95"/>
      <c r="E110" s="2"/>
      <c r="F110" s="94"/>
      <c r="G110" s="96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ht="14.25" customHeight="1" x14ac:dyDescent="0.3">
      <c r="A111" s="94"/>
      <c r="B111" s="94"/>
      <c r="C111" s="94"/>
      <c r="D111" s="95"/>
      <c r="E111" s="2"/>
      <c r="F111" s="94"/>
      <c r="G111" s="96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ht="14.25" customHeight="1" x14ac:dyDescent="0.3">
      <c r="A112" s="94"/>
      <c r="B112" s="94"/>
      <c r="C112" s="94"/>
      <c r="D112" s="95"/>
      <c r="E112" s="2"/>
      <c r="F112" s="94"/>
      <c r="G112" s="96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ht="14.25" customHeight="1" x14ac:dyDescent="0.3">
      <c r="A113" s="94"/>
      <c r="B113" s="94"/>
      <c r="C113" s="94"/>
      <c r="D113" s="95"/>
      <c r="E113" s="2"/>
      <c r="F113" s="94"/>
      <c r="G113" s="96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ht="14.25" customHeight="1" x14ac:dyDescent="0.3">
      <c r="A114" s="94"/>
      <c r="B114" s="94"/>
      <c r="C114" s="94"/>
      <c r="D114" s="95"/>
      <c r="E114" s="2"/>
      <c r="F114" s="94"/>
      <c r="G114" s="96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ht="14.25" customHeight="1" x14ac:dyDescent="0.3">
      <c r="A115" s="94"/>
      <c r="B115" s="94"/>
      <c r="C115" s="94"/>
      <c r="D115" s="95"/>
      <c r="E115" s="2"/>
      <c r="F115" s="94"/>
      <c r="G115" s="96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ht="14.25" customHeight="1" x14ac:dyDescent="0.3">
      <c r="A116" s="94"/>
      <c r="B116" s="94"/>
      <c r="C116" s="94"/>
      <c r="D116" s="95"/>
      <c r="E116" s="2"/>
      <c r="F116" s="94"/>
      <c r="G116" s="96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ht="14.25" customHeight="1" x14ac:dyDescent="0.3">
      <c r="A117" s="94"/>
      <c r="B117" s="94"/>
      <c r="C117" s="94"/>
      <c r="D117" s="95"/>
      <c r="E117" s="2"/>
      <c r="F117" s="94"/>
      <c r="G117" s="96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ht="14.25" customHeight="1" x14ac:dyDescent="0.3">
      <c r="A118" s="94"/>
      <c r="B118" s="94"/>
      <c r="C118" s="94"/>
      <c r="D118" s="95"/>
      <c r="E118" s="2"/>
      <c r="F118" s="94"/>
      <c r="G118" s="96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ht="14.25" customHeight="1" x14ac:dyDescent="0.3">
      <c r="A119" s="94"/>
      <c r="B119" s="94"/>
      <c r="C119" s="94"/>
      <c r="D119" s="95"/>
      <c r="E119" s="2"/>
      <c r="F119" s="94"/>
      <c r="G119" s="96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ht="14.25" customHeight="1" x14ac:dyDescent="0.3">
      <c r="A120" s="94"/>
      <c r="B120" s="94"/>
      <c r="C120" s="94"/>
      <c r="D120" s="95"/>
      <c r="E120" s="2"/>
      <c r="F120" s="94"/>
      <c r="G120" s="96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ht="14.25" customHeight="1" x14ac:dyDescent="0.3">
      <c r="A121" s="94"/>
      <c r="B121" s="94"/>
      <c r="C121" s="94"/>
      <c r="D121" s="95"/>
      <c r="E121" s="2"/>
      <c r="F121" s="94"/>
      <c r="G121" s="96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ht="14.25" customHeight="1" x14ac:dyDescent="0.3">
      <c r="A122" s="94"/>
      <c r="B122" s="94"/>
      <c r="C122" s="94"/>
      <c r="D122" s="95"/>
      <c r="E122" s="2"/>
      <c r="F122" s="94"/>
      <c r="G122" s="96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ht="14.25" customHeight="1" x14ac:dyDescent="0.3">
      <c r="A123" s="94"/>
      <c r="B123" s="94"/>
      <c r="C123" s="94"/>
      <c r="D123" s="95"/>
      <c r="E123" s="2"/>
      <c r="F123" s="94"/>
      <c r="G123" s="96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ht="14.25" customHeight="1" x14ac:dyDescent="0.3">
      <c r="A124" s="94"/>
      <c r="B124" s="94"/>
      <c r="C124" s="94"/>
      <c r="D124" s="95"/>
      <c r="E124" s="2"/>
      <c r="F124" s="94"/>
      <c r="G124" s="96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ht="14.25" customHeight="1" x14ac:dyDescent="0.3">
      <c r="A125" s="94"/>
      <c r="B125" s="94"/>
      <c r="C125" s="94"/>
      <c r="D125" s="95"/>
      <c r="E125" s="2"/>
      <c r="F125" s="94"/>
      <c r="G125" s="96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ht="14.25" customHeight="1" x14ac:dyDescent="0.3">
      <c r="A126" s="94"/>
      <c r="B126" s="94"/>
      <c r="C126" s="94"/>
      <c r="D126" s="95"/>
      <c r="E126" s="2"/>
      <c r="F126" s="94"/>
      <c r="G126" s="96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ht="14.25" customHeight="1" x14ac:dyDescent="0.3">
      <c r="A127" s="94"/>
      <c r="B127" s="94"/>
      <c r="C127" s="94"/>
      <c r="D127" s="95"/>
      <c r="E127" s="2"/>
      <c r="F127" s="94"/>
      <c r="G127" s="96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ht="14.25" customHeight="1" x14ac:dyDescent="0.3">
      <c r="A128" s="94"/>
      <c r="B128" s="94"/>
      <c r="C128" s="94"/>
      <c r="D128" s="95"/>
      <c r="E128" s="2"/>
      <c r="F128" s="94"/>
      <c r="G128" s="96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ht="14.25" customHeight="1" x14ac:dyDescent="0.3">
      <c r="A129" s="94"/>
      <c r="B129" s="94"/>
      <c r="C129" s="94"/>
      <c r="D129" s="95"/>
      <c r="E129" s="2"/>
      <c r="F129" s="94"/>
      <c r="G129" s="96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ht="14.25" customHeight="1" x14ac:dyDescent="0.3">
      <c r="A130" s="94"/>
      <c r="B130" s="94"/>
      <c r="C130" s="94"/>
      <c r="D130" s="95"/>
      <c r="E130" s="2"/>
      <c r="F130" s="94"/>
      <c r="G130" s="96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ht="14.25" customHeight="1" x14ac:dyDescent="0.3">
      <c r="A131" s="94"/>
      <c r="B131" s="94"/>
      <c r="C131" s="94"/>
      <c r="D131" s="95"/>
      <c r="E131" s="2"/>
      <c r="F131" s="94"/>
      <c r="G131" s="96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ht="14.25" customHeight="1" x14ac:dyDescent="0.3">
      <c r="A132" s="94"/>
      <c r="B132" s="94"/>
      <c r="C132" s="94"/>
      <c r="D132" s="95"/>
      <c r="E132" s="2"/>
      <c r="F132" s="94"/>
      <c r="G132" s="96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ht="14.25" customHeight="1" x14ac:dyDescent="0.3">
      <c r="A133" s="94"/>
      <c r="B133" s="94"/>
      <c r="C133" s="94"/>
      <c r="D133" s="95"/>
      <c r="E133" s="2"/>
      <c r="F133" s="94"/>
      <c r="G133" s="96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ht="14.25" customHeight="1" x14ac:dyDescent="0.3">
      <c r="A134" s="94"/>
      <c r="B134" s="94"/>
      <c r="C134" s="94"/>
      <c r="D134" s="95"/>
      <c r="E134" s="2"/>
      <c r="F134" s="94"/>
      <c r="G134" s="96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ht="14.25" customHeight="1" x14ac:dyDescent="0.3">
      <c r="A135" s="94"/>
      <c r="B135" s="94"/>
      <c r="C135" s="94"/>
      <c r="D135" s="95"/>
      <c r="E135" s="2"/>
      <c r="F135" s="94"/>
      <c r="G135" s="96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ht="14.25" customHeight="1" x14ac:dyDescent="0.3">
      <c r="A136" s="94"/>
      <c r="B136" s="94"/>
      <c r="C136" s="94"/>
      <c r="D136" s="95"/>
      <c r="E136" s="2"/>
      <c r="F136" s="94"/>
      <c r="G136" s="96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ht="14.25" customHeight="1" x14ac:dyDescent="0.3">
      <c r="A137" s="94"/>
      <c r="B137" s="94"/>
      <c r="C137" s="94"/>
      <c r="D137" s="95"/>
      <c r="E137" s="2"/>
      <c r="F137" s="94"/>
      <c r="G137" s="96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ht="14.25" customHeight="1" x14ac:dyDescent="0.3">
      <c r="A138" s="94"/>
      <c r="B138" s="94"/>
      <c r="C138" s="94"/>
      <c r="D138" s="95"/>
      <c r="E138" s="2"/>
      <c r="F138" s="94"/>
      <c r="G138" s="96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4.25" customHeight="1" x14ac:dyDescent="0.3">
      <c r="A139" s="94"/>
      <c r="B139" s="94"/>
      <c r="C139" s="94"/>
      <c r="D139" s="95"/>
      <c r="E139" s="2"/>
      <c r="F139" s="94"/>
      <c r="G139" s="96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</row>
    <row r="140" spans="1:26" ht="14.25" customHeight="1" x14ac:dyDescent="0.3">
      <c r="A140" s="94"/>
      <c r="B140" s="94"/>
      <c r="C140" s="94"/>
      <c r="D140" s="95"/>
      <c r="E140" s="2"/>
      <c r="F140" s="94"/>
      <c r="G140" s="96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ht="14.25" customHeight="1" x14ac:dyDescent="0.3">
      <c r="A141" s="94"/>
      <c r="B141" s="94"/>
      <c r="C141" s="94"/>
      <c r="D141" s="95"/>
      <c r="E141" s="2"/>
      <c r="F141" s="94"/>
      <c r="G141" s="96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ht="14.25" customHeight="1" x14ac:dyDescent="0.3">
      <c r="A142" s="94"/>
      <c r="B142" s="94"/>
      <c r="C142" s="94"/>
      <c r="D142" s="95"/>
      <c r="E142" s="2"/>
      <c r="F142" s="94"/>
      <c r="G142" s="96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ht="14.25" customHeight="1" x14ac:dyDescent="0.3">
      <c r="A143" s="94"/>
      <c r="B143" s="94"/>
      <c r="C143" s="94"/>
      <c r="D143" s="95"/>
      <c r="E143" s="2"/>
      <c r="F143" s="94"/>
      <c r="G143" s="96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ht="14.25" customHeight="1" x14ac:dyDescent="0.3">
      <c r="A144" s="94"/>
      <c r="B144" s="94"/>
      <c r="C144" s="94"/>
      <c r="D144" s="95"/>
      <c r="E144" s="2"/>
      <c r="F144" s="94"/>
      <c r="G144" s="96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ht="14.25" customHeight="1" x14ac:dyDescent="0.3">
      <c r="A145" s="94"/>
      <c r="B145" s="94"/>
      <c r="C145" s="94"/>
      <c r="D145" s="95"/>
      <c r="E145" s="2"/>
      <c r="F145" s="94"/>
      <c r="G145" s="96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ht="14.25" customHeight="1" x14ac:dyDescent="0.3">
      <c r="A146" s="94"/>
      <c r="B146" s="94"/>
      <c r="C146" s="94"/>
      <c r="D146" s="95"/>
      <c r="E146" s="2"/>
      <c r="F146" s="94"/>
      <c r="G146" s="96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ht="14.25" customHeight="1" x14ac:dyDescent="0.3">
      <c r="A147" s="94"/>
      <c r="B147" s="94"/>
      <c r="C147" s="94"/>
      <c r="D147" s="95"/>
      <c r="E147" s="2"/>
      <c r="F147" s="94"/>
      <c r="G147" s="96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ht="14.25" customHeight="1" x14ac:dyDescent="0.3">
      <c r="A148" s="94"/>
      <c r="B148" s="94"/>
      <c r="C148" s="94"/>
      <c r="D148" s="95"/>
      <c r="E148" s="2"/>
      <c r="F148" s="94"/>
      <c r="G148" s="96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ht="14.25" customHeight="1" x14ac:dyDescent="0.3">
      <c r="A149" s="94"/>
      <c r="B149" s="94"/>
      <c r="C149" s="94"/>
      <c r="D149" s="95"/>
      <c r="E149" s="2"/>
      <c r="F149" s="94"/>
      <c r="G149" s="96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ht="14.25" customHeight="1" x14ac:dyDescent="0.3">
      <c r="A150" s="94"/>
      <c r="B150" s="94"/>
      <c r="C150" s="94"/>
      <c r="D150" s="95"/>
      <c r="E150" s="2"/>
      <c r="F150" s="94"/>
      <c r="G150" s="96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ht="14.25" customHeight="1" x14ac:dyDescent="0.3">
      <c r="A151" s="94"/>
      <c r="B151" s="94"/>
      <c r="C151" s="94"/>
      <c r="D151" s="95"/>
      <c r="E151" s="2"/>
      <c r="F151" s="94"/>
      <c r="G151" s="96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ht="14.25" customHeight="1" x14ac:dyDescent="0.3">
      <c r="A152" s="94"/>
      <c r="B152" s="94"/>
      <c r="C152" s="94"/>
      <c r="D152" s="95"/>
      <c r="E152" s="2"/>
      <c r="F152" s="94"/>
      <c r="G152" s="96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ht="14.25" customHeight="1" x14ac:dyDescent="0.3">
      <c r="A153" s="94"/>
      <c r="B153" s="94"/>
      <c r="C153" s="94"/>
      <c r="D153" s="95"/>
      <c r="E153" s="2"/>
      <c r="F153" s="94"/>
      <c r="G153" s="96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ht="14.25" customHeight="1" x14ac:dyDescent="0.3">
      <c r="A154" s="94"/>
      <c r="B154" s="94"/>
      <c r="C154" s="94"/>
      <c r="D154" s="95"/>
      <c r="E154" s="2"/>
      <c r="F154" s="94"/>
      <c r="G154" s="96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ht="14.25" customHeight="1" x14ac:dyDescent="0.3">
      <c r="A155" s="94"/>
      <c r="B155" s="94"/>
      <c r="C155" s="94"/>
      <c r="D155" s="95"/>
      <c r="E155" s="2"/>
      <c r="F155" s="94"/>
      <c r="G155" s="96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ht="14.25" customHeight="1" x14ac:dyDescent="0.3">
      <c r="A156" s="94"/>
      <c r="B156" s="94"/>
      <c r="C156" s="94"/>
      <c r="D156" s="95"/>
      <c r="E156" s="2"/>
      <c r="F156" s="94"/>
      <c r="G156" s="96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ht="14.25" customHeight="1" x14ac:dyDescent="0.3">
      <c r="A157" s="94"/>
      <c r="B157" s="94"/>
      <c r="C157" s="94"/>
      <c r="D157" s="95"/>
      <c r="E157" s="2"/>
      <c r="F157" s="94"/>
      <c r="G157" s="96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ht="14.25" customHeight="1" x14ac:dyDescent="0.3">
      <c r="A158" s="94"/>
      <c r="B158" s="94"/>
      <c r="C158" s="94"/>
      <c r="D158" s="95"/>
      <c r="E158" s="2"/>
      <c r="F158" s="94"/>
      <c r="G158" s="96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ht="14.25" customHeight="1" x14ac:dyDescent="0.3">
      <c r="A159" s="94"/>
      <c r="B159" s="94"/>
      <c r="C159" s="94"/>
      <c r="D159" s="95"/>
      <c r="E159" s="2"/>
      <c r="F159" s="94"/>
      <c r="G159" s="96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ht="14.25" customHeight="1" x14ac:dyDescent="0.3">
      <c r="A160" s="94"/>
      <c r="B160" s="94"/>
      <c r="C160" s="94"/>
      <c r="D160" s="95"/>
      <c r="E160" s="2"/>
      <c r="F160" s="94"/>
      <c r="G160" s="96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ht="14.25" customHeight="1" x14ac:dyDescent="0.3">
      <c r="A161" s="94"/>
      <c r="B161" s="94"/>
      <c r="C161" s="94"/>
      <c r="D161" s="95"/>
      <c r="E161" s="2"/>
      <c r="F161" s="94"/>
      <c r="G161" s="96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ht="14.25" customHeight="1" x14ac:dyDescent="0.3">
      <c r="A162" s="94"/>
      <c r="B162" s="94"/>
      <c r="C162" s="94"/>
      <c r="D162" s="95"/>
      <c r="E162" s="2"/>
      <c r="F162" s="94"/>
      <c r="G162" s="96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ht="14.25" customHeight="1" x14ac:dyDescent="0.3">
      <c r="A163" s="94"/>
      <c r="B163" s="94"/>
      <c r="C163" s="94"/>
      <c r="D163" s="95"/>
      <c r="E163" s="2"/>
      <c r="F163" s="94"/>
      <c r="G163" s="96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ht="14.25" customHeight="1" x14ac:dyDescent="0.3">
      <c r="A164" s="94"/>
      <c r="B164" s="94"/>
      <c r="C164" s="94"/>
      <c r="D164" s="95"/>
      <c r="E164" s="2"/>
      <c r="F164" s="94"/>
      <c r="G164" s="96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ht="14.25" customHeight="1" x14ac:dyDescent="0.3">
      <c r="A165" s="94"/>
      <c r="B165" s="94"/>
      <c r="C165" s="94"/>
      <c r="D165" s="95"/>
      <c r="E165" s="2"/>
      <c r="F165" s="94"/>
      <c r="G165" s="96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ht="14.25" customHeight="1" x14ac:dyDescent="0.3">
      <c r="A166" s="94"/>
      <c r="B166" s="94"/>
      <c r="C166" s="94"/>
      <c r="D166" s="95"/>
      <c r="E166" s="2"/>
      <c r="F166" s="94"/>
      <c r="G166" s="96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ht="14.25" customHeight="1" x14ac:dyDescent="0.3">
      <c r="A167" s="94"/>
      <c r="B167" s="94"/>
      <c r="C167" s="94"/>
      <c r="D167" s="95"/>
      <c r="E167" s="2"/>
      <c r="F167" s="94"/>
      <c r="G167" s="96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ht="14.25" customHeight="1" x14ac:dyDescent="0.3">
      <c r="A168" s="94"/>
      <c r="B168" s="94"/>
      <c r="C168" s="94"/>
      <c r="D168" s="95"/>
      <c r="E168" s="2"/>
      <c r="F168" s="94"/>
      <c r="G168" s="96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ht="14.25" customHeight="1" x14ac:dyDescent="0.3">
      <c r="A169" s="94"/>
      <c r="B169" s="94"/>
      <c r="C169" s="94"/>
      <c r="D169" s="95"/>
      <c r="E169" s="2"/>
      <c r="F169" s="94"/>
      <c r="G169" s="96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ht="14.25" customHeight="1" x14ac:dyDescent="0.3">
      <c r="A170" s="94"/>
      <c r="B170" s="94"/>
      <c r="C170" s="94"/>
      <c r="D170" s="95"/>
      <c r="E170" s="2"/>
      <c r="F170" s="94"/>
      <c r="G170" s="96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ht="14.25" customHeight="1" x14ac:dyDescent="0.3">
      <c r="A171" s="94"/>
      <c r="B171" s="94"/>
      <c r="C171" s="94"/>
      <c r="D171" s="95"/>
      <c r="E171" s="2"/>
      <c r="F171" s="94"/>
      <c r="G171" s="96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ht="14.25" customHeight="1" x14ac:dyDescent="0.3">
      <c r="A172" s="94"/>
      <c r="B172" s="94"/>
      <c r="C172" s="94"/>
      <c r="D172" s="95"/>
      <c r="E172" s="2"/>
      <c r="F172" s="94"/>
      <c r="G172" s="96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ht="14.25" customHeight="1" x14ac:dyDescent="0.3">
      <c r="A173" s="94"/>
      <c r="B173" s="94"/>
      <c r="C173" s="94"/>
      <c r="D173" s="95"/>
      <c r="E173" s="2"/>
      <c r="F173" s="94"/>
      <c r="G173" s="96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ht="14.25" customHeight="1" x14ac:dyDescent="0.3">
      <c r="A174" s="94"/>
      <c r="B174" s="94"/>
      <c r="C174" s="94"/>
      <c r="D174" s="95"/>
      <c r="E174" s="2"/>
      <c r="F174" s="94"/>
      <c r="G174" s="96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ht="14.25" customHeight="1" x14ac:dyDescent="0.3">
      <c r="A175" s="94"/>
      <c r="B175" s="94"/>
      <c r="C175" s="94"/>
      <c r="D175" s="95"/>
      <c r="E175" s="2"/>
      <c r="F175" s="94"/>
      <c r="G175" s="96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ht="14.25" customHeight="1" x14ac:dyDescent="0.3">
      <c r="A176" s="94"/>
      <c r="B176" s="94"/>
      <c r="C176" s="94"/>
      <c r="D176" s="95"/>
      <c r="E176" s="2"/>
      <c r="F176" s="94"/>
      <c r="G176" s="96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4.25" customHeight="1" x14ac:dyDescent="0.3">
      <c r="A177" s="94"/>
      <c r="B177" s="94"/>
      <c r="C177" s="94"/>
      <c r="D177" s="95"/>
      <c r="E177" s="2"/>
      <c r="F177" s="94"/>
      <c r="G177" s="96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</row>
    <row r="178" spans="1:26" ht="14.25" customHeight="1" x14ac:dyDescent="0.3">
      <c r="A178" s="94"/>
      <c r="B178" s="94"/>
      <c r="C178" s="94"/>
      <c r="D178" s="95"/>
      <c r="E178" s="2"/>
      <c r="F178" s="94"/>
      <c r="G178" s="96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</row>
    <row r="179" spans="1:26" ht="14.25" customHeight="1" x14ac:dyDescent="0.3">
      <c r="A179" s="94"/>
      <c r="B179" s="94"/>
      <c r="C179" s="94"/>
      <c r="D179" s="95"/>
      <c r="E179" s="2"/>
      <c r="F179" s="94"/>
      <c r="G179" s="96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</row>
    <row r="180" spans="1:26" ht="14.25" customHeight="1" x14ac:dyDescent="0.3">
      <c r="A180" s="94"/>
      <c r="B180" s="94"/>
      <c r="C180" s="94"/>
      <c r="D180" s="95"/>
      <c r="E180" s="2"/>
      <c r="F180" s="94"/>
      <c r="G180" s="96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</row>
    <row r="181" spans="1:26" ht="14.25" customHeight="1" x14ac:dyDescent="0.3">
      <c r="A181" s="94"/>
      <c r="B181" s="94"/>
      <c r="C181" s="94"/>
      <c r="D181" s="95"/>
      <c r="E181" s="2"/>
      <c r="F181" s="94"/>
      <c r="G181" s="96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</row>
    <row r="182" spans="1:26" ht="14.25" customHeight="1" x14ac:dyDescent="0.3">
      <c r="A182" s="94"/>
      <c r="B182" s="94"/>
      <c r="C182" s="94"/>
      <c r="D182" s="95"/>
      <c r="E182" s="2"/>
      <c r="F182" s="94"/>
      <c r="G182" s="96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</row>
    <row r="183" spans="1:26" ht="14.25" customHeight="1" x14ac:dyDescent="0.3">
      <c r="A183" s="94"/>
      <c r="B183" s="94"/>
      <c r="C183" s="94"/>
      <c r="D183" s="95"/>
      <c r="E183" s="2"/>
      <c r="F183" s="94"/>
      <c r="G183" s="96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</row>
    <row r="184" spans="1:26" ht="14.25" customHeight="1" x14ac:dyDescent="0.3">
      <c r="A184" s="94"/>
      <c r="B184" s="94"/>
      <c r="C184" s="94"/>
      <c r="D184" s="95"/>
      <c r="E184" s="2"/>
      <c r="F184" s="94"/>
      <c r="G184" s="96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</row>
    <row r="185" spans="1:26" ht="14.25" customHeight="1" x14ac:dyDescent="0.3">
      <c r="A185" s="94"/>
      <c r="B185" s="94"/>
      <c r="C185" s="94"/>
      <c r="D185" s="95"/>
      <c r="E185" s="2"/>
      <c r="F185" s="94"/>
      <c r="G185" s="96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</row>
    <row r="186" spans="1:26" ht="14.25" customHeight="1" x14ac:dyDescent="0.3">
      <c r="A186" s="94"/>
      <c r="B186" s="94"/>
      <c r="C186" s="94"/>
      <c r="D186" s="95"/>
      <c r="E186" s="2"/>
      <c r="F186" s="94"/>
      <c r="G186" s="96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</row>
    <row r="187" spans="1:26" ht="14.25" customHeight="1" x14ac:dyDescent="0.3">
      <c r="A187" s="94"/>
      <c r="B187" s="94"/>
      <c r="C187" s="94"/>
      <c r="D187" s="95"/>
      <c r="E187" s="2"/>
      <c r="F187" s="94"/>
      <c r="G187" s="96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</row>
    <row r="188" spans="1:26" ht="14.25" customHeight="1" x14ac:dyDescent="0.3">
      <c r="A188" s="94"/>
      <c r="B188" s="94"/>
      <c r="C188" s="94"/>
      <c r="D188" s="95"/>
      <c r="E188" s="2"/>
      <c r="F188" s="94"/>
      <c r="G188" s="96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</row>
    <row r="189" spans="1:26" ht="14.25" customHeight="1" x14ac:dyDescent="0.3">
      <c r="A189" s="94"/>
      <c r="B189" s="94"/>
      <c r="C189" s="94"/>
      <c r="D189" s="95"/>
      <c r="E189" s="2"/>
      <c r="F189" s="94"/>
      <c r="G189" s="96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</row>
    <row r="190" spans="1:26" ht="14.25" customHeight="1" x14ac:dyDescent="0.3">
      <c r="A190" s="94"/>
      <c r="B190" s="94"/>
      <c r="C190" s="94"/>
      <c r="D190" s="95"/>
      <c r="E190" s="2"/>
      <c r="F190" s="94"/>
      <c r="G190" s="96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</row>
    <row r="191" spans="1:26" ht="14.25" customHeight="1" x14ac:dyDescent="0.3">
      <c r="A191" s="94"/>
      <c r="B191" s="94"/>
      <c r="C191" s="94"/>
      <c r="D191" s="95"/>
      <c r="E191" s="2"/>
      <c r="F191" s="94"/>
      <c r="G191" s="96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</row>
    <row r="192" spans="1:26" ht="14.25" customHeight="1" x14ac:dyDescent="0.3">
      <c r="A192" s="94"/>
      <c r="B192" s="94"/>
      <c r="C192" s="94"/>
      <c r="D192" s="95"/>
      <c r="E192" s="2"/>
      <c r="F192" s="94"/>
      <c r="G192" s="96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</row>
    <row r="193" spans="1:26" ht="14.25" customHeight="1" x14ac:dyDescent="0.3">
      <c r="A193" s="94"/>
      <c r="B193" s="94"/>
      <c r="C193" s="94"/>
      <c r="D193" s="95"/>
      <c r="E193" s="2"/>
      <c r="F193" s="94"/>
      <c r="G193" s="96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</row>
    <row r="194" spans="1:26" ht="14.25" customHeight="1" x14ac:dyDescent="0.3">
      <c r="A194" s="94"/>
      <c r="B194" s="94"/>
      <c r="C194" s="94"/>
      <c r="D194" s="95"/>
      <c r="E194" s="2"/>
      <c r="F194" s="94"/>
      <c r="G194" s="96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</row>
    <row r="195" spans="1:26" ht="14.25" customHeight="1" x14ac:dyDescent="0.3">
      <c r="A195" s="94"/>
      <c r="B195" s="94"/>
      <c r="C195" s="94"/>
      <c r="D195" s="95"/>
      <c r="E195" s="2"/>
      <c r="F195" s="94"/>
      <c r="G195" s="96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</row>
    <row r="196" spans="1:26" ht="14.25" customHeight="1" x14ac:dyDescent="0.3">
      <c r="A196" s="94"/>
      <c r="B196" s="94"/>
      <c r="C196" s="94"/>
      <c r="D196" s="95"/>
      <c r="E196" s="2"/>
      <c r="F196" s="94"/>
      <c r="G196" s="96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</row>
    <row r="197" spans="1:26" ht="14.25" customHeight="1" x14ac:dyDescent="0.3">
      <c r="A197" s="94"/>
      <c r="B197" s="94"/>
      <c r="C197" s="94"/>
      <c r="D197" s="95"/>
      <c r="E197" s="2"/>
      <c r="F197" s="94"/>
      <c r="G197" s="96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</row>
    <row r="198" spans="1:26" ht="14.25" customHeight="1" x14ac:dyDescent="0.3">
      <c r="A198" s="94"/>
      <c r="B198" s="94"/>
      <c r="C198" s="94"/>
      <c r="D198" s="95"/>
      <c r="E198" s="2"/>
      <c r="F198" s="94"/>
      <c r="G198" s="96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</row>
    <row r="199" spans="1:26" ht="14.25" customHeight="1" x14ac:dyDescent="0.3">
      <c r="A199" s="94"/>
      <c r="B199" s="94"/>
      <c r="C199" s="94"/>
      <c r="D199" s="95"/>
      <c r="E199" s="2"/>
      <c r="F199" s="94"/>
      <c r="G199" s="96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</row>
    <row r="200" spans="1:26" ht="14.25" customHeight="1" x14ac:dyDescent="0.3">
      <c r="A200" s="94"/>
      <c r="B200" s="94"/>
      <c r="C200" s="94"/>
      <c r="D200" s="95"/>
      <c r="E200" s="2"/>
      <c r="F200" s="94"/>
      <c r="G200" s="96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</row>
    <row r="201" spans="1:26" ht="14.25" customHeight="1" x14ac:dyDescent="0.3">
      <c r="A201" s="94"/>
      <c r="B201" s="94"/>
      <c r="C201" s="94"/>
      <c r="D201" s="95"/>
      <c r="E201" s="2"/>
      <c r="F201" s="94"/>
      <c r="G201" s="96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</row>
    <row r="202" spans="1:26" ht="14.25" customHeight="1" x14ac:dyDescent="0.3">
      <c r="A202" s="94"/>
      <c r="B202" s="94"/>
      <c r="C202" s="94"/>
      <c r="D202" s="95"/>
      <c r="E202" s="2"/>
      <c r="F202" s="94"/>
      <c r="G202" s="96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</row>
    <row r="203" spans="1:26" ht="14.25" customHeight="1" x14ac:dyDescent="0.3">
      <c r="A203" s="94"/>
      <c r="B203" s="94"/>
      <c r="C203" s="94"/>
      <c r="D203" s="95"/>
      <c r="E203" s="2"/>
      <c r="F203" s="94"/>
      <c r="G203" s="96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</row>
    <row r="204" spans="1:26" ht="14.25" customHeight="1" x14ac:dyDescent="0.3">
      <c r="A204" s="94"/>
      <c r="B204" s="94"/>
      <c r="C204" s="94"/>
      <c r="D204" s="95"/>
      <c r="E204" s="2"/>
      <c r="F204" s="94"/>
      <c r="G204" s="96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</row>
    <row r="205" spans="1:26" ht="14.25" customHeight="1" x14ac:dyDescent="0.3">
      <c r="A205" s="94"/>
      <c r="B205" s="94"/>
      <c r="C205" s="94"/>
      <c r="D205" s="95"/>
      <c r="E205" s="2"/>
      <c r="F205" s="94"/>
      <c r="G205" s="96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</row>
    <row r="206" spans="1:26" ht="14.25" customHeight="1" x14ac:dyDescent="0.3">
      <c r="A206" s="94"/>
      <c r="B206" s="94"/>
      <c r="C206" s="94"/>
      <c r="D206" s="95"/>
      <c r="E206" s="2"/>
      <c r="F206" s="94"/>
      <c r="G206" s="96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</row>
    <row r="207" spans="1:26" ht="14.25" customHeight="1" x14ac:dyDescent="0.3">
      <c r="A207" s="94"/>
      <c r="B207" s="94"/>
      <c r="C207" s="94"/>
      <c r="D207" s="95"/>
      <c r="E207" s="2"/>
      <c r="F207" s="94"/>
      <c r="G207" s="96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</row>
    <row r="208" spans="1:26" ht="14.25" customHeight="1" x14ac:dyDescent="0.3">
      <c r="A208" s="94"/>
      <c r="B208" s="94"/>
      <c r="C208" s="94"/>
      <c r="D208" s="95"/>
      <c r="E208" s="2"/>
      <c r="F208" s="94"/>
      <c r="G208" s="96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</row>
    <row r="209" spans="1:26" ht="14.25" customHeight="1" x14ac:dyDescent="0.3">
      <c r="A209" s="94"/>
      <c r="B209" s="94"/>
      <c r="C209" s="94"/>
      <c r="D209" s="95"/>
      <c r="E209" s="2"/>
      <c r="F209" s="94"/>
      <c r="G209" s="96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</row>
    <row r="210" spans="1:26" ht="14.25" customHeight="1" x14ac:dyDescent="0.3">
      <c r="A210" s="94"/>
      <c r="B210" s="94"/>
      <c r="C210" s="94"/>
      <c r="D210" s="95"/>
      <c r="E210" s="2"/>
      <c r="F210" s="94"/>
      <c r="G210" s="96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</row>
    <row r="211" spans="1:26" ht="14.25" customHeight="1" x14ac:dyDescent="0.3">
      <c r="A211" s="94"/>
      <c r="B211" s="94"/>
      <c r="C211" s="94"/>
      <c r="D211" s="95"/>
      <c r="E211" s="2"/>
      <c r="F211" s="94"/>
      <c r="G211" s="96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</row>
    <row r="212" spans="1:26" ht="14.25" customHeight="1" x14ac:dyDescent="0.3">
      <c r="A212" s="94"/>
      <c r="B212" s="94"/>
      <c r="C212" s="94"/>
      <c r="D212" s="95"/>
      <c r="E212" s="2"/>
      <c r="F212" s="94"/>
      <c r="G212" s="96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</row>
    <row r="213" spans="1:26" ht="14.25" customHeight="1" x14ac:dyDescent="0.3">
      <c r="A213" s="94"/>
      <c r="B213" s="94"/>
      <c r="C213" s="94"/>
      <c r="D213" s="95"/>
      <c r="E213" s="2"/>
      <c r="F213" s="94"/>
      <c r="G213" s="96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</row>
    <row r="214" spans="1:26" ht="14.25" customHeight="1" x14ac:dyDescent="0.3">
      <c r="A214" s="94"/>
      <c r="B214" s="94"/>
      <c r="C214" s="94"/>
      <c r="D214" s="95"/>
      <c r="E214" s="2"/>
      <c r="F214" s="94"/>
      <c r="G214" s="96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</row>
    <row r="215" spans="1:26" ht="14.25" customHeight="1" x14ac:dyDescent="0.3">
      <c r="A215" s="94"/>
      <c r="B215" s="94"/>
      <c r="C215" s="94"/>
      <c r="D215" s="95"/>
      <c r="E215" s="2"/>
      <c r="F215" s="94"/>
      <c r="G215" s="96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</row>
    <row r="216" spans="1:26" ht="14.25" customHeight="1" x14ac:dyDescent="0.3">
      <c r="A216" s="94"/>
      <c r="B216" s="94"/>
      <c r="C216" s="94"/>
      <c r="D216" s="95"/>
      <c r="E216" s="2"/>
      <c r="F216" s="94"/>
      <c r="G216" s="96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</row>
    <row r="217" spans="1:26" ht="14.25" customHeight="1" x14ac:dyDescent="0.3">
      <c r="A217" s="94"/>
      <c r="B217" s="94"/>
      <c r="C217" s="94"/>
      <c r="D217" s="95"/>
      <c r="E217" s="2"/>
      <c r="F217" s="94"/>
      <c r="G217" s="96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</row>
    <row r="218" spans="1:26" ht="14.25" customHeight="1" x14ac:dyDescent="0.3">
      <c r="A218" s="94"/>
      <c r="B218" s="94"/>
      <c r="C218" s="94"/>
      <c r="D218" s="95"/>
      <c r="E218" s="2"/>
      <c r="F218" s="94"/>
      <c r="G218" s="96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</row>
    <row r="219" spans="1:26" ht="14.25" customHeight="1" x14ac:dyDescent="0.3">
      <c r="A219" s="94"/>
      <c r="B219" s="94"/>
      <c r="C219" s="94"/>
      <c r="D219" s="95"/>
      <c r="E219" s="2"/>
      <c r="F219" s="94"/>
      <c r="G219" s="96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</row>
    <row r="220" spans="1:26" ht="14.25" customHeight="1" x14ac:dyDescent="0.3">
      <c r="A220" s="94"/>
      <c r="B220" s="94"/>
      <c r="C220" s="94"/>
      <c r="D220" s="95"/>
      <c r="E220" s="2"/>
      <c r="F220" s="94"/>
      <c r="G220" s="96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</row>
    <row r="221" spans="1:26" ht="14.25" customHeight="1" x14ac:dyDescent="0.3">
      <c r="A221" s="94"/>
      <c r="B221" s="94"/>
      <c r="C221" s="94"/>
      <c r="D221" s="95"/>
      <c r="E221" s="2"/>
      <c r="F221" s="94"/>
      <c r="G221" s="96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</row>
    <row r="222" spans="1:26" ht="14.25" customHeight="1" x14ac:dyDescent="0.3">
      <c r="A222" s="94"/>
      <c r="B222" s="94"/>
      <c r="C222" s="94"/>
      <c r="D222" s="95"/>
      <c r="E222" s="2"/>
      <c r="F222" s="94"/>
      <c r="G222" s="96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</row>
    <row r="223" spans="1:26" ht="14.25" customHeight="1" x14ac:dyDescent="0.3">
      <c r="A223" s="94"/>
      <c r="B223" s="94"/>
      <c r="C223" s="94"/>
      <c r="D223" s="95"/>
      <c r="E223" s="2"/>
      <c r="F223" s="94"/>
      <c r="G223" s="96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</row>
    <row r="224" spans="1:26" ht="14.25" customHeight="1" x14ac:dyDescent="0.3">
      <c r="A224" s="94"/>
      <c r="B224" s="94"/>
      <c r="C224" s="94"/>
      <c r="D224" s="95"/>
      <c r="E224" s="2"/>
      <c r="F224" s="94"/>
      <c r="G224" s="96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</row>
    <row r="225" spans="1:26" ht="14.25" customHeight="1" x14ac:dyDescent="0.3">
      <c r="A225" s="94"/>
      <c r="B225" s="94"/>
      <c r="C225" s="94"/>
      <c r="D225" s="95"/>
      <c r="E225" s="2"/>
      <c r="F225" s="94"/>
      <c r="G225" s="96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</row>
    <row r="226" spans="1:26" ht="14.25" customHeight="1" x14ac:dyDescent="0.3">
      <c r="A226" s="94"/>
      <c r="B226" s="94"/>
      <c r="C226" s="94"/>
      <c r="D226" s="95"/>
      <c r="E226" s="2"/>
      <c r="F226" s="94"/>
      <c r="G226" s="96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</row>
    <row r="227" spans="1:26" ht="14.25" customHeight="1" x14ac:dyDescent="0.3">
      <c r="A227" s="94"/>
      <c r="B227" s="94"/>
      <c r="C227" s="94"/>
      <c r="D227" s="95"/>
      <c r="E227" s="2"/>
      <c r="F227" s="94"/>
      <c r="G227" s="96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</row>
    <row r="228" spans="1:26" ht="14.25" customHeight="1" x14ac:dyDescent="0.3">
      <c r="A228" s="94"/>
      <c r="B228" s="94"/>
      <c r="C228" s="94"/>
      <c r="D228" s="95"/>
      <c r="E228" s="2"/>
      <c r="F228" s="94"/>
      <c r="G228" s="96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</row>
    <row r="229" spans="1:26" ht="14.25" customHeight="1" x14ac:dyDescent="0.3">
      <c r="A229" s="94"/>
      <c r="B229" s="94"/>
      <c r="C229" s="94"/>
      <c r="D229" s="95"/>
      <c r="E229" s="2"/>
      <c r="F229" s="94"/>
      <c r="G229" s="96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</row>
    <row r="230" spans="1:26" ht="14.25" customHeight="1" x14ac:dyDescent="0.3">
      <c r="A230" s="94"/>
      <c r="B230" s="94"/>
      <c r="C230" s="94"/>
      <c r="D230" s="95"/>
      <c r="E230" s="2"/>
      <c r="F230" s="94"/>
      <c r="G230" s="96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</row>
    <row r="231" spans="1:26" ht="14.25" customHeight="1" x14ac:dyDescent="0.3">
      <c r="A231" s="94"/>
      <c r="B231" s="94"/>
      <c r="C231" s="94"/>
      <c r="D231" s="95"/>
      <c r="E231" s="2"/>
      <c r="F231" s="94"/>
      <c r="G231" s="96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</row>
    <row r="232" spans="1:26" ht="14.25" customHeight="1" x14ac:dyDescent="0.3">
      <c r="A232" s="94"/>
      <c r="B232" s="94"/>
      <c r="C232" s="94"/>
      <c r="D232" s="95"/>
      <c r="E232" s="2"/>
      <c r="F232" s="94"/>
      <c r="G232" s="96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</row>
    <row r="233" spans="1:26" ht="14.25" customHeight="1" x14ac:dyDescent="0.3">
      <c r="A233" s="94"/>
      <c r="B233" s="94"/>
      <c r="C233" s="94"/>
      <c r="D233" s="95"/>
      <c r="E233" s="2"/>
      <c r="F233" s="94"/>
      <c r="G233" s="96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</row>
    <row r="234" spans="1:26" ht="14.25" customHeight="1" x14ac:dyDescent="0.3">
      <c r="A234" s="94"/>
      <c r="B234" s="94"/>
      <c r="C234" s="94"/>
      <c r="D234" s="95"/>
      <c r="E234" s="2"/>
      <c r="F234" s="94"/>
      <c r="G234" s="96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</row>
    <row r="235" spans="1:26" ht="14.25" customHeight="1" x14ac:dyDescent="0.3">
      <c r="A235" s="94"/>
      <c r="B235" s="94"/>
      <c r="C235" s="94"/>
      <c r="D235" s="95"/>
      <c r="E235" s="2"/>
      <c r="F235" s="94"/>
      <c r="G235" s="96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</row>
    <row r="236" spans="1:26" ht="14.25" customHeight="1" x14ac:dyDescent="0.3">
      <c r="A236" s="94"/>
      <c r="B236" s="94"/>
      <c r="C236" s="94"/>
      <c r="D236" s="95"/>
      <c r="E236" s="2"/>
      <c r="F236" s="94"/>
      <c r="G236" s="96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</row>
    <row r="237" spans="1:26" ht="14.25" customHeight="1" x14ac:dyDescent="0.3">
      <c r="A237" s="94"/>
      <c r="B237" s="94"/>
      <c r="C237" s="94"/>
      <c r="D237" s="95"/>
      <c r="E237" s="2"/>
      <c r="F237" s="94"/>
      <c r="G237" s="96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</row>
    <row r="238" spans="1:26" ht="14.25" customHeight="1" x14ac:dyDescent="0.3">
      <c r="A238" s="94"/>
      <c r="B238" s="94"/>
      <c r="C238" s="94"/>
      <c r="D238" s="95"/>
      <c r="E238" s="2"/>
      <c r="F238" s="94"/>
      <c r="G238" s="96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</row>
    <row r="239" spans="1:26" ht="14.25" customHeight="1" x14ac:dyDescent="0.3">
      <c r="A239" s="94"/>
      <c r="B239" s="94"/>
      <c r="C239" s="94"/>
      <c r="D239" s="95"/>
      <c r="E239" s="2"/>
      <c r="F239" s="94"/>
      <c r="G239" s="96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</row>
    <row r="240" spans="1:26" ht="14.25" customHeight="1" x14ac:dyDescent="0.3">
      <c r="A240" s="94"/>
      <c r="B240" s="94"/>
      <c r="C240" s="94"/>
      <c r="D240" s="95"/>
      <c r="E240" s="2"/>
      <c r="F240" s="94"/>
      <c r="G240" s="96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</row>
    <row r="241" spans="1:26" ht="14.25" customHeight="1" x14ac:dyDescent="0.3">
      <c r="A241" s="94"/>
      <c r="B241" s="94"/>
      <c r="C241" s="94"/>
      <c r="D241" s="95"/>
      <c r="E241" s="2"/>
      <c r="F241" s="94"/>
      <c r="G241" s="96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</row>
    <row r="242" spans="1:26" ht="14.25" customHeight="1" x14ac:dyDescent="0.3">
      <c r="A242" s="94"/>
      <c r="B242" s="94"/>
      <c r="C242" s="94"/>
      <c r="D242" s="95"/>
      <c r="E242" s="2"/>
      <c r="F242" s="94"/>
      <c r="G242" s="96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</row>
    <row r="243" spans="1:26" ht="14.25" customHeight="1" x14ac:dyDescent="0.3">
      <c r="A243" s="94"/>
      <c r="B243" s="94"/>
      <c r="C243" s="94"/>
      <c r="D243" s="95"/>
      <c r="E243" s="2"/>
      <c r="F243" s="94"/>
      <c r="G243" s="96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</row>
    <row r="244" spans="1:26" ht="14.25" customHeight="1" x14ac:dyDescent="0.3">
      <c r="A244" s="94"/>
      <c r="B244" s="94"/>
      <c r="C244" s="94"/>
      <c r="D244" s="95"/>
      <c r="E244" s="2"/>
      <c r="F244" s="94"/>
      <c r="G244" s="96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</row>
    <row r="245" spans="1:26" ht="14.25" customHeight="1" x14ac:dyDescent="0.3">
      <c r="A245" s="94"/>
      <c r="B245" s="94"/>
      <c r="C245" s="94"/>
      <c r="D245" s="95"/>
      <c r="E245" s="2"/>
      <c r="F245" s="94"/>
      <c r="G245" s="96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</row>
    <row r="246" spans="1:26" ht="14.25" customHeight="1" x14ac:dyDescent="0.3">
      <c r="A246" s="94"/>
      <c r="B246" s="94"/>
      <c r="C246" s="94"/>
      <c r="D246" s="95"/>
      <c r="E246" s="2"/>
      <c r="F246" s="94"/>
      <c r="G246" s="96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</row>
    <row r="247" spans="1:26" ht="14.25" customHeight="1" x14ac:dyDescent="0.3">
      <c r="A247" s="94"/>
      <c r="B247" s="94"/>
      <c r="C247" s="94"/>
      <c r="D247" s="95"/>
      <c r="E247" s="2"/>
      <c r="F247" s="94"/>
      <c r="G247" s="96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</row>
    <row r="248" spans="1:26" ht="14.25" customHeight="1" x14ac:dyDescent="0.3">
      <c r="A248" s="94"/>
      <c r="B248" s="94"/>
      <c r="C248" s="94"/>
      <c r="D248" s="95"/>
      <c r="E248" s="2"/>
      <c r="F248" s="94"/>
      <c r="G248" s="96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</row>
    <row r="249" spans="1:26" ht="14.25" customHeight="1" x14ac:dyDescent="0.3">
      <c r="A249" s="94"/>
      <c r="B249" s="94"/>
      <c r="C249" s="94"/>
      <c r="D249" s="95"/>
      <c r="E249" s="2"/>
      <c r="F249" s="94"/>
      <c r="G249" s="96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</row>
    <row r="250" spans="1:26" ht="14.25" customHeight="1" x14ac:dyDescent="0.3">
      <c r="A250" s="94"/>
      <c r="B250" s="94"/>
      <c r="C250" s="94"/>
      <c r="D250" s="95"/>
      <c r="E250" s="2"/>
      <c r="F250" s="94"/>
      <c r="G250" s="96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</row>
    <row r="251" spans="1:26" ht="14.25" customHeight="1" x14ac:dyDescent="0.3">
      <c r="A251" s="94"/>
      <c r="B251" s="94"/>
      <c r="C251" s="94"/>
      <c r="D251" s="95"/>
      <c r="E251" s="2"/>
      <c r="F251" s="94"/>
      <c r="G251" s="96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</row>
    <row r="252" spans="1:26" ht="14.25" customHeight="1" x14ac:dyDescent="0.3">
      <c r="A252" s="94"/>
      <c r="B252" s="94"/>
      <c r="C252" s="94"/>
      <c r="D252" s="95"/>
      <c r="E252" s="2"/>
      <c r="F252" s="94"/>
      <c r="G252" s="96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</row>
    <row r="253" spans="1:26" ht="14.25" customHeight="1" x14ac:dyDescent="0.3">
      <c r="A253" s="94"/>
      <c r="B253" s="94"/>
      <c r="C253" s="94"/>
      <c r="D253" s="95"/>
      <c r="E253" s="2"/>
      <c r="F253" s="94"/>
      <c r="G253" s="96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</row>
    <row r="254" spans="1:26" ht="14.25" customHeight="1" x14ac:dyDescent="0.3">
      <c r="A254" s="94"/>
      <c r="B254" s="94"/>
      <c r="C254" s="94"/>
      <c r="D254" s="95"/>
      <c r="E254" s="2"/>
      <c r="F254" s="94"/>
      <c r="G254" s="96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</row>
    <row r="255" spans="1:26" ht="14.25" customHeight="1" x14ac:dyDescent="0.3">
      <c r="A255" s="94"/>
      <c r="B255" s="94"/>
      <c r="C255" s="94"/>
      <c r="D255" s="95"/>
      <c r="E255" s="2"/>
      <c r="F255" s="94"/>
      <c r="G255" s="96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</row>
    <row r="256" spans="1:26" ht="14.25" customHeight="1" x14ac:dyDescent="0.3">
      <c r="A256" s="94"/>
      <c r="B256" s="94"/>
      <c r="C256" s="94"/>
      <c r="D256" s="95"/>
      <c r="E256" s="2"/>
      <c r="F256" s="94"/>
      <c r="G256" s="96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</row>
    <row r="257" spans="1:26" ht="14.25" customHeight="1" x14ac:dyDescent="0.3">
      <c r="A257" s="94"/>
      <c r="B257" s="94"/>
      <c r="C257" s="94"/>
      <c r="D257" s="95"/>
      <c r="E257" s="2"/>
      <c r="F257" s="94"/>
      <c r="G257" s="96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</row>
    <row r="258" spans="1:26" ht="14.25" customHeight="1" x14ac:dyDescent="0.3">
      <c r="A258" s="94"/>
      <c r="B258" s="94"/>
      <c r="C258" s="94"/>
      <c r="D258" s="95"/>
      <c r="E258" s="2"/>
      <c r="F258" s="94"/>
      <c r="G258" s="96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</row>
    <row r="259" spans="1:26" ht="14.25" customHeight="1" x14ac:dyDescent="0.3">
      <c r="A259" s="94"/>
      <c r="B259" s="94"/>
      <c r="C259" s="94"/>
      <c r="D259" s="95"/>
      <c r="E259" s="2"/>
      <c r="F259" s="94"/>
      <c r="G259" s="96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</row>
    <row r="260" spans="1:26" ht="14.25" customHeight="1" x14ac:dyDescent="0.3">
      <c r="A260" s="94"/>
      <c r="B260" s="94"/>
      <c r="C260" s="94"/>
      <c r="D260" s="95"/>
      <c r="E260" s="2"/>
      <c r="F260" s="94"/>
      <c r="G260" s="96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</row>
    <row r="261" spans="1:26" ht="14.25" customHeight="1" x14ac:dyDescent="0.3">
      <c r="A261" s="94"/>
      <c r="B261" s="94"/>
      <c r="C261" s="94"/>
      <c r="D261" s="95"/>
      <c r="E261" s="2"/>
      <c r="F261" s="94"/>
      <c r="G261" s="96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</row>
    <row r="262" spans="1:26" ht="14.25" customHeight="1" x14ac:dyDescent="0.3">
      <c r="A262" s="94"/>
      <c r="B262" s="94"/>
      <c r="C262" s="94"/>
      <c r="D262" s="95"/>
      <c r="E262" s="2"/>
      <c r="F262" s="94"/>
      <c r="G262" s="96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</row>
    <row r="263" spans="1:26" ht="14.25" customHeight="1" x14ac:dyDescent="0.3">
      <c r="A263" s="94"/>
      <c r="B263" s="94"/>
      <c r="C263" s="94"/>
      <c r="D263" s="95"/>
      <c r="E263" s="2"/>
      <c r="F263" s="94"/>
      <c r="G263" s="96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</row>
    <row r="264" spans="1:26" ht="14.25" customHeight="1" x14ac:dyDescent="0.3">
      <c r="A264" s="94"/>
      <c r="B264" s="94"/>
      <c r="C264" s="94"/>
      <c r="D264" s="95"/>
      <c r="E264" s="2"/>
      <c r="F264" s="94"/>
      <c r="G264" s="96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</row>
    <row r="265" spans="1:26" ht="14.25" customHeight="1" x14ac:dyDescent="0.3">
      <c r="A265" s="94"/>
      <c r="B265" s="94"/>
      <c r="C265" s="94"/>
      <c r="D265" s="95"/>
      <c r="E265" s="2"/>
      <c r="F265" s="94"/>
      <c r="G265" s="96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</row>
    <row r="266" spans="1:26" ht="14.25" customHeight="1" x14ac:dyDescent="0.3">
      <c r="A266" s="94"/>
      <c r="B266" s="94"/>
      <c r="C266" s="94"/>
      <c r="D266" s="95"/>
      <c r="E266" s="2"/>
      <c r="F266" s="94"/>
      <c r="G266" s="96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</row>
    <row r="267" spans="1:26" ht="14.25" customHeight="1" x14ac:dyDescent="0.3">
      <c r="A267" s="94"/>
      <c r="B267" s="94"/>
      <c r="C267" s="94"/>
      <c r="D267" s="95"/>
      <c r="E267" s="2"/>
      <c r="F267" s="94"/>
      <c r="G267" s="96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</row>
    <row r="268" spans="1:26" ht="14.25" customHeight="1" x14ac:dyDescent="0.3">
      <c r="A268" s="94"/>
      <c r="B268" s="94"/>
      <c r="C268" s="94"/>
      <c r="D268" s="95"/>
      <c r="E268" s="2"/>
      <c r="F268" s="94"/>
      <c r="G268" s="96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</row>
    <row r="269" spans="1:26" ht="14.25" customHeight="1" x14ac:dyDescent="0.3">
      <c r="A269" s="94"/>
      <c r="B269" s="94"/>
      <c r="C269" s="94"/>
      <c r="D269" s="95"/>
      <c r="E269" s="2"/>
      <c r="F269" s="94"/>
      <c r="G269" s="96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</row>
    <row r="270" spans="1:26" ht="14.25" customHeight="1" x14ac:dyDescent="0.3">
      <c r="A270" s="94"/>
      <c r="B270" s="94"/>
      <c r="C270" s="94"/>
      <c r="D270" s="95"/>
      <c r="E270" s="2"/>
      <c r="F270" s="94"/>
      <c r="G270" s="96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</row>
    <row r="271" spans="1:26" ht="14.25" customHeight="1" x14ac:dyDescent="0.3">
      <c r="A271" s="94"/>
      <c r="B271" s="94"/>
      <c r="C271" s="94"/>
      <c r="D271" s="95"/>
      <c r="E271" s="2"/>
      <c r="F271" s="94"/>
      <c r="G271" s="96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</row>
    <row r="272" spans="1:26" ht="14.25" customHeight="1" x14ac:dyDescent="0.3">
      <c r="A272" s="94"/>
      <c r="B272" s="94"/>
      <c r="C272" s="94"/>
      <c r="D272" s="95"/>
      <c r="E272" s="2"/>
      <c r="F272" s="94"/>
      <c r="G272" s="96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</row>
    <row r="273" spans="1:26" ht="14.25" customHeight="1" x14ac:dyDescent="0.3">
      <c r="A273" s="94"/>
      <c r="B273" s="94"/>
      <c r="C273" s="94"/>
      <c r="D273" s="95"/>
      <c r="E273" s="2"/>
      <c r="F273" s="94"/>
      <c r="G273" s="96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</row>
    <row r="274" spans="1:26" ht="14.25" customHeight="1" x14ac:dyDescent="0.3">
      <c r="A274" s="94"/>
      <c r="B274" s="94"/>
      <c r="C274" s="94"/>
      <c r="D274" s="95"/>
      <c r="E274" s="2"/>
      <c r="F274" s="94"/>
      <c r="G274" s="96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</row>
    <row r="275" spans="1:26" ht="15.75" customHeight="1" x14ac:dyDescent="0.3"/>
    <row r="276" spans="1:26" ht="15.75" customHeight="1" x14ac:dyDescent="0.3"/>
    <row r="277" spans="1:26" ht="15.75" customHeight="1" x14ac:dyDescent="0.3"/>
    <row r="278" spans="1:26" ht="15.75" customHeight="1" x14ac:dyDescent="0.3"/>
    <row r="279" spans="1:26" ht="15.75" customHeight="1" x14ac:dyDescent="0.3"/>
    <row r="280" spans="1:26" ht="15.75" customHeight="1" x14ac:dyDescent="0.3"/>
    <row r="281" spans="1:26" ht="15.75" customHeight="1" x14ac:dyDescent="0.3"/>
    <row r="282" spans="1:26" ht="15.75" customHeight="1" x14ac:dyDescent="0.3"/>
    <row r="283" spans="1:26" ht="15.75" customHeight="1" x14ac:dyDescent="0.3"/>
    <row r="284" spans="1:26" ht="15.75" customHeight="1" x14ac:dyDescent="0.3"/>
    <row r="285" spans="1:26" ht="15.75" customHeight="1" x14ac:dyDescent="0.3"/>
    <row r="286" spans="1:26" ht="15.75" customHeight="1" x14ac:dyDescent="0.3"/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</sheetData>
  <mergeCells count="1">
    <mergeCell ref="C4:H4"/>
  </mergeCells>
  <pageMargins left="0.7" right="0.7" top="0.75" bottom="0.75" header="0" footer="0"/>
  <pageSetup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</vt:lpstr>
      <vt:lpstr>demografi</vt:lpstr>
      <vt:lpstr>Sheet1</vt:lpstr>
      <vt:lpstr>dashboard (EDIT)</vt:lpstr>
      <vt:lpstr>Sheet2</vt:lpstr>
      <vt:lpstr>Database</vt:lpstr>
      <vt:lpstr>logut</vt:lpstr>
      <vt:lpstr>Data Mutasi</vt:lpstr>
      <vt:lpstr>DataFoto</vt:lpstr>
      <vt:lpstr>CV</vt:lpstr>
      <vt:lpstr>CV!Print_Area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YOVI MAHA PUTRA</cp:lastModifiedBy>
  <cp:lastPrinted>2025-02-10T05:44:00Z</cp:lastPrinted>
  <dcterms:created xsi:type="dcterms:W3CDTF">2019-10-15T01:49:03Z</dcterms:created>
  <dcterms:modified xsi:type="dcterms:W3CDTF">2025-09-30T03:31:46Z</dcterms:modified>
</cp:coreProperties>
</file>