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forma" sheetId="1" r:id="rId4"/>
    <sheet state="visible" name="Payroll" sheetId="2" r:id="rId5"/>
    <sheet state="hidden" name="KPIs" sheetId="3" r:id="rId6"/>
    <sheet state="visible" name="Revenue" sheetId="4" r:id="rId7"/>
  </sheets>
  <definedNames/>
  <calcPr/>
</workbook>
</file>

<file path=xl/sharedStrings.xml><?xml version="1.0" encoding="utf-8"?>
<sst xmlns="http://schemas.openxmlformats.org/spreadsheetml/2006/main" count="136" uniqueCount="68">
  <si>
    <t>Year</t>
  </si>
  <si>
    <t>Fleets</t>
  </si>
  <si>
    <t>Employees</t>
  </si>
  <si>
    <t>Total Revenue ($)</t>
  </si>
  <si>
    <t>EBITDA ($)</t>
  </si>
  <si>
    <t>Avg Rev/Employee ($)</t>
  </si>
  <si>
    <t>Lifetime(months)</t>
  </si>
  <si>
    <t>LTV</t>
  </si>
  <si>
    <t>Churn Rate</t>
  </si>
  <si>
    <t>LTV:CAC</t>
  </si>
  <si>
    <t>CAC Avg</t>
  </si>
  <si>
    <t>Exec</t>
  </si>
  <si>
    <t>Eng</t>
  </si>
  <si>
    <t>Sales/Marketing</t>
  </si>
  <si>
    <t>Total Revenue</t>
  </si>
  <si>
    <t>COGS</t>
  </si>
  <si>
    <t>Gross Profit</t>
  </si>
  <si>
    <t>Gross Margin %</t>
  </si>
  <si>
    <t>CAC</t>
  </si>
  <si>
    <t>Payroll</t>
  </si>
  <si>
    <t>Contract Work</t>
  </si>
  <si>
    <t>Commission</t>
  </si>
  <si>
    <t>Rent &amp; Utilities</t>
  </si>
  <si>
    <t>Marketing</t>
  </si>
  <si>
    <t>Expenses</t>
  </si>
  <si>
    <t>EBITDA</t>
  </si>
  <si>
    <t>EBITDA Margin %</t>
  </si>
  <si>
    <t>Avg Rev/Empl (Annual)</t>
  </si>
  <si>
    <t>Cash(End of Period)</t>
  </si>
  <si>
    <t>Cash On Hand</t>
  </si>
  <si>
    <t>Total Payroll</t>
  </si>
  <si>
    <t>Payroll Sales Monthly</t>
  </si>
  <si>
    <t>Payroll Exec Monthly</t>
  </si>
  <si>
    <t>Payroll Eng Monthly</t>
  </si>
  <si>
    <t>Month</t>
  </si>
  <si>
    <t>No. of Fleets</t>
  </si>
  <si>
    <t>Total Rev</t>
  </si>
  <si>
    <t>June</t>
  </si>
  <si>
    <t>Annual Revenue Per Customer (ARPU) (Subscription Only)</t>
  </si>
  <si>
    <t>July</t>
  </si>
  <si>
    <t>Annual Revenue Per Customer (ARPU) with Upsell</t>
  </si>
  <si>
    <t>August</t>
  </si>
  <si>
    <t>*2025, only 6 months of full subscriptions estimated, with no Upsells</t>
  </si>
  <si>
    <t>September</t>
  </si>
  <si>
    <t>Subscription increase to adjust for inflation is not added in</t>
  </si>
  <si>
    <t>October</t>
  </si>
  <si>
    <t>Expanding to Ports and Railyards in year 2(2027)</t>
  </si>
  <si>
    <t>November</t>
  </si>
  <si>
    <t>December</t>
  </si>
  <si>
    <t>Annual Revenue Per Customer (ARPU) Calculations</t>
  </si>
  <si>
    <t>Annual Total</t>
  </si>
  <si>
    <t>Monthly subscription per fleet location(Averaged over three tiers (50:30:20)</t>
  </si>
  <si>
    <t>Average fleet has 2 locations</t>
  </si>
  <si>
    <t>$998/month</t>
  </si>
  <si>
    <t>January</t>
  </si>
  <si>
    <t>Add 4% commission on recovered accessorial fees</t>
  </si>
  <si>
    <t>February</t>
  </si>
  <si>
    <t>Assume avg. $1,000/mo recovered/fleet</t>
  </si>
  <si>
    <t>$40/month</t>
  </si>
  <si>
    <t>March</t>
  </si>
  <si>
    <t>Total ARPU per month</t>
  </si>
  <si>
    <t>$1038/month</t>
  </si>
  <si>
    <t>April</t>
  </si>
  <si>
    <t>Total ARPU annually per fleet</t>
  </si>
  <si>
    <t>May</t>
  </si>
  <si>
    <t>Additional Revenue from Add-Ons &amp; Upsells like Other accessorial fees, Real-time dock analytics, benchmarking tools, detention prediction, integrations, etc.</t>
  </si>
  <si>
    <t>Upsell ARPU increase: +$6000/fleet annually</t>
  </si>
  <si>
    <t>Total ARPU with Upsells=$12,456+$6,000=$18,456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</si>
</sst>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"/>
    <numFmt numFmtId="165" formatCode="&quot;$&quot;#,##0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8.0"/>
      <color theme="1"/>
      <name val="Arial"/>
      <scheme val="minor"/>
    </font>
    <font>
      <sz val="11.0"/>
      <color theme="1"/>
      <name val="Arial"/>
    </font>
    <font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FE1FF"/>
        <bgColor rgb="FF9FE1FF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2" numFmtId="164" xfId="0" applyFont="1" applyNumberFormat="1"/>
    <xf borderId="0" fillId="0" fontId="3" numFmtId="164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2" numFmtId="165" xfId="0" applyFont="1" applyNumberFormat="1"/>
    <xf borderId="0" fillId="0" fontId="2" numFmtId="10" xfId="0" applyAlignment="1" applyFont="1" applyNumberFormat="1">
      <alignment readingOrder="0"/>
    </xf>
    <xf borderId="0" fillId="0" fontId="2" numFmtId="3" xfId="0" applyFont="1" applyNumberFormat="1"/>
    <xf borderId="0" fillId="0" fontId="3" numFmtId="3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0" fontId="3" numFmtId="9" xfId="0" applyAlignment="1" applyFont="1" applyNumberFormat="1">
      <alignment horizontal="right" vertical="bottom"/>
    </xf>
    <xf borderId="0" fillId="0" fontId="0" numFmtId="165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2" numFmtId="1" xfId="0" applyFont="1" applyNumberFormat="1"/>
    <xf borderId="0" fillId="0" fontId="1" numFmtId="0" xfId="0" applyAlignment="1" applyFont="1">
      <alignment horizontal="right" readingOrder="0"/>
    </xf>
    <xf borderId="0" fillId="2" fontId="5" numFmtId="0" xfId="0" applyFill="1" applyFont="1"/>
    <xf borderId="0" fillId="3" fontId="2" numFmtId="0" xfId="0" applyAlignment="1" applyFill="1" applyFont="1">
      <alignment readingOrder="0"/>
    </xf>
    <xf borderId="0" fillId="3" fontId="2" numFmtId="0" xfId="0" applyAlignment="1" applyFont="1">
      <alignment horizontal="center" readingOrder="0"/>
    </xf>
    <xf borderId="0" fillId="3" fontId="2" numFmtId="0" xfId="0" applyFont="1"/>
    <xf borderId="0" fillId="0" fontId="2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0" fillId="0" fontId="2" numFmtId="0" xfId="0" applyFont="1"/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4" numFmtId="164" xfId="0" applyFont="1" applyNumberForma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readingOrder="0"/>
    </xf>
    <xf borderId="0" fillId="0" fontId="8" numFmtId="0" xfId="0" applyFont="1"/>
    <xf borderId="0" fillId="0" fontId="4" numFmtId="0" xfId="0" applyFont="1"/>
    <xf borderId="0" fillId="0" fontId="10" numFmtId="0" xfId="0" applyAlignment="1" applyFont="1">
      <alignment readingOrder="0"/>
    </xf>
    <xf borderId="0" fillId="0" fontId="10" numFmtId="0" xfId="0" applyFont="1"/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6.13"/>
    <col customWidth="1" min="3" max="3" width="9.75"/>
    <col customWidth="1" min="4" max="4" width="14.75"/>
    <col customWidth="1" min="5" max="5" width="11.25"/>
    <col customWidth="1" min="6" max="6" width="18.5"/>
    <col customWidth="1" min="8" max="8" width="10.25"/>
    <col customWidth="1" min="9" max="9" width="11.25"/>
    <col customWidth="1" min="10" max="10" width="13.63"/>
    <col customWidth="1" min="11" max="11" width="6.88"/>
    <col customWidth="1" min="12" max="12" width="10.25"/>
    <col customWidth="1" min="13" max="13" width="12.5"/>
    <col customWidth="1" min="14" max="14" width="11.0"/>
    <col customWidth="1" min="16" max="16" width="10.25"/>
    <col customWidth="1" min="17" max="17" width="17.13"/>
    <col customWidth="1" min="18" max="18" width="12.38"/>
    <col customWidth="1" min="19" max="19" width="15.13"/>
    <col customWidth="1" min="20" max="20" width="19.38"/>
    <col customWidth="1" min="21" max="21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2025.0</v>
      </c>
      <c r="B2" s="3">
        <v>200.0</v>
      </c>
      <c r="C2" s="4">
        <v>4.0</v>
      </c>
      <c r="D2" s="5">
        <f>Revenue!D11</f>
        <v>511734</v>
      </c>
      <c r="E2" s="6">
        <v>272992.93333333335</v>
      </c>
      <c r="F2" s="6">
        <v>230479.33333333334</v>
      </c>
      <c r="J2" s="2" t="s">
        <v>6</v>
      </c>
      <c r="K2" s="2">
        <v>66.7</v>
      </c>
    </row>
    <row r="3">
      <c r="A3" s="2">
        <v>2026.0</v>
      </c>
      <c r="B3" s="7">
        <v>1000.0</v>
      </c>
      <c r="C3" s="4">
        <v>25.0</v>
      </c>
      <c r="D3" s="6">
        <f>Revenue!D25</f>
        <v>13179891</v>
      </c>
      <c r="E3" s="6">
        <v>1541093.8000000007</v>
      </c>
      <c r="F3" s="6">
        <v>532908.64</v>
      </c>
      <c r="J3" s="2" t="s">
        <v>7</v>
      </c>
      <c r="K3" s="8">
        <f>33*500</f>
        <v>16500</v>
      </c>
    </row>
    <row r="4">
      <c r="A4" s="2">
        <v>2027.0</v>
      </c>
      <c r="B4" s="7">
        <v>3400.0</v>
      </c>
      <c r="C4" s="4">
        <v>50.0</v>
      </c>
      <c r="D4" s="6">
        <f>Revenue!D39</f>
        <v>36964292</v>
      </c>
      <c r="E4" s="6">
        <v>1.6148141173333332E7</v>
      </c>
      <c r="F4" s="6">
        <v>747297.1733333333</v>
      </c>
      <c r="J4" s="2" t="s">
        <v>8</v>
      </c>
      <c r="K4" s="9">
        <v>0.015</v>
      </c>
    </row>
    <row r="5">
      <c r="A5" s="2">
        <v>2028.0</v>
      </c>
      <c r="B5" s="7">
        <v>6000.0</v>
      </c>
      <c r="C5" s="4">
        <v>90.0</v>
      </c>
      <c r="D5" s="6">
        <f>Revenue!D53</f>
        <v>86426756.5</v>
      </c>
      <c r="E5" s="6">
        <v>5.232402823333333E7</v>
      </c>
      <c r="F5" s="6">
        <v>970703.6370370369</v>
      </c>
      <c r="J5" s="2" t="s">
        <v>9</v>
      </c>
      <c r="K5" s="10">
        <f>K3/K6</f>
        <v>37.00934579</v>
      </c>
    </row>
    <row r="6">
      <c r="A6" s="2">
        <v>2029.0</v>
      </c>
      <c r="B6" s="7">
        <v>13000.0</v>
      </c>
      <c r="C6" s="4">
        <v>175.0</v>
      </c>
      <c r="D6" s="6">
        <f>Revenue!D67</f>
        <v>165884835</v>
      </c>
      <c r="E6" s="6">
        <v>1.043869156E8</v>
      </c>
      <c r="F6" s="6">
        <v>958185.4857142858</v>
      </c>
      <c r="J6" s="2" t="s">
        <v>10</v>
      </c>
      <c r="K6" s="8">
        <f>AVERAGE(K10:K15)</f>
        <v>445.8333333</v>
      </c>
    </row>
    <row r="7">
      <c r="A7" s="2">
        <v>2030.0</v>
      </c>
      <c r="B7" s="11">
        <v>25000.0</v>
      </c>
      <c r="C7" s="12">
        <v>340.0</v>
      </c>
      <c r="D7" s="6">
        <f>Revenue!D81</f>
        <v>340859250</v>
      </c>
      <c r="E7" s="6">
        <v>2.189519846666667E8</v>
      </c>
      <c r="F7" s="6">
        <v>1002131.2745098041</v>
      </c>
    </row>
    <row r="9">
      <c r="A9" s="1" t="s">
        <v>0</v>
      </c>
      <c r="B9" s="1" t="s">
        <v>1</v>
      </c>
      <c r="C9" s="1" t="s">
        <v>2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  <c r="K9" s="1" t="s">
        <v>18</v>
      </c>
      <c r="L9" s="1" t="s">
        <v>19</v>
      </c>
      <c r="M9" s="1" t="s">
        <v>20</v>
      </c>
      <c r="N9" s="1" t="s">
        <v>21</v>
      </c>
      <c r="O9" s="1" t="s">
        <v>22</v>
      </c>
      <c r="P9" s="1" t="s">
        <v>23</v>
      </c>
      <c r="Q9" s="1" t="s">
        <v>24</v>
      </c>
      <c r="R9" s="1" t="s">
        <v>25</v>
      </c>
      <c r="S9" s="1" t="s">
        <v>26</v>
      </c>
      <c r="T9" s="1" t="s">
        <v>27</v>
      </c>
      <c r="U9" s="13" t="s">
        <v>28</v>
      </c>
      <c r="V9" s="13" t="s">
        <v>29</v>
      </c>
    </row>
    <row r="10">
      <c r="A10" s="2">
        <v>2025.0</v>
      </c>
      <c r="B10" s="3">
        <v>200.0</v>
      </c>
      <c r="C10" s="4">
        <v>4.0</v>
      </c>
      <c r="D10" s="2">
        <v>0.0</v>
      </c>
      <c r="E10" s="2">
        <v>2.0</v>
      </c>
      <c r="F10" s="2">
        <v>2.0</v>
      </c>
      <c r="G10" s="5">
        <f>Revenue!D11</f>
        <v>511734</v>
      </c>
      <c r="H10" s="6">
        <v>120000.0</v>
      </c>
      <c r="I10" s="6">
        <f t="shared" ref="I10:I15" si="1">G10-H10</f>
        <v>391734</v>
      </c>
      <c r="J10" s="14">
        <f t="shared" ref="J10:J15" si="2">(G10-H10)/G10</f>
        <v>0.7655031716</v>
      </c>
      <c r="K10" s="15">
        <v>500.0</v>
      </c>
      <c r="L10" s="8">
        <v>68000.0</v>
      </c>
      <c r="M10" s="16">
        <f t="shared" ref="M10:M12" si="3">L10*0.4</f>
        <v>27200</v>
      </c>
      <c r="N10" s="16">
        <f t="shared" ref="N10:N11" si="4">G10*0.15</f>
        <v>76760.1</v>
      </c>
      <c r="O10" s="16">
        <v>10000.0</v>
      </c>
      <c r="P10" s="16">
        <f>G10*0.2</f>
        <v>102346.8</v>
      </c>
      <c r="Q10" s="6">
        <f t="shared" ref="Q10:Q15" si="5">SUM(L10:P10)</f>
        <v>284306.9</v>
      </c>
      <c r="R10" s="6">
        <f t="shared" ref="R10:R15" si="6">I10-Q10</f>
        <v>107427.1</v>
      </c>
      <c r="S10" s="14">
        <f t="shared" ref="S10:S15" si="7">R10/G10</f>
        <v>0.2099276186</v>
      </c>
      <c r="T10" s="6">
        <v>230479.33333333334</v>
      </c>
      <c r="U10" s="5">
        <f>G10-H10-Q10</f>
        <v>107427.1</v>
      </c>
    </row>
    <row r="11">
      <c r="A11" s="2">
        <v>2026.0</v>
      </c>
      <c r="B11" s="7">
        <v>1000.0</v>
      </c>
      <c r="C11" s="4">
        <v>25.0</v>
      </c>
      <c r="D11" s="2">
        <v>1.0</v>
      </c>
      <c r="E11" s="2">
        <v>10.0</v>
      </c>
      <c r="F11" s="2">
        <v>14.0</v>
      </c>
      <c r="G11" s="6">
        <f>Revenue!D25</f>
        <v>13179891</v>
      </c>
      <c r="H11" s="6">
        <v>2200000.0</v>
      </c>
      <c r="I11" s="6">
        <f t="shared" si="1"/>
        <v>10979891</v>
      </c>
      <c r="J11" s="14">
        <f t="shared" si="2"/>
        <v>0.8330790444</v>
      </c>
      <c r="K11" s="17">
        <v>500.0</v>
      </c>
      <c r="L11" s="8">
        <v>2526000.0</v>
      </c>
      <c r="M11" s="16">
        <f t="shared" si="3"/>
        <v>1010400</v>
      </c>
      <c r="N11" s="16">
        <f t="shared" si="4"/>
        <v>1976983.65</v>
      </c>
      <c r="O11" s="16">
        <v>50000.0</v>
      </c>
      <c r="P11" s="16">
        <f>G11*0.3</f>
        <v>3953967.3</v>
      </c>
      <c r="Q11" s="6">
        <f t="shared" si="5"/>
        <v>9517350.95</v>
      </c>
      <c r="R11" s="6">
        <f t="shared" si="6"/>
        <v>1462540.05</v>
      </c>
      <c r="S11" s="14">
        <f t="shared" si="7"/>
        <v>0.1109675376</v>
      </c>
      <c r="T11" s="6">
        <v>532908.64</v>
      </c>
    </row>
    <row r="12">
      <c r="A12" s="2">
        <v>2027.0</v>
      </c>
      <c r="B12" s="7">
        <v>3400.0</v>
      </c>
      <c r="C12" s="4">
        <v>50.0</v>
      </c>
      <c r="D12" s="2">
        <v>2.0</v>
      </c>
      <c r="E12" s="2">
        <v>20.0</v>
      </c>
      <c r="F12" s="2">
        <v>28.0</v>
      </c>
      <c r="G12" s="6">
        <f>Revenue!D39</f>
        <v>36964292</v>
      </c>
      <c r="H12" s="6">
        <v>5400000.0</v>
      </c>
      <c r="I12" s="6">
        <f t="shared" si="1"/>
        <v>31564292</v>
      </c>
      <c r="J12" s="14">
        <f t="shared" si="2"/>
        <v>0.8539130683</v>
      </c>
      <c r="K12" s="17">
        <v>475.0</v>
      </c>
      <c r="L12" s="8">
        <v>5052000.0</v>
      </c>
      <c r="M12" s="16">
        <f t="shared" si="3"/>
        <v>2020800</v>
      </c>
      <c r="N12" s="16">
        <f>G12*0.08</f>
        <v>2957143.36</v>
      </c>
      <c r="O12" s="16">
        <v>150000.0</v>
      </c>
      <c r="P12" s="16">
        <f>G12*0.15</f>
        <v>5544643.8</v>
      </c>
      <c r="Q12" s="6">
        <f t="shared" si="5"/>
        <v>15724587.16</v>
      </c>
      <c r="R12" s="6">
        <f t="shared" si="6"/>
        <v>15839704.84</v>
      </c>
      <c r="S12" s="14">
        <f t="shared" si="7"/>
        <v>0.4285136813</v>
      </c>
      <c r="T12" s="6">
        <v>747297.1733333333</v>
      </c>
    </row>
    <row r="13">
      <c r="A13" s="2">
        <v>2028.0</v>
      </c>
      <c r="B13" s="7">
        <v>6000.0</v>
      </c>
      <c r="C13" s="4">
        <v>90.0</v>
      </c>
      <c r="D13" s="2">
        <v>4.0</v>
      </c>
      <c r="E13" s="2">
        <v>30.0</v>
      </c>
      <c r="F13" s="2">
        <v>56.0</v>
      </c>
      <c r="G13" s="6">
        <f>Revenue!D53</f>
        <v>86426756.5</v>
      </c>
      <c r="H13" s="6">
        <v>1.1E7</v>
      </c>
      <c r="I13" s="6">
        <f t="shared" si="1"/>
        <v>75426756.5</v>
      </c>
      <c r="J13" s="14">
        <f t="shared" si="2"/>
        <v>0.8727246</v>
      </c>
      <c r="K13" s="17">
        <v>450.0</v>
      </c>
      <c r="L13" s="8">
        <v>8904000.0</v>
      </c>
      <c r="M13" s="16">
        <f t="shared" ref="M13:M15" si="8">L13*0.2</f>
        <v>1780800</v>
      </c>
      <c r="N13" s="16">
        <f>G13*0.07</f>
        <v>6049872.955</v>
      </c>
      <c r="O13" s="16">
        <v>250000.0</v>
      </c>
      <c r="P13" s="16">
        <f t="shared" ref="P13:P15" si="9">G13*0.08</f>
        <v>6914140.52</v>
      </c>
      <c r="Q13" s="6">
        <f t="shared" si="5"/>
        <v>23898813.48</v>
      </c>
      <c r="R13" s="6">
        <f t="shared" si="6"/>
        <v>51527943.03</v>
      </c>
      <c r="S13" s="14">
        <f t="shared" si="7"/>
        <v>0.5962035961</v>
      </c>
      <c r="T13" s="6">
        <v>970703.6370370369</v>
      </c>
    </row>
    <row r="14">
      <c r="A14" s="2">
        <v>2029.0</v>
      </c>
      <c r="B14" s="7">
        <v>13000.0</v>
      </c>
      <c r="C14" s="4">
        <v>175.0</v>
      </c>
      <c r="D14" s="2">
        <v>4.0</v>
      </c>
      <c r="E14" s="2">
        <v>50.0</v>
      </c>
      <c r="F14" s="2">
        <v>125.0</v>
      </c>
      <c r="G14" s="6">
        <f>Revenue!D67</f>
        <v>165884835</v>
      </c>
      <c r="H14" s="6">
        <v>1.9E7</v>
      </c>
      <c r="I14" s="6">
        <f t="shared" si="1"/>
        <v>146884835</v>
      </c>
      <c r="J14" s="14">
        <f t="shared" si="2"/>
        <v>0.8854627067</v>
      </c>
      <c r="K14" s="17">
        <v>400.0</v>
      </c>
      <c r="L14" s="8">
        <v>1.71E7</v>
      </c>
      <c r="M14" s="16">
        <f t="shared" si="8"/>
        <v>3420000</v>
      </c>
      <c r="N14" s="16">
        <f t="shared" ref="N14:N15" si="10">G14*0.06</f>
        <v>9953090.1</v>
      </c>
      <c r="O14" s="16">
        <v>300000.0</v>
      </c>
      <c r="P14" s="16">
        <f t="shared" si="9"/>
        <v>13270786.8</v>
      </c>
      <c r="Q14" s="6">
        <f t="shared" si="5"/>
        <v>44043876.9</v>
      </c>
      <c r="R14" s="6">
        <f t="shared" si="6"/>
        <v>102840958.1</v>
      </c>
      <c r="S14" s="14">
        <f t="shared" si="7"/>
        <v>0.6199539464</v>
      </c>
      <c r="T14" s="6">
        <v>958185.4857142858</v>
      </c>
    </row>
    <row r="15">
      <c r="A15" s="2">
        <v>2030.0</v>
      </c>
      <c r="B15" s="11">
        <v>25000.0</v>
      </c>
      <c r="C15" s="12">
        <v>340.0</v>
      </c>
      <c r="D15" s="2">
        <v>6.0</v>
      </c>
      <c r="E15" s="2">
        <v>70.0</v>
      </c>
      <c r="F15" s="2">
        <v>264.0</v>
      </c>
      <c r="G15" s="6">
        <f>Revenue!D81</f>
        <v>340859250</v>
      </c>
      <c r="H15" s="6">
        <v>3.6E7</v>
      </c>
      <c r="I15" s="6">
        <f t="shared" si="1"/>
        <v>304859250</v>
      </c>
      <c r="J15" s="14">
        <f t="shared" si="2"/>
        <v>0.894384559</v>
      </c>
      <c r="K15" s="17">
        <v>350.0</v>
      </c>
      <c r="L15" s="8">
        <v>3.1476E7</v>
      </c>
      <c r="M15" s="16">
        <f t="shared" si="8"/>
        <v>6295200</v>
      </c>
      <c r="N15" s="16">
        <f t="shared" si="10"/>
        <v>20451555</v>
      </c>
      <c r="O15" s="16">
        <v>300000.0</v>
      </c>
      <c r="P15" s="16">
        <f t="shared" si="9"/>
        <v>27268740</v>
      </c>
      <c r="Q15" s="6">
        <f t="shared" si="5"/>
        <v>85791495</v>
      </c>
      <c r="R15" s="6">
        <f t="shared" si="6"/>
        <v>219067755</v>
      </c>
      <c r="S15" s="14">
        <f t="shared" si="7"/>
        <v>0.6426927097</v>
      </c>
      <c r="T15" s="6">
        <v>1002131.2745098041</v>
      </c>
    </row>
    <row r="19">
      <c r="F19" s="1"/>
    </row>
    <row r="20">
      <c r="F20" s="18"/>
    </row>
    <row r="21">
      <c r="F21" s="18"/>
      <c r="I21" s="8"/>
    </row>
    <row r="22">
      <c r="F22" s="18"/>
      <c r="I22" s="8"/>
    </row>
    <row r="23">
      <c r="F23" s="18"/>
      <c r="I23" s="8"/>
      <c r="Q23" s="5">
        <v>717117.3333333334</v>
      </c>
    </row>
    <row r="24">
      <c r="F24" s="18"/>
      <c r="I24" s="8"/>
      <c r="Q24" s="5">
        <v>7974116.0</v>
      </c>
    </row>
    <row r="25">
      <c r="F25" s="18"/>
      <c r="I25" s="8"/>
      <c r="Q25" s="5">
        <v>2.5207658666666664E7</v>
      </c>
    </row>
    <row r="26">
      <c r="I26" s="8"/>
      <c r="Q26" s="5">
        <v>6.342852733333333E7</v>
      </c>
    </row>
    <row r="27">
      <c r="Q27" s="5">
        <v>1.2316246E8</v>
      </c>
    </row>
    <row r="28">
      <c r="Q28" s="5">
        <v>2.5915343333333337E8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4" max="4" width="14.88"/>
  </cols>
  <sheetData>
    <row r="1">
      <c r="A1" s="1" t="s">
        <v>0</v>
      </c>
      <c r="B1" s="1" t="s">
        <v>11</v>
      </c>
      <c r="C1" s="1" t="s">
        <v>12</v>
      </c>
      <c r="D1" s="1" t="s">
        <v>13</v>
      </c>
      <c r="E1" s="19" t="s">
        <v>30</v>
      </c>
    </row>
    <row r="2">
      <c r="A2" s="2">
        <v>2025.0</v>
      </c>
      <c r="B2" s="2">
        <v>0.0</v>
      </c>
      <c r="C2" s="2">
        <v>2.0</v>
      </c>
      <c r="D2" s="2">
        <v>2.0</v>
      </c>
      <c r="E2" s="8">
        <f>(B2*$B$12*2)+(C2*$B$13*2)+(D2*$B$11*2)</f>
        <v>68000</v>
      </c>
    </row>
    <row r="3">
      <c r="A3" s="2">
        <v>2026.0</v>
      </c>
      <c r="B3" s="2">
        <v>1.0</v>
      </c>
      <c r="C3" s="2">
        <v>10.0</v>
      </c>
      <c r="D3" s="2">
        <v>14.0</v>
      </c>
      <c r="E3" s="8">
        <f t="shared" ref="E3:E7" si="1">(B3*$B$12*12)+(C3*$B$13*12)+(D3*$B$11*12)</f>
        <v>2526000</v>
      </c>
    </row>
    <row r="4">
      <c r="A4" s="2">
        <v>2027.0</v>
      </c>
      <c r="B4" s="2">
        <v>2.0</v>
      </c>
      <c r="C4" s="2">
        <v>20.0</v>
      </c>
      <c r="D4" s="2">
        <v>28.0</v>
      </c>
      <c r="E4" s="8">
        <f t="shared" si="1"/>
        <v>5052000</v>
      </c>
    </row>
    <row r="5">
      <c r="A5" s="2">
        <v>2028.0</v>
      </c>
      <c r="B5" s="2">
        <v>4.0</v>
      </c>
      <c r="C5" s="2">
        <v>30.0</v>
      </c>
      <c r="D5" s="2">
        <v>56.0</v>
      </c>
      <c r="E5" s="8">
        <f t="shared" si="1"/>
        <v>8904000</v>
      </c>
    </row>
    <row r="6">
      <c r="A6" s="2">
        <v>2029.0</v>
      </c>
      <c r="B6" s="2">
        <v>4.0</v>
      </c>
      <c r="C6" s="2">
        <v>50.0</v>
      </c>
      <c r="D6" s="2">
        <v>125.0</v>
      </c>
      <c r="E6" s="8">
        <f t="shared" si="1"/>
        <v>17100000</v>
      </c>
    </row>
    <row r="7">
      <c r="A7" s="2">
        <v>2030.0</v>
      </c>
      <c r="B7" s="2">
        <v>6.0</v>
      </c>
      <c r="C7" s="2">
        <v>70.0</v>
      </c>
      <c r="D7" s="2">
        <v>264.0</v>
      </c>
      <c r="E7" s="8">
        <f t="shared" si="1"/>
        <v>31476000</v>
      </c>
    </row>
    <row r="10">
      <c r="I10" s="12"/>
    </row>
    <row r="11">
      <c r="A11" s="2" t="s">
        <v>31</v>
      </c>
      <c r="B11" s="16">
        <v>7000.0</v>
      </c>
      <c r="I11" s="12"/>
    </row>
    <row r="12">
      <c r="A12" s="2" t="s">
        <v>32</v>
      </c>
      <c r="B12" s="16">
        <v>12500.0</v>
      </c>
      <c r="I12" s="12"/>
    </row>
    <row r="13">
      <c r="A13" s="2" t="s">
        <v>33</v>
      </c>
      <c r="B13" s="16">
        <v>10000.0</v>
      </c>
      <c r="I13" s="12"/>
    </row>
    <row r="14">
      <c r="I14" s="12"/>
    </row>
    <row r="15">
      <c r="I15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/>
    </row>
  </sheetData>
  <mergeCells count="1">
    <mergeCell ref="A1:Z10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7.25"/>
    <col customWidth="1" min="5" max="5" width="6.13"/>
    <col customWidth="1" min="6" max="6" width="56.5"/>
    <col customWidth="1" min="7" max="7" width="19.75"/>
  </cols>
  <sheetData>
    <row r="1">
      <c r="A1" s="21" t="s">
        <v>0</v>
      </c>
      <c r="B1" s="21" t="s">
        <v>34</v>
      </c>
      <c r="C1" s="22" t="s">
        <v>35</v>
      </c>
      <c r="D1" s="22" t="s">
        <v>36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>
      <c r="B2" s="2"/>
      <c r="C2" s="24"/>
      <c r="D2" s="24"/>
    </row>
    <row r="3">
      <c r="A3" s="2">
        <v>2025.0</v>
      </c>
      <c r="B3" s="2"/>
      <c r="F3" s="25"/>
      <c r="G3" s="6"/>
    </row>
    <row r="4">
      <c r="B4" s="2" t="s">
        <v>37</v>
      </c>
      <c r="C4" s="26">
        <v>0.0</v>
      </c>
      <c r="D4" s="5">
        <f t="shared" ref="D4:D10" si="1">(C4/12)*$G$4</f>
        <v>0</v>
      </c>
      <c r="F4" s="27" t="s">
        <v>38</v>
      </c>
      <c r="G4" s="6">
        <v>12456.0</v>
      </c>
    </row>
    <row r="5">
      <c r="B5" s="2" t="s">
        <v>39</v>
      </c>
      <c r="C5" s="26">
        <v>3.0</v>
      </c>
      <c r="D5" s="5">
        <f t="shared" si="1"/>
        <v>3114</v>
      </c>
      <c r="F5" s="28" t="s">
        <v>40</v>
      </c>
      <c r="G5" s="29">
        <v>18456.0</v>
      </c>
    </row>
    <row r="6">
      <c r="B6" s="2" t="s">
        <v>41</v>
      </c>
      <c r="C6" s="26">
        <v>20.0</v>
      </c>
      <c r="D6" s="5">
        <f t="shared" si="1"/>
        <v>20760</v>
      </c>
      <c r="F6" s="27" t="s">
        <v>42</v>
      </c>
      <c r="G6" s="30"/>
    </row>
    <row r="7">
      <c r="B7" s="2" t="s">
        <v>43</v>
      </c>
      <c r="C7" s="26">
        <v>40.0</v>
      </c>
      <c r="D7" s="5">
        <f t="shared" si="1"/>
        <v>41520</v>
      </c>
      <c r="F7" s="28" t="s">
        <v>44</v>
      </c>
      <c r="G7" s="30"/>
    </row>
    <row r="8">
      <c r="B8" s="2" t="s">
        <v>45</v>
      </c>
      <c r="C8" s="26">
        <v>80.0</v>
      </c>
      <c r="D8" s="5">
        <f t="shared" si="1"/>
        <v>83040</v>
      </c>
      <c r="F8" s="28" t="s">
        <v>46</v>
      </c>
      <c r="G8" s="30"/>
    </row>
    <row r="9">
      <c r="B9" s="2" t="s">
        <v>47</v>
      </c>
      <c r="C9" s="26">
        <v>150.0</v>
      </c>
      <c r="D9" s="5">
        <f t="shared" si="1"/>
        <v>155700</v>
      </c>
      <c r="F9" s="31"/>
    </row>
    <row r="10">
      <c r="B10" s="2" t="s">
        <v>48</v>
      </c>
      <c r="C10" s="2">
        <v>200.0</v>
      </c>
      <c r="D10" s="5">
        <f t="shared" si="1"/>
        <v>207600</v>
      </c>
      <c r="F10" s="32" t="s">
        <v>49</v>
      </c>
    </row>
    <row r="11">
      <c r="A11" s="2"/>
      <c r="B11" s="2" t="s">
        <v>50</v>
      </c>
      <c r="C11" s="26">
        <v>0.0</v>
      </c>
      <c r="D11" s="5">
        <f>SUM(D4:D10)</f>
        <v>511734</v>
      </c>
      <c r="F11" s="33" t="s">
        <v>51</v>
      </c>
      <c r="G11" s="16">
        <v>499.0</v>
      </c>
    </row>
    <row r="12">
      <c r="A12" s="2">
        <v>2026.0</v>
      </c>
      <c r="C12" s="26">
        <v>0.0</v>
      </c>
      <c r="F12" s="33" t="s">
        <v>52</v>
      </c>
      <c r="G12" s="34" t="s">
        <v>53</v>
      </c>
    </row>
    <row r="13">
      <c r="B13" s="2" t="s">
        <v>54</v>
      </c>
      <c r="C13" s="26">
        <v>300.0</v>
      </c>
      <c r="D13" s="5">
        <f t="shared" ref="D13:D24" si="2">(C13/12)*$G$5</f>
        <v>461400</v>
      </c>
      <c r="F13" s="33" t="s">
        <v>55</v>
      </c>
      <c r="G13" s="35"/>
    </row>
    <row r="14">
      <c r="B14" s="2" t="s">
        <v>56</v>
      </c>
      <c r="C14" s="26">
        <v>500.0</v>
      </c>
      <c r="D14" s="5">
        <f t="shared" si="2"/>
        <v>769000</v>
      </c>
      <c r="F14" s="33" t="s">
        <v>57</v>
      </c>
      <c r="G14" s="34" t="s">
        <v>58</v>
      </c>
    </row>
    <row r="15">
      <c r="B15" s="2" t="s">
        <v>59</v>
      </c>
      <c r="C15" s="26">
        <v>600.0</v>
      </c>
      <c r="D15" s="5">
        <f t="shared" si="2"/>
        <v>922800</v>
      </c>
      <c r="F15" s="33" t="s">
        <v>60</v>
      </c>
      <c r="G15" s="34" t="s">
        <v>61</v>
      </c>
    </row>
    <row r="16">
      <c r="B16" s="2" t="s">
        <v>62</v>
      </c>
      <c r="C16" s="26">
        <v>600.0</v>
      </c>
      <c r="D16" s="5">
        <f t="shared" si="2"/>
        <v>922800</v>
      </c>
      <c r="F16" s="36" t="s">
        <v>63</v>
      </c>
      <c r="G16" s="37">
        <v>12456.0</v>
      </c>
    </row>
    <row r="17">
      <c r="B17" s="2" t="s">
        <v>64</v>
      </c>
      <c r="C17" s="26">
        <v>600.0</v>
      </c>
      <c r="D17" s="5">
        <f t="shared" si="2"/>
        <v>922800</v>
      </c>
      <c r="F17" s="38"/>
    </row>
    <row r="18">
      <c r="B18" s="2" t="s">
        <v>37</v>
      </c>
      <c r="C18" s="26">
        <v>700.0</v>
      </c>
      <c r="D18" s="5">
        <f t="shared" si="2"/>
        <v>1076600</v>
      </c>
      <c r="F18" s="32" t="s">
        <v>65</v>
      </c>
    </row>
    <row r="19">
      <c r="B19" s="2" t="s">
        <v>39</v>
      </c>
      <c r="C19" s="26">
        <v>750.0</v>
      </c>
      <c r="D19" s="5">
        <f t="shared" si="2"/>
        <v>1153500</v>
      </c>
      <c r="F19" s="39"/>
      <c r="G19" s="40"/>
    </row>
    <row r="20">
      <c r="B20" s="2" t="s">
        <v>41</v>
      </c>
      <c r="C20" s="26">
        <v>850.0</v>
      </c>
      <c r="D20" s="5">
        <f t="shared" si="2"/>
        <v>1307300</v>
      </c>
      <c r="F20" s="33" t="s">
        <v>66</v>
      </c>
    </row>
    <row r="21">
      <c r="B21" s="2" t="s">
        <v>43</v>
      </c>
      <c r="C21" s="26">
        <v>900.0</v>
      </c>
      <c r="D21" s="5">
        <f t="shared" si="2"/>
        <v>1384200</v>
      </c>
      <c r="F21" s="33" t="s">
        <v>67</v>
      </c>
    </row>
    <row r="22">
      <c r="B22" s="2" t="s">
        <v>45</v>
      </c>
      <c r="C22" s="26">
        <v>950.0</v>
      </c>
      <c r="D22" s="5">
        <f t="shared" si="2"/>
        <v>1461100</v>
      </c>
      <c r="F22" s="41"/>
    </row>
    <row r="23">
      <c r="B23" s="2" t="s">
        <v>47</v>
      </c>
      <c r="C23" s="26">
        <v>950.0</v>
      </c>
      <c r="D23" s="5">
        <f t="shared" si="2"/>
        <v>1461100</v>
      </c>
    </row>
    <row r="24">
      <c r="B24" s="2" t="s">
        <v>48</v>
      </c>
      <c r="C24" s="26">
        <v>1000.0</v>
      </c>
      <c r="D24" s="5">
        <f t="shared" si="2"/>
        <v>1538000</v>
      </c>
    </row>
    <row r="25">
      <c r="A25" s="2"/>
      <c r="B25" s="13" t="s">
        <v>50</v>
      </c>
      <c r="C25" s="42">
        <v>0.0</v>
      </c>
      <c r="D25" s="43">
        <f>SUM(D13:D24)*0.985</f>
        <v>13179891</v>
      </c>
    </row>
    <row r="26">
      <c r="A26" s="2">
        <v>2027.0</v>
      </c>
      <c r="C26" s="26">
        <v>0.0</v>
      </c>
    </row>
    <row r="27">
      <c r="B27" s="2" t="s">
        <v>54</v>
      </c>
      <c r="C27" s="26">
        <v>1100.0</v>
      </c>
      <c r="D27" s="5">
        <f t="shared" ref="D27:D38" si="3">(C27/12)*$G$5</f>
        <v>1691800</v>
      </c>
    </row>
    <row r="28">
      <c r="B28" s="2" t="s">
        <v>56</v>
      </c>
      <c r="C28" s="26">
        <v>1200.0</v>
      </c>
      <c r="D28" s="5">
        <f t="shared" si="3"/>
        <v>1845600</v>
      </c>
    </row>
    <row r="29">
      <c r="B29" s="2" t="s">
        <v>59</v>
      </c>
      <c r="C29" s="26">
        <v>1300.0</v>
      </c>
      <c r="D29" s="5">
        <f t="shared" si="3"/>
        <v>1999400</v>
      </c>
      <c r="F29" s="41"/>
    </row>
    <row r="30">
      <c r="B30" s="2" t="s">
        <v>62</v>
      </c>
      <c r="C30" s="26">
        <v>1300.0</v>
      </c>
      <c r="D30" s="5">
        <f t="shared" si="3"/>
        <v>1999400</v>
      </c>
    </row>
    <row r="31">
      <c r="B31" s="2" t="s">
        <v>64</v>
      </c>
      <c r="C31" s="26">
        <v>1500.0</v>
      </c>
      <c r="D31" s="5">
        <f t="shared" si="3"/>
        <v>2307000</v>
      </c>
    </row>
    <row r="32">
      <c r="B32" s="2" t="s">
        <v>37</v>
      </c>
      <c r="C32" s="26">
        <v>1700.0</v>
      </c>
      <c r="D32" s="5">
        <f t="shared" si="3"/>
        <v>2614600</v>
      </c>
    </row>
    <row r="33">
      <c r="B33" s="2" t="s">
        <v>39</v>
      </c>
      <c r="C33" s="26">
        <v>1900.0</v>
      </c>
      <c r="D33" s="5">
        <f t="shared" si="3"/>
        <v>2922200</v>
      </c>
    </row>
    <row r="34">
      <c r="B34" s="2" t="s">
        <v>41</v>
      </c>
      <c r="C34" s="26">
        <v>2300.0</v>
      </c>
      <c r="D34" s="5">
        <f t="shared" si="3"/>
        <v>3537400</v>
      </c>
    </row>
    <row r="35">
      <c r="B35" s="2" t="s">
        <v>43</v>
      </c>
      <c r="C35" s="26">
        <v>2500.0</v>
      </c>
      <c r="D35" s="5">
        <f t="shared" si="3"/>
        <v>3845000</v>
      </c>
    </row>
    <row r="36">
      <c r="B36" s="2" t="s">
        <v>45</v>
      </c>
      <c r="C36" s="26">
        <v>3000.0</v>
      </c>
      <c r="D36" s="5">
        <f t="shared" si="3"/>
        <v>4614000</v>
      </c>
    </row>
    <row r="37">
      <c r="B37" s="2" t="s">
        <v>47</v>
      </c>
      <c r="C37" s="26">
        <v>3200.0</v>
      </c>
      <c r="D37" s="5">
        <f t="shared" si="3"/>
        <v>4921600</v>
      </c>
    </row>
    <row r="38">
      <c r="B38" s="2" t="s">
        <v>48</v>
      </c>
      <c r="C38" s="26">
        <v>3400.0</v>
      </c>
      <c r="D38" s="5">
        <f t="shared" si="3"/>
        <v>5229200</v>
      </c>
    </row>
    <row r="39">
      <c r="A39" s="2"/>
      <c r="B39" s="13" t="s">
        <v>50</v>
      </c>
      <c r="C39" s="42">
        <v>0.0</v>
      </c>
      <c r="D39" s="43">
        <f>SUM(D27:D38)*0.985</f>
        <v>36964292</v>
      </c>
    </row>
    <row r="40">
      <c r="A40" s="2">
        <v>2028.0</v>
      </c>
      <c r="C40" s="26">
        <v>0.0</v>
      </c>
    </row>
    <row r="41">
      <c r="B41" s="2" t="s">
        <v>54</v>
      </c>
      <c r="C41" s="26">
        <v>3300.0</v>
      </c>
      <c r="D41" s="5">
        <f t="shared" ref="D41:D52" si="4">(C41/12)*$G$5</f>
        <v>5075400</v>
      </c>
    </row>
    <row r="42">
      <c r="B42" s="2" t="s">
        <v>56</v>
      </c>
      <c r="C42" s="26">
        <v>3500.0</v>
      </c>
      <c r="D42" s="5">
        <f t="shared" si="4"/>
        <v>5383000</v>
      </c>
    </row>
    <row r="43">
      <c r="B43" s="2" t="s">
        <v>59</v>
      </c>
      <c r="C43" s="26">
        <v>3700.0</v>
      </c>
      <c r="D43" s="5">
        <f t="shared" si="4"/>
        <v>5690600</v>
      </c>
    </row>
    <row r="44">
      <c r="B44" s="2" t="s">
        <v>62</v>
      </c>
      <c r="C44" s="26">
        <v>3900.0</v>
      </c>
      <c r="D44" s="5">
        <f t="shared" si="4"/>
        <v>5998200</v>
      </c>
    </row>
    <row r="45">
      <c r="B45" s="2" t="s">
        <v>64</v>
      </c>
      <c r="C45" s="26">
        <v>4400.0</v>
      </c>
      <c r="D45" s="5">
        <f t="shared" si="4"/>
        <v>6767200</v>
      </c>
    </row>
    <row r="46">
      <c r="B46" s="2" t="s">
        <v>37</v>
      </c>
      <c r="C46" s="26">
        <v>4650.0</v>
      </c>
      <c r="D46" s="5">
        <f t="shared" si="4"/>
        <v>7151700</v>
      </c>
    </row>
    <row r="47">
      <c r="B47" s="2" t="s">
        <v>39</v>
      </c>
      <c r="C47" s="26">
        <v>4800.0</v>
      </c>
      <c r="D47" s="5">
        <f t="shared" si="4"/>
        <v>7382400</v>
      </c>
    </row>
    <row r="48">
      <c r="B48" s="2" t="s">
        <v>41</v>
      </c>
      <c r="C48" s="26">
        <v>5200.0</v>
      </c>
      <c r="D48" s="5">
        <f t="shared" si="4"/>
        <v>7997600</v>
      </c>
    </row>
    <row r="49">
      <c r="B49" s="2" t="s">
        <v>43</v>
      </c>
      <c r="C49" s="26">
        <v>5600.0</v>
      </c>
      <c r="D49" s="5">
        <f t="shared" si="4"/>
        <v>8612800</v>
      </c>
    </row>
    <row r="50">
      <c r="B50" s="2" t="s">
        <v>45</v>
      </c>
      <c r="C50" s="2">
        <v>5800.0</v>
      </c>
      <c r="D50" s="5">
        <f t="shared" si="4"/>
        <v>8920400</v>
      </c>
    </row>
    <row r="51">
      <c r="B51" s="2" t="s">
        <v>47</v>
      </c>
      <c r="C51" s="26">
        <v>6000.0</v>
      </c>
      <c r="D51" s="5">
        <f t="shared" si="4"/>
        <v>9228000</v>
      </c>
    </row>
    <row r="52">
      <c r="B52" s="2" t="s">
        <v>48</v>
      </c>
      <c r="C52" s="2">
        <v>6200.0</v>
      </c>
      <c r="D52" s="5">
        <f t="shared" si="4"/>
        <v>9535600</v>
      </c>
    </row>
    <row r="53">
      <c r="A53" s="2"/>
      <c r="B53" s="13" t="s">
        <v>50</v>
      </c>
      <c r="C53" s="42">
        <v>0.0</v>
      </c>
      <c r="D53" s="43">
        <f>SUM(D41:D52)*0.985</f>
        <v>86426756.5</v>
      </c>
    </row>
    <row r="54">
      <c r="A54" s="2">
        <v>2029.0</v>
      </c>
      <c r="C54" s="26">
        <v>0.0</v>
      </c>
    </row>
    <row r="55">
      <c r="B55" s="2" t="s">
        <v>54</v>
      </c>
      <c r="C55" s="26">
        <v>6400.0</v>
      </c>
      <c r="D55" s="5">
        <f t="shared" ref="D55:D66" si="5">(C55/12)*$G$5</f>
        <v>9843200</v>
      </c>
    </row>
    <row r="56">
      <c r="B56" s="2" t="s">
        <v>56</v>
      </c>
      <c r="C56" s="2">
        <v>6800.0</v>
      </c>
      <c r="D56" s="5">
        <f t="shared" si="5"/>
        <v>10458400</v>
      </c>
    </row>
    <row r="57">
      <c r="B57" s="2" t="s">
        <v>59</v>
      </c>
      <c r="C57" s="2">
        <v>7200.0</v>
      </c>
      <c r="D57" s="5">
        <f t="shared" si="5"/>
        <v>11073600</v>
      </c>
    </row>
    <row r="58">
      <c r="B58" s="2" t="s">
        <v>62</v>
      </c>
      <c r="C58" s="2">
        <v>7600.0</v>
      </c>
      <c r="D58" s="5">
        <f t="shared" si="5"/>
        <v>11688800</v>
      </c>
    </row>
    <row r="59">
      <c r="B59" s="2" t="s">
        <v>64</v>
      </c>
      <c r="C59" s="2">
        <v>8000.0</v>
      </c>
      <c r="D59" s="5">
        <f t="shared" si="5"/>
        <v>12304000</v>
      </c>
    </row>
    <row r="60">
      <c r="B60" s="2" t="s">
        <v>37</v>
      </c>
      <c r="C60" s="2">
        <v>9000.0</v>
      </c>
      <c r="D60" s="5">
        <f t="shared" si="5"/>
        <v>13842000</v>
      </c>
    </row>
    <row r="61">
      <c r="B61" s="2" t="s">
        <v>39</v>
      </c>
      <c r="C61" s="2">
        <v>9500.0</v>
      </c>
      <c r="D61" s="5">
        <f t="shared" si="5"/>
        <v>14611000</v>
      </c>
    </row>
    <row r="62">
      <c r="B62" s="2" t="s">
        <v>41</v>
      </c>
      <c r="C62" s="2">
        <v>10000.0</v>
      </c>
      <c r="D62" s="5">
        <f t="shared" si="5"/>
        <v>15380000</v>
      </c>
    </row>
    <row r="63">
      <c r="B63" s="2" t="s">
        <v>43</v>
      </c>
      <c r="C63" s="2">
        <v>10500.0</v>
      </c>
      <c r="D63" s="5">
        <f t="shared" si="5"/>
        <v>16149000</v>
      </c>
    </row>
    <row r="64">
      <c r="B64" s="2" t="s">
        <v>45</v>
      </c>
      <c r="C64" s="2">
        <v>11000.0</v>
      </c>
      <c r="D64" s="5">
        <f t="shared" si="5"/>
        <v>16918000</v>
      </c>
    </row>
    <row r="65">
      <c r="B65" s="2" t="s">
        <v>47</v>
      </c>
      <c r="C65" s="2">
        <v>11500.0</v>
      </c>
      <c r="D65" s="5">
        <f t="shared" si="5"/>
        <v>17687000</v>
      </c>
    </row>
    <row r="66">
      <c r="B66" s="2" t="s">
        <v>48</v>
      </c>
      <c r="C66" s="2">
        <v>12000.0</v>
      </c>
      <c r="D66" s="5">
        <f t="shared" si="5"/>
        <v>18456000</v>
      </c>
    </row>
    <row r="67">
      <c r="B67" s="13" t="s">
        <v>50</v>
      </c>
      <c r="C67" s="42">
        <v>0.0</v>
      </c>
      <c r="D67" s="43">
        <f>SUM(D55:D66)*0.985</f>
        <v>165884835</v>
      </c>
    </row>
    <row r="68">
      <c r="A68" s="2">
        <v>2030.0</v>
      </c>
      <c r="C68" s="26">
        <v>0.0</v>
      </c>
    </row>
    <row r="69">
      <c r="B69" s="2" t="s">
        <v>54</v>
      </c>
      <c r="C69" s="2">
        <v>13000.0</v>
      </c>
      <c r="D69" s="5">
        <f t="shared" ref="D69:D80" si="6">(C69/12)*$G$5</f>
        <v>19994000</v>
      </c>
    </row>
    <row r="70">
      <c r="B70" s="2" t="s">
        <v>56</v>
      </c>
      <c r="C70" s="2">
        <v>13500.0</v>
      </c>
      <c r="D70" s="5">
        <f t="shared" si="6"/>
        <v>20763000</v>
      </c>
    </row>
    <row r="71">
      <c r="B71" s="2" t="s">
        <v>59</v>
      </c>
      <c r="C71" s="2">
        <v>14500.0</v>
      </c>
      <c r="D71" s="5">
        <f t="shared" si="6"/>
        <v>22301000</v>
      </c>
    </row>
    <row r="72">
      <c r="B72" s="2" t="s">
        <v>62</v>
      </c>
      <c r="C72" s="2">
        <v>15500.0</v>
      </c>
      <c r="D72" s="5">
        <f t="shared" si="6"/>
        <v>23839000</v>
      </c>
    </row>
    <row r="73">
      <c r="B73" s="2" t="s">
        <v>64</v>
      </c>
      <c r="C73" s="2">
        <v>16500.0</v>
      </c>
      <c r="D73" s="5">
        <f t="shared" si="6"/>
        <v>25377000</v>
      </c>
    </row>
    <row r="74">
      <c r="B74" s="2" t="s">
        <v>37</v>
      </c>
      <c r="C74" s="2">
        <v>17500.0</v>
      </c>
      <c r="D74" s="5">
        <f t="shared" si="6"/>
        <v>26915000</v>
      </c>
    </row>
    <row r="75">
      <c r="B75" s="2" t="s">
        <v>39</v>
      </c>
      <c r="C75" s="2">
        <v>18000.0</v>
      </c>
      <c r="D75" s="5">
        <f t="shared" si="6"/>
        <v>27684000</v>
      </c>
    </row>
    <row r="76">
      <c r="B76" s="2" t="s">
        <v>41</v>
      </c>
      <c r="C76" s="2">
        <v>20500.0</v>
      </c>
      <c r="D76" s="5">
        <f t="shared" si="6"/>
        <v>31529000</v>
      </c>
    </row>
    <row r="77">
      <c r="B77" s="2" t="s">
        <v>43</v>
      </c>
      <c r="C77" s="2">
        <v>22500.0</v>
      </c>
      <c r="D77" s="5">
        <f t="shared" si="6"/>
        <v>34605000</v>
      </c>
    </row>
    <row r="78">
      <c r="B78" s="2" t="s">
        <v>45</v>
      </c>
      <c r="C78" s="2">
        <v>24000.0</v>
      </c>
      <c r="D78" s="5">
        <f t="shared" si="6"/>
        <v>36912000</v>
      </c>
    </row>
    <row r="79">
      <c r="B79" s="2" t="s">
        <v>47</v>
      </c>
      <c r="C79" s="2">
        <v>24500.0</v>
      </c>
      <c r="D79" s="5">
        <f t="shared" si="6"/>
        <v>37681000</v>
      </c>
    </row>
    <row r="80">
      <c r="B80" s="2" t="s">
        <v>48</v>
      </c>
      <c r="C80" s="2">
        <v>25000.0</v>
      </c>
      <c r="D80" s="5">
        <f t="shared" si="6"/>
        <v>38450000</v>
      </c>
    </row>
    <row r="81">
      <c r="B81" s="13" t="s">
        <v>50</v>
      </c>
      <c r="C81" s="42"/>
      <c r="D81" s="43">
        <f>SUM(D69:D80)*0.985</f>
        <v>340859250</v>
      </c>
    </row>
  </sheetData>
  <drawing r:id="rId1"/>
</worksheet>
</file>