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Penn\CIT591\FinalProject\FINALPROJECT\TestingCases\"/>
    </mc:Choice>
  </mc:AlternateContent>
  <xr:revisionPtr revIDLastSave="0" documentId="13_ncr:1_{A764DC47-A683-417C-A5E1-ABD4C6EEA786}" xr6:coauthVersionLast="45" xr6:coauthVersionMax="45" xr10:uidLastSave="{00000000-0000-0000-0000-000000000000}"/>
  <bookViews>
    <workbookView xWindow="-108" yWindow="-108" windowWidth="23256" windowHeight="12576" tabRatio="852" xr2:uid="{D07F36F3-7DFF-4518-A6DE-11C8F26543AB}"/>
  </bookViews>
  <sheets>
    <sheet name="Overall Score" sheetId="1" r:id="rId1"/>
    <sheet name="Property" sheetId="2" r:id="rId2"/>
    <sheet name="Individual Borrower" sheetId="3" r:id="rId3"/>
    <sheet name="Corporate Borrower" sheetId="7" r:id="rId4"/>
    <sheet name="TestCase1" sheetId="4" r:id="rId5"/>
    <sheet name="TCSummary1" sheetId="5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9" i="5" l="1" a="1"/>
  <c r="B39" i="5" s="1"/>
  <c r="B38" i="5" a="1"/>
  <c r="B38" i="5" s="1"/>
  <c r="B37" i="5"/>
  <c r="B24" i="5"/>
  <c r="B11" i="5"/>
  <c r="B25" i="4"/>
  <c r="B24" i="4"/>
  <c r="D9" i="4"/>
  <c r="B9" i="4"/>
  <c r="B8" i="4" s="1"/>
  <c r="B11" i="4" s="1"/>
  <c r="B6" i="4"/>
  <c r="B5" i="4"/>
  <c r="B4" i="4"/>
  <c r="B3" i="4"/>
  <c r="B16" i="4" l="1"/>
  <c r="B20" i="4" s="1"/>
  <c r="B22" i="4" s="1"/>
  <c r="B27" i="4" l="1"/>
  <c r="B33" i="4"/>
  <c r="B28" i="4"/>
  <c r="H6" i="2" l="1"/>
  <c r="H4" i="2" l="1"/>
  <c r="H6" i="3" l="1"/>
  <c r="H5" i="3"/>
  <c r="H5" i="7" l="1"/>
  <c r="H4" i="7"/>
  <c r="H4" i="3"/>
  <c r="H7" i="2"/>
  <c r="H5" i="2"/>
  <c r="A5" i="1" l="1"/>
  <c r="H6" i="7" l="1"/>
  <c r="I8" i="3" l="1"/>
  <c r="I12" i="2"/>
  <c r="C12" i="1"/>
  <c r="J7" i="3" l="1"/>
  <c r="J5" i="7"/>
  <c r="I8" i="7" l="1"/>
  <c r="J7" i="7"/>
  <c r="J6" i="7"/>
  <c r="J4" i="7"/>
  <c r="J8" i="7" l="1"/>
  <c r="J9" i="2" l="1"/>
  <c r="D12" i="1"/>
  <c r="J10" i="2"/>
  <c r="J6" i="3"/>
  <c r="J5" i="3"/>
  <c r="J4" i="3"/>
  <c r="J11" i="2"/>
  <c r="J8" i="2"/>
  <c r="J7" i="2"/>
  <c r="J6" i="2"/>
  <c r="J4" i="2"/>
  <c r="J8" i="3" l="1"/>
  <c r="C9" i="1"/>
  <c r="D9" i="1" s="1"/>
  <c r="J5" i="2" l="1"/>
  <c r="J12" i="2" s="1"/>
  <c r="C5" i="1" l="1"/>
  <c r="D5" i="1" s="1"/>
  <c r="D14" i="1" s="1"/>
  <c r="C20" i="1" s="1"/>
  <c r="C18" i="1" l="1"/>
  <c r="C1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<sst xmlns="http://schemas.openxmlformats.org/spreadsheetml/2006/main" count="267" uniqueCount="221">
  <si>
    <t>Collateral Type</t>
  </si>
  <si>
    <t>Weight</t>
  </si>
  <si>
    <t>Score</t>
  </si>
  <si>
    <t>Corporate guarantee</t>
  </si>
  <si>
    <t>No guarantee</t>
  </si>
  <si>
    <t>Borrower creditworthiness</t>
  </si>
  <si>
    <t>Overall Score</t>
  </si>
  <si>
    <t>Loan-to-Value (LTV)</t>
  </si>
  <si>
    <t>Debt-Service Coverage ratio (DSCR)</t>
  </si>
  <si>
    <t>Property Characteristics</t>
  </si>
  <si>
    <t>Multi-Residential</t>
  </si>
  <si>
    <t>Retial</t>
  </si>
  <si>
    <t>Office</t>
  </si>
  <si>
    <t>Industrial</t>
  </si>
  <si>
    <t>Hospitality</t>
  </si>
  <si>
    <t>Total</t>
  </si>
  <si>
    <t>Category #</t>
  </si>
  <si>
    <t>P1</t>
  </si>
  <si>
    <t>P2</t>
  </si>
  <si>
    <t>P3</t>
  </si>
  <si>
    <t>P5</t>
  </si>
  <si>
    <t>P6</t>
  </si>
  <si>
    <t>Environment Assessment</t>
  </si>
  <si>
    <t>P7</t>
  </si>
  <si>
    <t>P4.1</t>
  </si>
  <si>
    <t>P4.2</t>
  </si>
  <si>
    <t>Vacancy Rate</t>
  </si>
  <si>
    <t>population &gt; 2million</t>
  </si>
  <si>
    <t>1.5million &gt; population &gt; 1million</t>
  </si>
  <si>
    <t>1million &gt; population &gt; 0.5million</t>
  </si>
  <si>
    <t>population &lt; 0.5 million</t>
  </si>
  <si>
    <t>Borrower Characteristics</t>
  </si>
  <si>
    <t>10-15 years</t>
  </si>
  <si>
    <t>5-10 years</t>
  </si>
  <si>
    <t>&lt; 5 years</t>
  </si>
  <si>
    <t xml:space="preserve">&gt; 20 years </t>
  </si>
  <si>
    <t>Location - Population</t>
  </si>
  <si>
    <t>Other Income-generating property</t>
  </si>
  <si>
    <t>Loan Convenant</t>
  </si>
  <si>
    <t>Next Step:</t>
  </si>
  <si>
    <t>Tenant quality</t>
  </si>
  <si>
    <t>5 (Strong)</t>
  </si>
  <si>
    <t>4 (Above Average)</t>
  </si>
  <si>
    <t>3 (Average)</t>
  </si>
  <si>
    <t>2 (Below Average)</t>
  </si>
  <si>
    <t>1 (Weak)</t>
  </si>
  <si>
    <t>Property is modern and well maintained and is readily adaptable to a wide range of uses. Propery improvements less than 5 years.</t>
  </si>
  <si>
    <t>Property is well maintained and is adaptable to alternate uses with minimal costs. Property improvements between 5 and 10 years ago.</t>
  </si>
  <si>
    <t>Property is adequately maintained with limited deferred maintenances. Property improvements between 10 and 15 years ago.</t>
  </si>
  <si>
    <t>Phase I ESA report provided with no significant environmental issue identified but Phase II ESA is recommended</t>
  </si>
  <si>
    <t>Property Scoring</t>
  </si>
  <si>
    <t xml:space="preserve">Phase I ESA report provided with no environmental issue identified. </t>
  </si>
  <si>
    <t>Project Cash Flow Framework</t>
  </si>
  <si>
    <t>Gross Rental Income</t>
  </si>
  <si>
    <t xml:space="preserve">   - Parking</t>
  </si>
  <si>
    <t xml:space="preserve">   - Laundry</t>
  </si>
  <si>
    <t xml:space="preserve">   - Other income</t>
  </si>
  <si>
    <t>Less Vacancy &amp; Rental Losses</t>
  </si>
  <si>
    <t xml:space="preserve">   - Vacancy loss</t>
  </si>
  <si>
    <t xml:space="preserve">   - Other rental loss </t>
  </si>
  <si>
    <t>Operating Expenses</t>
  </si>
  <si>
    <t xml:space="preserve">   - Property Tax</t>
  </si>
  <si>
    <t xml:space="preserve">   - Property Insurance</t>
  </si>
  <si>
    <t xml:space="preserve">   - Utilities/Janitorial/Maintenance</t>
  </si>
  <si>
    <t xml:space="preserve">   - Structural Maintenance</t>
  </si>
  <si>
    <t xml:space="preserve">   - Misc.</t>
  </si>
  <si>
    <t xml:space="preserve">   - Reserves &amp; Replacement </t>
  </si>
  <si>
    <t>Total Operating Expenses</t>
  </si>
  <si>
    <t xml:space="preserve">   - Principal + interest payment</t>
  </si>
  <si>
    <t>Effective Gross Income (EGI)</t>
  </si>
  <si>
    <t>Cash after Debt Amortisation</t>
  </si>
  <si>
    <t>https://www.mortgagecalculator.org/calculators/mortgage-payment-calculator.php#top</t>
  </si>
  <si>
    <t># of Units</t>
  </si>
  <si>
    <t>notes</t>
  </si>
  <si>
    <t>$/unit</t>
  </si>
  <si>
    <t xml:space="preserve">   - Rental income from units (assume 100% occupancy)</t>
  </si>
  <si>
    <t>3% of EGI; usually between 2-4% of EGI</t>
  </si>
  <si>
    <t>from the most recent property tax statement</t>
  </si>
  <si>
    <t>from the most recent property isnurance invoice</t>
  </si>
  <si>
    <t>from utilities bills, invices from service providers</t>
  </si>
  <si>
    <t>Cap Rate</t>
  </si>
  <si>
    <t>Implied Property Value</t>
  </si>
  <si>
    <t>invoice from engineering firm</t>
  </si>
  <si>
    <t>Annual Financing cost</t>
  </si>
  <si>
    <t>Loan amount</t>
  </si>
  <si>
    <t>Appraised value</t>
  </si>
  <si>
    <t>Loan-toValue (LTV)</t>
  </si>
  <si>
    <t>https://www.census.gov/popclock/</t>
  </si>
  <si>
    <t>Key Metrics</t>
  </si>
  <si>
    <t>D/E Ratio</t>
  </si>
  <si>
    <t>Debt-Equity Ratio (D/E)</t>
  </si>
  <si>
    <t>Corporate Borrower Scoring</t>
  </si>
  <si>
    <t>Individual Borrower Scoring</t>
  </si>
  <si>
    <t>IB1</t>
  </si>
  <si>
    <t>IB2</t>
  </si>
  <si>
    <t>IB3</t>
  </si>
  <si>
    <t>CB1</t>
  </si>
  <si>
    <t>CB2</t>
  </si>
  <si>
    <t>CB3</t>
  </si>
  <si>
    <t>CB4</t>
  </si>
  <si>
    <t>&gt;2X of loan amount</t>
  </si>
  <si>
    <t>&lt;0.5X of loan amount</t>
  </si>
  <si>
    <t>1X - 1.5X of loan amount</t>
  </si>
  <si>
    <t>1.5X - 2X of loan amount</t>
  </si>
  <si>
    <t>Corporate Borrower Financials</t>
  </si>
  <si>
    <t>Corporate Borrower</t>
  </si>
  <si>
    <t>Individual Borrower</t>
  </si>
  <si>
    <t>Credit Manager Review</t>
  </si>
  <si>
    <t>Initial Application Rejected</t>
  </si>
  <si>
    <t>5Y US Treasury Bond</t>
  </si>
  <si>
    <t>https://www.bloomberg.com/markets/rates-bonds/government-bonds/us</t>
  </si>
  <si>
    <t xml:space="preserve">5Y US Treasury Bond </t>
  </si>
  <si>
    <t>Spread</t>
  </si>
  <si>
    <t>Commercial Mortgage Application Screening Score</t>
  </si>
  <si>
    <t>Weighted Score</t>
  </si>
  <si>
    <t>Property Type</t>
  </si>
  <si>
    <t xml:space="preserve">Loan data </t>
  </si>
  <si>
    <t>City/Township Location Population</t>
  </si>
  <si>
    <t>net worth amount</t>
  </si>
  <si>
    <t>net worth/loan amount ratio</t>
  </si>
  <si>
    <t xml:space="preserve">Located in surburban areas with the neighborhood just being built up. Some amenities such as retail plaza and parks are on going. </t>
  </si>
  <si>
    <t>Older poorly maintained buildings and need major repairs. No property improvement/upgrades for 20 years.</t>
  </si>
  <si>
    <t>Property is overall functioning but inadequately maintained and need some non-essential repairs. Property improvements between 15 and 20 years ago.</t>
  </si>
  <si>
    <r>
      <t xml:space="preserve">Location </t>
    </r>
    <r>
      <rPr>
        <sz val="12"/>
        <color theme="1"/>
        <rFont val="Calibri"/>
        <family val="2"/>
        <scheme val="minor"/>
      </rPr>
      <t xml:space="preserve">- in relation to services and amentities and neighborhood </t>
    </r>
  </si>
  <si>
    <t>Located in urban/surburban middle income area with good access to public transit and usual amenities. Neighborhood has been completely built up and is popular and in demand.</t>
  </si>
  <si>
    <t>Immediate vicinity includes public transit, high ways, schools, retail and service outlets and parks. Neighborhood is well established and is in high demand.</t>
  </si>
  <si>
    <t>Located in an older, established
area of town where new commercial developments are replacing
older commercial properties.</t>
  </si>
  <si>
    <r>
      <t xml:space="preserve">Current ratio                           </t>
    </r>
    <r>
      <rPr>
        <sz val="12"/>
        <color theme="1"/>
        <rFont val="Calibri"/>
        <family val="2"/>
        <scheme val="minor"/>
      </rPr>
      <t xml:space="preserve"> (current assets/current liabilities)</t>
    </r>
  </si>
  <si>
    <t>Current Ratio</t>
  </si>
  <si>
    <t>&lt;1.0X</t>
  </si>
  <si>
    <t>1.01X - 1.5X</t>
  </si>
  <si>
    <t>1.51X - 2.0X</t>
  </si>
  <si>
    <t>&gt; 2.51X</t>
  </si>
  <si>
    <t>Credit Score (FICO)</t>
  </si>
  <si>
    <t>&gt; 750</t>
  </si>
  <si>
    <t>Individual Borrower Credit Worthiness</t>
  </si>
  <si>
    <t>FICO</t>
  </si>
  <si>
    <t xml:space="preserve">15-20 years </t>
  </si>
  <si>
    <t xml:space="preserve">Current or prior experience purchasing, owning or operating commercial real estate in the subject market. </t>
  </si>
  <si>
    <t>Pricing benchmark</t>
  </si>
  <si>
    <r>
      <t xml:space="preserve">Property Condition           </t>
    </r>
    <r>
      <rPr>
        <sz val="12"/>
        <color theme="1"/>
        <rFont val="Calibri"/>
        <family val="2"/>
        <scheme val="minor"/>
      </rPr>
      <t>(per approved third-party appraisal, in-house appraiser or building inspection reports)</t>
    </r>
  </si>
  <si>
    <t>&lt; 1X</t>
  </si>
  <si>
    <t>1X - 1.25X</t>
  </si>
  <si>
    <t>1.26 - 1.5X</t>
  </si>
  <si>
    <t>1.51X - 1.75X</t>
  </si>
  <si>
    <t>&gt;1.76X</t>
  </si>
  <si>
    <t>IB4</t>
  </si>
  <si>
    <t>Payment history</t>
  </si>
  <si>
    <t>Federal/State/Municipal guarantees full loan amount</t>
  </si>
  <si>
    <t>Net Operating Income (NOI)</t>
  </si>
  <si>
    <t>Debt Service Coverage Ratio (DSCR)</t>
  </si>
  <si>
    <t>compare this to the appraised value</t>
  </si>
  <si>
    <t>Located in developed but run-down area of the city/town where the amenities look less-maintained. Local businesses are moving away or closing leaving high than usual vacancies.</t>
  </si>
  <si>
    <t>Single Tenant</t>
  </si>
  <si>
    <t>Tenants mix of national and regional businesses. Over half of the leases are more than 18 months longer than the loan term.</t>
  </si>
  <si>
    <t>Tenant mix diversified. Tenant quality excellent - government agencies, banks, doctor's office and national operated businesses etc. 75% of the leases are more than 18 months longer than the loan term.</t>
  </si>
  <si>
    <t>Tenant mix somewhat diversified but small local businesses heavily rely on one large anchor tenant. Over half of the leases are more than 12 months longer than the loan term.</t>
  </si>
  <si>
    <t>Tenant mix of small local businesses only operate in the neighborhood with some leases less than 12 months longer than the long term.</t>
  </si>
  <si>
    <t>CIT591 - Team 53 Final Project</t>
  </si>
  <si>
    <t>DSCR = NOI/annual financing cost</t>
  </si>
  <si>
    <t>usually from appraisal</t>
  </si>
  <si>
    <t>from apprisal</t>
  </si>
  <si>
    <t>Current and/or prior experience purchasing, owning, and operating
commercial real estate in the subject market</t>
  </si>
  <si>
    <t>Existing borrower: No missed payment since loan origination</t>
  </si>
  <si>
    <t>New borrower: no payment history; Existing borrower: 2 missed payments in the past 24 months.</t>
  </si>
  <si>
    <t xml:space="preserve">Existing borrower: 1 missed payment in the past 24 months. </t>
  </si>
  <si>
    <t>Existing borrower: 3 missed payments in the past 24 months.</t>
  </si>
  <si>
    <t>Existing borrower: more than 3 missed payments in the past 24 months. Defaulted on the loan.</t>
  </si>
  <si>
    <t xml:space="preserve">Phase II ESA provided with significant environmental issue identified and clean up cost is significant. </t>
  </si>
  <si>
    <t>Net worth Ratio</t>
  </si>
  <si>
    <r>
      <t xml:space="preserve">Vacancy Rate                     </t>
    </r>
    <r>
      <rPr>
        <sz val="12"/>
        <color theme="1"/>
        <rFont val="Calibri"/>
        <family val="2"/>
        <scheme val="minor"/>
      </rPr>
      <t xml:space="preserve">    - compares to average vacancy rate of same property type in the same market</t>
    </r>
  </si>
  <si>
    <t>Property vacancy rate (per rent roll or appraisal)</t>
  </si>
  <si>
    <t>Vacancy rate of same property type in the same market</t>
  </si>
  <si>
    <t>Borrower name</t>
  </si>
  <si>
    <t>Property Address</t>
  </si>
  <si>
    <t>Application Screening score</t>
  </si>
  <si>
    <t>Borrower Name</t>
  </si>
  <si>
    <t>Industry Experience</t>
  </si>
  <si>
    <t>Suggested interest rate:</t>
  </si>
  <si>
    <t>Next Step</t>
  </si>
  <si>
    <t>Sugguested interest rate</t>
  </si>
  <si>
    <t xml:space="preserve">   - Management &amp; Leasing fee</t>
  </si>
  <si>
    <t>No vacancy (Fully occupied) or property vacancy less than 1% than the market average</t>
  </si>
  <si>
    <t>Multi-Family</t>
  </si>
  <si>
    <t>&lt;=60.0%</t>
  </si>
  <si>
    <t>60.01%-65%</t>
  </si>
  <si>
    <t>65.01%-70%</t>
  </si>
  <si>
    <t>&gt;=75%</t>
  </si>
  <si>
    <t>Over 1.5X</t>
  </si>
  <si>
    <t>1.41X - 1.50X</t>
  </si>
  <si>
    <t>1.31X - 1.40X</t>
  </si>
  <si>
    <t>1.21X - 1.30X</t>
  </si>
  <si>
    <t>&lt;=1.2X</t>
  </si>
  <si>
    <t>Property vacancy rate 1%-1.99% higher than the average rate in the same market</t>
  </si>
  <si>
    <t>Property vacancy rate 2% - 2.99% higher than the average rate in the same market</t>
  </si>
  <si>
    <t>Property vacancy rate up to 3% - 3.99% higher than the average rate in the same market</t>
  </si>
  <si>
    <t>2million &gt; population &gt; 1.5million</t>
  </si>
  <si>
    <t>Property vacancy rate is 4% or more higher than the average rate in the same market</t>
  </si>
  <si>
    <t>0.5X - 1X of loan amount</t>
  </si>
  <si>
    <t>700- 750</t>
  </si>
  <si>
    <t>650 - 699</t>
  </si>
  <si>
    <t>600 - 649</t>
  </si>
  <si>
    <t>&lt;= 600</t>
  </si>
  <si>
    <t>2.01X - 2.5X</t>
  </si>
  <si>
    <t xml:space="preserve">16-20 years </t>
  </si>
  <si>
    <t>11-15 years</t>
  </si>
  <si>
    <t>6-10 years</t>
  </si>
  <si>
    <t>&lt;= 5 years</t>
  </si>
  <si>
    <t>70.01%-74.99%</t>
  </si>
  <si>
    <t>First National Multi-Family Apartment Building in Los Angeles, CA</t>
  </si>
  <si>
    <t xml:space="preserve"> $6000 signage income/y</t>
  </si>
  <si>
    <t>assume $500 loss for bounced cheque</t>
  </si>
  <si>
    <t>assume 4% interest rate of $7M loan, 5 year term and 30 year amortisation</t>
  </si>
  <si>
    <t>http://cbre.vo.llnwd.net/grgservices/secure/U.S.%20Multifamily%20Cap%20Rate%20Survey_H2%202019_rBRy.pdf?e=1584474516&amp;h=248114852cedda0a79f58256a1dd89f4</t>
  </si>
  <si>
    <t>Class A</t>
  </si>
  <si>
    <t>3033 Wilshire Blvd, Los Angeles, CA 90010, United States</t>
  </si>
  <si>
    <t>Los Angeles City, CA</t>
  </si>
  <si>
    <t>https://www.cbre.ca/research-and-reports/Los-Angeles-Multifamily-MarketView-Figures-Q4-2019</t>
  </si>
  <si>
    <t>First National First National Financial Corporation</t>
  </si>
  <si>
    <t>https://ca.finance.yahoo.com/quote/FN.TO/key-statistics?p=FN.TO</t>
  </si>
  <si>
    <t>https://finance.yahoo.com/quote/FN.TO/balance-sheet?p=FN.TO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</si>
</sst>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0.0%"/>
    <numFmt numFmtId="166" formatCode="_-&quot;$&quot;* #,##0_-;\-&quot;$&quot;* #,##0_-;_-&quot;$&quot;* &quot;-&quot;??_-;_-@_-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Arial"/>
      <family val="2"/>
    </font>
    <font>
      <b/>
      <sz val="12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222222"/>
      <name val="Arial"/>
      <family val="2"/>
    </font>
    <font>
      <sz val="8"/>
      <color rgb="FF2F2F2F"/>
      <name val="Arial"/>
      <family val="2"/>
    </font>
    <font>
      <sz val="11"/>
      <color rgb="FF474747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87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/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9" fontId="0" fillId="0" borderId="14" xfId="0" applyNumberForma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9" fontId="2" fillId="0" borderId="15" xfId="0" applyNumberFormat="1" applyFont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9" fontId="0" fillId="0" borderId="30" xfId="0" applyNumberFormat="1" applyBorder="1" applyAlignment="1">
      <alignment horizontal="center" vertical="center"/>
    </xf>
    <xf numFmtId="9" fontId="1" fillId="0" borderId="23" xfId="0" applyNumberFormat="1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0" borderId="9" xfId="0" applyFont="1" applyBorder="1"/>
    <xf numFmtId="9" fontId="5" fillId="0" borderId="9" xfId="0" applyNumberFormat="1" applyFont="1" applyBorder="1" applyAlignment="1">
      <alignment horizontal="center"/>
    </xf>
    <xf numFmtId="9" fontId="2" fillId="3" borderId="13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3" xfId="0" applyFont="1" applyFill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4" fontId="0" fillId="0" borderId="0" xfId="1" applyNumberFormat="1" applyFont="1"/>
    <xf numFmtId="0" fontId="8" fillId="0" borderId="0" xfId="4"/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0" fillId="0" borderId="35" xfId="0" applyBorder="1"/>
    <xf numFmtId="4" fontId="0" fillId="0" borderId="0" xfId="1" applyNumberFormat="1" applyFont="1" applyBorder="1"/>
    <xf numFmtId="0" fontId="0" fillId="0" borderId="36" xfId="0" applyBorder="1" applyAlignment="1">
      <alignment horizontal="center" vertical="center"/>
    </xf>
    <xf numFmtId="0" fontId="1" fillId="0" borderId="35" xfId="0" applyFont="1" applyBorder="1"/>
    <xf numFmtId="4" fontId="1" fillId="0" borderId="0" xfId="1" applyNumberFormat="1" applyFont="1" applyBorder="1"/>
    <xf numFmtId="0" fontId="8" fillId="0" borderId="0" xfId="4" applyBorder="1" applyAlignment="1">
      <alignment horizontal="center" vertical="center"/>
    </xf>
    <xf numFmtId="0" fontId="2" fillId="3" borderId="14" xfId="0" applyFont="1" applyFill="1" applyBorder="1"/>
    <xf numFmtId="4" fontId="2" fillId="3" borderId="37" xfId="1" applyNumberFormat="1" applyFont="1" applyFill="1" applyBorder="1"/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44" fontId="0" fillId="0" borderId="0" xfId="2" applyFont="1"/>
    <xf numFmtId="4" fontId="0" fillId="0" borderId="0" xfId="0" applyNumberFormat="1"/>
    <xf numFmtId="3" fontId="10" fillId="0" borderId="0" xfId="0" applyNumberFormat="1" applyFont="1"/>
    <xf numFmtId="0" fontId="1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9" fontId="0" fillId="0" borderId="26" xfId="0" applyNumberForma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9" fontId="0" fillId="0" borderId="0" xfId="0" applyNumberFormat="1" applyAlignment="1">
      <alignment wrapText="1"/>
    </xf>
    <xf numFmtId="0" fontId="2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9" fontId="0" fillId="0" borderId="14" xfId="0" applyNumberFormat="1" applyBorder="1" applyAlignment="1">
      <alignment horizontal="center" vertical="center" wrapText="1"/>
    </xf>
    <xf numFmtId="0" fontId="0" fillId="0" borderId="32" xfId="0" applyBorder="1"/>
    <xf numFmtId="9" fontId="0" fillId="0" borderId="33" xfId="0" applyNumberFormat="1" applyBorder="1" applyAlignment="1">
      <alignment horizontal="center"/>
    </xf>
    <xf numFmtId="0" fontId="5" fillId="0" borderId="14" xfId="0" applyFont="1" applyBorder="1"/>
    <xf numFmtId="9" fontId="0" fillId="0" borderId="37" xfId="0" applyNumberFormat="1" applyBorder="1" applyAlignment="1">
      <alignment horizontal="center"/>
    </xf>
    <xf numFmtId="0" fontId="0" fillId="0" borderId="0" xfId="0" applyBorder="1"/>
    <xf numFmtId="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5" xfId="0" applyBorder="1" applyAlignment="1">
      <alignment horizontal="center" vertical="center"/>
    </xf>
    <xf numFmtId="44" fontId="0" fillId="0" borderId="38" xfId="2" applyFont="1" applyBorder="1"/>
    <xf numFmtId="44" fontId="0" fillId="0" borderId="36" xfId="2" applyFont="1" applyBorder="1"/>
    <xf numFmtId="0" fontId="1" fillId="0" borderId="14" xfId="0" applyFont="1" applyBorder="1"/>
    <xf numFmtId="3" fontId="9" fillId="0" borderId="38" xfId="0" applyNumberFormat="1" applyFont="1" applyBorder="1"/>
    <xf numFmtId="2" fontId="0" fillId="0" borderId="38" xfId="3" applyNumberFormat="1" applyFont="1" applyBorder="1"/>
    <xf numFmtId="166" fontId="0" fillId="0" borderId="36" xfId="2" applyNumberFormat="1" applyFont="1" applyBorder="1"/>
    <xf numFmtId="2" fontId="1" fillId="0" borderId="38" xfId="3" applyNumberFormat="1" applyFont="1" applyBorder="1"/>
    <xf numFmtId="2" fontId="0" fillId="0" borderId="36" xfId="2" applyNumberFormat="1" applyFont="1" applyBorder="1"/>
    <xf numFmtId="0" fontId="0" fillId="4" borderId="7" xfId="0" applyFill="1" applyBorder="1" applyAlignment="1">
      <alignment horizontal="center" vertical="center"/>
    </xf>
    <xf numFmtId="0" fontId="1" fillId="0" borderId="36" xfId="0" applyFont="1" applyBorder="1" applyAlignment="1">
      <alignment horizontal="right" vertical="center"/>
    </xf>
    <xf numFmtId="0" fontId="1" fillId="0" borderId="35" xfId="0" applyFont="1" applyBorder="1" applyAlignment="1">
      <alignment horizontal="left" vertical="center"/>
    </xf>
    <xf numFmtId="44" fontId="1" fillId="0" borderId="35" xfId="2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10" fontId="1" fillId="0" borderId="38" xfId="2" applyNumberFormat="1" applyFont="1" applyBorder="1"/>
    <xf numFmtId="0" fontId="2" fillId="5" borderId="17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vertical="center" wrapText="1"/>
    </xf>
    <xf numFmtId="9" fontId="2" fillId="6" borderId="13" xfId="0" applyNumberFormat="1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/>
    </xf>
    <xf numFmtId="0" fontId="2" fillId="6" borderId="19" xfId="0" applyFont="1" applyFill="1" applyBorder="1" applyAlignment="1">
      <alignment vertical="center"/>
    </xf>
    <xf numFmtId="9" fontId="0" fillId="6" borderId="20" xfId="0" applyNumberForma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9" fontId="5" fillId="6" borderId="24" xfId="0" applyNumberFormat="1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vertical="center"/>
    </xf>
    <xf numFmtId="9" fontId="13" fillId="7" borderId="20" xfId="0" applyNumberFormat="1" applyFont="1" applyFill="1" applyBorder="1" applyAlignment="1">
      <alignment horizontal="center" vertical="center"/>
    </xf>
    <xf numFmtId="0" fontId="13" fillId="7" borderId="20" xfId="0" applyFont="1" applyFill="1" applyBorder="1" applyAlignment="1">
      <alignment horizontal="center" vertical="center"/>
    </xf>
    <xf numFmtId="2" fontId="12" fillId="7" borderId="21" xfId="0" applyNumberFormat="1" applyFont="1" applyFill="1" applyBorder="1" applyAlignment="1">
      <alignment horizontal="center" vertical="center"/>
    </xf>
    <xf numFmtId="0" fontId="1" fillId="6" borderId="35" xfId="0" applyFont="1" applyFill="1" applyBorder="1"/>
    <xf numFmtId="164" fontId="1" fillId="6" borderId="0" xfId="1" applyNumberFormat="1" applyFont="1" applyFill="1" applyBorder="1"/>
    <xf numFmtId="0" fontId="1" fillId="6" borderId="36" xfId="0" applyFont="1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4" fontId="1" fillId="6" borderId="0" xfId="1" applyNumberFormat="1" applyFont="1" applyFill="1" applyBorder="1"/>
    <xf numFmtId="0" fontId="8" fillId="6" borderId="0" xfId="4" applyFill="1" applyBorder="1" applyAlignment="1">
      <alignment horizontal="center" vertical="center"/>
    </xf>
    <xf numFmtId="9" fontId="0" fillId="0" borderId="36" xfId="0" applyNumberFormat="1" applyBorder="1" applyAlignment="1">
      <alignment horizontal="center" vertical="center"/>
    </xf>
    <xf numFmtId="0" fontId="2" fillId="0" borderId="0" xfId="0" applyFont="1" applyBorder="1"/>
    <xf numFmtId="165" fontId="1" fillId="0" borderId="38" xfId="0" applyNumberFormat="1" applyFont="1" applyBorder="1" applyAlignment="1">
      <alignment horizontal="right" vertical="center"/>
    </xf>
    <xf numFmtId="0" fontId="1" fillId="0" borderId="14" xfId="0" applyFont="1" applyBorder="1" applyAlignment="1">
      <alignment wrapText="1"/>
    </xf>
    <xf numFmtId="0" fontId="15" fillId="0" borderId="37" xfId="0" applyFont="1" applyBorder="1"/>
    <xf numFmtId="0" fontId="1" fillId="0" borderId="45" xfId="0" applyFont="1" applyBorder="1"/>
    <xf numFmtId="8" fontId="16" fillId="0" borderId="0" xfId="0" applyNumberFormat="1" applyFont="1"/>
    <xf numFmtId="0" fontId="1" fillId="0" borderId="36" xfId="0" applyFont="1" applyBorder="1"/>
    <xf numFmtId="0" fontId="0" fillId="0" borderId="7" xfId="0" applyBorder="1"/>
    <xf numFmtId="44" fontId="0" fillId="0" borderId="7" xfId="2" applyFont="1" applyBorder="1" applyAlignment="1">
      <alignment horizontal="right"/>
    </xf>
    <xf numFmtId="10" fontId="0" fillId="0" borderId="7" xfId="2" applyNumberFormat="1" applyFont="1" applyBorder="1" applyAlignment="1">
      <alignment horizontal="right"/>
    </xf>
    <xf numFmtId="0" fontId="1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/>
    </xf>
    <xf numFmtId="9" fontId="0" fillId="4" borderId="28" xfId="0" applyNumberForma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5" fillId="0" borderId="0" xfId="0" applyFont="1"/>
    <xf numFmtId="0" fontId="2" fillId="6" borderId="19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11" fillId="7" borderId="20" xfId="0" applyFont="1" applyFill="1" applyBorder="1" applyAlignment="1">
      <alignment horizontal="center" vertical="center"/>
    </xf>
    <xf numFmtId="0" fontId="11" fillId="7" borderId="21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0" fontId="5" fillId="0" borderId="3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10" fontId="0" fillId="0" borderId="37" xfId="0" applyNumberFormat="1" applyBorder="1" applyAlignment="1">
      <alignment horizontal="center"/>
    </xf>
    <xf numFmtId="10" fontId="0" fillId="0" borderId="38" xfId="0" applyNumberFormat="1" applyBorder="1" applyAlignment="1">
      <alignment horizontal="center"/>
    </xf>
    <xf numFmtId="10" fontId="2" fillId="6" borderId="43" xfId="0" applyNumberFormat="1" applyFont="1" applyFill="1" applyBorder="1" applyAlignment="1">
      <alignment horizontal="center" vertical="center"/>
    </xf>
    <xf numFmtId="10" fontId="2" fillId="6" borderId="44" xfId="0" applyNumberFormat="1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10" fontId="0" fillId="0" borderId="34" xfId="0" applyNumberForma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4" fillId="7" borderId="32" xfId="0" applyFont="1" applyFill="1" applyBorder="1" applyAlignment="1">
      <alignment horizontal="center" vertical="center"/>
    </xf>
    <xf numFmtId="0" fontId="14" fillId="7" borderId="33" xfId="0" applyFont="1" applyFill="1" applyBorder="1" applyAlignment="1">
      <alignment horizontal="center" vertical="center"/>
    </xf>
    <xf numFmtId="0" fontId="14" fillId="7" borderId="34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1" fillId="6" borderId="32" xfId="0" applyFont="1" applyFill="1" applyBorder="1" applyAlignment="1">
      <alignment horizontal="center"/>
    </xf>
    <xf numFmtId="0" fontId="1" fillId="6" borderId="34" xfId="0" applyFont="1" applyFill="1" applyBorder="1" applyAlignment="1">
      <alignment horizontal="center"/>
    </xf>
    <xf numFmtId="0" fontId="12" fillId="7" borderId="0" xfId="0" applyFont="1" applyFill="1" applyAlignment="1">
      <alignment horizontal="center" vertical="center"/>
    </xf>
    <xf numFmtId="165" fontId="1" fillId="0" borderId="0" xfId="3" applyNumberFormat="1" applyFont="1" applyBorder="1"/>
    <xf numFmtId="0" fontId="17" fillId="0" borderId="0" xfId="0" applyFont="1"/>
    <xf numFmtId="9" fontId="1" fillId="0" borderId="38" xfId="3" applyFont="1" applyBorder="1"/>
    <xf numFmtId="43" fontId="1" fillId="0" borderId="38" xfId="1" applyFont="1" applyBorder="1"/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ingCase1%20-%20Commercial%20mortgage%20scoring%20syst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all Score"/>
      <sheetName val="Property"/>
      <sheetName val="Individual Borrower"/>
      <sheetName val="Corporate Borrower"/>
      <sheetName val="TestCase1"/>
      <sheetName val="TCSummary1"/>
    </sheetNames>
    <sheetDataSet>
      <sheetData sheetId="0">
        <row r="14">
          <cell r="D14">
            <v>4.2750000000000004</v>
          </cell>
        </row>
        <row r="16">
          <cell r="C16" t="str">
            <v>Credit Manager Review</v>
          </cell>
        </row>
        <row r="18">
          <cell r="C18">
            <v>6.6299999999999998E-2</v>
          </cell>
        </row>
      </sheetData>
      <sheetData sheetId="1" refreshError="1"/>
      <sheetData sheetId="2" refreshError="1"/>
      <sheetData sheetId="3" refreshError="1"/>
      <sheetData sheetId="4" refreshError="1"/>
      <sheetData sheetId="5">
        <row r="18">
          <cell r="B18">
            <v>0.03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cbre.vo.llnwd.net/grgservices/secure/U.S.%20Multifamily%20Cap%20Rate%20Survey_H2%202019_rBRy.pdf?e=1584474516&amp;h=248114852cedda0a79f58256a1dd89f4" TargetMode="External"/><Relationship Id="rId1" Type="http://schemas.openxmlformats.org/officeDocument/2006/relationships/hyperlink" Target="https://www.mortgagecalculator.org/calculators/mortgage-payment-calculator.php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oomberg.com/markets/rates-bonds/government-bonds/us" TargetMode="External"/><Relationship Id="rId2" Type="http://schemas.openxmlformats.org/officeDocument/2006/relationships/hyperlink" Target="https://finance.yahoo.com/quote/FN.TO/balance-sheet?p=FN.TO" TargetMode="External"/><Relationship Id="rId1" Type="http://schemas.openxmlformats.org/officeDocument/2006/relationships/hyperlink" Target="https://www.census.gov/popclock/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ca.finance.yahoo.com/quote/FN.TO/key-statistics?p=FN.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2AEB-AC31-4E37-A605-81004B10A9A9}">
  <sheetPr>
    <tabColor rgb="FF002060"/>
  </sheetPr>
  <dimension ref="A2:L20"/>
  <sheetViews>
    <sheetView tabSelected="1" topLeftCell="A5" workbookViewId="0">
      <selection activeCell="C20" sqref="C20:D20"/>
    </sheetView>
  </sheetViews>
  <sheetFormatPr defaultRowHeight="14.4" x14ac:dyDescent="0.3"/>
  <cols>
    <col min="1" max="1" width="33.109375" customWidth="1"/>
    <col min="2" max="2" width="16.5546875" style="3" customWidth="1"/>
    <col min="3" max="3" width="17.21875" style="2" customWidth="1"/>
    <col min="4" max="4" width="17.77734375" style="2" customWidth="1"/>
    <col min="6" max="6" width="8.88671875" customWidth="1"/>
    <col min="7" max="7" width="9.5546875" customWidth="1"/>
    <col min="8" max="8" width="6.109375" customWidth="1"/>
    <col min="9" max="9" width="35.33203125" hidden="1" customWidth="1"/>
    <col min="10" max="12" width="0" hidden="1" customWidth="1"/>
  </cols>
  <sheetData>
    <row r="2" spans="1:12" ht="15.6" x14ac:dyDescent="0.3">
      <c r="A2" s="116" t="s">
        <v>158</v>
      </c>
      <c r="B2" s="75"/>
      <c r="C2" s="76"/>
      <c r="D2" s="76"/>
      <c r="E2" s="74"/>
      <c r="F2" s="74"/>
      <c r="G2" s="74"/>
      <c r="H2" s="74"/>
      <c r="I2" s="74"/>
      <c r="J2" s="74"/>
      <c r="L2">
        <v>5</v>
      </c>
    </row>
    <row r="3" spans="1:12" ht="22.8" customHeight="1" thickBot="1" x14ac:dyDescent="0.4">
      <c r="A3" s="139" t="s">
        <v>113</v>
      </c>
      <c r="B3" s="139"/>
      <c r="C3" s="139"/>
      <c r="D3" s="139"/>
      <c r="E3" s="74"/>
      <c r="F3" s="74"/>
      <c r="G3" s="74"/>
      <c r="H3" s="74"/>
      <c r="I3" s="74" t="s">
        <v>10</v>
      </c>
      <c r="J3" s="74"/>
      <c r="L3">
        <v>4</v>
      </c>
    </row>
    <row r="4" spans="1:12" s="8" customFormat="1" ht="30" customHeight="1" thickBot="1" x14ac:dyDescent="0.35">
      <c r="A4" s="97" t="s">
        <v>0</v>
      </c>
      <c r="B4" s="98" t="s">
        <v>1</v>
      </c>
      <c r="C4" s="99" t="s">
        <v>2</v>
      </c>
      <c r="D4" s="99" t="s">
        <v>114</v>
      </c>
      <c r="H4"/>
      <c r="I4" s="8" t="s">
        <v>11</v>
      </c>
      <c r="K4" s="66">
        <v>0.75</v>
      </c>
      <c r="L4" s="66">
        <v>0.25</v>
      </c>
    </row>
    <row r="5" spans="1:12" ht="19.2" customHeight="1" x14ac:dyDescent="0.3">
      <c r="A5" s="38" t="str">
        <f>TCSummary1!A6</f>
        <v>Multi-Family</v>
      </c>
      <c r="B5" s="39">
        <v>0.75</v>
      </c>
      <c r="C5" s="43">
        <f>Property!J12</f>
        <v>3.9000000000000004</v>
      </c>
      <c r="D5" s="44">
        <f>C5*B5</f>
        <v>2.9250000000000003</v>
      </c>
      <c r="I5" t="s">
        <v>12</v>
      </c>
      <c r="K5" s="1"/>
      <c r="L5" s="1"/>
    </row>
    <row r="6" spans="1:12" x14ac:dyDescent="0.3">
      <c r="D6" s="16"/>
      <c r="I6" t="s">
        <v>13</v>
      </c>
      <c r="K6" s="1"/>
      <c r="L6" s="1"/>
    </row>
    <row r="7" spans="1:12" ht="15" thickBot="1" x14ac:dyDescent="0.35">
      <c r="D7" s="16"/>
      <c r="I7" t="s">
        <v>14</v>
      </c>
    </row>
    <row r="8" spans="1:12" ht="23.25" customHeight="1" thickBot="1" x14ac:dyDescent="0.35">
      <c r="A8" s="42" t="s">
        <v>5</v>
      </c>
      <c r="B8" s="40" t="s">
        <v>1</v>
      </c>
      <c r="C8" s="41" t="s">
        <v>2</v>
      </c>
      <c r="D8" s="77" t="s">
        <v>114</v>
      </c>
      <c r="I8" t="s">
        <v>37</v>
      </c>
    </row>
    <row r="9" spans="1:12" ht="20.399999999999999" customHeight="1" x14ac:dyDescent="0.3">
      <c r="A9" s="38" t="s">
        <v>105</v>
      </c>
      <c r="B9" s="39">
        <v>0.25</v>
      </c>
      <c r="C9" s="43">
        <f>IF(A9=I16,'Individual Borrower'!J8,'Corporate Borrower'!J8)</f>
        <v>3.4000000000000004</v>
      </c>
      <c r="D9" s="44">
        <f>C9*B9</f>
        <v>0.85000000000000009</v>
      </c>
    </row>
    <row r="10" spans="1:12" ht="15" thickBot="1" x14ac:dyDescent="0.35">
      <c r="D10" s="16"/>
    </row>
    <row r="11" spans="1:12" ht="30" customHeight="1" thickBot="1" x14ac:dyDescent="0.35">
      <c r="A11" s="135" t="s">
        <v>38</v>
      </c>
      <c r="B11" s="136"/>
      <c r="C11" s="100" t="s">
        <v>2</v>
      </c>
      <c r="D11" s="99" t="s">
        <v>2</v>
      </c>
      <c r="I11" s="8" t="s">
        <v>148</v>
      </c>
      <c r="K11" s="2">
        <v>1</v>
      </c>
    </row>
    <row r="12" spans="1:12" ht="34.799999999999997" customHeight="1" x14ac:dyDescent="0.3">
      <c r="A12" s="140" t="s">
        <v>3</v>
      </c>
      <c r="B12" s="141"/>
      <c r="C12" s="43">
        <f>IF(A12=I11,1,IF(A12=I12,0.5,0))</f>
        <v>0.5</v>
      </c>
      <c r="D12" s="44">
        <f>C12</f>
        <v>0.5</v>
      </c>
      <c r="I12" t="s">
        <v>3</v>
      </c>
      <c r="K12" s="2">
        <v>0.5</v>
      </c>
    </row>
    <row r="13" spans="1:12" ht="15" thickBot="1" x14ac:dyDescent="0.35">
      <c r="I13" t="s">
        <v>4</v>
      </c>
      <c r="K13" s="2">
        <v>0</v>
      </c>
    </row>
    <row r="14" spans="1:12" ht="24" customHeight="1" thickBot="1" x14ac:dyDescent="0.35">
      <c r="A14" s="105" t="s">
        <v>6</v>
      </c>
      <c r="B14" s="106"/>
      <c r="C14" s="107"/>
      <c r="D14" s="108">
        <f>D12+D9+D5</f>
        <v>4.2750000000000004</v>
      </c>
    </row>
    <row r="15" spans="1:12" ht="15" thickBot="1" x14ac:dyDescent="0.35">
      <c r="I15" t="s">
        <v>105</v>
      </c>
    </row>
    <row r="16" spans="1:12" ht="21.75" customHeight="1" thickBot="1" x14ac:dyDescent="0.35">
      <c r="A16" s="101" t="s">
        <v>39</v>
      </c>
      <c r="B16" s="102"/>
      <c r="C16" s="137" t="str">
        <f>IF(D14&lt;3.2,I18,I19)</f>
        <v>Credit Manager Review</v>
      </c>
      <c r="D16" s="138"/>
      <c r="I16" t="s">
        <v>106</v>
      </c>
    </row>
    <row r="17" spans="1:9" ht="15" thickBot="1" x14ac:dyDescent="0.35"/>
    <row r="18" spans="1:9" ht="21.6" customHeight="1" x14ac:dyDescent="0.3">
      <c r="A18" s="103" t="s">
        <v>178</v>
      </c>
      <c r="B18" s="104"/>
      <c r="C18" s="144">
        <f>IF(C20="Initial Application Rejected","Pricing not applicable",C20+C19)</f>
        <v>6.6199999999999995E-2</v>
      </c>
      <c r="D18" s="145"/>
      <c r="I18" t="s">
        <v>108</v>
      </c>
    </row>
    <row r="19" spans="1:9" ht="24" customHeight="1" x14ac:dyDescent="0.3">
      <c r="A19" s="70" t="s">
        <v>111</v>
      </c>
      <c r="B19" s="71"/>
      <c r="C19" s="146">
        <v>2.3699999999999999E-2</v>
      </c>
      <c r="D19" s="147"/>
      <c r="I19" t="s">
        <v>107</v>
      </c>
    </row>
    <row r="20" spans="1:9" ht="20.399999999999999" customHeight="1" x14ac:dyDescent="0.3">
      <c r="A20" s="72" t="s">
        <v>112</v>
      </c>
      <c r="B20" s="73"/>
      <c r="C20" s="142">
        <f>IF(D14&lt;3.2,"Initial Application Rejected",IF(D14&lt;3.6,TestCase1!B31,TestCase1!B31-0.25%))</f>
        <v>4.2499999999999996E-2</v>
      </c>
      <c r="D20" s="143"/>
    </row>
  </sheetData>
  <mergeCells count="7">
    <mergeCell ref="A11:B11"/>
    <mergeCell ref="C16:D16"/>
    <mergeCell ref="A3:D3"/>
    <mergeCell ref="A12:B12"/>
    <mergeCell ref="C20:D20"/>
    <mergeCell ref="C18:D18"/>
    <mergeCell ref="C19:D19"/>
  </mergeCells>
  <dataValidations count="2">
    <dataValidation type="list" allowBlank="1" showInputMessage="1" showErrorMessage="1" sqref="A12" xr:uid="{1B3876DE-E64D-4ECF-92C6-ED8B7FD7ABA1}">
      <formula1>$I$11:$I$13</formula1>
    </dataValidation>
    <dataValidation type="list" allowBlank="1" showInputMessage="1" showErrorMessage="1" sqref="A9" xr:uid="{0D942571-14A9-459C-A483-0C7C7A385009}">
      <formula1>$I$15:$I$16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68A4-3588-4342-8A6D-214505A6C6A2}">
  <sheetPr>
    <tabColor rgb="FF0070C0"/>
  </sheetPr>
  <dimension ref="A1:N14"/>
  <sheetViews>
    <sheetView zoomScale="90" zoomScaleNormal="90" workbookViewId="0">
      <pane xSplit="1" ySplit="3" topLeftCell="B9" activePane="bottomRight" state="frozen"/>
      <selection activeCell="D10" sqref="D10"/>
      <selection pane="topRight" activeCell="D10" sqref="D10"/>
      <selection pane="bottomLeft" activeCell="D10" sqref="D10"/>
      <selection pane="bottomRight" activeCell="C5" sqref="C5"/>
    </sheetView>
  </sheetViews>
  <sheetFormatPr defaultRowHeight="14.4" x14ac:dyDescent="0.3"/>
  <cols>
    <col min="1" max="1" width="10.33203125" style="16" customWidth="1"/>
    <col min="2" max="2" width="25.5546875" customWidth="1"/>
    <col min="3" max="3" width="25.6640625" style="2" customWidth="1"/>
    <col min="4" max="4" width="25.33203125" style="2" customWidth="1"/>
    <col min="5" max="7" width="24.109375" style="2" customWidth="1"/>
    <col min="8" max="8" width="11" style="16" customWidth="1"/>
    <col min="9" max="9" width="14.6640625" style="16" customWidth="1"/>
    <col min="10" max="10" width="12.5546875" style="16" customWidth="1"/>
    <col min="12" max="13" width="8.88671875" customWidth="1"/>
  </cols>
  <sheetData>
    <row r="1" spans="1:14" ht="24.6" customHeight="1" thickBot="1" x14ac:dyDescent="0.35">
      <c r="A1" s="148" t="s">
        <v>50</v>
      </c>
      <c r="B1" s="148"/>
      <c r="C1" s="148"/>
      <c r="D1" s="148"/>
      <c r="E1" s="148"/>
      <c r="F1" s="148"/>
      <c r="G1" s="148"/>
      <c r="H1" s="148"/>
      <c r="I1" s="148"/>
      <c r="J1" s="148"/>
      <c r="M1">
        <v>5</v>
      </c>
      <c r="N1">
        <v>5</v>
      </c>
    </row>
    <row r="2" spans="1:14" ht="15" customHeight="1" x14ac:dyDescent="0.3">
      <c r="A2" s="157" t="s">
        <v>16</v>
      </c>
      <c r="B2" s="155" t="s">
        <v>9</v>
      </c>
      <c r="C2" s="151" t="s">
        <v>41</v>
      </c>
      <c r="D2" s="151" t="s">
        <v>42</v>
      </c>
      <c r="E2" s="151" t="s">
        <v>43</v>
      </c>
      <c r="F2" s="151" t="s">
        <v>44</v>
      </c>
      <c r="G2" s="153" t="s">
        <v>45</v>
      </c>
      <c r="H2" s="149" t="s">
        <v>2</v>
      </c>
      <c r="I2" s="149" t="s">
        <v>1</v>
      </c>
      <c r="J2" s="149" t="s">
        <v>15</v>
      </c>
      <c r="L2">
        <v>5</v>
      </c>
      <c r="M2">
        <v>4</v>
      </c>
      <c r="N2">
        <v>3</v>
      </c>
    </row>
    <row r="3" spans="1:14" ht="15" customHeight="1" thickBot="1" x14ac:dyDescent="0.35">
      <c r="A3" s="158"/>
      <c r="B3" s="156"/>
      <c r="C3" s="152"/>
      <c r="D3" s="152"/>
      <c r="E3" s="152"/>
      <c r="F3" s="152"/>
      <c r="G3" s="154"/>
      <c r="H3" s="150"/>
      <c r="I3" s="150"/>
      <c r="J3" s="150"/>
      <c r="L3">
        <v>4</v>
      </c>
      <c r="M3">
        <v>3</v>
      </c>
      <c r="N3">
        <v>1</v>
      </c>
    </row>
    <row r="4" spans="1:14" s="8" customFormat="1" ht="30" customHeight="1" x14ac:dyDescent="0.3">
      <c r="A4" s="62" t="s">
        <v>17</v>
      </c>
      <c r="B4" s="63" t="s">
        <v>7</v>
      </c>
      <c r="C4" s="12" t="s">
        <v>184</v>
      </c>
      <c r="D4" s="12" t="s">
        <v>185</v>
      </c>
      <c r="E4" s="12" t="s">
        <v>186</v>
      </c>
      <c r="F4" s="12" t="s">
        <v>208</v>
      </c>
      <c r="G4" s="12" t="s">
        <v>187</v>
      </c>
      <c r="H4" s="31">
        <f>IF(TCSummary1!B11&lt;=60%,5,IF(TCSummary1!B11&lt;=65%,4,IF(TCSummary1!B11&lt;=70%,3,IF(TCSummary1!B11&lt;=74.99%,2,1))))</f>
        <v>3</v>
      </c>
      <c r="I4" s="64">
        <v>0.1</v>
      </c>
      <c r="J4" s="65">
        <f>I4*H4</f>
        <v>0.30000000000000004</v>
      </c>
      <c r="K4" s="66"/>
      <c r="M4" s="8">
        <v>2</v>
      </c>
    </row>
    <row r="5" spans="1:14" ht="34.799999999999997" customHeight="1" x14ac:dyDescent="0.3">
      <c r="A5" s="17" t="s">
        <v>18</v>
      </c>
      <c r="B5" s="14" t="s">
        <v>8</v>
      </c>
      <c r="C5" s="12" t="s">
        <v>188</v>
      </c>
      <c r="D5" s="12" t="s">
        <v>189</v>
      </c>
      <c r="E5" s="12" t="s">
        <v>190</v>
      </c>
      <c r="F5" s="12" t="s">
        <v>191</v>
      </c>
      <c r="G5" s="79" t="s">
        <v>192</v>
      </c>
      <c r="H5" s="31">
        <f>IF(TestCase1!B27&gt;1.5,5,IF(TestCase1!B27&gt;1.4,4,IF(TestCase1!B27&gt;1.3,3,IF(TestCase1!B27&gt;1.2,2,1))))</f>
        <v>1</v>
      </c>
      <c r="I5" s="32">
        <v>0.15</v>
      </c>
      <c r="J5" s="23">
        <f t="shared" ref="J5:J11" si="0">H5*I5</f>
        <v>0.15</v>
      </c>
      <c r="K5" s="60"/>
      <c r="M5" s="8">
        <v>1</v>
      </c>
    </row>
    <row r="6" spans="1:14" ht="85.2" customHeight="1" x14ac:dyDescent="0.3">
      <c r="A6" s="126" t="s">
        <v>19</v>
      </c>
      <c r="B6" s="127" t="s">
        <v>170</v>
      </c>
      <c r="C6" s="128" t="s">
        <v>182</v>
      </c>
      <c r="D6" s="128" t="s">
        <v>193</v>
      </c>
      <c r="E6" s="128" t="s">
        <v>194</v>
      </c>
      <c r="F6" s="128" t="s">
        <v>195</v>
      </c>
      <c r="G6" s="128" t="s">
        <v>197</v>
      </c>
      <c r="H6" s="129">
        <f>IF(TCSummary1!B18-TCSummary1!B17&lt;1%,5,IF(TCSummary1!B18-TCSummary1!B17&lt;2%,4,IF(TCSummary1!B18-TCSummary1!B17&lt;3%,3,IF(TCSummary1!B18-TCSummary1!B17&lt;4%,2,1))))</f>
        <v>5</v>
      </c>
      <c r="I6" s="130">
        <v>0.15</v>
      </c>
      <c r="J6" s="131">
        <f t="shared" si="0"/>
        <v>0.75</v>
      </c>
      <c r="K6" s="1"/>
    </row>
    <row r="7" spans="1:14" s="8" customFormat="1" ht="34.200000000000003" customHeight="1" x14ac:dyDescent="0.3">
      <c r="A7" s="18" t="s">
        <v>24</v>
      </c>
      <c r="B7" s="14" t="s">
        <v>36</v>
      </c>
      <c r="C7" s="11" t="s">
        <v>27</v>
      </c>
      <c r="D7" s="11" t="s">
        <v>196</v>
      </c>
      <c r="E7" s="10" t="s">
        <v>28</v>
      </c>
      <c r="F7" s="10" t="s">
        <v>29</v>
      </c>
      <c r="G7" s="29" t="s">
        <v>30</v>
      </c>
      <c r="H7" s="30">
        <f>IF(TCSummary1!B14&gt;2000000,5,IF(TCSummary1!B14&gt;1500000,4,IF(TCSummary1!B14&gt;1000000,3,IF(TCSummary1!B14&gt;500000,2,1))))</f>
        <v>5</v>
      </c>
      <c r="I7" s="33">
        <v>0.1</v>
      </c>
      <c r="J7" s="23">
        <f t="shared" si="0"/>
        <v>0.5</v>
      </c>
    </row>
    <row r="8" spans="1:14" ht="124.2" customHeight="1" x14ac:dyDescent="0.3">
      <c r="A8" s="18" t="s">
        <v>25</v>
      </c>
      <c r="B8" s="14" t="s">
        <v>123</v>
      </c>
      <c r="C8" s="11" t="s">
        <v>125</v>
      </c>
      <c r="D8" s="11" t="s">
        <v>124</v>
      </c>
      <c r="E8" s="11" t="s">
        <v>126</v>
      </c>
      <c r="F8" s="10" t="s">
        <v>152</v>
      </c>
      <c r="G8" s="11" t="s">
        <v>120</v>
      </c>
      <c r="H8" s="31">
        <v>4</v>
      </c>
      <c r="I8" s="32">
        <v>0.15</v>
      </c>
      <c r="J8" s="23">
        <f t="shared" si="0"/>
        <v>0.6</v>
      </c>
    </row>
    <row r="9" spans="1:14" ht="115.8" customHeight="1" x14ac:dyDescent="0.3">
      <c r="A9" s="18" t="s">
        <v>20</v>
      </c>
      <c r="B9" s="13" t="s">
        <v>40</v>
      </c>
      <c r="C9" s="11" t="s">
        <v>155</v>
      </c>
      <c r="D9" s="11" t="s">
        <v>154</v>
      </c>
      <c r="E9" s="11" t="s">
        <v>156</v>
      </c>
      <c r="F9" s="11" t="s">
        <v>157</v>
      </c>
      <c r="G9" s="79" t="s">
        <v>153</v>
      </c>
      <c r="H9" s="31">
        <v>5</v>
      </c>
      <c r="I9" s="32">
        <v>0.15</v>
      </c>
      <c r="J9" s="23">
        <f t="shared" si="0"/>
        <v>0.75</v>
      </c>
    </row>
    <row r="10" spans="1:14" ht="102.6" customHeight="1" x14ac:dyDescent="0.3">
      <c r="A10" s="17" t="s">
        <v>21</v>
      </c>
      <c r="B10" s="14" t="s">
        <v>140</v>
      </c>
      <c r="C10" s="11" t="s">
        <v>46</v>
      </c>
      <c r="D10" s="11" t="s">
        <v>47</v>
      </c>
      <c r="E10" s="11" t="s">
        <v>48</v>
      </c>
      <c r="F10" s="11" t="s">
        <v>122</v>
      </c>
      <c r="G10" s="29" t="s">
        <v>121</v>
      </c>
      <c r="H10" s="31">
        <v>4</v>
      </c>
      <c r="I10" s="32">
        <v>0.15</v>
      </c>
      <c r="J10" s="23">
        <f t="shared" si="0"/>
        <v>0.6</v>
      </c>
    </row>
    <row r="11" spans="1:14" ht="88.5" customHeight="1" thickBot="1" x14ac:dyDescent="0.35">
      <c r="A11" s="17" t="s">
        <v>23</v>
      </c>
      <c r="B11" s="13" t="s">
        <v>22</v>
      </c>
      <c r="C11" s="11" t="s">
        <v>51</v>
      </c>
      <c r="D11" s="9"/>
      <c r="E11" s="11" t="s">
        <v>49</v>
      </c>
      <c r="F11" s="9"/>
      <c r="G11" s="29" t="s">
        <v>168</v>
      </c>
      <c r="H11" s="34">
        <v>5</v>
      </c>
      <c r="I11" s="35">
        <v>0.05</v>
      </c>
      <c r="J11" s="37">
        <f t="shared" si="0"/>
        <v>0.25</v>
      </c>
    </row>
    <row r="12" spans="1:14" ht="27.6" customHeight="1" thickBot="1" x14ac:dyDescent="0.35">
      <c r="H12" s="28" t="s">
        <v>15</v>
      </c>
      <c r="I12" s="36">
        <f>SUM(I4:I11)</f>
        <v>1</v>
      </c>
      <c r="J12" s="96">
        <f>SUM(J4:J11)</f>
        <v>3.9000000000000004</v>
      </c>
    </row>
    <row r="14" spans="1:14" x14ac:dyDescent="0.3">
      <c r="K14" s="5"/>
    </row>
  </sheetData>
  <mergeCells count="11">
    <mergeCell ref="A1:J1"/>
    <mergeCell ref="J2:J3"/>
    <mergeCell ref="C2:C3"/>
    <mergeCell ref="D2:D3"/>
    <mergeCell ref="E2:E3"/>
    <mergeCell ref="F2:F3"/>
    <mergeCell ref="G2:G3"/>
    <mergeCell ref="B2:B3"/>
    <mergeCell ref="A2:A3"/>
    <mergeCell ref="H2:H3"/>
    <mergeCell ref="I2:I3"/>
  </mergeCells>
  <dataValidations count="2">
    <dataValidation type="list" allowBlank="1" showInputMessage="1" showErrorMessage="1" sqref="H8:H10" xr:uid="{BFB6423E-6494-46B3-A417-60EEBD3E2A22}">
      <formula1>$M$1:$M$5</formula1>
    </dataValidation>
    <dataValidation type="list" allowBlank="1" showInputMessage="1" showErrorMessage="1" sqref="H11" xr:uid="{D4B6BAED-BFCE-422D-AB41-A9780AC5CE78}">
      <formula1>$N$1:$N$3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B910-658D-4CC0-A6A1-903AA2983E9D}">
  <sheetPr>
    <tabColor rgb="FF0070C0"/>
  </sheetPr>
  <dimension ref="A1:L18"/>
  <sheetViews>
    <sheetView workbookViewId="0">
      <selection activeCell="H7" sqref="H7"/>
    </sheetView>
  </sheetViews>
  <sheetFormatPr defaultRowHeight="14.4" x14ac:dyDescent="0.3"/>
  <cols>
    <col min="1" max="1" width="10.33203125" style="2" customWidth="1"/>
    <col min="2" max="2" width="24.21875" customWidth="1"/>
    <col min="3" max="3" width="18.88671875" style="2" customWidth="1"/>
    <col min="4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48" t="s">
        <v>92</v>
      </c>
      <c r="B1" s="148"/>
      <c r="C1" s="148"/>
      <c r="D1" s="148"/>
      <c r="E1" s="148"/>
      <c r="F1" s="148"/>
      <c r="G1" s="148"/>
      <c r="H1" s="148"/>
      <c r="I1" s="148"/>
      <c r="J1" s="148"/>
    </row>
    <row r="2" spans="1:12" x14ac:dyDescent="0.3">
      <c r="A2" s="157" t="s">
        <v>16</v>
      </c>
      <c r="B2" s="149" t="s">
        <v>31</v>
      </c>
      <c r="C2" s="151" t="s">
        <v>41</v>
      </c>
      <c r="D2" s="151" t="s">
        <v>42</v>
      </c>
      <c r="E2" s="151" t="s">
        <v>43</v>
      </c>
      <c r="F2" s="151" t="s">
        <v>44</v>
      </c>
      <c r="G2" s="162" t="s">
        <v>45</v>
      </c>
      <c r="H2" s="149" t="s">
        <v>2</v>
      </c>
      <c r="I2" s="155" t="s">
        <v>1</v>
      </c>
      <c r="J2" s="149" t="s">
        <v>15</v>
      </c>
      <c r="L2">
        <v>5</v>
      </c>
    </row>
    <row r="3" spans="1:12" ht="15" thickBot="1" x14ac:dyDescent="0.35">
      <c r="A3" s="158"/>
      <c r="B3" s="150"/>
      <c r="C3" s="152"/>
      <c r="D3" s="152"/>
      <c r="E3" s="152"/>
      <c r="F3" s="152"/>
      <c r="G3" s="163"/>
      <c r="H3" s="150"/>
      <c r="I3" s="156"/>
      <c r="J3" s="150"/>
      <c r="L3">
        <v>4</v>
      </c>
    </row>
    <row r="4" spans="1:12" s="8" customFormat="1" ht="35.4" customHeight="1" x14ac:dyDescent="0.3">
      <c r="A4" s="62" t="s">
        <v>93</v>
      </c>
      <c r="B4" s="67" t="s">
        <v>169</v>
      </c>
      <c r="C4" s="68" t="s">
        <v>100</v>
      </c>
      <c r="D4" s="68" t="s">
        <v>103</v>
      </c>
      <c r="E4" s="68" t="s">
        <v>102</v>
      </c>
      <c r="F4" s="68" t="s">
        <v>198</v>
      </c>
      <c r="G4" s="68" t="s">
        <v>101</v>
      </c>
      <c r="H4" s="68">
        <f>IF(TCSummary1!B31&gt;2,5,IF(TCSummary1!B31&gt;1.5,4,IF(TCSummary1!B31&gt;1,3,IF(TCSummary1!B31&gt;0.5,2,1))))</f>
        <v>1</v>
      </c>
      <c r="I4" s="69">
        <v>0.3</v>
      </c>
      <c r="J4" s="65">
        <f>H4*I4</f>
        <v>0.3</v>
      </c>
      <c r="L4" s="8">
        <v>3</v>
      </c>
    </row>
    <row r="5" spans="1:12" s="8" customFormat="1" ht="79.2" customHeight="1" x14ac:dyDescent="0.3">
      <c r="A5" s="18" t="s">
        <v>94</v>
      </c>
      <c r="B5" s="20" t="s">
        <v>138</v>
      </c>
      <c r="C5" s="11" t="s">
        <v>35</v>
      </c>
      <c r="D5" s="11" t="s">
        <v>204</v>
      </c>
      <c r="E5" s="11" t="s">
        <v>205</v>
      </c>
      <c r="F5" s="11" t="s">
        <v>206</v>
      </c>
      <c r="G5" s="11" t="s">
        <v>207</v>
      </c>
      <c r="H5" s="12">
        <f>IF(TCSummary1!B28&gt;20,5,IF(TCSummary1!B28&gt;15,4,IF(TCSummary1!B28&gt;10,3,IF(TCSummary1!B28&gt;5,2,1))))</f>
        <v>1</v>
      </c>
      <c r="I5" s="22">
        <v>0.4</v>
      </c>
      <c r="J5" s="24">
        <f>H5*I5</f>
        <v>0.4</v>
      </c>
      <c r="L5">
        <v>2</v>
      </c>
    </row>
    <row r="6" spans="1:12" s="8" customFormat="1" ht="21.6" customHeight="1" x14ac:dyDescent="0.3">
      <c r="A6" s="18" t="s">
        <v>95</v>
      </c>
      <c r="B6" s="19" t="s">
        <v>133</v>
      </c>
      <c r="C6" s="11" t="s">
        <v>134</v>
      </c>
      <c r="D6" s="11" t="s">
        <v>199</v>
      </c>
      <c r="E6" s="11" t="s">
        <v>200</v>
      </c>
      <c r="F6" s="11" t="s">
        <v>201</v>
      </c>
      <c r="G6" s="11" t="s">
        <v>202</v>
      </c>
      <c r="H6" s="16">
        <f>IF(TCSummary1!B29&gt;750,5,IF(TCSummary1!B29&gt;700,4,IF(TCSummary1!B29&gt;650,3,IF(TCSummary1!B29&gt;600,2,1))))</f>
        <v>1</v>
      </c>
      <c r="I6" s="22">
        <v>0.2</v>
      </c>
      <c r="J6" s="23">
        <f>H6*I6</f>
        <v>0.2</v>
      </c>
      <c r="L6">
        <v>1</v>
      </c>
    </row>
    <row r="7" spans="1:12" s="8" customFormat="1" ht="84" customHeight="1" x14ac:dyDescent="0.3">
      <c r="A7" s="18" t="s">
        <v>146</v>
      </c>
      <c r="B7" s="19" t="s">
        <v>147</v>
      </c>
      <c r="C7" s="11" t="s">
        <v>163</v>
      </c>
      <c r="D7" s="11" t="s">
        <v>165</v>
      </c>
      <c r="E7" s="11" t="s">
        <v>164</v>
      </c>
      <c r="F7" s="11" t="s">
        <v>166</v>
      </c>
      <c r="G7" s="11" t="s">
        <v>167</v>
      </c>
      <c r="H7" s="12">
        <v>3</v>
      </c>
      <c r="I7" s="22">
        <v>0.1</v>
      </c>
      <c r="J7" s="23">
        <f>H7*I7</f>
        <v>0.30000000000000004</v>
      </c>
      <c r="L7"/>
    </row>
    <row r="8" spans="1:12" ht="21.6" customHeight="1" thickBot="1" x14ac:dyDescent="0.35">
      <c r="A8" s="159"/>
      <c r="B8" s="160"/>
      <c r="C8" s="160"/>
      <c r="D8" s="160"/>
      <c r="E8" s="160"/>
      <c r="F8" s="160"/>
      <c r="G8" s="161"/>
      <c r="H8" s="26" t="s">
        <v>15</v>
      </c>
      <c r="I8" s="27">
        <f>SUM(I4:I7)</f>
        <v>0.99999999999999989</v>
      </c>
      <c r="J8" s="94">
        <f>SUM(J4:J7)</f>
        <v>1.2</v>
      </c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A1:J1"/>
    <mergeCell ref="J2:J3"/>
    <mergeCell ref="C2:C3"/>
    <mergeCell ref="D2:D3"/>
    <mergeCell ref="E2:E3"/>
    <mergeCell ref="F2:F3"/>
    <mergeCell ref="G2:G3"/>
    <mergeCell ref="A2:A3"/>
    <mergeCell ref="B2:B3"/>
    <mergeCell ref="H2:H3"/>
    <mergeCell ref="I2:I3"/>
  </mergeCells>
  <dataValidations count="1">
    <dataValidation type="list" allowBlank="1" showInputMessage="1" showErrorMessage="1" sqref="H5 H7" xr:uid="{5CD513FD-C150-4012-B6EB-49DCC29238B8}">
      <formula1>$L$2:$L$6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DBDB-9105-45A9-8287-D2607AE34BF0}">
  <sheetPr>
    <tabColor rgb="FF0070C0"/>
  </sheetPr>
  <dimension ref="A1:L18"/>
  <sheetViews>
    <sheetView workbookViewId="0">
      <selection activeCell="H6" sqref="H6"/>
    </sheetView>
  </sheetViews>
  <sheetFormatPr defaultRowHeight="14.4" x14ac:dyDescent="0.3"/>
  <cols>
    <col min="1" max="1" width="10.33203125" style="2" customWidth="1"/>
    <col min="2" max="2" width="27" customWidth="1"/>
    <col min="3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67" t="s">
        <v>91</v>
      </c>
      <c r="B1" s="167"/>
      <c r="C1" s="167"/>
      <c r="D1" s="167"/>
      <c r="E1" s="167"/>
      <c r="F1" s="167"/>
      <c r="G1" s="167"/>
      <c r="H1" s="167"/>
      <c r="I1" s="167"/>
      <c r="J1" s="167"/>
    </row>
    <row r="2" spans="1:12" x14ac:dyDescent="0.3">
      <c r="A2" s="157" t="s">
        <v>16</v>
      </c>
      <c r="B2" s="149" t="s">
        <v>31</v>
      </c>
      <c r="C2" s="151" t="s">
        <v>41</v>
      </c>
      <c r="D2" s="151" t="s">
        <v>42</v>
      </c>
      <c r="E2" s="151" t="s">
        <v>43</v>
      </c>
      <c r="F2" s="151" t="s">
        <v>44</v>
      </c>
      <c r="G2" s="162" t="s">
        <v>45</v>
      </c>
      <c r="H2" s="149" t="s">
        <v>2</v>
      </c>
      <c r="I2" s="155" t="s">
        <v>1</v>
      </c>
      <c r="J2" s="149" t="s">
        <v>15</v>
      </c>
    </row>
    <row r="3" spans="1:12" ht="15" thickBot="1" x14ac:dyDescent="0.35">
      <c r="A3" s="168"/>
      <c r="B3" s="169"/>
      <c r="C3" s="152"/>
      <c r="D3" s="152"/>
      <c r="E3" s="152"/>
      <c r="F3" s="152"/>
      <c r="G3" s="163"/>
      <c r="H3" s="150"/>
      <c r="I3" s="156"/>
      <c r="J3" s="150"/>
    </row>
    <row r="4" spans="1:12" ht="52.2" customHeight="1" x14ac:dyDescent="0.3">
      <c r="A4" s="17" t="s">
        <v>96</v>
      </c>
      <c r="B4" s="20" t="s">
        <v>127</v>
      </c>
      <c r="C4" s="88" t="s">
        <v>132</v>
      </c>
      <c r="D4" s="88" t="s">
        <v>203</v>
      </c>
      <c r="E4" s="88" t="s">
        <v>131</v>
      </c>
      <c r="F4" s="88" t="s">
        <v>130</v>
      </c>
      <c r="G4" s="88" t="s">
        <v>129</v>
      </c>
      <c r="H4" s="15">
        <f>IF(TCSummary1!B23&gt;2.5,5,IF(TCSummary1!B23&gt;2,4,IF(TCSummary1!B23&gt;1.5,3,IF(TCSummary1!B23&gt;1,2,1))))</f>
        <v>5</v>
      </c>
      <c r="I4" s="21">
        <v>0.25</v>
      </c>
      <c r="J4" s="25">
        <f>I4*H4</f>
        <v>1.25</v>
      </c>
      <c r="L4">
        <v>5</v>
      </c>
    </row>
    <row r="5" spans="1:12" ht="21.6" customHeight="1" x14ac:dyDescent="0.3">
      <c r="A5" s="17" t="s">
        <v>97</v>
      </c>
      <c r="B5" s="19" t="s">
        <v>90</v>
      </c>
      <c r="C5" s="12" t="s">
        <v>141</v>
      </c>
      <c r="D5" s="12" t="s">
        <v>142</v>
      </c>
      <c r="E5" s="12" t="s">
        <v>143</v>
      </c>
      <c r="F5" s="12" t="s">
        <v>144</v>
      </c>
      <c r="G5" s="12" t="s">
        <v>145</v>
      </c>
      <c r="H5" s="15">
        <f>IF(TCSummary1!B24&lt;1,5,IF(TCSummary1!B24&lt;1.25,4,IF(TCSummary1!B24&lt;1.5,3,IF(TCSummary1!B24&lt;1.75,2,1))))</f>
        <v>1</v>
      </c>
      <c r="I5" s="21">
        <v>0.25</v>
      </c>
      <c r="J5" s="25">
        <f>I5*H5</f>
        <v>0.25</v>
      </c>
      <c r="L5">
        <v>4</v>
      </c>
    </row>
    <row r="6" spans="1:12" s="8" customFormat="1" ht="86.4" customHeight="1" x14ac:dyDescent="0.3">
      <c r="A6" s="18" t="s">
        <v>98</v>
      </c>
      <c r="B6" s="20" t="s">
        <v>162</v>
      </c>
      <c r="C6" s="11" t="s">
        <v>35</v>
      </c>
      <c r="D6" s="11" t="s">
        <v>137</v>
      </c>
      <c r="E6" s="11" t="s">
        <v>32</v>
      </c>
      <c r="F6" s="11" t="s">
        <v>33</v>
      </c>
      <c r="G6" s="11" t="s">
        <v>34</v>
      </c>
      <c r="H6" s="12">
        <f>IF(TCSummary1!B22&gt;20,5,IF(TCSummary1!B22&gt;15,4,IF(TCSummary1!B22&gt;10,3,IF(TCSummary1!B22&gt;5,2,1))))</f>
        <v>4</v>
      </c>
      <c r="I6" s="22">
        <v>0.4</v>
      </c>
      <c r="J6" s="24">
        <f>H6*I6</f>
        <v>1.6</v>
      </c>
      <c r="L6">
        <v>3</v>
      </c>
    </row>
    <row r="7" spans="1:12" s="8" customFormat="1" ht="92.4" customHeight="1" x14ac:dyDescent="0.3">
      <c r="A7" s="18" t="s">
        <v>99</v>
      </c>
      <c r="B7" s="19" t="s">
        <v>147</v>
      </c>
      <c r="C7" s="11" t="s">
        <v>163</v>
      </c>
      <c r="D7" s="11" t="s">
        <v>165</v>
      </c>
      <c r="E7" s="11" t="s">
        <v>164</v>
      </c>
      <c r="F7" s="11" t="s">
        <v>166</v>
      </c>
      <c r="G7" s="11" t="s">
        <v>167</v>
      </c>
      <c r="H7" s="11">
        <v>3</v>
      </c>
      <c r="I7" s="22">
        <v>0.1</v>
      </c>
      <c r="J7" s="23">
        <f>H7*I7</f>
        <v>0.30000000000000004</v>
      </c>
      <c r="L7">
        <v>2</v>
      </c>
    </row>
    <row r="8" spans="1:12" ht="21.6" customHeight="1" thickBot="1" x14ac:dyDescent="0.35">
      <c r="A8" s="164"/>
      <c r="B8" s="165"/>
      <c r="C8" s="165"/>
      <c r="D8" s="165"/>
      <c r="E8" s="165"/>
      <c r="F8" s="165"/>
      <c r="G8" s="166"/>
      <c r="H8" s="26" t="s">
        <v>15</v>
      </c>
      <c r="I8" s="27">
        <f>SUM(I4:I7)</f>
        <v>1</v>
      </c>
      <c r="J8" s="95">
        <f>SUM(J4:J7)</f>
        <v>3.4000000000000004</v>
      </c>
      <c r="L8">
        <v>1</v>
      </c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J2:J3"/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dataValidations count="1">
    <dataValidation type="list" allowBlank="1" showInputMessage="1" showErrorMessage="1" sqref="H6:H7" xr:uid="{6750506C-C54A-4E45-B54D-A9B945BCB0F8}">
      <formula1>$L$4:$L$8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AF06-C577-4E84-85AF-AC4CAB08A41F}">
  <dimension ref="A1:E33"/>
  <sheetViews>
    <sheetView workbookViewId="0">
      <selection sqref="A1:XFD1048576"/>
    </sheetView>
  </sheetViews>
  <sheetFormatPr defaultRowHeight="14.4" x14ac:dyDescent="0.3"/>
  <cols>
    <col min="1" max="1" width="46.21875" customWidth="1"/>
    <col min="2" max="2" width="14" style="45" customWidth="1"/>
    <col min="3" max="4" width="16.21875" style="16" customWidth="1"/>
  </cols>
  <sheetData>
    <row r="1" spans="1:5" ht="18" x14ac:dyDescent="0.3">
      <c r="A1" s="172" t="s">
        <v>52</v>
      </c>
      <c r="B1" s="173"/>
      <c r="C1" s="173"/>
      <c r="D1" s="174"/>
    </row>
    <row r="2" spans="1:5" ht="21" customHeight="1" x14ac:dyDescent="0.3">
      <c r="A2" s="175" t="s">
        <v>209</v>
      </c>
      <c r="B2" s="176"/>
      <c r="C2" s="176"/>
      <c r="D2" s="177"/>
    </row>
    <row r="3" spans="1:5" x14ac:dyDescent="0.3">
      <c r="A3" s="109" t="s">
        <v>53</v>
      </c>
      <c r="B3" s="110">
        <f>SUM(B4:B7)</f>
        <v>3548400</v>
      </c>
      <c r="C3" s="132" t="s">
        <v>72</v>
      </c>
      <c r="D3" s="111" t="s">
        <v>74</v>
      </c>
      <c r="E3" s="4" t="s">
        <v>73</v>
      </c>
    </row>
    <row r="4" spans="1:5" x14ac:dyDescent="0.3">
      <c r="A4" s="49" t="s">
        <v>75</v>
      </c>
      <c r="B4" s="50">
        <f>C4*D4*12</f>
        <v>3456000</v>
      </c>
      <c r="C4" s="16">
        <v>120</v>
      </c>
      <c r="D4" s="51">
        <v>2400</v>
      </c>
    </row>
    <row r="5" spans="1:5" x14ac:dyDescent="0.3">
      <c r="A5" s="49" t="s">
        <v>54</v>
      </c>
      <c r="B5" s="50">
        <f>C5*D5*12</f>
        <v>72000</v>
      </c>
      <c r="C5" s="16">
        <v>50</v>
      </c>
      <c r="D5" s="51">
        <v>120</v>
      </c>
    </row>
    <row r="6" spans="1:5" x14ac:dyDescent="0.3">
      <c r="A6" s="49" t="s">
        <v>55</v>
      </c>
      <c r="B6" s="50">
        <f>C6*D6*12</f>
        <v>14400</v>
      </c>
      <c r="C6" s="16">
        <v>6</v>
      </c>
      <c r="D6" s="51">
        <v>200</v>
      </c>
    </row>
    <row r="7" spans="1:5" x14ac:dyDescent="0.3">
      <c r="A7" s="49" t="s">
        <v>56</v>
      </c>
      <c r="B7" s="50">
        <v>6000</v>
      </c>
      <c r="D7" s="51"/>
      <c r="E7" t="s">
        <v>210</v>
      </c>
    </row>
    <row r="8" spans="1:5" x14ac:dyDescent="0.3">
      <c r="A8" s="52" t="s">
        <v>57</v>
      </c>
      <c r="B8" s="53">
        <f>SUM(B9:B10)</f>
        <v>104180</v>
      </c>
      <c r="D8" s="51"/>
    </row>
    <row r="9" spans="1:5" x14ac:dyDescent="0.3">
      <c r="A9" s="49" t="s">
        <v>58</v>
      </c>
      <c r="B9" s="50">
        <f>B4*D9</f>
        <v>103680</v>
      </c>
      <c r="D9" s="115">
        <f>[1]TCSummary1!B18</f>
        <v>0.03</v>
      </c>
      <c r="E9" s="47"/>
    </row>
    <row r="10" spans="1:5" x14ac:dyDescent="0.3">
      <c r="A10" s="49" t="s">
        <v>59</v>
      </c>
      <c r="B10" s="50">
        <v>500</v>
      </c>
      <c r="D10" s="51"/>
      <c r="E10" t="s">
        <v>211</v>
      </c>
    </row>
    <row r="11" spans="1:5" x14ac:dyDescent="0.3">
      <c r="A11" s="109" t="s">
        <v>69</v>
      </c>
      <c r="B11" s="110">
        <f>B3-B8</f>
        <v>3444220</v>
      </c>
      <c r="C11" s="133"/>
      <c r="D11" s="112"/>
    </row>
    <row r="12" spans="1:5" x14ac:dyDescent="0.3">
      <c r="A12" s="170" t="s">
        <v>60</v>
      </c>
      <c r="B12" s="171"/>
      <c r="D12" s="51"/>
    </row>
    <row r="13" spans="1:5" x14ac:dyDescent="0.3">
      <c r="A13" s="49" t="s">
        <v>61</v>
      </c>
      <c r="B13" s="50">
        <v>116000</v>
      </c>
      <c r="D13" s="51"/>
      <c r="E13" t="s">
        <v>77</v>
      </c>
    </row>
    <row r="14" spans="1:5" x14ac:dyDescent="0.3">
      <c r="A14" s="49" t="s">
        <v>62</v>
      </c>
      <c r="B14" s="50">
        <v>89020</v>
      </c>
      <c r="D14" s="51"/>
      <c r="E14" t="s">
        <v>78</v>
      </c>
    </row>
    <row r="15" spans="1:5" x14ac:dyDescent="0.3">
      <c r="A15" s="49" t="s">
        <v>63</v>
      </c>
      <c r="B15" s="50">
        <v>2635500</v>
      </c>
      <c r="D15" s="51"/>
      <c r="E15" t="s">
        <v>79</v>
      </c>
    </row>
    <row r="16" spans="1:5" x14ac:dyDescent="0.3">
      <c r="A16" s="49" t="s">
        <v>181</v>
      </c>
      <c r="B16" s="50">
        <f>B11*D16</f>
        <v>103326.59999999999</v>
      </c>
      <c r="D16" s="115">
        <v>0.03</v>
      </c>
      <c r="E16" t="s">
        <v>76</v>
      </c>
    </row>
    <row r="17" spans="1:5" x14ac:dyDescent="0.3">
      <c r="A17" s="49" t="s">
        <v>64</v>
      </c>
      <c r="B17" s="50">
        <v>4000</v>
      </c>
      <c r="D17" s="51"/>
      <c r="E17" t="s">
        <v>82</v>
      </c>
    </row>
    <row r="18" spans="1:5" x14ac:dyDescent="0.3">
      <c r="A18" s="49" t="s">
        <v>65</v>
      </c>
      <c r="B18" s="50">
        <v>18580</v>
      </c>
      <c r="D18" s="51"/>
    </row>
    <row r="19" spans="1:5" x14ac:dyDescent="0.3">
      <c r="A19" s="49" t="s">
        <v>66</v>
      </c>
      <c r="B19" s="50">
        <v>29800</v>
      </c>
      <c r="D19" s="51"/>
    </row>
    <row r="20" spans="1:5" x14ac:dyDescent="0.3">
      <c r="A20" s="109" t="s">
        <v>67</v>
      </c>
      <c r="B20" s="110">
        <f>SUM(B13:B19)</f>
        <v>2996226.6</v>
      </c>
      <c r="C20" s="133"/>
      <c r="D20" s="112"/>
    </row>
    <row r="21" spans="1:5" x14ac:dyDescent="0.3">
      <c r="A21" s="49"/>
      <c r="B21" s="50"/>
      <c r="D21" s="51"/>
    </row>
    <row r="22" spans="1:5" x14ac:dyDescent="0.3">
      <c r="A22" s="109" t="s">
        <v>149</v>
      </c>
      <c r="B22" s="110">
        <f>B11-B20</f>
        <v>447993.39999999991</v>
      </c>
      <c r="C22" s="133"/>
      <c r="D22" s="112"/>
    </row>
    <row r="23" spans="1:5" x14ac:dyDescent="0.3">
      <c r="A23" s="49"/>
      <c r="B23" s="50"/>
      <c r="D23" s="51"/>
    </row>
    <row r="24" spans="1:5" x14ac:dyDescent="0.3">
      <c r="A24" s="109" t="s">
        <v>83</v>
      </c>
      <c r="B24" s="110">
        <f>B25</f>
        <v>389017.08</v>
      </c>
      <c r="C24" s="132"/>
      <c r="D24" s="111"/>
      <c r="E24" s="48" t="s">
        <v>212</v>
      </c>
    </row>
    <row r="25" spans="1:5" x14ac:dyDescent="0.3">
      <c r="A25" s="49" t="s">
        <v>68</v>
      </c>
      <c r="B25" s="50">
        <f>D25*C25</f>
        <v>389017.08</v>
      </c>
      <c r="C25" s="16">
        <v>12</v>
      </c>
      <c r="D25" s="121">
        <v>32418.09</v>
      </c>
      <c r="E25" s="46" t="s">
        <v>71</v>
      </c>
    </row>
    <row r="26" spans="1:5" x14ac:dyDescent="0.3">
      <c r="A26" s="49"/>
      <c r="B26" s="50"/>
      <c r="C26" s="54"/>
      <c r="D26" s="51"/>
    </row>
    <row r="27" spans="1:5" x14ac:dyDescent="0.3">
      <c r="A27" s="109" t="s">
        <v>150</v>
      </c>
      <c r="B27" s="113">
        <f>B22/B25</f>
        <v>1.1516034206004526</v>
      </c>
      <c r="C27" s="114"/>
      <c r="D27" s="112"/>
      <c r="E27" t="s">
        <v>159</v>
      </c>
    </row>
    <row r="28" spans="1:5" x14ac:dyDescent="0.3">
      <c r="A28" s="109" t="s">
        <v>70</v>
      </c>
      <c r="B28" s="113">
        <f>B22-B25</f>
        <v>58976.319999999891</v>
      </c>
      <c r="C28" s="133"/>
      <c r="D28" s="112"/>
    </row>
    <row r="29" spans="1:5" x14ac:dyDescent="0.3">
      <c r="A29" s="49"/>
      <c r="B29" s="50"/>
      <c r="D29" s="51"/>
    </row>
    <row r="30" spans="1:5" x14ac:dyDescent="0.3">
      <c r="A30" s="49"/>
      <c r="B30" s="50"/>
      <c r="D30" s="51"/>
    </row>
    <row r="31" spans="1:5" x14ac:dyDescent="0.3">
      <c r="A31" s="52" t="s">
        <v>80</v>
      </c>
      <c r="B31" s="183">
        <v>4.4999999999999998E-2</v>
      </c>
      <c r="D31" s="51"/>
      <c r="E31" s="46" t="s">
        <v>213</v>
      </c>
    </row>
    <row r="32" spans="1:5" x14ac:dyDescent="0.3">
      <c r="A32" s="49"/>
      <c r="B32" s="50"/>
      <c r="D32" s="51"/>
      <c r="E32" t="s">
        <v>214</v>
      </c>
    </row>
    <row r="33" spans="1:5" ht="15.6" x14ac:dyDescent="0.3">
      <c r="A33" s="55" t="s">
        <v>81</v>
      </c>
      <c r="B33" s="56">
        <f>B22/B31</f>
        <v>9955408.8888888881</v>
      </c>
      <c r="C33" s="57"/>
      <c r="D33" s="58"/>
      <c r="E33" t="s">
        <v>151</v>
      </c>
    </row>
  </sheetData>
  <mergeCells count="3">
    <mergeCell ref="A12:B12"/>
    <mergeCell ref="A1:D1"/>
    <mergeCell ref="A2:D2"/>
  </mergeCells>
  <hyperlinks>
    <hyperlink ref="E25" r:id="rId1" location="top" xr:uid="{23BFB14A-A205-4060-B83F-E682A6D2CEE5}"/>
    <hyperlink ref="E31" r:id="rId2" display="http://cbre.vo.llnwd.net/grgservices/secure/U.S. Multifamily Cap Rate Survey_H2 2019_rBRy.pdf?e=1584474516&amp;h=248114852cedda0a79f58256a1dd89f4" xr:uid="{54D67E54-83FE-49A1-A970-EBAEC616BA5D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EA00-54B8-4017-BF26-08947A532E00}">
  <dimension ref="A1:I39"/>
  <sheetViews>
    <sheetView workbookViewId="0">
      <selection activeCell="A3" sqref="A3"/>
    </sheetView>
  </sheetViews>
  <sheetFormatPr defaultRowHeight="14.4" x14ac:dyDescent="0.3"/>
  <cols>
    <col min="1" max="1" width="41.6640625" customWidth="1"/>
    <col min="2" max="2" width="27.6640625" style="59" customWidth="1"/>
    <col min="3" max="3" width="13.88671875" bestFit="1" customWidth="1"/>
  </cols>
  <sheetData>
    <row r="1" spans="1:9" ht="17.399999999999999" x14ac:dyDescent="0.3">
      <c r="A1" s="182" t="s">
        <v>88</v>
      </c>
      <c r="B1" s="182"/>
    </row>
    <row r="2" spans="1:9" x14ac:dyDescent="0.3">
      <c r="A2" s="180" t="s">
        <v>174</v>
      </c>
      <c r="B2" s="181"/>
    </row>
    <row r="3" spans="1:9" x14ac:dyDescent="0.3">
      <c r="A3" s="119" t="s">
        <v>215</v>
      </c>
      <c r="B3" s="80"/>
      <c r="C3" s="184"/>
      <c r="I3" t="s">
        <v>183</v>
      </c>
    </row>
    <row r="4" spans="1:9" x14ac:dyDescent="0.3">
      <c r="A4" s="134"/>
      <c r="B4" s="81"/>
      <c r="C4" s="184"/>
      <c r="I4" s="8" t="s">
        <v>11</v>
      </c>
    </row>
    <row r="5" spans="1:9" x14ac:dyDescent="0.3">
      <c r="A5" s="180" t="s">
        <v>115</v>
      </c>
      <c r="B5" s="181"/>
      <c r="I5" t="s">
        <v>12</v>
      </c>
    </row>
    <row r="6" spans="1:9" x14ac:dyDescent="0.3">
      <c r="A6" s="82" t="s">
        <v>183</v>
      </c>
      <c r="B6" s="80"/>
      <c r="I6" t="s">
        <v>13</v>
      </c>
    </row>
    <row r="7" spans="1:9" x14ac:dyDescent="0.3">
      <c r="I7" t="s">
        <v>14</v>
      </c>
    </row>
    <row r="8" spans="1:9" ht="15.6" x14ac:dyDescent="0.3">
      <c r="A8" s="178" t="s">
        <v>116</v>
      </c>
      <c r="B8" s="179"/>
      <c r="I8" t="s">
        <v>37</v>
      </c>
    </row>
    <row r="9" spans="1:9" x14ac:dyDescent="0.3">
      <c r="A9" s="49" t="s">
        <v>84</v>
      </c>
      <c r="B9" s="81">
        <v>7000000</v>
      </c>
    </row>
    <row r="10" spans="1:9" x14ac:dyDescent="0.3">
      <c r="A10" s="49" t="s">
        <v>85</v>
      </c>
      <c r="B10" s="81">
        <v>10000000</v>
      </c>
      <c r="C10" t="s">
        <v>160</v>
      </c>
    </row>
    <row r="11" spans="1:9" x14ac:dyDescent="0.3">
      <c r="A11" s="82" t="s">
        <v>86</v>
      </c>
      <c r="B11" s="185">
        <f>B9/B10</f>
        <v>0.7</v>
      </c>
    </row>
    <row r="13" spans="1:9" ht="15.6" x14ac:dyDescent="0.3">
      <c r="A13" s="178" t="s">
        <v>117</v>
      </c>
      <c r="B13" s="179"/>
    </row>
    <row r="14" spans="1:9" x14ac:dyDescent="0.3">
      <c r="A14" s="82" t="s">
        <v>216</v>
      </c>
      <c r="B14" s="83">
        <v>3990456</v>
      </c>
      <c r="C14" s="46" t="s">
        <v>87</v>
      </c>
    </row>
    <row r="16" spans="1:9" ht="15.6" x14ac:dyDescent="0.3">
      <c r="A16" s="178" t="s">
        <v>26</v>
      </c>
      <c r="B16" s="179"/>
    </row>
    <row r="17" spans="1:5" ht="28.8" x14ac:dyDescent="0.3">
      <c r="A17" s="118" t="s">
        <v>172</v>
      </c>
      <c r="B17" s="117">
        <v>3.6999999999999998E-2</v>
      </c>
      <c r="C17" t="s">
        <v>217</v>
      </c>
      <c r="D17" s="46"/>
    </row>
    <row r="18" spans="1:5" ht="24.6" customHeight="1" x14ac:dyDescent="0.3">
      <c r="A18" s="92" t="s">
        <v>171</v>
      </c>
      <c r="B18" s="117">
        <v>0.03</v>
      </c>
      <c r="C18" t="s">
        <v>161</v>
      </c>
    </row>
    <row r="19" spans="1:5" x14ac:dyDescent="0.3">
      <c r="A19" s="78"/>
    </row>
    <row r="20" spans="1:5" ht="15.6" x14ac:dyDescent="0.3">
      <c r="A20" s="178" t="s">
        <v>104</v>
      </c>
      <c r="B20" s="179"/>
    </row>
    <row r="21" spans="1:5" x14ac:dyDescent="0.3">
      <c r="A21" s="52" t="s">
        <v>173</v>
      </c>
      <c r="B21" s="120" t="s">
        <v>218</v>
      </c>
    </row>
    <row r="22" spans="1:5" x14ac:dyDescent="0.3">
      <c r="A22" s="52" t="s">
        <v>177</v>
      </c>
      <c r="B22" s="122">
        <v>20</v>
      </c>
    </row>
    <row r="23" spans="1:5" x14ac:dyDescent="0.3">
      <c r="A23" s="52" t="s">
        <v>128</v>
      </c>
      <c r="B23" s="87">
        <v>10.41</v>
      </c>
      <c r="C23" s="46" t="s">
        <v>219</v>
      </c>
    </row>
    <row r="24" spans="1:5" x14ac:dyDescent="0.3">
      <c r="A24" s="82" t="s">
        <v>89</v>
      </c>
      <c r="B24" s="84">
        <f>C24/D24</f>
        <v>66.096807677242467</v>
      </c>
      <c r="C24" s="61">
        <v>37123933</v>
      </c>
      <c r="D24" s="61">
        <v>561660</v>
      </c>
      <c r="E24" s="46" t="s">
        <v>220</v>
      </c>
    </row>
    <row r="26" spans="1:5" ht="15.6" x14ac:dyDescent="0.3">
      <c r="A26" s="178" t="s">
        <v>135</v>
      </c>
      <c r="B26" s="179"/>
    </row>
    <row r="27" spans="1:5" x14ac:dyDescent="0.3">
      <c r="A27" s="90" t="s">
        <v>176</v>
      </c>
      <c r="B27" s="89"/>
    </row>
    <row r="28" spans="1:5" x14ac:dyDescent="0.3">
      <c r="A28" s="90" t="s">
        <v>136</v>
      </c>
      <c r="B28" s="89"/>
    </row>
    <row r="29" spans="1:5" x14ac:dyDescent="0.3">
      <c r="A29" s="90" t="s">
        <v>177</v>
      </c>
      <c r="B29" s="89"/>
    </row>
    <row r="30" spans="1:5" x14ac:dyDescent="0.3">
      <c r="A30" s="91" t="s">
        <v>118</v>
      </c>
      <c r="B30" s="85"/>
    </row>
    <row r="31" spans="1:5" x14ac:dyDescent="0.3">
      <c r="A31" s="82" t="s">
        <v>119</v>
      </c>
      <c r="B31" s="86"/>
    </row>
    <row r="33" spans="1:3" ht="15.6" x14ac:dyDescent="0.3">
      <c r="A33" s="178" t="s">
        <v>139</v>
      </c>
      <c r="B33" s="179"/>
    </row>
    <row r="34" spans="1:3" x14ac:dyDescent="0.3">
      <c r="A34" s="82" t="s">
        <v>109</v>
      </c>
      <c r="B34" s="93">
        <v>4.3E-3</v>
      </c>
      <c r="C34" s="46" t="s">
        <v>110</v>
      </c>
    </row>
    <row r="36" spans="1:3" ht="15.6" x14ac:dyDescent="0.3">
      <c r="A36" s="178" t="s">
        <v>6</v>
      </c>
      <c r="B36" s="179"/>
    </row>
    <row r="37" spans="1:3" x14ac:dyDescent="0.3">
      <c r="A37" s="82" t="s">
        <v>175</v>
      </c>
      <c r="B37" s="186">
        <f>'[1]Overall Score'!D14</f>
        <v>4.2750000000000004</v>
      </c>
    </row>
    <row r="38" spans="1:3" x14ac:dyDescent="0.3">
      <c r="A38" s="123" t="s">
        <v>179</v>
      </c>
      <c r="B38" s="124" t="str" cm="1">
        <f t="array" ref="B38:C38">'[1]Overall Score'!C16:D16</f>
        <v>Credit Manager Review</v>
      </c>
      <c r="C38">
        <v>0</v>
      </c>
    </row>
    <row r="39" spans="1:3" x14ac:dyDescent="0.3">
      <c r="A39" s="123" t="s">
        <v>180</v>
      </c>
      <c r="B39" s="125" cm="1">
        <f t="array" ref="B39:C39">'[1]Overall Score'!C18:D18</f>
        <v>6.6299999999999998E-2</v>
      </c>
      <c r="C39">
        <v>0</v>
      </c>
    </row>
  </sheetData>
  <mergeCells count="10">
    <mergeCell ref="A36:B36"/>
    <mergeCell ref="A2:B2"/>
    <mergeCell ref="A33:B33"/>
    <mergeCell ref="A1:B1"/>
    <mergeCell ref="A5:B5"/>
    <mergeCell ref="A8:B8"/>
    <mergeCell ref="A26:B26"/>
    <mergeCell ref="A20:B20"/>
    <mergeCell ref="A13:B13"/>
    <mergeCell ref="A16:B16"/>
  </mergeCells>
  <dataValidations count="1">
    <dataValidation type="list" allowBlank="1" showInputMessage="1" showErrorMessage="1" sqref="A6" xr:uid="{7E8192F8-7A23-4423-8B9E-4225C0D88E18}">
      <formula1>$I$3:$I$8</formula1>
    </dataValidation>
  </dataValidations>
  <hyperlinks>
    <hyperlink ref="C14" r:id="rId1" xr:uid="{4646DD86-FF15-4572-9F30-AC5B24A47BD4}"/>
    <hyperlink ref="E24" r:id="rId2" xr:uid="{D60E306E-30B9-46D4-AC62-D1180DB4F3F3}"/>
    <hyperlink ref="C34" r:id="rId3" xr:uid="{743605C8-1A31-4144-B9EE-9CB2A700A783}"/>
    <hyperlink ref="C23" r:id="rId4" xr:uid="{3E5181F0-08F4-4FE9-8551-99C7E70DA43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 Score</vt:lpstr>
      <vt:lpstr>Property</vt:lpstr>
      <vt:lpstr>Individual Borrower</vt:lpstr>
      <vt:lpstr>Corporate Borrower</vt:lpstr>
      <vt:lpstr>TestCase1</vt:lpstr>
      <vt:lpstr>TCSummary1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</dc:creator>
  <cp:lastModifiedBy>Kristin</cp:lastModifiedBy>
  <dcterms:created xsi:type="dcterms:W3CDTF">2020-03-02T01:21:25Z</dcterms:created>
  <dcterms:modified xsi:type="dcterms:W3CDTF">2020-04-14T00:09:20Z</dcterms:modified>
</cp:coreProperties>
</file>