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2361367C-452D-4826-A47E-9D2021A13284}" xr6:coauthVersionLast="45" xr6:coauthVersionMax="45" xr10:uidLastSave="{00000000-0000-0000-0000-000000000000}"/>
  <bookViews>
    <workbookView xWindow="-108" yWindow="-108" windowWidth="23256" windowHeight="12576" tabRatio="852" activeTab="5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10" sheetId="4" r:id="rId5"/>
    <sheet name="TCSummary10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5" l="1" a="1"/>
  <c r="B39" i="5" s="1"/>
  <c r="B38" i="5" a="1"/>
  <c r="B38" i="5" s="1"/>
  <c r="B37" i="5"/>
  <c r="B11" i="5"/>
  <c r="B25" i="4"/>
  <c r="B24" i="4" s="1"/>
  <c r="D9" i="4"/>
  <c r="B5" i="4"/>
  <c r="B4" i="4"/>
  <c r="B9" i="4" s="1"/>
  <c r="B8" i="4" s="1"/>
  <c r="B3" i="4"/>
  <c r="B11" i="4" l="1"/>
  <c r="B16" i="4" l="1"/>
  <c r="B20" i="4" s="1"/>
  <c r="B22" i="4" s="1"/>
  <c r="B33" i="4" l="1"/>
  <c r="B28" i="4"/>
  <c r="B27" i="4"/>
  <c r="H6" i="2" l="1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<sst xmlns="http://schemas.openxmlformats.org/spreadsheetml/2006/main" count="265" uniqueCount="220">
  <si>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</si>
  <si>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</si>
  <si>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</si>
  <si>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</si>
  <si>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</si>
  <si>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</si>
  <si>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</si>
  <si>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</si>
  <si>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</si>
  <si>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</si>
  <si>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</si>
  <si>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</si>
  <si>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</si>
  <si>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</si>
  <si>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</si>
  <si>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</si>
  <si>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</si>
  <si>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</si>
  <si>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</si>
  <si>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</si>
  <si>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</si>
  <si>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</si>
  <si>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</si>
  <si>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</si>
  <si>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</si>
  <si>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</si>
  <si>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</si>
  <si>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</si>
  <si>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</si>
  <si>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</si>
  <si>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</si>
  <si>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</si>
  <si>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</si>
  <si>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</si>
  <si>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</si>
  <si>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</si>
  <si>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</si>
  <si>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</si>
  <si>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</si>
  <si>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</si>
  <si>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</si>
  <si>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</si>
  <si>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</si>
  <si>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</si>
  <si>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</si>
  <si>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</si>
  <si>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</si>
  <si>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</si>
  <si>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</si>
  <si>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</si>
  <si>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</si>
  <si>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</si>
  <si>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</si>
  <si>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</si>
  <si>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</si>
  <si>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</si>
  <si>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</si>
  <si>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</si>
  <si>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</si>
  <si>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</si>
  <si>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</si>
  <si>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</si>
  <si>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</si>
  <si>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</si>
  <si>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</si>
  <si>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</si>
  <si>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</si>
  <si>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</si>
  <si>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</si>
  <si>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</si>
  <si>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</si>
  <si>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</si>
  <si>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</si>
  <si>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>$/unit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</si>
  <si>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</si>
  <si>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</si>
  <si>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</si>
  <si>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</si>
  <si>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</si>
  <si>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</si>
  <si>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</si>
  <si>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</si>
  <si>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</si>
  <si>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</si>
  <si>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</si>
  <si>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</si>
  <si>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</si>
  <si>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</si>
  <si>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</si>
  <si>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</si>
  <si>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</si>
  <si>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</si>
  <si>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</si>
  <si>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</si>
  <si>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</si>
  <si>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</si>
  <si>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</si>
  <si>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</si>
  <si>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</si>
  <si>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</si>
  <si>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</si>
  <si>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</si>
  <si>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</si>
  <si>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</si>
  <si>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</si>
  <si>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</si>
  <si>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</si>
  <si>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</si>
  <si>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</si>
  <si>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</si>
  <si>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</si>
  <si>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</si>
  <si>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</si>
  <si>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</si>
  <si>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</si>
  <si>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</si>
  <si>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</si>
  <si>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</si>
  <si>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</si>
  <si>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</si>
  <si>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</si>
  <si>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</si>
  <si>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</si>
  <si>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</si>
  <si>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</si>
  <si>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</si>
  <si>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</si>
  <si>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</si>
  <si>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</si>
  <si>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</si>
  <si>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</si>
  <si>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</si>
  <si>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</si>
  <si>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</si>
  <si>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</si>
  <si>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</si>
  <si>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</si>
  <si>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</si>
  <si>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</si>
  <si>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</si>
  <si>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</si>
  <si>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</si>
  <si>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</si>
  <si>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</si>
  <si>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</si>
  <si>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</si>
  <si>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</si>
  <si>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</si>
  <si>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</si>
  <si>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</si>
  <si>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</si>
  <si>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</si>
  <si>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</si>
  <si>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</si>
  <si>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</si>
  <si>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</si>
  <si>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</si>
  <si>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</si>
  <si>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</si>
  <si>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</si>
  <si>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</si>
  <si>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</si>
  <si>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</si>
  <si>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</si>
  <si>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</si>
  <si>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</si>
  <si>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</si>
  <si>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</si>
  <si>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</si>
  <si>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</si>
  <si>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</si>
  <si>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</si>
  <si>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</si>
  <si>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</si>
  <si>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</si>
  <si>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</si>
  <si>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</si>
  <si>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</si>
  <si>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</si>
  <si>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</si>
  <si>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</si>
  <si>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http://cbre.vo.llnwd.net/grgservices/secure/U.S.%20Multifamily%20Cap%20Rate%20Survey_H2%202019_rBRy.pdf?e=1584474516&amp;h=248114852cedda0a79f58256a1dd89f4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</si>
  <si>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</si>
  <si>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</si>
  <si>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</si>
  <si>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</si>
  <si>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</si>
  <si>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</si>
  <si>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</si>
  <si>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</si>
  <si>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</si>
  <si>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</si>
  <si>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</si>
  <si>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</si>
  <si>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</si>
  <si>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</si>
  <si>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</si>
  <si>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</si>
  <si>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</si>
  <si>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</si>
  <si>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</si>
  <si>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</si>
  <si>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</si>
  <si>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</si>
  <si>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</si>
  <si>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</si>
  <si>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</si>
  <si>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</si>
  <si>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</si>
  <si>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assume 6% interest rate</t>
  </si>
  <si>
    <t>https://worldpopulationreview.com/us-cities/</t>
  </si>
  <si>
    <t>Essex Property Trust, Inc., MultiFamily Property in Washington DC, DC</t>
  </si>
  <si>
    <t># of units</t>
  </si>
  <si>
    <t>gym income</t>
  </si>
  <si>
    <t>Class B</t>
  </si>
  <si>
    <t>3016 Dumbarton St NW - Georgetown, Washington DC  20007, United States</t>
  </si>
  <si>
    <t>Washington DC, DC</t>
  </si>
  <si>
    <t xml:space="preserve">no washington dc data, picked boston </t>
  </si>
  <si>
    <t>http://cbre.vo.llnwd.net/grgservices/secure/Q4%202019%20US%20Multifamily%20Figures.pdf?e=1584498936&amp;h=2737d769466e1ee914d64b4e7f1bb82b</t>
  </si>
  <si>
    <t>Essex Property Trust,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</si>
</sst>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9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3" fontId="0" fillId="0" borderId="7" xfId="0" applyNumberFormat="1" applyBorder="1" applyAlignment="1">
      <alignment horizontal="right"/>
    </xf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right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10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10"/>
      <sheetName val="TCSummary10"/>
      <sheetName val="applicationDB"/>
    </sheetNames>
    <sheetDataSet>
      <sheetData sheetId="0">
        <row r="14">
          <cell r="D14">
            <v>3.35</v>
          </cell>
        </row>
        <row r="16">
          <cell r="C16" t="str">
            <v>Credit Manager Review</v>
          </cell>
        </row>
        <row r="18">
          <cell r="C18">
            <v>7.1300000000000002E-2</v>
          </cell>
        </row>
      </sheetData>
      <sheetData sheetId="1"/>
      <sheetData sheetId="2"/>
      <sheetData sheetId="3"/>
      <sheetData sheetId="4"/>
      <sheetData sheetId="5">
        <row r="18">
          <cell r="B18">
            <v>0.04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U.S.%20Multifamily%20Cap%20Rate%20Survey_H2%202019_rBRy.pdf?e=1584474516&amp;h=248114852cedda0a79f58256a1dd89f4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e.vo.llnwd.net/grgservices/secure/Q4%202019%20US%20Multifamily%20Figures.pdf?e=1584498936&amp;h=2737d769466e1ee914d64b4e7f1bb82b" TargetMode="External"/><Relationship Id="rId2" Type="http://schemas.openxmlformats.org/officeDocument/2006/relationships/hyperlink" Target="https://worldpopulationreview.com/us-cities/" TargetMode="External"/><Relationship Id="rId1" Type="http://schemas.openxmlformats.org/officeDocument/2006/relationships/hyperlink" Target="https://www.bloomberg.com/markets/rates-bonds/government-bonds/us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opLeftCell="A7" workbookViewId="0">
      <selection activeCell="A9" sqref="A9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156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32" t="s">
        <v>110</v>
      </c>
      <c r="B3" s="132"/>
      <c r="C3" s="132"/>
      <c r="D3" s="132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111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TCSummary10!A6</f>
        <v>Multi-Family</v>
      </c>
      <c r="B5" s="39">
        <v>0.75</v>
      </c>
      <c r="C5" s="43">
        <f>Property!J12</f>
        <v>3.05</v>
      </c>
      <c r="D5" s="44">
        <f>C5*B5</f>
        <v>2.2874999999999996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111</v>
      </c>
      <c r="I8" t="s">
        <v>37</v>
      </c>
    </row>
    <row r="9" spans="1:12" ht="20.399999999999999" customHeight="1" x14ac:dyDescent="0.3">
      <c r="A9" s="38" t="s">
        <v>103</v>
      </c>
      <c r="B9" s="39">
        <v>0.25</v>
      </c>
      <c r="C9" s="43">
        <f>IF(A9=I16,'Individual Borrower'!J8,'Corporate Borrower'!J8)</f>
        <v>1.0999999999999999</v>
      </c>
      <c r="D9" s="44">
        <f>C9*B9</f>
        <v>0.27499999999999997</v>
      </c>
    </row>
    <row r="10" spans="1:12" ht="15" thickBot="1" x14ac:dyDescent="0.35">
      <c r="D10" s="16"/>
    </row>
    <row r="11" spans="1:12" ht="30" customHeight="1" thickBot="1" x14ac:dyDescent="0.35">
      <c r="A11" s="128" t="s">
        <v>38</v>
      </c>
      <c r="B11" s="129"/>
      <c r="C11" s="98" t="s">
        <v>2</v>
      </c>
      <c r="D11" s="97" t="s">
        <v>2</v>
      </c>
      <c r="I11" s="8" t="s">
        <v>146</v>
      </c>
      <c r="K11" s="2">
        <v>1</v>
      </c>
    </row>
    <row r="12" spans="1:12" ht="34.799999999999997" customHeight="1" x14ac:dyDescent="0.3">
      <c r="A12" s="133" t="s">
        <v>3</v>
      </c>
      <c r="B12" s="134"/>
      <c r="C12" s="43">
        <f>IF(A12=I11,1,IF(A12=I12,0.5,0))</f>
        <v>0.5</v>
      </c>
      <c r="D12" s="44">
        <f>C12</f>
        <v>0.5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3.0624999999999996</v>
      </c>
    </row>
    <row r="15" spans="1:12" ht="15" thickBot="1" x14ac:dyDescent="0.35">
      <c r="I15" t="s">
        <v>102</v>
      </c>
    </row>
    <row r="16" spans="1:12" ht="21.75" customHeight="1" thickBot="1" x14ac:dyDescent="0.35">
      <c r="A16" s="99" t="s">
        <v>39</v>
      </c>
      <c r="B16" s="100"/>
      <c r="C16" s="130" t="str">
        <f>IF(D14&lt;3.2,I18,I19)</f>
        <v>Initial Application Rejected</v>
      </c>
      <c r="D16" s="131"/>
      <c r="I16" t="s">
        <v>103</v>
      </c>
    </row>
    <row r="17" spans="1:9" ht="15" thickBot="1" x14ac:dyDescent="0.35"/>
    <row r="18" spans="1:9" ht="21.6" customHeight="1" x14ac:dyDescent="0.3">
      <c r="A18" s="101" t="s">
        <v>176</v>
      </c>
      <c r="B18" s="102"/>
      <c r="C18" s="137" t="str">
        <f>IF(C20="Initial Application Rejected","Pricing not applicable",C20+C19)</f>
        <v>Pricing not applicable</v>
      </c>
      <c r="D18" s="138"/>
      <c r="I18" t="s">
        <v>105</v>
      </c>
    </row>
    <row r="19" spans="1:9" ht="24" customHeight="1" x14ac:dyDescent="0.3">
      <c r="A19" s="69" t="s">
        <v>108</v>
      </c>
      <c r="B19" s="70"/>
      <c r="C19" s="139">
        <v>2.3800000000000002E-2</v>
      </c>
      <c r="D19" s="140"/>
      <c r="I19" t="s">
        <v>104</v>
      </c>
    </row>
    <row r="20" spans="1:9" ht="20.399999999999999" customHeight="1" x14ac:dyDescent="0.3">
      <c r="A20" s="71" t="s">
        <v>109</v>
      </c>
      <c r="B20" s="72"/>
      <c r="C20" s="135" t="str">
        <f>IF(D14&lt;3.2,"Initial Application Rejected",IF(D14&lt;3.6,TestCase10!B31,TestCase10!B31-0.25%))</f>
        <v>Initial Application Rejected</v>
      </c>
      <c r="D20" s="136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10" activePane="bottomRight" state="frozen"/>
      <selection activeCell="D10" sqref="D10"/>
      <selection pane="topRight" activeCell="D10" sqref="D10"/>
      <selection pane="bottomLeft" activeCell="D10" sqref="D10"/>
      <selection pane="bottomRight" activeCell="H9" sqref="H9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1" t="s">
        <v>50</v>
      </c>
      <c r="B1" s="141"/>
      <c r="C1" s="141"/>
      <c r="D1" s="141"/>
      <c r="E1" s="141"/>
      <c r="F1" s="141"/>
      <c r="G1" s="141"/>
      <c r="H1" s="141"/>
      <c r="I1" s="141"/>
      <c r="J1" s="141"/>
      <c r="M1">
        <v>5</v>
      </c>
      <c r="N1">
        <v>5</v>
      </c>
    </row>
    <row r="2" spans="1:14" ht="15" customHeight="1" x14ac:dyDescent="0.3">
      <c r="A2" s="150" t="s">
        <v>16</v>
      </c>
      <c r="B2" s="148" t="s">
        <v>9</v>
      </c>
      <c r="C2" s="144" t="s">
        <v>41</v>
      </c>
      <c r="D2" s="144" t="s">
        <v>42</v>
      </c>
      <c r="E2" s="144" t="s">
        <v>43</v>
      </c>
      <c r="F2" s="144" t="s">
        <v>44</v>
      </c>
      <c r="G2" s="146" t="s">
        <v>45</v>
      </c>
      <c r="H2" s="142" t="s">
        <v>2</v>
      </c>
      <c r="I2" s="142" t="s">
        <v>1</v>
      </c>
      <c r="J2" s="142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1"/>
      <c r="B3" s="149"/>
      <c r="C3" s="145"/>
      <c r="D3" s="145"/>
      <c r="E3" s="145"/>
      <c r="F3" s="145"/>
      <c r="G3" s="147"/>
      <c r="H3" s="143"/>
      <c r="I3" s="143"/>
      <c r="J3" s="143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183</v>
      </c>
      <c r="D4" s="12" t="s">
        <v>184</v>
      </c>
      <c r="E4" s="12" t="s">
        <v>185</v>
      </c>
      <c r="F4" s="12" t="s">
        <v>115</v>
      </c>
      <c r="G4" s="12" t="s">
        <v>186</v>
      </c>
      <c r="H4" s="31">
        <f>IF(TCSummary10!B11&lt;=60%,5,IF(TCSummary10!B11&lt;=65%,4,IF(TCSummary10!B11&lt;=70%,3,IF(TCSummary10!B11&lt;=74.99%,2,1))))</f>
        <v>2</v>
      </c>
      <c r="I4" s="63">
        <v>0.1</v>
      </c>
      <c r="J4" s="64">
        <f>I4*H4</f>
        <v>0.2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187</v>
      </c>
      <c r="D5" s="12" t="s">
        <v>188</v>
      </c>
      <c r="E5" s="12" t="s">
        <v>189</v>
      </c>
      <c r="F5" s="12" t="s">
        <v>190</v>
      </c>
      <c r="G5" s="78" t="s">
        <v>191</v>
      </c>
      <c r="H5" s="31">
        <f>IF(TestCase10!B27&gt;1.5,5,IF(TestCase10!B27&gt;1.4,4,IF(TestCase10!B27&gt;1.3,3,IF(TestCase10!B27&gt;1.2,2,1))))</f>
        <v>2</v>
      </c>
      <c r="I5" s="32">
        <v>0.15</v>
      </c>
      <c r="J5" s="23">
        <f t="shared" ref="J5:J11" si="0">H5*I5</f>
        <v>0.3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168</v>
      </c>
      <c r="C6" s="124" t="s">
        <v>180</v>
      </c>
      <c r="D6" s="124" t="s">
        <v>192</v>
      </c>
      <c r="E6" s="124" t="s">
        <v>193</v>
      </c>
      <c r="F6" s="124" t="s">
        <v>194</v>
      </c>
      <c r="G6" s="124" t="s">
        <v>196</v>
      </c>
      <c r="H6" s="125">
        <f>IF(TCSummary10!B18-TCSummary10!B17&lt;1%,5,IF(TCSummary10!B18-TCSummary10!B17&lt;2%,4,IF(TCSummary10!B18-TCSummary10!B17&lt;3%,3,IF(TCSummary10!B18-TCSummary10!B17&lt;4%,2,1))))</f>
        <v>5</v>
      </c>
      <c r="I6" s="126">
        <v>0.15</v>
      </c>
      <c r="J6" s="127">
        <f t="shared" si="0"/>
        <v>0.75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195</v>
      </c>
      <c r="E7" s="10" t="s">
        <v>28</v>
      </c>
      <c r="F7" s="10" t="s">
        <v>29</v>
      </c>
      <c r="G7" s="29" t="s">
        <v>30</v>
      </c>
      <c r="H7" s="30">
        <f>IF(TCSummary10!B14&gt;2000000,5,IF(TCSummary10!B14&gt;1500000,4,IF(TCSummary10!B14&gt;1000000,3,IF(TCSummary10!B14&gt;500000,2,1))))</f>
        <v>2</v>
      </c>
      <c r="I7" s="33">
        <v>0.1</v>
      </c>
      <c r="J7" s="23">
        <f t="shared" si="0"/>
        <v>0.2</v>
      </c>
    </row>
    <row r="8" spans="1:14" ht="124.2" customHeight="1" x14ac:dyDescent="0.3">
      <c r="A8" s="18" t="s">
        <v>25</v>
      </c>
      <c r="B8" s="14" t="s">
        <v>121</v>
      </c>
      <c r="C8" s="11" t="s">
        <v>123</v>
      </c>
      <c r="D8" s="11" t="s">
        <v>122</v>
      </c>
      <c r="E8" s="11" t="s">
        <v>124</v>
      </c>
      <c r="F8" s="10" t="s">
        <v>150</v>
      </c>
      <c r="G8" s="11" t="s">
        <v>118</v>
      </c>
      <c r="H8" s="31">
        <v>3</v>
      </c>
      <c r="I8" s="32">
        <v>0.15</v>
      </c>
      <c r="J8" s="23">
        <f t="shared" si="0"/>
        <v>0.44999999999999996</v>
      </c>
    </row>
    <row r="9" spans="1:14" ht="115.8" customHeight="1" x14ac:dyDescent="0.3">
      <c r="A9" s="18" t="s">
        <v>20</v>
      </c>
      <c r="B9" s="13" t="s">
        <v>40</v>
      </c>
      <c r="C9" s="11" t="s">
        <v>153</v>
      </c>
      <c r="D9" s="11" t="s">
        <v>152</v>
      </c>
      <c r="E9" s="11" t="s">
        <v>154</v>
      </c>
      <c r="F9" s="11" t="s">
        <v>155</v>
      </c>
      <c r="G9" s="78" t="s">
        <v>151</v>
      </c>
      <c r="H9" s="31">
        <v>3</v>
      </c>
      <c r="I9" s="32">
        <v>0.15</v>
      </c>
      <c r="J9" s="23">
        <f t="shared" si="0"/>
        <v>0.44999999999999996</v>
      </c>
    </row>
    <row r="10" spans="1:14" ht="102.6" customHeight="1" x14ac:dyDescent="0.3">
      <c r="A10" s="17" t="s">
        <v>21</v>
      </c>
      <c r="B10" s="14" t="s">
        <v>138</v>
      </c>
      <c r="C10" s="11" t="s">
        <v>46</v>
      </c>
      <c r="D10" s="11" t="s">
        <v>47</v>
      </c>
      <c r="E10" s="11" t="s">
        <v>48</v>
      </c>
      <c r="F10" s="11" t="s">
        <v>120</v>
      </c>
      <c r="G10" s="29" t="s">
        <v>119</v>
      </c>
      <c r="H10" s="31">
        <v>3</v>
      </c>
      <c r="I10" s="32">
        <v>0.15</v>
      </c>
      <c r="J10" s="23">
        <f t="shared" si="0"/>
        <v>0.44999999999999996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166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3.05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F10" sqref="F10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1" t="s">
        <v>89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  <c r="L2">
        <v>5</v>
      </c>
    </row>
    <row r="3" spans="1:12" ht="15" thickBot="1" x14ac:dyDescent="0.35">
      <c r="A3" s="151"/>
      <c r="B3" s="143"/>
      <c r="C3" s="145"/>
      <c r="D3" s="145"/>
      <c r="E3" s="145"/>
      <c r="F3" s="145"/>
      <c r="G3" s="156"/>
      <c r="H3" s="143"/>
      <c r="I3" s="149"/>
      <c r="J3" s="143"/>
      <c r="L3">
        <v>4</v>
      </c>
    </row>
    <row r="4" spans="1:12" s="8" customFormat="1" ht="35.4" customHeight="1" x14ac:dyDescent="0.3">
      <c r="A4" s="61" t="s">
        <v>90</v>
      </c>
      <c r="B4" s="66" t="s">
        <v>167</v>
      </c>
      <c r="C4" s="67" t="s">
        <v>97</v>
      </c>
      <c r="D4" s="67" t="s">
        <v>100</v>
      </c>
      <c r="E4" s="67" t="s">
        <v>99</v>
      </c>
      <c r="F4" s="67" t="s">
        <v>197</v>
      </c>
      <c r="G4" s="67" t="s">
        <v>98</v>
      </c>
      <c r="H4" s="67">
        <f>IF(TCSummary10!B31&gt;2,5,IF(TCSummary10!B31&gt;1.5,4,IF(TCSummary10!B31&gt;1,3,IF(TCSummary10!B31&gt;0.5,2,1))))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91</v>
      </c>
      <c r="B5" s="20" t="s">
        <v>136</v>
      </c>
      <c r="C5" s="11" t="s">
        <v>35</v>
      </c>
      <c r="D5" s="11" t="s">
        <v>203</v>
      </c>
      <c r="E5" s="11" t="s">
        <v>204</v>
      </c>
      <c r="F5" s="11" t="s">
        <v>205</v>
      </c>
      <c r="G5" s="11" t="s">
        <v>206</v>
      </c>
      <c r="H5" s="12">
        <f>IF(TCSummary10!B28&gt;20,5,IF(TCSummary10!B28&gt;15,4,IF(TCSummary10!B28&gt;10,3,IF(TCSummary10!B28&gt;5,2,1))))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92</v>
      </c>
      <c r="B6" s="19" t="s">
        <v>131</v>
      </c>
      <c r="C6" s="11" t="s">
        <v>132</v>
      </c>
      <c r="D6" s="11" t="s">
        <v>198</v>
      </c>
      <c r="E6" s="11" t="s">
        <v>199</v>
      </c>
      <c r="F6" s="11" t="s">
        <v>200</v>
      </c>
      <c r="G6" s="11" t="s">
        <v>201</v>
      </c>
      <c r="H6" s="16">
        <f>IF(TCSummary10!B29&gt;750,5,IF(TCSummary10!B29&gt;700,4,IF(TCSummary10!B29&gt;650,3,IF(TCSummary10!B29&gt;600,2,1))))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144</v>
      </c>
      <c r="B7" s="19" t="s">
        <v>145</v>
      </c>
      <c r="C7" s="11" t="s">
        <v>161</v>
      </c>
      <c r="D7" s="11" t="s">
        <v>163</v>
      </c>
      <c r="E7" s="11" t="s">
        <v>162</v>
      </c>
      <c r="F7" s="11" t="s">
        <v>164</v>
      </c>
      <c r="G7" s="11" t="s">
        <v>165</v>
      </c>
      <c r="H7" s="12">
        <v>2</v>
      </c>
      <c r="I7" s="22">
        <v>0.1</v>
      </c>
      <c r="J7" s="23">
        <f>H7*I7</f>
        <v>0.2</v>
      </c>
      <c r="L7"/>
    </row>
    <row r="8" spans="1:12" ht="21.6" customHeight="1" thickBot="1" x14ac:dyDescent="0.35">
      <c r="A8" s="152"/>
      <c r="B8" s="153"/>
      <c r="C8" s="153"/>
      <c r="D8" s="153"/>
      <c r="E8" s="153"/>
      <c r="F8" s="153"/>
      <c r="G8" s="154"/>
      <c r="H8" s="26" t="s">
        <v>15</v>
      </c>
      <c r="I8" s="27">
        <f>SUM(I4:I7)</f>
        <v>0.99999999999999989</v>
      </c>
      <c r="J8" s="92">
        <f>SUM(J4:J7)</f>
        <v>1.0999999999999999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60" t="s">
        <v>88</v>
      </c>
      <c r="B1" s="160"/>
      <c r="C1" s="160"/>
      <c r="D1" s="160"/>
      <c r="E1" s="160"/>
      <c r="F1" s="160"/>
      <c r="G1" s="160"/>
      <c r="H1" s="160"/>
      <c r="I1" s="160"/>
      <c r="J1" s="160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</row>
    <row r="3" spans="1:12" ht="15" thickBot="1" x14ac:dyDescent="0.35">
      <c r="A3" s="161"/>
      <c r="B3" s="162"/>
      <c r="C3" s="145"/>
      <c r="D3" s="145"/>
      <c r="E3" s="145"/>
      <c r="F3" s="145"/>
      <c r="G3" s="156"/>
      <c r="H3" s="143"/>
      <c r="I3" s="149"/>
      <c r="J3" s="143"/>
    </row>
    <row r="4" spans="1:12" ht="52.2" customHeight="1" x14ac:dyDescent="0.3">
      <c r="A4" s="17" t="s">
        <v>93</v>
      </c>
      <c r="B4" s="20" t="s">
        <v>125</v>
      </c>
      <c r="C4" s="86" t="s">
        <v>130</v>
      </c>
      <c r="D4" s="86" t="s">
        <v>202</v>
      </c>
      <c r="E4" s="86" t="s">
        <v>129</v>
      </c>
      <c r="F4" s="86" t="s">
        <v>128</v>
      </c>
      <c r="G4" s="86" t="s">
        <v>127</v>
      </c>
      <c r="H4" s="15">
        <f>IF(TCSummary10!B23&gt;2.5,5,IF(TCSummary10!B23&gt;2,4,IF(TCSummary10!B23&gt;1.5,3,IF(TCSummary10!B23&gt;1,2,1))))</f>
        <v>1</v>
      </c>
      <c r="I4" s="21">
        <v>0.25</v>
      </c>
      <c r="J4" s="25">
        <f>I4*H4</f>
        <v>0.25</v>
      </c>
      <c r="L4">
        <v>5</v>
      </c>
    </row>
    <row r="5" spans="1:12" ht="21.6" customHeight="1" x14ac:dyDescent="0.3">
      <c r="A5" s="17" t="s">
        <v>94</v>
      </c>
      <c r="B5" s="19" t="s">
        <v>87</v>
      </c>
      <c r="C5" s="12" t="s">
        <v>139</v>
      </c>
      <c r="D5" s="12" t="s">
        <v>140</v>
      </c>
      <c r="E5" s="12" t="s">
        <v>141</v>
      </c>
      <c r="F5" s="12" t="s">
        <v>142</v>
      </c>
      <c r="G5" s="12" t="s">
        <v>143</v>
      </c>
      <c r="H5" s="15">
        <f>IF(TCSummary10!B24&lt;1,5,IF(TCSummary10!B24&lt;1.25,4,IF(TCSummary10!B24&lt;1.5,3,IF(TCSummary10!B24&lt;1.75,2,1))))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95</v>
      </c>
      <c r="B6" s="20" t="s">
        <v>160</v>
      </c>
      <c r="C6" s="11" t="s">
        <v>35</v>
      </c>
      <c r="D6" s="11" t="s">
        <v>135</v>
      </c>
      <c r="E6" s="11" t="s">
        <v>32</v>
      </c>
      <c r="F6" s="11" t="s">
        <v>33</v>
      </c>
      <c r="G6" s="11" t="s">
        <v>34</v>
      </c>
      <c r="H6" s="12">
        <f>IF(TCSummary10!B22&gt;20,5,IF(TCSummary10!B22&gt;15,4,IF(TCSummary10!B22&gt;10,3,IF(TCSummary10!B22&gt;5,2,1))))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96</v>
      </c>
      <c r="B7" s="19" t="s">
        <v>145</v>
      </c>
      <c r="C7" s="11" t="s">
        <v>161</v>
      </c>
      <c r="D7" s="11" t="s">
        <v>163</v>
      </c>
      <c r="E7" s="11" t="s">
        <v>162</v>
      </c>
      <c r="F7" s="11" t="s">
        <v>164</v>
      </c>
      <c r="G7" s="11" t="s">
        <v>165</v>
      </c>
      <c r="H7" s="11">
        <v>3</v>
      </c>
      <c r="I7" s="22">
        <v>0.1</v>
      </c>
      <c r="J7" s="23">
        <f>H7*I7</f>
        <v>0.30000000000000004</v>
      </c>
      <c r="L7">
        <v>2</v>
      </c>
    </row>
    <row r="8" spans="1:12" ht="21.6" customHeight="1" thickBot="1" x14ac:dyDescent="0.35">
      <c r="A8" s="157"/>
      <c r="B8" s="158"/>
      <c r="C8" s="158"/>
      <c r="D8" s="158"/>
      <c r="E8" s="158"/>
      <c r="F8" s="158"/>
      <c r="G8" s="159"/>
      <c r="H8" s="26" t="s">
        <v>15</v>
      </c>
      <c r="I8" s="27">
        <f>SUM(I4:I7)</f>
        <v>1</v>
      </c>
      <c r="J8" s="93">
        <f>SUM(J4:J7)</f>
        <v>2.8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64" t="s">
        <v>52</v>
      </c>
      <c r="B1" s="165"/>
      <c r="C1" s="165"/>
      <c r="D1" s="166"/>
    </row>
    <row r="2" spans="1:5" ht="15.6" x14ac:dyDescent="0.3">
      <c r="A2" s="167" t="s">
        <v>211</v>
      </c>
      <c r="B2" s="174"/>
      <c r="C2" s="174"/>
      <c r="D2" s="168"/>
    </row>
    <row r="3" spans="1:5" x14ac:dyDescent="0.3">
      <c r="A3" s="107" t="s">
        <v>53</v>
      </c>
      <c r="B3" s="108">
        <f>SUM(B4:B7)</f>
        <v>3810000</v>
      </c>
      <c r="C3" s="175" t="s">
        <v>212</v>
      </c>
      <c r="D3" s="109" t="s">
        <v>73</v>
      </c>
      <c r="E3" s="4" t="s">
        <v>72</v>
      </c>
    </row>
    <row r="4" spans="1:5" x14ac:dyDescent="0.3">
      <c r="A4" s="48" t="s">
        <v>74</v>
      </c>
      <c r="B4" s="49">
        <f>C4*D4*12</f>
        <v>3660000</v>
      </c>
      <c r="C4" s="16">
        <v>25</v>
      </c>
      <c r="D4" s="50">
        <v>12200</v>
      </c>
    </row>
    <row r="5" spans="1:5" x14ac:dyDescent="0.3">
      <c r="A5" s="48" t="s">
        <v>54</v>
      </c>
      <c r="B5" s="49">
        <f>C5*D5*12</f>
        <v>126000</v>
      </c>
      <c r="C5" s="16">
        <v>30</v>
      </c>
      <c r="D5" s="50">
        <v>350</v>
      </c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>
        <v>24000</v>
      </c>
      <c r="D7" s="50"/>
      <c r="E7" t="s">
        <v>213</v>
      </c>
    </row>
    <row r="8" spans="1:5" x14ac:dyDescent="0.3">
      <c r="A8" s="51" t="s">
        <v>57</v>
      </c>
      <c r="B8" s="52">
        <f>SUM(B9:B10)</f>
        <v>146400</v>
      </c>
      <c r="D8" s="50"/>
    </row>
    <row r="9" spans="1:5" ht="15" x14ac:dyDescent="0.35">
      <c r="A9" s="48" t="s">
        <v>58</v>
      </c>
      <c r="B9" s="49">
        <f>B4*D9</f>
        <v>146400</v>
      </c>
      <c r="D9" s="182">
        <f>[1]TCSummary10!B18</f>
        <v>0.04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3663600</v>
      </c>
      <c r="C11" s="176"/>
      <c r="D11" s="110"/>
    </row>
    <row r="12" spans="1:5" x14ac:dyDescent="0.3">
      <c r="A12" s="163" t="s">
        <v>60</v>
      </c>
      <c r="B12" s="177"/>
      <c r="D12" s="50"/>
    </row>
    <row r="13" spans="1:5" x14ac:dyDescent="0.3">
      <c r="A13" s="48" t="s">
        <v>61</v>
      </c>
      <c r="B13" s="49">
        <v>888000</v>
      </c>
      <c r="D13" s="50"/>
      <c r="E13" t="s">
        <v>75</v>
      </c>
    </row>
    <row r="14" spans="1:5" x14ac:dyDescent="0.3">
      <c r="A14" s="48" t="s">
        <v>62</v>
      </c>
      <c r="B14" s="49">
        <v>239387</v>
      </c>
      <c r="D14" s="50"/>
      <c r="E14" t="s">
        <v>76</v>
      </c>
    </row>
    <row r="15" spans="1:5" x14ac:dyDescent="0.3">
      <c r="A15" s="48" t="s">
        <v>63</v>
      </c>
      <c r="B15" s="49">
        <v>1674509</v>
      </c>
      <c r="D15" s="50"/>
      <c r="E15" t="s">
        <v>77</v>
      </c>
    </row>
    <row r="16" spans="1:5" x14ac:dyDescent="0.3">
      <c r="A16" s="48" t="s">
        <v>179</v>
      </c>
      <c r="B16" s="49">
        <f>B11*D16</f>
        <v>146544</v>
      </c>
      <c r="D16" s="183">
        <v>0.04</v>
      </c>
      <c r="E16" t="s">
        <v>207</v>
      </c>
    </row>
    <row r="17" spans="1:7" x14ac:dyDescent="0.3">
      <c r="A17" s="48" t="s">
        <v>64</v>
      </c>
      <c r="B17" s="49">
        <v>3400</v>
      </c>
      <c r="D17" s="50"/>
      <c r="E17" t="s">
        <v>80</v>
      </c>
    </row>
    <row r="18" spans="1:7" x14ac:dyDescent="0.3">
      <c r="A18" s="48" t="s">
        <v>65</v>
      </c>
      <c r="B18" s="49">
        <v>1800</v>
      </c>
      <c r="D18" s="50"/>
    </row>
    <row r="19" spans="1:7" x14ac:dyDescent="0.3">
      <c r="A19" s="48" t="s">
        <v>66</v>
      </c>
      <c r="B19" s="49">
        <v>20000</v>
      </c>
      <c r="D19" s="50"/>
    </row>
    <row r="20" spans="1:7" x14ac:dyDescent="0.3">
      <c r="A20" s="107" t="s">
        <v>67</v>
      </c>
      <c r="B20" s="108">
        <f>SUM(B13:B19)</f>
        <v>2973640</v>
      </c>
      <c r="C20" s="176"/>
      <c r="D20" s="110"/>
    </row>
    <row r="21" spans="1:7" x14ac:dyDescent="0.3">
      <c r="A21" s="48"/>
      <c r="B21" s="49"/>
      <c r="D21" s="50"/>
    </row>
    <row r="22" spans="1:7" x14ac:dyDescent="0.3">
      <c r="A22" s="107" t="s">
        <v>147</v>
      </c>
      <c r="B22" s="108">
        <f>B11-B20</f>
        <v>689960</v>
      </c>
      <c r="C22" s="176"/>
      <c r="D22" s="110"/>
    </row>
    <row r="23" spans="1:7" x14ac:dyDescent="0.3">
      <c r="A23" s="48"/>
      <c r="B23" s="49"/>
      <c r="D23" s="50"/>
    </row>
    <row r="24" spans="1:7" x14ac:dyDescent="0.3">
      <c r="A24" s="107" t="s">
        <v>81</v>
      </c>
      <c r="B24" s="108">
        <f>B25</f>
        <v>559020.96</v>
      </c>
      <c r="C24" s="175"/>
      <c r="D24" s="109"/>
      <c r="E24" s="47" t="s">
        <v>209</v>
      </c>
    </row>
    <row r="25" spans="1:7" x14ac:dyDescent="0.3">
      <c r="A25" s="48" t="s">
        <v>68</v>
      </c>
      <c r="B25" s="49">
        <f>D25*C25</f>
        <v>559020.96</v>
      </c>
      <c r="C25" s="16">
        <v>12</v>
      </c>
      <c r="D25" s="117">
        <v>46585.08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148</v>
      </c>
      <c r="B27" s="111">
        <f>B22/B25</f>
        <v>1.234229213874199</v>
      </c>
      <c r="C27" s="112"/>
      <c r="D27" s="110"/>
      <c r="E27" t="s">
        <v>157</v>
      </c>
    </row>
    <row r="28" spans="1:7" x14ac:dyDescent="0.3">
      <c r="A28" s="107" t="s">
        <v>70</v>
      </c>
      <c r="B28" s="111">
        <f>B22-B25</f>
        <v>130939.04000000004</v>
      </c>
      <c r="C28" s="176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78</v>
      </c>
      <c r="B31" s="178">
        <v>4.7500000000000001E-2</v>
      </c>
      <c r="D31" s="50"/>
      <c r="E31" s="46" t="s">
        <v>181</v>
      </c>
      <c r="G31" s="46"/>
    </row>
    <row r="32" spans="1:7" x14ac:dyDescent="0.3">
      <c r="A32" s="48"/>
      <c r="B32" s="49"/>
      <c r="D32" s="50"/>
      <c r="E32" t="s">
        <v>214</v>
      </c>
    </row>
    <row r="33" spans="1:5" ht="15.6" x14ac:dyDescent="0.3">
      <c r="A33" s="54" t="s">
        <v>79</v>
      </c>
      <c r="B33" s="55">
        <f>B22/B31</f>
        <v>14525473.684210526</v>
      </c>
      <c r="C33" s="56"/>
      <c r="D33" s="57"/>
      <c r="E33" t="s">
        <v>149</v>
      </c>
    </row>
  </sheetData>
  <mergeCells count="3">
    <mergeCell ref="A12:B12"/>
    <mergeCell ref="A1:D1"/>
    <mergeCell ref="A2:D2"/>
  </mergeCells>
  <hyperlinks>
    <hyperlink ref="E25" r:id="rId1" location="top" xr:uid="{56DEEDF2-44E7-4677-A953-76EAB6DDC93F}"/>
    <hyperlink ref="E31" r:id="rId2" display="http://cbre.vo.llnwd.net/grgservices/secure/U.S. Multifamily Cap Rate Survey_H2 2019_rBRy.pdf?e=1584474516&amp;h=248114852cedda0a79f58256a1dd89f4" xr:uid="{D4835E2C-9CB5-4973-B6CF-394EB222998C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tabSelected="1" workbookViewId="0">
      <selection activeCell="E22" sqref="E22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73" t="s">
        <v>85</v>
      </c>
      <c r="B1" s="173"/>
    </row>
    <row r="2" spans="1:9" x14ac:dyDescent="0.3">
      <c r="A2" s="171" t="s">
        <v>172</v>
      </c>
      <c r="B2" s="172"/>
      <c r="I2" t="s">
        <v>182</v>
      </c>
    </row>
    <row r="3" spans="1:9" x14ac:dyDescent="0.3">
      <c r="A3" s="116" t="s">
        <v>215</v>
      </c>
      <c r="B3" s="79"/>
      <c r="I3" s="8" t="s">
        <v>208</v>
      </c>
    </row>
    <row r="4" spans="1:9" x14ac:dyDescent="0.3">
      <c r="A4" s="179"/>
      <c r="B4" s="80"/>
      <c r="I4" t="s">
        <v>12</v>
      </c>
    </row>
    <row r="5" spans="1:9" x14ac:dyDescent="0.3">
      <c r="A5" s="171" t="s">
        <v>112</v>
      </c>
      <c r="B5" s="172"/>
      <c r="I5" t="s">
        <v>13</v>
      </c>
    </row>
    <row r="6" spans="1:9" x14ac:dyDescent="0.3">
      <c r="A6" s="81" t="s">
        <v>182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69" t="s">
        <v>113</v>
      </c>
      <c r="B8" s="170"/>
    </row>
    <row r="9" spans="1:9" x14ac:dyDescent="0.3">
      <c r="A9" s="48" t="s">
        <v>82</v>
      </c>
      <c r="B9" s="80">
        <v>7770000</v>
      </c>
    </row>
    <row r="10" spans="1:9" x14ac:dyDescent="0.3">
      <c r="A10" s="48" t="s">
        <v>83</v>
      </c>
      <c r="B10" s="80">
        <v>10500000</v>
      </c>
      <c r="C10" t="s">
        <v>158</v>
      </c>
    </row>
    <row r="11" spans="1:9" x14ac:dyDescent="0.3">
      <c r="A11" s="81" t="s">
        <v>84</v>
      </c>
      <c r="B11" s="184">
        <f>B9/B10</f>
        <v>0.74</v>
      </c>
    </row>
    <row r="13" spans="1:9" ht="15.6" x14ac:dyDescent="0.3">
      <c r="A13" s="169" t="s">
        <v>114</v>
      </c>
      <c r="B13" s="170"/>
    </row>
    <row r="14" spans="1:9" x14ac:dyDescent="0.3">
      <c r="A14" s="81" t="s">
        <v>216</v>
      </c>
      <c r="B14" s="185">
        <v>724342</v>
      </c>
      <c r="C14" s="46" t="s">
        <v>210</v>
      </c>
    </row>
    <row r="16" spans="1:9" ht="15.6" x14ac:dyDescent="0.3">
      <c r="A16" s="169" t="s">
        <v>26</v>
      </c>
      <c r="B16" s="170"/>
      <c r="C16" t="s">
        <v>217</v>
      </c>
    </row>
    <row r="17" spans="1:5" ht="28.8" x14ac:dyDescent="0.3">
      <c r="A17" s="115" t="s">
        <v>170</v>
      </c>
      <c r="B17" s="180">
        <v>3.2000000000000001E-2</v>
      </c>
      <c r="C17" s="46" t="s">
        <v>218</v>
      </c>
      <c r="D17" s="46"/>
    </row>
    <row r="18" spans="1:5" ht="24.6" customHeight="1" x14ac:dyDescent="0.3">
      <c r="A18" s="90" t="s">
        <v>169</v>
      </c>
      <c r="B18" s="114">
        <v>0.04</v>
      </c>
      <c r="C18" t="s">
        <v>159</v>
      </c>
    </row>
    <row r="19" spans="1:5" x14ac:dyDescent="0.3">
      <c r="A19" s="77"/>
    </row>
    <row r="20" spans="1:5" x14ac:dyDescent="0.3">
      <c r="A20" s="186" t="s">
        <v>101</v>
      </c>
      <c r="B20" s="187"/>
    </row>
    <row r="21" spans="1:5" x14ac:dyDescent="0.3">
      <c r="A21" s="51" t="s">
        <v>171</v>
      </c>
      <c r="B21" s="188" t="s">
        <v>219</v>
      </c>
    </row>
    <row r="22" spans="1:5" x14ac:dyDescent="0.3">
      <c r="A22" s="51" t="s">
        <v>175</v>
      </c>
      <c r="B22" s="118">
        <v>49</v>
      </c>
    </row>
    <row r="23" spans="1:5" x14ac:dyDescent="0.3">
      <c r="A23" s="51" t="s">
        <v>126</v>
      </c>
      <c r="B23" s="85">
        <v>0.37</v>
      </c>
      <c r="C23" s="46"/>
    </row>
    <row r="24" spans="1:5" x14ac:dyDescent="0.3">
      <c r="A24" s="81" t="s">
        <v>86</v>
      </c>
      <c r="B24" s="82">
        <v>91.38</v>
      </c>
      <c r="C24" s="46"/>
      <c r="D24" s="60"/>
      <c r="E24" s="46"/>
    </row>
    <row r="26" spans="1:5" ht="15.6" x14ac:dyDescent="0.3">
      <c r="A26" s="169" t="s">
        <v>133</v>
      </c>
      <c r="B26" s="170"/>
    </row>
    <row r="27" spans="1:5" x14ac:dyDescent="0.3">
      <c r="A27" s="88" t="s">
        <v>174</v>
      </c>
      <c r="B27" s="87"/>
    </row>
    <row r="28" spans="1:5" x14ac:dyDescent="0.3">
      <c r="A28" s="88" t="s">
        <v>175</v>
      </c>
      <c r="B28" s="87"/>
    </row>
    <row r="29" spans="1:5" x14ac:dyDescent="0.3">
      <c r="A29" s="88" t="s">
        <v>134</v>
      </c>
      <c r="B29" s="87"/>
    </row>
    <row r="30" spans="1:5" x14ac:dyDescent="0.3">
      <c r="A30" s="89" t="s">
        <v>116</v>
      </c>
      <c r="B30" s="83"/>
    </row>
    <row r="31" spans="1:5" x14ac:dyDescent="0.3">
      <c r="A31" s="81" t="s">
        <v>117</v>
      </c>
      <c r="B31" s="84"/>
    </row>
    <row r="33" spans="1:3" ht="15.6" x14ac:dyDescent="0.3">
      <c r="A33" s="169" t="s">
        <v>137</v>
      </c>
      <c r="B33" s="170"/>
    </row>
    <row r="34" spans="1:3" x14ac:dyDescent="0.3">
      <c r="A34" s="81" t="s">
        <v>106</v>
      </c>
      <c r="B34" s="91">
        <v>4.3E-3</v>
      </c>
      <c r="C34" s="46" t="s">
        <v>107</v>
      </c>
    </row>
    <row r="36" spans="1:3" ht="15.6" x14ac:dyDescent="0.3">
      <c r="A36" s="169" t="s">
        <v>6</v>
      </c>
      <c r="B36" s="170"/>
    </row>
    <row r="37" spans="1:3" x14ac:dyDescent="0.3">
      <c r="A37" s="81" t="s">
        <v>173</v>
      </c>
      <c r="B37" s="181">
        <f>'[1]Overall Score'!D14</f>
        <v>3.35</v>
      </c>
    </row>
    <row r="38" spans="1:3" x14ac:dyDescent="0.3">
      <c r="A38" s="119" t="s">
        <v>177</v>
      </c>
      <c r="B38" s="120" t="str" cm="1">
        <f t="array" ref="B38:C38">'[1]Overall Score'!C16:D16</f>
        <v>Credit Manager Review</v>
      </c>
      <c r="C38">
        <v>0</v>
      </c>
    </row>
    <row r="39" spans="1:3" x14ac:dyDescent="0.3">
      <c r="A39" s="119" t="s">
        <v>178</v>
      </c>
      <c r="B39" s="121" cm="1">
        <f t="array" ref="B39:C39">'[1]Overall Score'!C18:D18</f>
        <v>7.1300000000000002E-2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E8E69618-956B-4EE0-80D1-A34A388B4BD7}">
      <formula1>$I$2:$I$7</formula1>
    </dataValidation>
  </dataValidations>
  <hyperlinks>
    <hyperlink ref="C34" r:id="rId1" xr:uid="{2CDBF50A-FA0B-4D6C-9D19-56000007F2D2}"/>
    <hyperlink ref="C14" r:id="rId2" xr:uid="{E3BFFB39-EFD1-455A-8BB7-40378E419C8D}"/>
    <hyperlink ref="C17" r:id="rId3" display="http://cbre.vo.llnwd.net/grgservices/secure/Q4 2019 US Multifamily Figures.pdf?e=1584498936&amp;h=2737d769466e1ee914d64b4e7f1bb82b" xr:uid="{7B0C185D-665D-42A0-B2EA-423613C476B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TestCase10</vt:lpstr>
      <vt:lpstr>TCSummary10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2020-04-13T22:39:34Z</dcterms:modified>
</cp:coreProperties>
</file>