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TestingCases\"/>
    </mc:Choice>
  </mc:AlternateContent>
  <xr:revisionPtr revIDLastSave="0" documentId="13_ncr:1_{E4DFF3C1-11CD-4FB7-81AB-921F33B9F727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r:id="rId4"/>
    <sheet name="TestCase11" sheetId="4" r:id="rId5"/>
    <sheet name="TCSummary11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5" l="1"/>
  <c r="B25" i="4"/>
  <c r="B24" i="4" s="1"/>
  <c r="D9" i="4"/>
  <c r="B5" i="4"/>
  <c r="B4" i="4"/>
  <c r="B9" i="4" s="1"/>
  <c r="B8" i="4" s="1"/>
  <c r="B11" i="4" s="1"/>
  <c r="B3" i="4"/>
  <c r="B16" i="4" l="1"/>
  <c r="B20" i="4" s="1"/>
  <c r="B22" i="4" s="1"/>
  <c r="B27" i="4" l="1"/>
  <c r="B33" i="4"/>
  <c r="B28" i="4"/>
  <c r="H6" i="2" l="1"/>
  <c r="H4" i="2" l="1"/>
  <c r="H5" i="3"/>
  <c r="H6" i="3"/>
  <c r="H5" i="7" l="1"/>
  <c r="H4" i="7"/>
  <c r="H4" i="3"/>
  <c r="H7" i="2"/>
  <c r="H5" i="2"/>
  <c r="A5" i="1" l="1"/>
  <c r="H6" i="7" l="1"/>
  <c r="I8" i="3" l="1"/>
  <c r="I12" i="2"/>
  <c r="C12" i="1"/>
  <c r="J7" i="3" l="1"/>
  <c r="J5" i="7"/>
  <c r="I8" i="7" l="1"/>
  <c r="J7" i="7"/>
  <c r="J6" i="7"/>
  <c r="J4" i="7"/>
  <c r="J8" i="7" l="1"/>
  <c r="J9" i="2" l="1"/>
  <c r="D12" i="1"/>
  <c r="J10" i="2"/>
  <c r="J6" i="3"/>
  <c r="J5" i="3"/>
  <c r="J4" i="3"/>
  <c r="J11" i="2"/>
  <c r="J8" i="2"/>
  <c r="J7" i="2"/>
  <c r="J6" i="2"/>
  <c r="J4" i="2"/>
  <c r="J8" i="3" l="1"/>
  <c r="C9" i="1"/>
  <c r="D9" i="1" s="1"/>
  <c r="J5" i="2" l="1"/>
  <c r="J12" i="2" s="1"/>
  <c r="C5" i="1" l="1"/>
  <c r="D5" i="1" s="1"/>
  <c r="D14" i="1" s="1"/>
  <c r="C20" i="1" s="1"/>
  <c r="C18" i="1" l="1"/>
  <c r="C16" i="1"/>
</calcChain>
</file>

<file path=xl/sharedStrings.xml><?xml version="1.0" encoding="utf-8"?>
<sst xmlns="http://schemas.openxmlformats.org/spreadsheetml/2006/main" count="267" uniqueCount="220">
  <si>
    <t>Collateral Type</t>
  </si>
  <si>
    <t>Weight</t>
  </si>
  <si>
    <t>Score</t>
  </si>
  <si>
    <t>Corporate guarantee</t>
  </si>
  <si>
    <t>No guarantee</t>
  </si>
  <si>
    <t>Borrower creditworthiness</t>
  </si>
  <si>
    <t>Overall Score</t>
  </si>
  <si>
    <t>Loan-to-Value (LTV)</t>
  </si>
  <si>
    <t>Debt-Service Coverage ratio (DSCR)</t>
  </si>
  <si>
    <t>Property Characteristics</t>
  </si>
  <si>
    <t>Multi-Residential</t>
  </si>
  <si>
    <t>Retial</t>
  </si>
  <si>
    <t>Office</t>
  </si>
  <si>
    <t>Industrial</t>
  </si>
  <si>
    <t>Hospitality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</si>
  <si>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</si>
  <si>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</si>
  <si>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</si>
  <si>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</si>
  <si>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</si>
  <si>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</si>
  <si>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</si>
  <si>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</si>
  <si>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</si>
  <si>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</si>
  <si>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</si>
  <si>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Vacancy Rate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</si>
  <si>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</si>
  <si>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</si>
  <si>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</si>
  <si>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</si>
  <si>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</si>
  <si>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</si>
  <si>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</si>
  <si>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</si>
  <si>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</si>
  <si>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</si>
  <si>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Other Income-generating property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</si>
  <si>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</si>
  <si>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</si>
  <si>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</si>
  <si>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</si>
  <si>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</si>
  <si>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</si>
  <si>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</si>
  <si>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</si>
  <si>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</si>
  <si>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</si>
  <si>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</si>
  <si>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</si>
  <si>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</si>
  <si>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</si>
  <si>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Project Cash Flow Framework</t>
  </si>
  <si>
    <t>Gross Rental Income</t>
  </si>
  <si>
    <t xml:space="preserve">   - Parking</t>
  </si>
  <si>
    <t xml:space="preserve">   - Laundry</t>
  </si>
  <si>
    <t xml:space="preserve">   - Other income</t>
  </si>
  <si>
    <t>Less Vacancy &amp; Rental Losses</t>
  </si>
  <si>
    <t xml:space="preserve">   - Vacancy loss</t>
  </si>
  <si>
    <t xml:space="preserve">   - Other rental loss </t>
  </si>
  <si>
    <t>Operating Expenses</t>
  </si>
  <si>
    <t xml:space="preserve">   - Property Tax</t>
  </si>
  <si>
    <t xml:space="preserve">   - Property Insurance</t>
  </si>
  <si>
    <t xml:space="preserve">   - Utilities/Janitorial/Maintenance</t>
  </si>
  <si>
    <t xml:space="preserve">   - Structural Maintenance</t>
  </si>
  <si>
    <t xml:space="preserve">   - Misc.</t>
  </si>
  <si>
    <t xml:space="preserve">   - Reserves &amp; Replacement </t>
  </si>
  <si>
    <t>Total Operating Expenses</t>
  </si>
  <si>
    <t xml:space="preserve">   - Principal + interest payment</t>
  </si>
  <si>
    <t>Effective Gross Income (EGI)</t>
  </si>
  <si>
    <t>Cash after Debt Amortisation</t>
  </si>
  <si>
    <t>https://www.mortgagecalculator.org/calculators/mortgage-payment-calculator.php#top</t>
  </si>
  <si>
    <t>notes</t>
  </si>
  <si>
    <t xml:space="preserve">   - Rental income from units (assume 100% occupancy)</t>
  </si>
  <si>
    <t>from the most recent property tax statement</t>
  </si>
  <si>
    <t>from the most recent property isnurance invoice</t>
  </si>
  <si>
    <t>from utilities bills, invices from service providers</t>
  </si>
  <si>
    <t>Cap Rate</t>
  </si>
  <si>
    <t>Implied Property Value</t>
  </si>
  <si>
    <t>invoice from engineering firm</t>
  </si>
  <si>
    <t>Annual Financing cost</t>
  </si>
  <si>
    <t>Loan amount</t>
  </si>
  <si>
    <t>Appraised value</t>
  </si>
  <si>
    <t>Loan-toValue (LTV)</t>
  </si>
  <si>
    <t>Key Metrics</t>
  </si>
  <si>
    <t>D/E Ratio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</si>
  <si>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</si>
  <si>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</si>
  <si>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</si>
  <si>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</si>
  <si>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</si>
  <si>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</si>
  <si>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</si>
  <si>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</si>
  <si>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</si>
  <si>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</si>
  <si>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</si>
  <si>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</si>
  <si>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</si>
  <si>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</si>
  <si>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>Corporate Borrower Financials</t>
  </si>
  <si>
    <t>Corporate Borrower</t>
  </si>
  <si>
    <t>Individual Borrower</t>
  </si>
  <si>
    <t>Credit Manager Review</t>
  </si>
  <si>
    <t>Initial Application Rejected</t>
  </si>
  <si>
    <t>5Y US Treasury Bond</t>
  </si>
  <si>
    <t>https://www.bloomberg.com/markets/rates-bonds/government-bonds/us</t>
  </si>
  <si>
    <t xml:space="preserve">5Y US Treasury Bond </t>
  </si>
  <si>
    <t>Spread</t>
  </si>
  <si>
    <t>Commercial Mortgage Application Screening Score</t>
  </si>
  <si>
    <t>Weighted Score</t>
  </si>
  <si>
    <t>Property Type</t>
  </si>
  <si>
    <t xml:space="preserve">Loan data </t>
  </si>
  <si>
    <t>City/Township Location Population</t>
  </si>
  <si>
    <t>70.01%-74.99%</t>
  </si>
  <si>
    <t>net worth amount</t>
  </si>
  <si>
    <t>net worth/loan amount ratio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</si>
  <si>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</si>
  <si>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</si>
  <si>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</si>
  <si>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</si>
  <si>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</si>
  <si>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</si>
  <si>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</si>
  <si>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</si>
  <si>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Current Ratio</t>
  </si>
  <si>
    <t>&lt;1.0X</t>
  </si>
  <si>
    <t>1.01X - 1.5X</t>
  </si>
  <si>
    <t>1.51X - 2.0X</t>
  </si>
  <si>
    <t>&gt; 2.51X</t>
  </si>
  <si>
    <t>Credit Score (FICO)</t>
  </si>
  <si>
    <t>&gt; 750</t>
  </si>
  <si>
    <t>Individual Borrower Credit Worthiness</t>
  </si>
  <si>
    <t>FICO</t>
  </si>
  <si>
    <t xml:space="preserve">15-20 years </t>
  </si>
  <si>
    <t xml:space="preserve">Current or prior experience purchasing, owning or operating commercial real estate in the subject market. </t>
  </si>
  <si>
    <t>Pricing benchmark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</si>
  <si>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</si>
  <si>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</si>
  <si>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</si>
  <si>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</si>
  <si>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</si>
  <si>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</si>
  <si>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</si>
  <si>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</si>
  <si>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Federal/State/Municipal guarantees full loan amount</t>
  </si>
  <si>
    <t>Net Operating Income (NOI)</t>
  </si>
  <si>
    <t>Debt Service Coverage Ratio (DSCR)</t>
  </si>
  <si>
    <t>compare this to the appraised value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</si>
  <si>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</si>
  <si>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</si>
  <si>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</si>
  <si>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</si>
  <si>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</si>
  <si>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</si>
  <si>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</si>
  <si>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DSCR = NOI/annual financing cost</t>
  </si>
  <si>
    <t>usually from appraisal</t>
  </si>
  <si>
    <t>from apprisal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</si>
  <si>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</si>
  <si>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</si>
  <si>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</si>
  <si>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</si>
  <si>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</si>
  <si>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</si>
  <si>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</si>
  <si>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</si>
  <si>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</si>
  <si>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Property vacancy rate (per rent roll or appraisal)</t>
  </si>
  <si>
    <t>Vacancy rate of same property type in the same market</t>
  </si>
  <si>
    <t>Borrower name</t>
  </si>
  <si>
    <t>Property Address</t>
  </si>
  <si>
    <t>Application Screening score</t>
  </si>
  <si>
    <t>Borrower Name</t>
  </si>
  <si>
    <t>Industry Experience</t>
  </si>
  <si>
    <t>Suggested interest rate:</t>
  </si>
  <si>
    <t>Next Step</t>
  </si>
  <si>
    <t>Sugguested interest rate</t>
  </si>
  <si>
    <t xml:space="preserve">   - Management &amp; Leasing fee</t>
  </si>
  <si>
    <t>No vacancy (Fully occupied) or property vacancy less than 1% than the market average</t>
  </si>
  <si>
    <t>Class A</t>
  </si>
  <si>
    <t>Multi-Family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</si>
  <si>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</si>
  <si>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</si>
  <si>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</si>
  <si>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</si>
  <si>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</si>
  <si>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</si>
  <si>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</si>
  <si>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</si>
  <si>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</si>
  <si>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</si>
  <si>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</si>
  <si>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</si>
  <si>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2million &gt; population &gt; 1.5million</t>
  </si>
  <si>
    <t>Property vacancy rate is 4% or more higher than the average rate in the same market</t>
  </si>
  <si>
    <t>0.5X - 1X of loan amount</t>
  </si>
  <si>
    <t>700- 750</t>
  </si>
  <si>
    <t>650 - 699</t>
  </si>
  <si>
    <t>600 - 649</t>
  </si>
  <si>
    <t>&lt;= 600</t>
  </si>
  <si>
    <t>2.01X - 2.5X</t>
  </si>
  <si>
    <t xml:space="preserve">16-20 years </t>
  </si>
  <si>
    <t>11-15 years</t>
  </si>
  <si>
    <t>6-10 years</t>
  </si>
  <si>
    <t>&lt;= 5 years</t>
  </si>
  <si>
    <t>Usually between 2-4% of EGI</t>
  </si>
  <si>
    <t>Retail</t>
  </si>
  <si>
    <t>Sq.f</t>
  </si>
  <si>
    <t>per year</t>
  </si>
  <si>
    <t>http://cbre.vo.llnwd.net/grgservices/secure/U.S.%20Retail%20Cap%20Rate%20Survey_H2%202019_wrvy.pdf?e=1584474384&amp;h=0953120152b507c2e44b5cfae19002f9</t>
  </si>
  <si>
    <t>assume 7.5% interest rate</t>
  </si>
  <si>
    <t>https://worldpopulationreview.com/us-cities/</t>
  </si>
  <si>
    <t>Cedar Realty Trust, Inc., Retail Property in Denver, CO</t>
  </si>
  <si>
    <t>$/sq.f</t>
  </si>
  <si>
    <t>2185 Broadway St, Denver, CO, United States</t>
  </si>
  <si>
    <t>Denver, CO</t>
  </si>
  <si>
    <t>http://cbre.vo.llnwd.net/grgservices/secure/Denver_Retail_MarketView_Q4_2019.pdf?e=1584499995&amp;h=7ce32b181549df011ccf0aa8eef2c5e2</t>
  </si>
  <si>
    <t>Cedar Realty Trust, Inc.</t>
  </si>
  <si>
    <t>https://finance.yahoo.com/quote/CDR/key-statistics?p=CDR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</si>
</sst>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%"/>
    <numFmt numFmtId="166" formatCode="_-&quot;$&quot;* #,##0_-;\-&quot;$&quot;* #,##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222222"/>
      <name val="Arial"/>
      <family val="2"/>
    </font>
    <font>
      <sz val="8"/>
      <color rgb="FF2F2F2F"/>
      <name val="Arial"/>
      <family val="2"/>
    </font>
    <font>
      <sz val="10"/>
      <color rgb="FF3A3A3A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8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1" applyNumberFormat="1" applyFont="1"/>
    <xf numFmtId="0" fontId="8" fillId="0" borderId="0" xfId="4"/>
    <xf numFmtId="9" fontId="0" fillId="0" borderId="0" xfId="0" applyNumberFormat="1" applyAlignment="1">
      <alignment horizontal="left" vertical="center"/>
    </xf>
    <xf numFmtId="0" fontId="0" fillId="0" borderId="35" xfId="0" applyBorder="1"/>
    <xf numFmtId="4" fontId="0" fillId="0" borderId="0" xfId="1" applyNumberFormat="1" applyFont="1" applyBorder="1"/>
    <xf numFmtId="0" fontId="0" fillId="0" borderId="36" xfId="0" applyBorder="1" applyAlignment="1">
      <alignment horizontal="center" vertical="center"/>
    </xf>
    <xf numFmtId="0" fontId="1" fillId="0" borderId="35" xfId="0" applyFont="1" applyBorder="1"/>
    <xf numFmtId="4" fontId="1" fillId="0" borderId="0" xfId="1" applyNumberFormat="1" applyFont="1" applyBorder="1"/>
    <xf numFmtId="0" fontId="8" fillId="0" borderId="0" xfId="4" applyBorder="1" applyAlignment="1">
      <alignment horizontal="center" vertical="center"/>
    </xf>
    <xf numFmtId="0" fontId="2" fillId="3" borderId="14" xfId="0" applyFont="1" applyFill="1" applyBorder="1"/>
    <xf numFmtId="4" fontId="2" fillId="3" borderId="37" xfId="1" applyNumberFormat="1" applyFont="1" applyFill="1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4" fontId="0" fillId="0" borderId="0" xfId="2" applyFont="1"/>
    <xf numFmtId="4" fontId="0" fillId="0" borderId="0" xfId="0" applyNumberFormat="1"/>
    <xf numFmtId="3" fontId="9" fillId="0" borderId="0" xfId="0" applyNumberFormat="1" applyFon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7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 vertical="center"/>
    </xf>
    <xf numFmtId="44" fontId="0" fillId="0" borderId="38" xfId="2" applyFont="1" applyBorder="1"/>
    <xf numFmtId="44" fontId="0" fillId="0" borderId="36" xfId="2" applyFont="1" applyBorder="1"/>
    <xf numFmtId="0" fontId="1" fillId="0" borderId="14" xfId="0" applyFont="1" applyBorder="1"/>
    <xf numFmtId="2" fontId="0" fillId="0" borderId="38" xfId="3" applyNumberFormat="1" applyFont="1" applyBorder="1"/>
    <xf numFmtId="166" fontId="0" fillId="0" borderId="36" xfId="2" applyNumberFormat="1" applyFont="1" applyBorder="1"/>
    <xf numFmtId="2" fontId="1" fillId="0" borderId="38" xfId="3" applyNumberFormat="1" applyFont="1" applyBorder="1"/>
    <xf numFmtId="2" fontId="0" fillId="0" borderId="36" xfId="2" applyNumberFormat="1" applyFont="1" applyBorder="1"/>
    <xf numFmtId="0" fontId="0" fillId="4" borderId="7" xfId="0" applyFill="1" applyBorder="1" applyAlignment="1">
      <alignment horizontal="center" vertical="center"/>
    </xf>
    <xf numFmtId="0" fontId="1" fillId="0" borderId="36" xfId="0" applyFont="1" applyBorder="1" applyAlignment="1">
      <alignment horizontal="right" vertical="center"/>
    </xf>
    <xf numFmtId="0" fontId="1" fillId="0" borderId="35" xfId="0" applyFont="1" applyBorder="1" applyAlignment="1">
      <alignment horizontal="left" vertical="center"/>
    </xf>
    <xf numFmtId="44" fontId="1" fillId="0" borderId="35" xfId="2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10" fontId="1" fillId="0" borderId="38" xfId="2" applyNumberFormat="1" applyFont="1" applyBorder="1"/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vertical="center"/>
    </xf>
    <xf numFmtId="9" fontId="12" fillId="7" borderId="20" xfId="0" applyNumberFormat="1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2" fontId="11" fillId="7" borderId="21" xfId="0" applyNumberFormat="1" applyFont="1" applyFill="1" applyBorder="1" applyAlignment="1">
      <alignment horizontal="center" vertical="center"/>
    </xf>
    <xf numFmtId="0" fontId="1" fillId="6" borderId="35" xfId="0" applyFont="1" applyFill="1" applyBorder="1"/>
    <xf numFmtId="164" fontId="1" fillId="6" borderId="0" xfId="1" applyNumberFormat="1" applyFont="1" applyFill="1" applyBorder="1"/>
    <xf numFmtId="0" fontId="1" fillId="6" borderId="36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4" fontId="1" fillId="6" borderId="0" xfId="1" applyNumberFormat="1" applyFont="1" applyFill="1" applyBorder="1"/>
    <xf numFmtId="0" fontId="8" fillId="6" borderId="0" xfId="4" applyFill="1" applyBorder="1" applyAlignment="1">
      <alignment horizontal="center" vertical="center"/>
    </xf>
    <xf numFmtId="0" fontId="2" fillId="0" borderId="0" xfId="0" applyFont="1" applyBorder="1"/>
    <xf numFmtId="165" fontId="1" fillId="0" borderId="38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wrapText="1"/>
    </xf>
    <xf numFmtId="0" fontId="14" fillId="0" borderId="37" xfId="0" applyFont="1" applyBorder="1"/>
    <xf numFmtId="8" fontId="15" fillId="0" borderId="0" xfId="0" applyNumberFormat="1" applyFont="1"/>
    <xf numFmtId="0" fontId="1" fillId="0" borderId="36" xfId="0" applyFont="1" applyBorder="1"/>
    <xf numFmtId="0" fontId="0" fillId="0" borderId="7" xfId="0" applyBorder="1"/>
    <xf numFmtId="44" fontId="0" fillId="0" borderId="7" xfId="2" applyFont="1" applyBorder="1" applyAlignment="1">
      <alignment horizontal="right"/>
    </xf>
    <xf numFmtId="10" fontId="0" fillId="0" borderId="7" xfId="2" applyNumberFormat="1" applyFont="1" applyBorder="1" applyAlignment="1">
      <alignment horizontal="right"/>
    </xf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10" fontId="0" fillId="0" borderId="37" xfId="0" applyNumberFormat="1" applyBorder="1" applyAlignment="1">
      <alignment horizontal="center"/>
    </xf>
    <xf numFmtId="10" fontId="0" fillId="0" borderId="38" xfId="0" applyNumberFormat="1" applyBorder="1" applyAlignment="1">
      <alignment horizontal="center"/>
    </xf>
    <xf numFmtId="10" fontId="2" fillId="6" borderId="43" xfId="0" applyNumberFormat="1" applyFont="1" applyFill="1" applyBorder="1" applyAlignment="1">
      <alignment horizontal="center" vertical="center"/>
    </xf>
    <xf numFmtId="10" fontId="2" fillId="6" borderId="44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3" fillId="7" borderId="32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3" applyNumberFormat="1" applyFont="1" applyBorder="1"/>
    <xf numFmtId="0" fontId="14" fillId="0" borderId="0" xfId="0" applyFont="1"/>
    <xf numFmtId="165" fontId="1" fillId="8" borderId="38" xfId="0" applyNumberFormat="1" applyFont="1" applyFill="1" applyBorder="1" applyAlignment="1">
      <alignment horizontal="right" vertical="center"/>
    </xf>
    <xf numFmtId="43" fontId="1" fillId="8" borderId="38" xfId="1" applyFont="1" applyFill="1" applyBorder="1"/>
    <xf numFmtId="10" fontId="16" fillId="0" borderId="36" xfId="0" applyNumberFormat="1" applyFont="1" applyBorder="1"/>
    <xf numFmtId="165" fontId="0" fillId="0" borderId="36" xfId="0" applyNumberFormat="1" applyBorder="1" applyAlignment="1">
      <alignment horizontal="center" vertical="center"/>
    </xf>
    <xf numFmtId="165" fontId="1" fillId="0" borderId="38" xfId="3" applyNumberFormat="1" applyFont="1" applyBorder="1"/>
    <xf numFmtId="3" fontId="0" fillId="0" borderId="7" xfId="0" applyNumberFormat="1" applyBorder="1" applyAlignment="1">
      <alignment horizontal="right"/>
    </xf>
    <xf numFmtId="0" fontId="1" fillId="6" borderId="32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right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ingCase11%20-%20Commercial%20mortgage%20scoring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ore"/>
      <sheetName val="Property"/>
      <sheetName val="Individual Borrower"/>
      <sheetName val="Corporate Borrower"/>
      <sheetName val="TestCase11"/>
      <sheetName val="TCSummary11"/>
    </sheetNames>
    <sheetDataSet>
      <sheetData sheetId="0"/>
      <sheetData sheetId="1"/>
      <sheetData sheetId="2"/>
      <sheetData sheetId="3"/>
      <sheetData sheetId="4"/>
      <sheetData sheetId="5">
        <row r="18">
          <cell r="B18">
            <v>0.11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cbre.vo.llnwd.net/grgservices/secure/U.S.%20Retail%20Cap%20Rate%20Survey_H2%202019_wrvy.pdf?e=1584474384&amp;h=0953120152b507c2e44b5cfae19002f9" TargetMode="External"/><Relationship Id="rId1" Type="http://schemas.openxmlformats.org/officeDocument/2006/relationships/hyperlink" Target="https://www.mortgagecalculator.org/calculators/mortgage-payment-calculator.ph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CDR/key-statistics?p=CDR" TargetMode="External"/><Relationship Id="rId2" Type="http://schemas.openxmlformats.org/officeDocument/2006/relationships/hyperlink" Target="https://worldpopulationreview.com/us-cities/" TargetMode="External"/><Relationship Id="rId1" Type="http://schemas.openxmlformats.org/officeDocument/2006/relationships/hyperlink" Target="https://www.bloomberg.com/markets/rates-bonds/government-bonds/us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cbre.vo.llnwd.net/grgservices/secure/Denver_Retail_MarketView_Q4_2019.pdf?e=1584499995&amp;h=7ce32b181549df011ccf0aa8eef2c5e2" TargetMode="External"/><Relationship Id="rId4" Type="http://schemas.openxmlformats.org/officeDocument/2006/relationships/hyperlink" Target="https://finance.yahoo.com/quote/CDR/key-statistics?p=CD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9" sqref="A9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hidden="1" customWidth="1"/>
    <col min="10" max="12" width="0" hidden="1" customWidth="1"/>
  </cols>
  <sheetData>
    <row r="2" spans="1:12" ht="15.6" x14ac:dyDescent="0.3">
      <c r="A2" s="113" t="s">
        <v>155</v>
      </c>
      <c r="B2" s="74"/>
      <c r="C2" s="75"/>
      <c r="D2" s="75"/>
      <c r="E2" s="73"/>
      <c r="F2" s="73"/>
      <c r="G2" s="73"/>
      <c r="H2" s="73"/>
      <c r="I2" s="73"/>
      <c r="J2" s="73"/>
      <c r="L2">
        <v>5</v>
      </c>
    </row>
    <row r="3" spans="1:12" ht="22.8" customHeight="1" thickBot="1" x14ac:dyDescent="0.4">
      <c r="A3" s="132" t="s">
        <v>109</v>
      </c>
      <c r="B3" s="132"/>
      <c r="C3" s="132"/>
      <c r="D3" s="132"/>
      <c r="E3" s="73"/>
      <c r="F3" s="73"/>
      <c r="G3" s="73"/>
      <c r="H3" s="73"/>
      <c r="I3" s="73" t="s">
        <v>10</v>
      </c>
      <c r="J3" s="73"/>
      <c r="L3">
        <v>4</v>
      </c>
    </row>
    <row r="4" spans="1:12" s="8" customFormat="1" ht="30" customHeight="1" thickBot="1" x14ac:dyDescent="0.35">
      <c r="A4" s="95" t="s">
        <v>0</v>
      </c>
      <c r="B4" s="96" t="s">
        <v>1</v>
      </c>
      <c r="C4" s="97" t="s">
        <v>2</v>
      </c>
      <c r="D4" s="97" t="s">
        <v>110</v>
      </c>
      <c r="H4"/>
      <c r="I4" s="8" t="s">
        <v>11</v>
      </c>
      <c r="K4" s="65">
        <v>0.75</v>
      </c>
      <c r="L4" s="65">
        <v>0.25</v>
      </c>
    </row>
    <row r="5" spans="1:12" ht="19.2" customHeight="1" x14ac:dyDescent="0.3">
      <c r="A5" s="38" t="str">
        <f>TCSummary11!A6</f>
        <v>Retail</v>
      </c>
      <c r="B5" s="39">
        <v>0.75</v>
      </c>
      <c r="C5" s="43">
        <f>Property!J12</f>
        <v>3.3000000000000003</v>
      </c>
      <c r="D5" s="44">
        <f>C5*B5</f>
        <v>2.4750000000000001</v>
      </c>
      <c r="I5" t="s">
        <v>12</v>
      </c>
      <c r="K5" s="1"/>
      <c r="L5" s="1"/>
    </row>
    <row r="6" spans="1:12" x14ac:dyDescent="0.3">
      <c r="D6" s="16"/>
      <c r="I6" t="s">
        <v>13</v>
      </c>
      <c r="K6" s="1"/>
      <c r="L6" s="1"/>
    </row>
    <row r="7" spans="1:12" ht="15" thickBot="1" x14ac:dyDescent="0.35">
      <c r="D7" s="16"/>
      <c r="I7" t="s">
        <v>14</v>
      </c>
    </row>
    <row r="8" spans="1:12" ht="23.25" customHeight="1" thickBot="1" x14ac:dyDescent="0.35">
      <c r="A8" s="42" t="s">
        <v>5</v>
      </c>
      <c r="B8" s="40" t="s">
        <v>1</v>
      </c>
      <c r="C8" s="41" t="s">
        <v>2</v>
      </c>
      <c r="D8" s="76" t="s">
        <v>110</v>
      </c>
      <c r="I8" t="s">
        <v>37</v>
      </c>
    </row>
    <row r="9" spans="1:12" ht="20.399999999999999" customHeight="1" x14ac:dyDescent="0.3">
      <c r="A9" s="38" t="s">
        <v>101</v>
      </c>
      <c r="B9" s="39">
        <v>0.25</v>
      </c>
      <c r="C9" s="43">
        <f>IF(A9=I16,'Individual Borrower'!J8,'Corporate Borrower'!J8)</f>
        <v>3.25</v>
      </c>
      <c r="D9" s="44">
        <f>C9*B9</f>
        <v>0.8125</v>
      </c>
    </row>
    <row r="10" spans="1:12" ht="15" thickBot="1" x14ac:dyDescent="0.35">
      <c r="D10" s="16"/>
    </row>
    <row r="11" spans="1:12" ht="30" customHeight="1" thickBot="1" x14ac:dyDescent="0.35">
      <c r="A11" s="128" t="s">
        <v>38</v>
      </c>
      <c r="B11" s="129"/>
      <c r="C11" s="98" t="s">
        <v>2</v>
      </c>
      <c r="D11" s="97" t="s">
        <v>2</v>
      </c>
      <c r="I11" s="8" t="s">
        <v>145</v>
      </c>
      <c r="K11" s="2">
        <v>1</v>
      </c>
    </row>
    <row r="12" spans="1:12" ht="34.799999999999997" customHeight="1" x14ac:dyDescent="0.3">
      <c r="A12" s="133" t="s">
        <v>4</v>
      </c>
      <c r="B12" s="134"/>
      <c r="C12" s="43">
        <f>IF(A12=I11,1,IF(A12=I12,0.5,0))</f>
        <v>0</v>
      </c>
      <c r="D12" s="44">
        <f>C12</f>
        <v>0</v>
      </c>
      <c r="I12" t="s">
        <v>3</v>
      </c>
      <c r="K12" s="2">
        <v>0.5</v>
      </c>
    </row>
    <row r="13" spans="1:12" ht="15" thickBot="1" x14ac:dyDescent="0.35">
      <c r="I13" t="s">
        <v>4</v>
      </c>
      <c r="K13" s="2">
        <v>0</v>
      </c>
    </row>
    <row r="14" spans="1:12" ht="24" customHeight="1" thickBot="1" x14ac:dyDescent="0.35">
      <c r="A14" s="103" t="s">
        <v>6</v>
      </c>
      <c r="B14" s="104"/>
      <c r="C14" s="105"/>
      <c r="D14" s="106">
        <f>D12+D9+D5</f>
        <v>3.2875000000000001</v>
      </c>
    </row>
    <row r="15" spans="1:12" ht="15" thickBot="1" x14ac:dyDescent="0.35">
      <c r="I15" t="s">
        <v>101</v>
      </c>
    </row>
    <row r="16" spans="1:12" ht="21.75" customHeight="1" thickBot="1" x14ac:dyDescent="0.35">
      <c r="A16" s="99" t="s">
        <v>39</v>
      </c>
      <c r="B16" s="100"/>
      <c r="C16" s="130" t="str">
        <f>IF(D14&lt;3.2,I18,I19)</f>
        <v>Credit Manager Review</v>
      </c>
      <c r="D16" s="131"/>
      <c r="I16" t="s">
        <v>102</v>
      </c>
    </row>
    <row r="17" spans="1:9" ht="15" thickBot="1" x14ac:dyDescent="0.35"/>
    <row r="18" spans="1:9" ht="21.6" customHeight="1" x14ac:dyDescent="0.3">
      <c r="A18" s="101" t="s">
        <v>175</v>
      </c>
      <c r="B18" s="102"/>
      <c r="C18" s="137">
        <f>IF(C20="Initial Application Rejected","Pricing not applicable",C20+C19)</f>
        <v>9.6299999999999997E-2</v>
      </c>
      <c r="D18" s="138"/>
      <c r="I18" t="s">
        <v>104</v>
      </c>
    </row>
    <row r="19" spans="1:9" ht="24" customHeight="1" x14ac:dyDescent="0.3">
      <c r="A19" s="69" t="s">
        <v>107</v>
      </c>
      <c r="B19" s="70"/>
      <c r="C19" s="139">
        <v>2.3800000000000002E-2</v>
      </c>
      <c r="D19" s="140"/>
      <c r="I19" t="s">
        <v>103</v>
      </c>
    </row>
    <row r="20" spans="1:9" ht="20.399999999999999" customHeight="1" x14ac:dyDescent="0.3">
      <c r="A20" s="71" t="s">
        <v>108</v>
      </c>
      <c r="B20" s="72"/>
      <c r="C20" s="135">
        <f>IF(D14&lt;3.2,"Initial Application Rejected",IF(D14&lt;3.6,TestCase11!B31,TestCase11!B31-0.25%))</f>
        <v>7.2499999999999995E-2</v>
      </c>
      <c r="D20" s="136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2">
    <dataValidation type="list" allowBlank="1" showInputMessage="1" showErrorMessage="1" sqref="A12" xr:uid="{1B3876DE-E64D-4ECF-92C6-ED8B7FD7ABA1}">
      <formula1>$I$11:$I$13</formula1>
    </dataValidation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N14"/>
  <sheetViews>
    <sheetView zoomScale="90" zoomScaleNormal="90" workbookViewId="0">
      <pane xSplit="1" ySplit="3" topLeftCell="B9" activePane="bottomRight" state="frozen"/>
      <selection activeCell="D10" sqref="D10"/>
      <selection pane="topRight" activeCell="D10" sqref="D10"/>
      <selection pane="bottomLeft" activeCell="D10" sqref="D10"/>
      <selection pane="bottomRight" activeCell="H10" sqref="H10"/>
    </sheetView>
  </sheetViews>
  <sheetFormatPr defaultRowHeight="14.4" x14ac:dyDescent="0.3"/>
  <cols>
    <col min="1" max="1" width="10.33203125" style="16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6" customWidth="1"/>
    <col min="9" max="9" width="14.6640625" style="16" customWidth="1"/>
    <col min="10" max="10" width="12.5546875" style="16" customWidth="1"/>
    <col min="12" max="13" width="8.88671875" customWidth="1"/>
  </cols>
  <sheetData>
    <row r="1" spans="1:14" ht="24.6" customHeight="1" thickBot="1" x14ac:dyDescent="0.35">
      <c r="A1" s="141" t="s">
        <v>50</v>
      </c>
      <c r="B1" s="141"/>
      <c r="C1" s="141"/>
      <c r="D1" s="141"/>
      <c r="E1" s="141"/>
      <c r="F1" s="141"/>
      <c r="G1" s="141"/>
      <c r="H1" s="141"/>
      <c r="I1" s="141"/>
      <c r="J1" s="141"/>
      <c r="M1">
        <v>5</v>
      </c>
      <c r="N1">
        <v>5</v>
      </c>
    </row>
    <row r="2" spans="1:14" ht="15" customHeight="1" x14ac:dyDescent="0.3">
      <c r="A2" s="150" t="s">
        <v>16</v>
      </c>
      <c r="B2" s="148" t="s">
        <v>9</v>
      </c>
      <c r="C2" s="144" t="s">
        <v>41</v>
      </c>
      <c r="D2" s="144" t="s">
        <v>42</v>
      </c>
      <c r="E2" s="144" t="s">
        <v>43</v>
      </c>
      <c r="F2" s="144" t="s">
        <v>44</v>
      </c>
      <c r="G2" s="146" t="s">
        <v>45</v>
      </c>
      <c r="H2" s="142" t="s">
        <v>2</v>
      </c>
      <c r="I2" s="142" t="s">
        <v>1</v>
      </c>
      <c r="J2" s="142" t="s">
        <v>15</v>
      </c>
      <c r="L2">
        <v>5</v>
      </c>
      <c r="M2">
        <v>4</v>
      </c>
      <c r="N2">
        <v>3</v>
      </c>
    </row>
    <row r="3" spans="1:14" ht="15" customHeight="1" thickBot="1" x14ac:dyDescent="0.35">
      <c r="A3" s="151"/>
      <c r="B3" s="149"/>
      <c r="C3" s="145"/>
      <c r="D3" s="145"/>
      <c r="E3" s="145"/>
      <c r="F3" s="145"/>
      <c r="G3" s="147"/>
      <c r="H3" s="143"/>
      <c r="I3" s="143"/>
      <c r="J3" s="143"/>
      <c r="L3">
        <v>4</v>
      </c>
      <c r="M3">
        <v>3</v>
      </c>
      <c r="N3">
        <v>1</v>
      </c>
    </row>
    <row r="4" spans="1:14" s="8" customFormat="1" ht="30" customHeight="1" x14ac:dyDescent="0.3">
      <c r="A4" s="61" t="s">
        <v>17</v>
      </c>
      <c r="B4" s="62" t="s">
        <v>7</v>
      </c>
      <c r="C4" s="12" t="s">
        <v>182</v>
      </c>
      <c r="D4" s="12" t="s">
        <v>183</v>
      </c>
      <c r="E4" s="12" t="s">
        <v>184</v>
      </c>
      <c r="F4" s="12" t="s">
        <v>114</v>
      </c>
      <c r="G4" s="12" t="s">
        <v>185</v>
      </c>
      <c r="H4" s="31">
        <f>IF(TCSummary11!B11&lt;=60%,5,IF(TCSummary11!B11&lt;=65%,4,IF(TCSummary11!B11&lt;=70%,3,IF(TCSummary11!B11&lt;=74.99%,2,1))))</f>
        <v>3</v>
      </c>
      <c r="I4" s="63">
        <v>0.1</v>
      </c>
      <c r="J4" s="64">
        <f>I4*H4</f>
        <v>0.30000000000000004</v>
      </c>
      <c r="K4" s="65"/>
      <c r="M4" s="8">
        <v>2</v>
      </c>
    </row>
    <row r="5" spans="1:14" ht="34.799999999999997" customHeight="1" x14ac:dyDescent="0.3">
      <c r="A5" s="17" t="s">
        <v>18</v>
      </c>
      <c r="B5" s="14" t="s">
        <v>8</v>
      </c>
      <c r="C5" s="12" t="s">
        <v>186</v>
      </c>
      <c r="D5" s="12" t="s">
        <v>187</v>
      </c>
      <c r="E5" s="12" t="s">
        <v>188</v>
      </c>
      <c r="F5" s="12" t="s">
        <v>189</v>
      </c>
      <c r="G5" s="78" t="s">
        <v>190</v>
      </c>
      <c r="H5" s="31">
        <f>IF(TestCase11!B27&gt;1.5,5,IF(TestCase11!B27&gt;1.4,4,IF(TestCase11!B27&gt;1.3,3,IF(TestCase11!B27&gt;1.2,2,1))))</f>
        <v>3</v>
      </c>
      <c r="I5" s="32">
        <v>0.15</v>
      </c>
      <c r="J5" s="23">
        <f t="shared" ref="J5:J11" si="0">H5*I5</f>
        <v>0.44999999999999996</v>
      </c>
      <c r="K5" s="59"/>
      <c r="M5" s="8">
        <v>1</v>
      </c>
    </row>
    <row r="6" spans="1:14" ht="85.2" customHeight="1" x14ac:dyDescent="0.3">
      <c r="A6" s="122" t="s">
        <v>19</v>
      </c>
      <c r="B6" s="123" t="s">
        <v>167</v>
      </c>
      <c r="C6" s="124" t="s">
        <v>179</v>
      </c>
      <c r="D6" s="124" t="s">
        <v>191</v>
      </c>
      <c r="E6" s="124" t="s">
        <v>192</v>
      </c>
      <c r="F6" s="124" t="s">
        <v>193</v>
      </c>
      <c r="G6" s="124" t="s">
        <v>195</v>
      </c>
      <c r="H6" s="125">
        <f>IF(TCSummary11!B18-TCSummary11!B17&lt;1%,5,IF(TCSummary11!B18-TCSummary11!B17&lt;2%,4,IF(TCSummary11!B18-TCSummary11!B17&lt;3%,3,IF(TCSummary11!B18-TCSummary11!B17&lt;4%,2,1))))</f>
        <v>1</v>
      </c>
      <c r="I6" s="126">
        <v>0.15</v>
      </c>
      <c r="J6" s="127">
        <f t="shared" si="0"/>
        <v>0.15</v>
      </c>
      <c r="K6" s="1"/>
    </row>
    <row r="7" spans="1:14" s="8" customFormat="1" ht="34.200000000000003" customHeight="1" x14ac:dyDescent="0.3">
      <c r="A7" s="18" t="s">
        <v>24</v>
      </c>
      <c r="B7" s="14" t="s">
        <v>36</v>
      </c>
      <c r="C7" s="11" t="s">
        <v>27</v>
      </c>
      <c r="D7" s="11" t="s">
        <v>194</v>
      </c>
      <c r="E7" s="10" t="s">
        <v>28</v>
      </c>
      <c r="F7" s="10" t="s">
        <v>29</v>
      </c>
      <c r="G7" s="29" t="s">
        <v>30</v>
      </c>
      <c r="H7" s="30">
        <f>IF(TCSummary11!B14&gt;2000000,5,IF(TCSummary11!B14&gt;1500000,4,IF(TCSummary11!B14&gt;1000000,3,IF(TCSummary11!B14&gt;500000,2,1))))</f>
        <v>2</v>
      </c>
      <c r="I7" s="33">
        <v>0.1</v>
      </c>
      <c r="J7" s="23">
        <f t="shared" si="0"/>
        <v>0.2</v>
      </c>
    </row>
    <row r="8" spans="1:14" ht="124.2" customHeight="1" x14ac:dyDescent="0.3">
      <c r="A8" s="18" t="s">
        <v>25</v>
      </c>
      <c r="B8" s="14" t="s">
        <v>120</v>
      </c>
      <c r="C8" s="11" t="s">
        <v>122</v>
      </c>
      <c r="D8" s="11" t="s">
        <v>121</v>
      </c>
      <c r="E8" s="11" t="s">
        <v>123</v>
      </c>
      <c r="F8" s="10" t="s">
        <v>149</v>
      </c>
      <c r="G8" s="11" t="s">
        <v>117</v>
      </c>
      <c r="H8" s="31">
        <v>5</v>
      </c>
      <c r="I8" s="32">
        <v>0.15</v>
      </c>
      <c r="J8" s="23">
        <f t="shared" si="0"/>
        <v>0.75</v>
      </c>
    </row>
    <row r="9" spans="1:14" ht="115.8" customHeight="1" x14ac:dyDescent="0.3">
      <c r="A9" s="18" t="s">
        <v>20</v>
      </c>
      <c r="B9" s="13" t="s">
        <v>40</v>
      </c>
      <c r="C9" s="11" t="s">
        <v>152</v>
      </c>
      <c r="D9" s="11" t="s">
        <v>151</v>
      </c>
      <c r="E9" s="11" t="s">
        <v>153</v>
      </c>
      <c r="F9" s="11" t="s">
        <v>154</v>
      </c>
      <c r="G9" s="78" t="s">
        <v>150</v>
      </c>
      <c r="H9" s="31">
        <v>4</v>
      </c>
      <c r="I9" s="32">
        <v>0.15</v>
      </c>
      <c r="J9" s="23">
        <f t="shared" si="0"/>
        <v>0.6</v>
      </c>
    </row>
    <row r="10" spans="1:14" ht="102.6" customHeight="1" x14ac:dyDescent="0.3">
      <c r="A10" s="17" t="s">
        <v>21</v>
      </c>
      <c r="B10" s="14" t="s">
        <v>137</v>
      </c>
      <c r="C10" s="11" t="s">
        <v>46</v>
      </c>
      <c r="D10" s="11" t="s">
        <v>47</v>
      </c>
      <c r="E10" s="11" t="s">
        <v>48</v>
      </c>
      <c r="F10" s="11" t="s">
        <v>119</v>
      </c>
      <c r="G10" s="29" t="s">
        <v>118</v>
      </c>
      <c r="H10" s="31">
        <v>4</v>
      </c>
      <c r="I10" s="32">
        <v>0.15</v>
      </c>
      <c r="J10" s="23">
        <f t="shared" si="0"/>
        <v>0.6</v>
      </c>
    </row>
    <row r="11" spans="1:14" ht="88.5" customHeight="1" thickBot="1" x14ac:dyDescent="0.35">
      <c r="A11" s="17" t="s">
        <v>23</v>
      </c>
      <c r="B11" s="13" t="s">
        <v>22</v>
      </c>
      <c r="C11" s="11" t="s">
        <v>51</v>
      </c>
      <c r="D11" s="9"/>
      <c r="E11" s="11" t="s">
        <v>49</v>
      </c>
      <c r="F11" s="9"/>
      <c r="G11" s="29" t="s">
        <v>165</v>
      </c>
      <c r="H11" s="34">
        <v>5</v>
      </c>
      <c r="I11" s="35">
        <v>0.05</v>
      </c>
      <c r="J11" s="37">
        <f t="shared" si="0"/>
        <v>0.25</v>
      </c>
    </row>
    <row r="12" spans="1:14" ht="27.6" customHeight="1" thickBot="1" x14ac:dyDescent="0.35">
      <c r="H12" s="28" t="s">
        <v>15</v>
      </c>
      <c r="I12" s="36">
        <f>SUM(I4:I11)</f>
        <v>1</v>
      </c>
      <c r="J12" s="94">
        <f>SUM(J4:J11)</f>
        <v>3.3000000000000003</v>
      </c>
    </row>
    <row r="14" spans="1:14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dataValidations count="2">
    <dataValidation type="list" allowBlank="1" showInputMessage="1" showErrorMessage="1" sqref="H8:H10" xr:uid="{BFB6423E-6494-46B3-A417-60EEBD3E2A22}">
      <formula1>$M$1:$M$5</formula1>
    </dataValidation>
    <dataValidation type="list" allowBlank="1" showInputMessage="1" showErrorMessage="1" sqref="H11" xr:uid="{D4B6BAED-BFCE-422D-AB41-A9780AC5CE78}">
      <formula1>$N$1:$N$3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F10" sqref="F10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41" t="s">
        <v>88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2" x14ac:dyDescent="0.3">
      <c r="A2" s="150" t="s">
        <v>16</v>
      </c>
      <c r="B2" s="142" t="s">
        <v>31</v>
      </c>
      <c r="C2" s="144" t="s">
        <v>41</v>
      </c>
      <c r="D2" s="144" t="s">
        <v>42</v>
      </c>
      <c r="E2" s="144" t="s">
        <v>43</v>
      </c>
      <c r="F2" s="144" t="s">
        <v>44</v>
      </c>
      <c r="G2" s="155" t="s">
        <v>45</v>
      </c>
      <c r="H2" s="142" t="s">
        <v>2</v>
      </c>
      <c r="I2" s="148" t="s">
        <v>1</v>
      </c>
      <c r="J2" s="142" t="s">
        <v>15</v>
      </c>
      <c r="L2">
        <v>5</v>
      </c>
    </row>
    <row r="3" spans="1:12" ht="15" thickBot="1" x14ac:dyDescent="0.35">
      <c r="A3" s="151"/>
      <c r="B3" s="143"/>
      <c r="C3" s="145"/>
      <c r="D3" s="145"/>
      <c r="E3" s="145"/>
      <c r="F3" s="145"/>
      <c r="G3" s="156"/>
      <c r="H3" s="143"/>
      <c r="I3" s="149"/>
      <c r="J3" s="143"/>
      <c r="L3">
        <v>4</v>
      </c>
    </row>
    <row r="4" spans="1:12" s="8" customFormat="1" ht="35.4" customHeight="1" x14ac:dyDescent="0.3">
      <c r="A4" s="61" t="s">
        <v>89</v>
      </c>
      <c r="B4" s="66" t="s">
        <v>166</v>
      </c>
      <c r="C4" s="67" t="s">
        <v>96</v>
      </c>
      <c r="D4" s="67" t="s">
        <v>99</v>
      </c>
      <c r="E4" s="67" t="s">
        <v>98</v>
      </c>
      <c r="F4" s="67" t="s">
        <v>196</v>
      </c>
      <c r="G4" s="67" t="s">
        <v>97</v>
      </c>
      <c r="H4" s="67">
        <f>IF(TCSummary11!B31&gt;2,5,IF(TCSummary11!B31&gt;1.5,4,IF(TCSummary11!B31&gt;1,3,IF(TCSummary11!B31&gt;0.5,2,1))))</f>
        <v>1</v>
      </c>
      <c r="I4" s="68">
        <v>0.3</v>
      </c>
      <c r="J4" s="64">
        <f>H4*I4</f>
        <v>0.3</v>
      </c>
      <c r="L4" s="8">
        <v>3</v>
      </c>
    </row>
    <row r="5" spans="1:12" s="8" customFormat="1" ht="79.2" customHeight="1" x14ac:dyDescent="0.3">
      <c r="A5" s="18" t="s">
        <v>90</v>
      </c>
      <c r="B5" s="20" t="s">
        <v>135</v>
      </c>
      <c r="C5" s="11" t="s">
        <v>35</v>
      </c>
      <c r="D5" s="11" t="s">
        <v>202</v>
      </c>
      <c r="E5" s="11" t="s">
        <v>203</v>
      </c>
      <c r="F5" s="11" t="s">
        <v>204</v>
      </c>
      <c r="G5" s="11" t="s">
        <v>205</v>
      </c>
      <c r="H5" s="12">
        <f>IF(TCSummary11!B28&gt;20,5,IF(TCSummary11!B28&gt;15,4,IF(TCSummary11!B28&gt;10,3,IF(TCSummary11!B28&gt;5,2,1))))</f>
        <v>1</v>
      </c>
      <c r="I5" s="22">
        <v>0.4</v>
      </c>
      <c r="J5" s="24">
        <f>H5*I5</f>
        <v>0.4</v>
      </c>
      <c r="L5">
        <v>2</v>
      </c>
    </row>
    <row r="6" spans="1:12" s="8" customFormat="1" ht="21.6" customHeight="1" x14ac:dyDescent="0.3">
      <c r="A6" s="18" t="s">
        <v>91</v>
      </c>
      <c r="B6" s="19" t="s">
        <v>130</v>
      </c>
      <c r="C6" s="11" t="s">
        <v>131</v>
      </c>
      <c r="D6" s="11" t="s">
        <v>197</v>
      </c>
      <c r="E6" s="11" t="s">
        <v>198</v>
      </c>
      <c r="F6" s="11" t="s">
        <v>199</v>
      </c>
      <c r="G6" s="11" t="s">
        <v>200</v>
      </c>
      <c r="H6" s="16">
        <f>IF(TCSummary11!B29&gt;750,5,IF(TCSummary11!B29&gt;700,4,IF(TCSummary11!B29&gt;650,3,IF(TCSummary11!B29&gt;600,2,1))))</f>
        <v>1</v>
      </c>
      <c r="I6" s="22">
        <v>0.2</v>
      </c>
      <c r="J6" s="23">
        <f>H6*I6</f>
        <v>0.2</v>
      </c>
      <c r="L6">
        <v>1</v>
      </c>
    </row>
    <row r="7" spans="1:12" s="8" customFormat="1" ht="84" customHeight="1" x14ac:dyDescent="0.3">
      <c r="A7" s="18" t="s">
        <v>143</v>
      </c>
      <c r="B7" s="19" t="s">
        <v>144</v>
      </c>
      <c r="C7" s="11" t="s">
        <v>160</v>
      </c>
      <c r="D7" s="11" t="s">
        <v>162</v>
      </c>
      <c r="E7" s="11" t="s">
        <v>161</v>
      </c>
      <c r="F7" s="11" t="s">
        <v>163</v>
      </c>
      <c r="G7" s="11" t="s">
        <v>164</v>
      </c>
      <c r="H7" s="12">
        <v>2</v>
      </c>
      <c r="I7" s="22">
        <v>0.1</v>
      </c>
      <c r="J7" s="23">
        <f>H7*I7</f>
        <v>0.2</v>
      </c>
      <c r="L7"/>
    </row>
    <row r="8" spans="1:12" ht="21.6" customHeight="1" thickBot="1" x14ac:dyDescent="0.35">
      <c r="A8" s="152"/>
      <c r="B8" s="153"/>
      <c r="C8" s="153"/>
      <c r="D8" s="153"/>
      <c r="E8" s="153"/>
      <c r="F8" s="153"/>
      <c r="G8" s="154"/>
      <c r="H8" s="26" t="s">
        <v>15</v>
      </c>
      <c r="I8" s="27">
        <f>SUM(I4:I7)</f>
        <v>0.99999999999999989</v>
      </c>
      <c r="J8" s="92">
        <f>SUM(J4:J7)</f>
        <v>1.0999999999999999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dataValidations count="1">
    <dataValidation type="list" allowBlank="1" showInputMessage="1" showErrorMessage="1" sqref="H5 H7" xr:uid="{5CD513FD-C150-4012-B6EB-49DCC29238B8}">
      <formula1>$L$2:$L$6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H7" sqref="H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60" t="s">
        <v>87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2" x14ac:dyDescent="0.3">
      <c r="A2" s="150" t="s">
        <v>16</v>
      </c>
      <c r="B2" s="142" t="s">
        <v>31</v>
      </c>
      <c r="C2" s="144" t="s">
        <v>41</v>
      </c>
      <c r="D2" s="144" t="s">
        <v>42</v>
      </c>
      <c r="E2" s="144" t="s">
        <v>43</v>
      </c>
      <c r="F2" s="144" t="s">
        <v>44</v>
      </c>
      <c r="G2" s="155" t="s">
        <v>45</v>
      </c>
      <c r="H2" s="142" t="s">
        <v>2</v>
      </c>
      <c r="I2" s="148" t="s">
        <v>1</v>
      </c>
      <c r="J2" s="142" t="s">
        <v>15</v>
      </c>
    </row>
    <row r="3" spans="1:12" ht="15" thickBot="1" x14ac:dyDescent="0.35">
      <c r="A3" s="161"/>
      <c r="B3" s="162"/>
      <c r="C3" s="145"/>
      <c r="D3" s="145"/>
      <c r="E3" s="145"/>
      <c r="F3" s="145"/>
      <c r="G3" s="156"/>
      <c r="H3" s="143"/>
      <c r="I3" s="149"/>
      <c r="J3" s="143"/>
    </row>
    <row r="4" spans="1:12" ht="52.2" customHeight="1" x14ac:dyDescent="0.3">
      <c r="A4" s="17" t="s">
        <v>92</v>
      </c>
      <c r="B4" s="20" t="s">
        <v>124</v>
      </c>
      <c r="C4" s="86" t="s">
        <v>129</v>
      </c>
      <c r="D4" s="86" t="s">
        <v>201</v>
      </c>
      <c r="E4" s="86" t="s">
        <v>128</v>
      </c>
      <c r="F4" s="86" t="s">
        <v>127</v>
      </c>
      <c r="G4" s="86" t="s">
        <v>126</v>
      </c>
      <c r="H4" s="15">
        <f>IF(TCSummary11!B23&gt;2.5,5,IF(TCSummary11!B23&gt;2,4,IF(TCSummary11!B23&gt;1.5,3,IF(TCSummary11!B23&gt;1,2,1))))</f>
        <v>2</v>
      </c>
      <c r="I4" s="21">
        <v>0.25</v>
      </c>
      <c r="J4" s="25">
        <f>I4*H4</f>
        <v>0.5</v>
      </c>
      <c r="L4">
        <v>5</v>
      </c>
    </row>
    <row r="5" spans="1:12" ht="21.6" customHeight="1" x14ac:dyDescent="0.3">
      <c r="A5" s="17" t="s">
        <v>93</v>
      </c>
      <c r="B5" s="19" t="s">
        <v>86</v>
      </c>
      <c r="C5" s="12" t="s">
        <v>138</v>
      </c>
      <c r="D5" s="12" t="s">
        <v>139</v>
      </c>
      <c r="E5" s="12" t="s">
        <v>140</v>
      </c>
      <c r="F5" s="12" t="s">
        <v>141</v>
      </c>
      <c r="G5" s="12" t="s">
        <v>142</v>
      </c>
      <c r="H5" s="15">
        <f>IF(TCSummary11!B24&lt;1,5,IF(TCSummary11!B24&lt;1.25,4,IF(TCSummary11!B24&lt;1.5,3,IF(TCSummary11!B24&lt;1.75,2,1))))</f>
        <v>1</v>
      </c>
      <c r="I5" s="21">
        <v>0.25</v>
      </c>
      <c r="J5" s="25">
        <f>I5*H5</f>
        <v>0.25</v>
      </c>
      <c r="L5">
        <v>4</v>
      </c>
    </row>
    <row r="6" spans="1:12" s="8" customFormat="1" ht="86.4" customHeight="1" x14ac:dyDescent="0.3">
      <c r="A6" s="18" t="s">
        <v>94</v>
      </c>
      <c r="B6" s="20" t="s">
        <v>159</v>
      </c>
      <c r="C6" s="11" t="s">
        <v>35</v>
      </c>
      <c r="D6" s="11" t="s">
        <v>134</v>
      </c>
      <c r="E6" s="11" t="s">
        <v>32</v>
      </c>
      <c r="F6" s="11" t="s">
        <v>33</v>
      </c>
      <c r="G6" s="11" t="s">
        <v>34</v>
      </c>
      <c r="H6" s="12">
        <f>IF(TCSummary11!B22&gt;20,5,IF(TCSummary11!B22&gt;15,4,IF(TCSummary11!B22&gt;10,3,IF(TCSummary11!B22&gt;5,2,1))))</f>
        <v>5</v>
      </c>
      <c r="I6" s="22">
        <v>0.4</v>
      </c>
      <c r="J6" s="24">
        <f>H6*I6</f>
        <v>2</v>
      </c>
      <c r="L6">
        <v>3</v>
      </c>
    </row>
    <row r="7" spans="1:12" s="8" customFormat="1" ht="92.4" customHeight="1" x14ac:dyDescent="0.3">
      <c r="A7" s="18" t="s">
        <v>95</v>
      </c>
      <c r="B7" s="19" t="s">
        <v>144</v>
      </c>
      <c r="C7" s="11" t="s">
        <v>160</v>
      </c>
      <c r="D7" s="11" t="s">
        <v>162</v>
      </c>
      <c r="E7" s="11" t="s">
        <v>161</v>
      </c>
      <c r="F7" s="11" t="s">
        <v>163</v>
      </c>
      <c r="G7" s="11" t="s">
        <v>164</v>
      </c>
      <c r="H7" s="11">
        <v>5</v>
      </c>
      <c r="I7" s="22">
        <v>0.1</v>
      </c>
      <c r="J7" s="23">
        <f>H7*I7</f>
        <v>0.5</v>
      </c>
      <c r="L7">
        <v>2</v>
      </c>
    </row>
    <row r="8" spans="1:12" ht="21.6" customHeight="1" thickBot="1" x14ac:dyDescent="0.35">
      <c r="A8" s="157"/>
      <c r="B8" s="158"/>
      <c r="C8" s="158"/>
      <c r="D8" s="158"/>
      <c r="E8" s="158"/>
      <c r="F8" s="158"/>
      <c r="G8" s="159"/>
      <c r="H8" s="26" t="s">
        <v>15</v>
      </c>
      <c r="I8" s="27">
        <f>SUM(I4:I7)</f>
        <v>1</v>
      </c>
      <c r="J8" s="93">
        <f>SUM(J4:J7)</f>
        <v>3.25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dataValidations count="1">
    <dataValidation type="list" allowBlank="1" showInputMessage="1" showErrorMessage="1" sqref="H6:H7" xr:uid="{6750506C-C54A-4E45-B54D-A9B945BCB0F8}">
      <formula1>$L$4:$L$8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F06-C577-4E84-85AF-AC4CAB08A41F}">
  <dimension ref="A1:G33"/>
  <sheetViews>
    <sheetView workbookViewId="0">
      <selection sqref="A1:XFD1048576"/>
    </sheetView>
  </sheetViews>
  <sheetFormatPr defaultRowHeight="14.4" x14ac:dyDescent="0.3"/>
  <cols>
    <col min="1" max="1" width="46.21875" customWidth="1"/>
    <col min="2" max="2" width="14" style="45" customWidth="1"/>
    <col min="3" max="4" width="16.21875" style="16" customWidth="1"/>
  </cols>
  <sheetData>
    <row r="1" spans="1:5" ht="18" x14ac:dyDescent="0.3">
      <c r="A1" s="164" t="s">
        <v>52</v>
      </c>
      <c r="B1" s="165"/>
      <c r="C1" s="165"/>
      <c r="D1" s="166"/>
    </row>
    <row r="2" spans="1:5" ht="15.6" x14ac:dyDescent="0.3">
      <c r="A2" s="167" t="s">
        <v>213</v>
      </c>
      <c r="B2" s="174"/>
      <c r="C2" s="174"/>
      <c r="D2" s="168"/>
    </row>
    <row r="3" spans="1:5" x14ac:dyDescent="0.3">
      <c r="A3" s="107" t="s">
        <v>53</v>
      </c>
      <c r="B3" s="108">
        <f>SUM(B4:B7)</f>
        <v>3487512</v>
      </c>
      <c r="C3" s="175" t="s">
        <v>208</v>
      </c>
      <c r="D3" s="109" t="s">
        <v>214</v>
      </c>
      <c r="E3" s="4" t="s">
        <v>72</v>
      </c>
    </row>
    <row r="4" spans="1:5" x14ac:dyDescent="0.3">
      <c r="A4" s="48" t="s">
        <v>73</v>
      </c>
      <c r="B4" s="49">
        <f>C4*D4*12</f>
        <v>3439512</v>
      </c>
      <c r="C4" s="16">
        <v>6231</v>
      </c>
      <c r="D4" s="50">
        <v>46</v>
      </c>
      <c r="E4" t="s">
        <v>209</v>
      </c>
    </row>
    <row r="5" spans="1:5" x14ac:dyDescent="0.3">
      <c r="A5" s="48" t="s">
        <v>54</v>
      </c>
      <c r="B5" s="49">
        <f>C5*D5*12</f>
        <v>48000</v>
      </c>
      <c r="C5" s="16">
        <v>20</v>
      </c>
      <c r="D5" s="50">
        <v>200</v>
      </c>
    </row>
    <row r="6" spans="1:5" x14ac:dyDescent="0.3">
      <c r="A6" s="48" t="s">
        <v>55</v>
      </c>
      <c r="B6" s="49"/>
      <c r="D6" s="50"/>
    </row>
    <row r="7" spans="1:5" x14ac:dyDescent="0.3">
      <c r="A7" s="48" t="s">
        <v>56</v>
      </c>
      <c r="B7" s="49"/>
      <c r="D7" s="50"/>
    </row>
    <row r="8" spans="1:5" x14ac:dyDescent="0.3">
      <c r="A8" s="51" t="s">
        <v>57</v>
      </c>
      <c r="B8" s="52">
        <f>SUM(B9:B10)</f>
        <v>378346.32</v>
      </c>
      <c r="D8" s="50"/>
    </row>
    <row r="9" spans="1:5" ht="15" x14ac:dyDescent="0.35">
      <c r="A9" s="48" t="s">
        <v>58</v>
      </c>
      <c r="B9" s="49">
        <f>B4*D9</f>
        <v>378346.32</v>
      </c>
      <c r="D9" s="182">
        <f>[1]TCSummary11!B18</f>
        <v>0.11</v>
      </c>
      <c r="E9" s="46"/>
    </row>
    <row r="10" spans="1:5" x14ac:dyDescent="0.3">
      <c r="A10" s="48" t="s">
        <v>59</v>
      </c>
      <c r="B10" s="49"/>
      <c r="D10" s="50"/>
    </row>
    <row r="11" spans="1:5" x14ac:dyDescent="0.3">
      <c r="A11" s="107" t="s">
        <v>69</v>
      </c>
      <c r="B11" s="108">
        <f>B3-B8</f>
        <v>3109165.68</v>
      </c>
      <c r="C11" s="176"/>
      <c r="D11" s="110"/>
    </row>
    <row r="12" spans="1:5" x14ac:dyDescent="0.3">
      <c r="A12" s="163" t="s">
        <v>60</v>
      </c>
      <c r="B12" s="177"/>
      <c r="D12" s="50"/>
    </row>
    <row r="13" spans="1:5" x14ac:dyDescent="0.3">
      <c r="A13" s="48" t="s">
        <v>61</v>
      </c>
      <c r="B13" s="49">
        <v>418000</v>
      </c>
      <c r="D13" s="50"/>
      <c r="E13" t="s">
        <v>74</v>
      </c>
    </row>
    <row r="14" spans="1:5" x14ac:dyDescent="0.3">
      <c r="A14" s="48" t="s">
        <v>62</v>
      </c>
      <c r="B14" s="49">
        <v>129387</v>
      </c>
      <c r="D14" s="50"/>
      <c r="E14" t="s">
        <v>75</v>
      </c>
    </row>
    <row r="15" spans="1:5" x14ac:dyDescent="0.3">
      <c r="A15" s="48" t="s">
        <v>63</v>
      </c>
      <c r="B15" s="49">
        <v>1974509</v>
      </c>
      <c r="D15" s="50"/>
      <c r="E15" t="s">
        <v>76</v>
      </c>
    </row>
    <row r="16" spans="1:5" x14ac:dyDescent="0.3">
      <c r="A16" s="48" t="s">
        <v>178</v>
      </c>
      <c r="B16" s="49">
        <f>B11*D16</f>
        <v>124366.6272</v>
      </c>
      <c r="D16" s="183">
        <v>0.04</v>
      </c>
      <c r="E16" t="s">
        <v>206</v>
      </c>
    </row>
    <row r="17" spans="1:7" x14ac:dyDescent="0.3">
      <c r="A17" s="48" t="s">
        <v>64</v>
      </c>
      <c r="B17" s="49">
        <v>8900</v>
      </c>
      <c r="D17" s="50"/>
      <c r="E17" t="s">
        <v>79</v>
      </c>
    </row>
    <row r="18" spans="1:7" x14ac:dyDescent="0.3">
      <c r="A18" s="48" t="s">
        <v>65</v>
      </c>
      <c r="B18" s="49">
        <v>1800</v>
      </c>
      <c r="D18" s="50"/>
    </row>
    <row r="19" spans="1:7" x14ac:dyDescent="0.3">
      <c r="A19" s="48" t="s">
        <v>66</v>
      </c>
      <c r="B19" s="49">
        <v>45000</v>
      </c>
      <c r="D19" s="50"/>
    </row>
    <row r="20" spans="1:7" x14ac:dyDescent="0.3">
      <c r="A20" s="107" t="s">
        <v>67</v>
      </c>
      <c r="B20" s="108">
        <f>SUM(B13:B19)</f>
        <v>2701962.6272</v>
      </c>
      <c r="C20" s="176"/>
      <c r="D20" s="110"/>
    </row>
    <row r="21" spans="1:7" x14ac:dyDescent="0.3">
      <c r="A21" s="48"/>
      <c r="B21" s="49"/>
      <c r="D21" s="50"/>
    </row>
    <row r="22" spans="1:7" x14ac:dyDescent="0.3">
      <c r="A22" s="107" t="s">
        <v>146</v>
      </c>
      <c r="B22" s="108">
        <f>B11-B20</f>
        <v>407203.05280000018</v>
      </c>
      <c r="C22" s="176"/>
      <c r="D22" s="110"/>
    </row>
    <row r="23" spans="1:7" x14ac:dyDescent="0.3">
      <c r="A23" s="48"/>
      <c r="B23" s="49"/>
      <c r="D23" s="50"/>
    </row>
    <row r="24" spans="1:7" x14ac:dyDescent="0.3">
      <c r="A24" s="107" t="s">
        <v>80</v>
      </c>
      <c r="B24" s="108">
        <f>B25</f>
        <v>291152.88</v>
      </c>
      <c r="C24" s="175"/>
      <c r="D24" s="109"/>
      <c r="E24" s="47" t="s">
        <v>211</v>
      </c>
    </row>
    <row r="25" spans="1:7" x14ac:dyDescent="0.3">
      <c r="A25" s="48" t="s">
        <v>68</v>
      </c>
      <c r="B25" s="49">
        <f>D25*C25</f>
        <v>291152.88</v>
      </c>
      <c r="C25" s="16">
        <v>12</v>
      </c>
      <c r="D25" s="117">
        <v>24262.74</v>
      </c>
      <c r="E25" s="46" t="s">
        <v>71</v>
      </c>
    </row>
    <row r="26" spans="1:7" x14ac:dyDescent="0.3">
      <c r="A26" s="48"/>
      <c r="B26" s="49"/>
      <c r="C26" s="53"/>
      <c r="D26" s="50"/>
    </row>
    <row r="27" spans="1:7" x14ac:dyDescent="0.3">
      <c r="A27" s="107" t="s">
        <v>147</v>
      </c>
      <c r="B27" s="111">
        <f>B22/B25</f>
        <v>1.3985884419209598</v>
      </c>
      <c r="C27" s="112"/>
      <c r="D27" s="110"/>
      <c r="E27" t="s">
        <v>156</v>
      </c>
    </row>
    <row r="28" spans="1:7" x14ac:dyDescent="0.3">
      <c r="A28" s="107" t="s">
        <v>70</v>
      </c>
      <c r="B28" s="111">
        <f>B22-B25</f>
        <v>116050.17280000017</v>
      </c>
      <c r="C28" s="176"/>
      <c r="D28" s="110"/>
    </row>
    <row r="29" spans="1:7" x14ac:dyDescent="0.3">
      <c r="A29" s="48"/>
      <c r="B29" s="49"/>
      <c r="D29" s="50"/>
    </row>
    <row r="30" spans="1:7" x14ac:dyDescent="0.3">
      <c r="A30" s="48"/>
      <c r="B30" s="49"/>
      <c r="D30" s="50"/>
    </row>
    <row r="31" spans="1:7" x14ac:dyDescent="0.3">
      <c r="A31" s="51" t="s">
        <v>77</v>
      </c>
      <c r="B31" s="178">
        <v>7.2499999999999995E-2</v>
      </c>
      <c r="D31" s="50"/>
      <c r="E31" s="46" t="s">
        <v>210</v>
      </c>
      <c r="G31" s="46"/>
    </row>
    <row r="32" spans="1:7" x14ac:dyDescent="0.3">
      <c r="A32" s="48"/>
      <c r="B32" s="49"/>
      <c r="D32" s="50"/>
      <c r="E32" t="s">
        <v>180</v>
      </c>
    </row>
    <row r="33" spans="1:5" ht="15.6" x14ac:dyDescent="0.3">
      <c r="A33" s="54" t="s">
        <v>78</v>
      </c>
      <c r="B33" s="55">
        <f>B22/B31</f>
        <v>5616593.8317241408</v>
      </c>
      <c r="C33" s="56"/>
      <c r="D33" s="57"/>
      <c r="E33" t="s">
        <v>148</v>
      </c>
    </row>
  </sheetData>
  <mergeCells count="3">
    <mergeCell ref="A12:B12"/>
    <mergeCell ref="A1:D1"/>
    <mergeCell ref="A2:D2"/>
  </mergeCells>
  <hyperlinks>
    <hyperlink ref="E25" r:id="rId1" location="top" xr:uid="{C2E6CB55-66AD-4E7C-AA20-793FB0F20577}"/>
    <hyperlink ref="E31" r:id="rId2" display="http://cbre.vo.llnwd.net/grgservices/secure/U.S. Retail Cap Rate Survey_H2 2019_wrvy.pdf?e=1584474384&amp;h=0953120152b507c2e44b5cfae19002f9" xr:uid="{C983971F-7BDC-428F-A7F3-C63F8A50B0B6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EA00-54B8-4017-BF26-08947A532E00}">
  <dimension ref="A1:I39"/>
  <sheetViews>
    <sheetView workbookViewId="0">
      <selection sqref="A1:XFD1048576"/>
    </sheetView>
  </sheetViews>
  <sheetFormatPr defaultRowHeight="14.4" x14ac:dyDescent="0.3"/>
  <cols>
    <col min="1" max="1" width="45.5546875" customWidth="1"/>
    <col min="2" max="2" width="30.109375" style="58" customWidth="1"/>
    <col min="3" max="3" width="13.88671875" bestFit="1" customWidth="1"/>
  </cols>
  <sheetData>
    <row r="1" spans="1:9" ht="17.399999999999999" x14ac:dyDescent="0.3">
      <c r="A1" s="173" t="s">
        <v>84</v>
      </c>
      <c r="B1" s="173"/>
    </row>
    <row r="2" spans="1:9" x14ac:dyDescent="0.3">
      <c r="A2" s="171" t="s">
        <v>171</v>
      </c>
      <c r="B2" s="172"/>
      <c r="I2" t="s">
        <v>181</v>
      </c>
    </row>
    <row r="3" spans="1:9" x14ac:dyDescent="0.3">
      <c r="A3" s="116" t="s">
        <v>215</v>
      </c>
      <c r="B3" s="79"/>
      <c r="I3" s="8" t="s">
        <v>207</v>
      </c>
    </row>
    <row r="4" spans="1:9" x14ac:dyDescent="0.3">
      <c r="A4" s="179"/>
      <c r="B4" s="80"/>
      <c r="I4" t="s">
        <v>12</v>
      </c>
    </row>
    <row r="5" spans="1:9" x14ac:dyDescent="0.3">
      <c r="A5" s="171" t="s">
        <v>111</v>
      </c>
      <c r="B5" s="172"/>
      <c r="I5" t="s">
        <v>13</v>
      </c>
    </row>
    <row r="6" spans="1:9" x14ac:dyDescent="0.3">
      <c r="A6" s="81" t="s">
        <v>207</v>
      </c>
      <c r="B6" s="79"/>
      <c r="I6" t="s">
        <v>14</v>
      </c>
    </row>
    <row r="7" spans="1:9" x14ac:dyDescent="0.3">
      <c r="I7" t="s">
        <v>37</v>
      </c>
    </row>
    <row r="8" spans="1:9" ht="15.6" x14ac:dyDescent="0.3">
      <c r="A8" s="169" t="s">
        <v>112</v>
      </c>
      <c r="B8" s="170"/>
    </row>
    <row r="9" spans="1:9" x14ac:dyDescent="0.3">
      <c r="A9" s="48" t="s">
        <v>81</v>
      </c>
      <c r="B9" s="80">
        <v>3470000</v>
      </c>
    </row>
    <row r="10" spans="1:9" x14ac:dyDescent="0.3">
      <c r="A10" s="48" t="s">
        <v>82</v>
      </c>
      <c r="B10" s="80">
        <v>5000000</v>
      </c>
      <c r="C10" t="s">
        <v>157</v>
      </c>
    </row>
    <row r="11" spans="1:9" x14ac:dyDescent="0.3">
      <c r="A11" s="81" t="s">
        <v>83</v>
      </c>
      <c r="B11" s="184">
        <f>B9/B10</f>
        <v>0.69399999999999995</v>
      </c>
    </row>
    <row r="13" spans="1:9" ht="15.6" x14ac:dyDescent="0.3">
      <c r="A13" s="169" t="s">
        <v>113</v>
      </c>
      <c r="B13" s="170"/>
    </row>
    <row r="14" spans="1:9" x14ac:dyDescent="0.3">
      <c r="A14" s="81" t="s">
        <v>216</v>
      </c>
      <c r="B14" s="185">
        <v>745172</v>
      </c>
      <c r="C14" s="46" t="s">
        <v>212</v>
      </c>
    </row>
    <row r="16" spans="1:9" ht="15.6" x14ac:dyDescent="0.3">
      <c r="A16" s="169" t="s">
        <v>26</v>
      </c>
      <c r="B16" s="170"/>
    </row>
    <row r="17" spans="1:5" ht="28.8" x14ac:dyDescent="0.3">
      <c r="A17" s="115" t="s">
        <v>169</v>
      </c>
      <c r="B17" s="180">
        <v>6.8000000000000005E-2</v>
      </c>
      <c r="C17" s="46" t="s">
        <v>217</v>
      </c>
      <c r="D17" s="46"/>
    </row>
    <row r="18" spans="1:5" ht="24.6" customHeight="1" x14ac:dyDescent="0.3">
      <c r="A18" s="90" t="s">
        <v>168</v>
      </c>
      <c r="B18" s="114">
        <v>0.11</v>
      </c>
      <c r="C18" t="s">
        <v>158</v>
      </c>
    </row>
    <row r="19" spans="1:5" x14ac:dyDescent="0.3">
      <c r="A19" s="77"/>
    </row>
    <row r="20" spans="1:5" x14ac:dyDescent="0.3">
      <c r="A20" s="186" t="s">
        <v>100</v>
      </c>
      <c r="B20" s="187"/>
    </row>
    <row r="21" spans="1:5" x14ac:dyDescent="0.3">
      <c r="A21" s="51" t="s">
        <v>170</v>
      </c>
      <c r="B21" s="188" t="s">
        <v>218</v>
      </c>
    </row>
    <row r="22" spans="1:5" x14ac:dyDescent="0.3">
      <c r="A22" s="51" t="s">
        <v>174</v>
      </c>
      <c r="B22" s="118">
        <v>36</v>
      </c>
    </row>
    <row r="23" spans="1:5" x14ac:dyDescent="0.3">
      <c r="A23" s="51" t="s">
        <v>125</v>
      </c>
      <c r="B23" s="85">
        <v>1.28</v>
      </c>
      <c r="C23" s="46" t="s">
        <v>219</v>
      </c>
    </row>
    <row r="24" spans="1:5" x14ac:dyDescent="0.3">
      <c r="A24" s="81" t="s">
        <v>85</v>
      </c>
      <c r="B24" s="82">
        <v>126.74</v>
      </c>
      <c r="C24" s="46" t="s">
        <v>219</v>
      </c>
      <c r="D24" s="60"/>
      <c r="E24" s="46"/>
    </row>
    <row r="26" spans="1:5" ht="15.6" x14ac:dyDescent="0.3">
      <c r="A26" s="169" t="s">
        <v>132</v>
      </c>
      <c r="B26" s="170"/>
    </row>
    <row r="27" spans="1:5" x14ac:dyDescent="0.3">
      <c r="A27" s="88" t="s">
        <v>173</v>
      </c>
      <c r="B27" s="87"/>
    </row>
    <row r="28" spans="1:5" x14ac:dyDescent="0.3">
      <c r="A28" s="88" t="s">
        <v>174</v>
      </c>
      <c r="B28" s="87"/>
    </row>
    <row r="29" spans="1:5" x14ac:dyDescent="0.3">
      <c r="A29" s="88" t="s">
        <v>133</v>
      </c>
      <c r="B29" s="87"/>
    </row>
    <row r="30" spans="1:5" x14ac:dyDescent="0.3">
      <c r="A30" s="89" t="s">
        <v>115</v>
      </c>
      <c r="B30" s="83"/>
    </row>
    <row r="31" spans="1:5" x14ac:dyDescent="0.3">
      <c r="A31" s="81" t="s">
        <v>116</v>
      </c>
      <c r="B31" s="84"/>
    </row>
    <row r="33" spans="1:3" ht="15.6" x14ac:dyDescent="0.3">
      <c r="A33" s="169" t="s">
        <v>136</v>
      </c>
      <c r="B33" s="170"/>
    </row>
    <row r="34" spans="1:3" x14ac:dyDescent="0.3">
      <c r="A34" s="81" t="s">
        <v>105</v>
      </c>
      <c r="B34" s="91">
        <v>4.3E-3</v>
      </c>
      <c r="C34" s="46" t="s">
        <v>106</v>
      </c>
    </row>
    <row r="36" spans="1:3" ht="15.6" x14ac:dyDescent="0.3">
      <c r="A36" s="169" t="s">
        <v>6</v>
      </c>
      <c r="B36" s="170"/>
    </row>
    <row r="37" spans="1:3" x14ac:dyDescent="0.3">
      <c r="A37" s="81" t="s">
        <v>172</v>
      </c>
      <c r="B37" s="181">
        <v>3.29</v>
      </c>
    </row>
    <row r="38" spans="1:3" x14ac:dyDescent="0.3">
      <c r="A38" s="119" t="s">
        <v>176</v>
      </c>
      <c r="B38" s="120" t="s">
        <v>103</v>
      </c>
    </row>
    <row r="39" spans="1:3" x14ac:dyDescent="0.3">
      <c r="A39" s="119" t="s">
        <v>177</v>
      </c>
      <c r="B39" s="121">
        <v>4.4299999999999999E-2</v>
      </c>
    </row>
  </sheetData>
  <mergeCells count="10">
    <mergeCell ref="A36:B36"/>
    <mergeCell ref="A2:B2"/>
    <mergeCell ref="A33:B33"/>
    <mergeCell ref="A1:B1"/>
    <mergeCell ref="A5:B5"/>
    <mergeCell ref="A8:B8"/>
    <mergeCell ref="A26:B26"/>
    <mergeCell ref="A20:B20"/>
    <mergeCell ref="A13:B13"/>
    <mergeCell ref="A16:B16"/>
  </mergeCells>
  <dataValidations count="1">
    <dataValidation type="list" allowBlank="1" showInputMessage="1" showErrorMessage="1" sqref="A6" xr:uid="{29722471-88AE-462E-BF77-0E355008169F}">
      <formula1>$I$2:$I$7</formula1>
    </dataValidation>
  </dataValidations>
  <hyperlinks>
    <hyperlink ref="C34" r:id="rId1" xr:uid="{2A44983B-2678-43B8-8872-AB61E8FA333A}"/>
    <hyperlink ref="C14" r:id="rId2" xr:uid="{8C95C3C2-350A-4AF7-9ED5-520DD24E4319}"/>
    <hyperlink ref="C23" r:id="rId3" xr:uid="{6054DA76-AC1E-48B8-9D9B-73EB3BA2359C}"/>
    <hyperlink ref="C24" r:id="rId4" xr:uid="{45635B0D-1D97-4C17-A4B6-BD6923D21035}"/>
    <hyperlink ref="C17" r:id="rId5" xr:uid="{21DDE5DA-EAFF-4510-9941-2CD2CC90D806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Score</vt:lpstr>
      <vt:lpstr>Property</vt:lpstr>
      <vt:lpstr>Individual Borrower</vt:lpstr>
      <vt:lpstr>Corporate Borrower</vt:lpstr>
      <vt:lpstr>TestCase11</vt:lpstr>
      <vt:lpstr>TCSummary11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2020-04-13T22:43:18Z</dcterms:modified>
</cp:coreProperties>
</file>