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DD6E0007-B7D3-4FC1-9B84-D21D2F8F38AE}" xr6:coauthVersionLast="45" xr6:coauthVersionMax="45" xr10:uidLastSave="{00000000-0000-0000-0000-000000000000}"/>
  <bookViews>
    <workbookView xWindow="-108" yWindow="-108" windowWidth="23256" windowHeight="12576" tabRatio="852" activeTab="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4" sheetId="4" r:id="rId5"/>
    <sheet name="TCSummary14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/>
  <c r="B39" i="5" a="1"/>
  <c r="B38" i="5" a="1"/>
  <c r="B38" i="5" s="1"/>
  <c r="B37" i="5"/>
  <c r="B31" i="5"/>
  <c r="B11" i="5"/>
  <c r="B25" i="4"/>
  <c r="B24" i="4"/>
  <c r="D9" i="4"/>
  <c r="B4" i="4"/>
  <c r="B9" i="4" s="1"/>
  <c r="B8" i="4" s="1"/>
  <c r="B11" i="4" s="1"/>
  <c r="B3" i="4"/>
  <c r="B16" i="4" l="1"/>
  <c r="B20" i="4" s="1"/>
  <c r="B22" i="4" s="1"/>
  <c r="B28" i="4" l="1"/>
  <c r="B27" i="4"/>
  <c r="B33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<sst xmlns="http://schemas.openxmlformats.org/spreadsheetml/2006/main" count="264" uniqueCount="219">
  <si>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</si>
  <si>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</si>
  <si>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</si>
  <si>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</si>
  <si>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</si>
  <si>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</si>
  <si>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</si>
  <si>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</si>
  <si>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</si>
  <si>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</si>
  <si>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</si>
  <si>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</si>
  <si>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</si>
  <si>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</si>
  <si>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</si>
  <si>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</si>
  <si>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</si>
  <si>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</si>
  <si>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</si>
  <si>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</si>
  <si>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</si>
  <si>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</si>
  <si>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</si>
  <si>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</si>
  <si>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</si>
  <si>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</si>
  <si>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</si>
  <si>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</si>
  <si>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</si>
  <si>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</si>
  <si>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</si>
  <si>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</si>
  <si>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</si>
  <si>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</si>
  <si>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</si>
  <si>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</si>
  <si>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</si>
  <si>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</si>
  <si>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</si>
  <si>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</si>
  <si>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</si>
  <si>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</si>
  <si>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</si>
  <si>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</si>
  <si>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</si>
  <si>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</si>
  <si>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</si>
  <si>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</si>
  <si>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</si>
  <si>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</si>
  <si>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</si>
  <si>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</si>
  <si>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</si>
  <si>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</si>
  <si>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</si>
  <si>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</si>
  <si>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</si>
  <si>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</si>
  <si>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</si>
  <si>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</si>
  <si>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</si>
  <si>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</si>
  <si>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</si>
  <si>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</si>
  <si>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</si>
  <si>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</si>
  <si>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</si>
  <si>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</si>
  <si>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</si>
  <si>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</si>
  <si>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</si>
  <si>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</si>
  <si>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</si>
  <si>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</si>
  <si>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</si>
  <si>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</si>
  <si>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</si>
  <si>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</si>
  <si>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</si>
  <si>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</si>
  <si>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</si>
  <si>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</si>
  <si>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</si>
  <si>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</si>
  <si>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</si>
  <si>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</si>
  <si>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</si>
  <si>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</si>
  <si>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</si>
  <si>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</si>
  <si>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</si>
  <si>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</si>
  <si>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</si>
  <si>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</si>
  <si>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</si>
  <si>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</si>
  <si>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</si>
  <si>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</si>
  <si>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</si>
  <si>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</si>
  <si>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</si>
  <si>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</si>
  <si>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</si>
  <si>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</si>
  <si>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</si>
  <si>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</si>
  <si>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</si>
  <si>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</si>
  <si>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</si>
  <si>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</si>
  <si>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</si>
  <si>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</si>
  <si>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</si>
  <si>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</si>
  <si>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</si>
  <si>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</si>
  <si>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</si>
  <si>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</si>
  <si>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</si>
  <si>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</si>
  <si>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</si>
  <si>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</si>
  <si>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</si>
  <si>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</si>
  <si>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</si>
  <si>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</si>
  <si>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</si>
  <si>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</si>
  <si>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</si>
  <si>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</si>
  <si>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</si>
  <si>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</si>
  <si>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</si>
  <si>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</si>
  <si>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</si>
  <si>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</si>
  <si>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</si>
  <si>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</si>
  <si>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</si>
  <si>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</si>
  <si>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</si>
  <si>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</si>
  <si>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</si>
  <si>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</si>
  <si>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</si>
  <si>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</si>
  <si>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</si>
  <si>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</si>
  <si>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</si>
  <si>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</si>
  <si>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</si>
  <si>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</si>
  <si>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</si>
  <si>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</si>
  <si>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</si>
  <si>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</si>
  <si>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</si>
  <si>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</si>
  <si>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</si>
  <si>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</si>
  <si>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</si>
  <si>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</si>
  <si>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</si>
  <si>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</si>
  <si>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</si>
  <si>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</si>
  <si>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</si>
  <si>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</si>
  <si>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</si>
  <si>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</si>
  <si>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</si>
  <si>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</si>
  <si>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</si>
  <si>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</si>
  <si>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</si>
  <si>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</si>
  <si>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</si>
  <si>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</si>
  <si>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</si>
  <si>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</si>
  <si>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Class A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</si>
  <si>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</si>
  <si>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</si>
  <si>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</si>
  <si>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</si>
  <si>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</si>
  <si>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</si>
  <si>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</si>
  <si>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</si>
  <si>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</si>
  <si>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</si>
  <si>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</si>
  <si>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</si>
  <si>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</si>
  <si>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</si>
  <si>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</si>
  <si>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</si>
  <si>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</si>
  <si>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</si>
  <si>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</si>
  <si>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</si>
  <si>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</si>
  <si>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</si>
  <si>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</si>
  <si>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</si>
  <si>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</si>
  <si>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</si>
  <si>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</si>
  <si>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</si>
  <si>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per year</t>
  </si>
  <si>
    <t>https://worldpopulationreview.com/us-cities/</t>
  </si>
  <si>
    <t>$/sq.f</t>
  </si>
  <si>
    <t>http://cbre.vo.llnwd.net/grgservices/secure/North%20America%20Cap%20Rate%20Survey_H2%202019_AWXl.pdf?e=1584553387&amp;h=6d3e276cd106fafa8618ab897f7cea2d</t>
  </si>
  <si>
    <t>http://cbre.vo.llnwd.net/grgservices/secure/4Q2019_Retail_Marketview_Q42019_Final_GWV6.pdf?e=1584556430&amp;h=ad7e8252725e1e46b1fb5bc9ac802bb5</t>
  </si>
  <si>
    <t>assume 5.75% interest rate</t>
  </si>
  <si>
    <t>Benjamin Rosen, Retail property in Boston, MA</t>
  </si>
  <si>
    <t>1170 William T Morrissey Blvd, Boston, MA, United States</t>
  </si>
  <si>
    <t>Boston, MA</t>
  </si>
  <si>
    <t>Benjamin 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</si>
</sst>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4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4"/>
      <sheetName val="TCSummary14"/>
    </sheetNames>
    <sheetDataSet>
      <sheetData sheetId="0">
        <row r="14">
          <cell r="D14">
            <v>4.0750000000000002</v>
          </cell>
        </row>
        <row r="16">
          <cell r="C16" t="str">
            <v>Credit Manager Review</v>
          </cell>
        </row>
        <row r="18">
          <cell r="C18">
            <v>9.1300000000000006E-2</v>
          </cell>
        </row>
      </sheetData>
      <sheetData sheetId="1"/>
      <sheetData sheetId="2"/>
      <sheetData sheetId="3"/>
      <sheetData sheetId="4"/>
      <sheetData sheetId="5">
        <row r="18">
          <cell r="B1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populationreview.com/us-cities/" TargetMode="External"/><Relationship Id="rId2" Type="http://schemas.openxmlformats.org/officeDocument/2006/relationships/hyperlink" Target="http://cbre.vo.llnwd.net/grgservices/secure/4Q2019_Retail_Marketview_Q42019_Final_GWV6.pdf?e=1584556430&amp;h=ad7e8252725e1e46b1fb5bc9ac802bb5" TargetMode="External"/><Relationship Id="rId1" Type="http://schemas.openxmlformats.org/officeDocument/2006/relationships/hyperlink" Target="https://www.bloomberg.com/markets/rates-bonds/government-bonds/us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4" workbookViewId="0">
      <selection activeCell="A9" sqref="A9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109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TCSummary14!A6</f>
        <v>Retail</v>
      </c>
      <c r="B5" s="39">
        <v>0.75</v>
      </c>
      <c r="C5" s="43">
        <f>Property!J12</f>
        <v>3.6</v>
      </c>
      <c r="D5" s="44">
        <f>C5*B5</f>
        <v>2.7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101</v>
      </c>
      <c r="B9" s="39">
        <v>0.25</v>
      </c>
      <c r="C9" s="43">
        <f>IF(A9=I16,'Individual Borrower'!J8,'Corporate Borrower'!J8)</f>
        <v>2.4</v>
      </c>
      <c r="D9" s="44">
        <f>C9*B9</f>
        <v>0.6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3.3000000000000003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Credit Manager Review</v>
      </c>
      <c r="D16" s="131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>
        <f>IF(C20="Initial Application Rejected","Pricing not applicable",C20+C19)</f>
        <v>9.3800000000000008E-2</v>
      </c>
      <c r="D18" s="138"/>
      <c r="I18" t="s">
        <v>104</v>
      </c>
    </row>
    <row r="19" spans="1:9" ht="24" customHeight="1" x14ac:dyDescent="0.3">
      <c r="A19" s="69" t="s">
        <v>107</v>
      </c>
      <c r="B19" s="70"/>
      <c r="C19" s="139">
        <v>2.3800000000000002E-2</v>
      </c>
      <c r="D19" s="140"/>
      <c r="I19" t="s">
        <v>103</v>
      </c>
    </row>
    <row r="20" spans="1:9" ht="20.399999999999999" customHeight="1" x14ac:dyDescent="0.3">
      <c r="A20" s="71" t="s">
        <v>108</v>
      </c>
      <c r="B20" s="72"/>
      <c r="C20" s="135">
        <f>IF(D14&lt;3.2,"Initial Application Rejected",IF(D14&lt;3.6,TestCase14!B31,TestCase14!B31-0.25%))</f>
        <v>7.0000000000000007E-2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H10" sqref="H10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182</v>
      </c>
      <c r="D4" s="12" t="s">
        <v>183</v>
      </c>
      <c r="E4" s="12" t="s">
        <v>184</v>
      </c>
      <c r="F4" s="12" t="s">
        <v>114</v>
      </c>
      <c r="G4" s="12" t="s">
        <v>185</v>
      </c>
      <c r="H4" s="31">
        <f>IF(TCSummary14!B11&lt;=60%,5,IF(TCSummary14!B11&lt;=65%,4,IF(TCSummary14!B11&lt;=70%,3,IF(TCSummary14!B11&lt;=74.99%,2,1))))</f>
        <v>3</v>
      </c>
      <c r="I4" s="63">
        <v>0.1</v>
      </c>
      <c r="J4" s="64">
        <f>I4*H4</f>
        <v>0.30000000000000004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186</v>
      </c>
      <c r="D5" s="12" t="s">
        <v>187</v>
      </c>
      <c r="E5" s="12" t="s">
        <v>188</v>
      </c>
      <c r="F5" s="12" t="s">
        <v>189</v>
      </c>
      <c r="G5" s="78" t="s">
        <v>190</v>
      </c>
      <c r="H5" s="31">
        <f>IF(TestCase14!B27&gt;1.5,5,IF(TestCase14!B27&gt;1.4,4,IF(TestCase14!B27&gt;1.3,3,IF(TestCase14!B27&gt;1.2,2,1))))</f>
        <v>2</v>
      </c>
      <c r="I5" s="32">
        <v>0.15</v>
      </c>
      <c r="J5" s="23">
        <f t="shared" ref="J5:J11" si="0">H5*I5</f>
        <v>0.3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191</v>
      </c>
      <c r="E6" s="124" t="s">
        <v>192</v>
      </c>
      <c r="F6" s="124" t="s">
        <v>193</v>
      </c>
      <c r="G6" s="124" t="s">
        <v>195</v>
      </c>
      <c r="H6" s="125">
        <f>IF(TCSummary14!B18-TCSummary14!B17&lt;1%,5,IF(TCSummary14!B18-TCSummary14!B17&lt;2%,4,IF(TCSummary14!B18-TCSummary14!B17&lt;3%,3,IF(TCSummary14!B18-TCSummary14!B17&lt;4%,2,1))))</f>
        <v>5</v>
      </c>
      <c r="I6" s="126">
        <v>0.15</v>
      </c>
      <c r="J6" s="127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194</v>
      </c>
      <c r="E7" s="10" t="s">
        <v>28</v>
      </c>
      <c r="F7" s="10" t="s">
        <v>29</v>
      </c>
      <c r="G7" s="29" t="s">
        <v>30</v>
      </c>
      <c r="H7" s="30">
        <f>IF(TCSummary14!B14&gt;2000000,5,IF(TCSummary14!B14&gt;1500000,4,IF(TCSummary14!B14&gt;1000000,3,IF(TCSummary14!B14&gt;500000,2,1))))</f>
        <v>2</v>
      </c>
      <c r="I7" s="33">
        <v>0.1</v>
      </c>
      <c r="J7" s="23">
        <f t="shared" si="0"/>
        <v>0.2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4</v>
      </c>
      <c r="I9" s="32">
        <v>0.15</v>
      </c>
      <c r="J9" s="23">
        <f t="shared" si="0"/>
        <v>0.6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3.6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tabSelected="1" workbookViewId="0">
      <selection activeCell="H11" sqref="H11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88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196</v>
      </c>
      <c r="G4" s="67" t="s">
        <v>97</v>
      </c>
      <c r="H4" s="67">
        <f>IF(TCSummary14!B31&gt;2,5,IF(TCSummary14!B31&gt;1.5,4,IF(TCSummary14!B31&gt;1,3,IF(TCSummary14!B31&gt;0.5,2,1))))</f>
        <v>2</v>
      </c>
      <c r="I4" s="68">
        <v>0.3</v>
      </c>
      <c r="J4" s="64">
        <f>H4*I4</f>
        <v>0.6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202</v>
      </c>
      <c r="E5" s="11" t="s">
        <v>203</v>
      </c>
      <c r="F5" s="11" t="s">
        <v>204</v>
      </c>
      <c r="G5" s="11" t="s">
        <v>205</v>
      </c>
      <c r="H5" s="12">
        <f>IF(TCSummary14!B28&gt;20,5,IF(TCSummary14!B28&gt;15,4,IF(TCSummary14!B28&gt;10,3,IF(TCSummary14!B28&gt;5,2,1))))</f>
        <v>5</v>
      </c>
      <c r="I5" s="22">
        <v>0.4</v>
      </c>
      <c r="J5" s="24">
        <f>H5*I5</f>
        <v>2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197</v>
      </c>
      <c r="E6" s="11" t="s">
        <v>198</v>
      </c>
      <c r="F6" s="11" t="s">
        <v>199</v>
      </c>
      <c r="G6" s="11" t="s">
        <v>200</v>
      </c>
      <c r="H6" s="16">
        <f>IF(TCSummary14!B29&gt;750,5,IF(TCSummary14!B29&gt;700,4,IF(TCSummary14!B29&gt;650,3,IF(TCSummary14!B29&gt;600,2,1))))</f>
        <v>3</v>
      </c>
      <c r="I6" s="22">
        <v>0.2</v>
      </c>
      <c r="J6" s="23">
        <f>H6*I6</f>
        <v>0.60000000000000009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3.5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201</v>
      </c>
      <c r="E4" s="86" t="s">
        <v>128</v>
      </c>
      <c r="F4" s="86" t="s">
        <v>127</v>
      </c>
      <c r="G4" s="86" t="s">
        <v>126</v>
      </c>
      <c r="H4" s="15">
        <f>IF(TCSummary14!B23&gt;2.5,5,IF(TCSummary14!B23&gt;2,4,IF(TCSummary14!B23&gt;1.5,3,IF(TCSummary14!B23&gt;1,2,1))))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IF(TCSummary14!B24&lt;1,5,IF(TCSummary14!B24&lt;1.25,4,IF(TCSummary14!B24&lt;1.5,3,IF(TCSummary14!B24&lt;1.75,2,1))))</f>
        <v>5</v>
      </c>
      <c r="I5" s="21">
        <v>0.25</v>
      </c>
      <c r="J5" s="25">
        <f>I5*H5</f>
        <v>1.25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IF(TCSummary14!B22&gt;20,5,IF(TCSummary14!B22&gt;15,4,IF(TCSummary14!B22&gt;10,3,IF(TCSummary14!B22&gt;5,2,1))))</f>
        <v>1</v>
      </c>
      <c r="I6" s="22">
        <v>0.4</v>
      </c>
      <c r="J6" s="24">
        <f>H6*I6</f>
        <v>0.4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2.4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activeCell="A3" sqref="A3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215</v>
      </c>
      <c r="B2" s="174"/>
      <c r="C2" s="174"/>
      <c r="D2" s="168"/>
    </row>
    <row r="3" spans="1:5" x14ac:dyDescent="0.3">
      <c r="A3" s="107" t="s">
        <v>53</v>
      </c>
      <c r="B3" s="108">
        <f>SUM(B4:B7)</f>
        <v>7755000</v>
      </c>
      <c r="C3" s="175" t="s">
        <v>208</v>
      </c>
      <c r="D3" s="109" t="s">
        <v>211</v>
      </c>
      <c r="E3" s="4" t="s">
        <v>72</v>
      </c>
    </row>
    <row r="4" spans="1:5" x14ac:dyDescent="0.3">
      <c r="A4" s="48" t="s">
        <v>73</v>
      </c>
      <c r="B4" s="49">
        <f>C4*D4</f>
        <v>7755000</v>
      </c>
      <c r="C4" s="16">
        <v>23500</v>
      </c>
      <c r="D4" s="50">
        <v>330</v>
      </c>
      <c r="E4" t="s">
        <v>209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465300</v>
      </c>
      <c r="D8" s="50"/>
    </row>
    <row r="9" spans="1:5" ht="15" x14ac:dyDescent="0.35">
      <c r="A9" s="48" t="s">
        <v>58</v>
      </c>
      <c r="B9" s="49">
        <f>B4*D9</f>
        <v>465300</v>
      </c>
      <c r="D9" s="182">
        <f>[1]TCSummary14!B18</f>
        <v>0.06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7289700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49">
        <v>1207000</v>
      </c>
      <c r="D13" s="50"/>
      <c r="E13" t="s">
        <v>74</v>
      </c>
    </row>
    <row r="14" spans="1:5" x14ac:dyDescent="0.3">
      <c r="A14" s="48" t="s">
        <v>62</v>
      </c>
      <c r="B14" s="49">
        <v>680000</v>
      </c>
      <c r="D14" s="50"/>
      <c r="E14" t="s">
        <v>75</v>
      </c>
    </row>
    <row r="15" spans="1:5" x14ac:dyDescent="0.3">
      <c r="A15" s="48" t="s">
        <v>63</v>
      </c>
      <c r="B15" s="49">
        <v>4099000</v>
      </c>
      <c r="D15" s="50"/>
      <c r="E15" t="s">
        <v>76</v>
      </c>
    </row>
    <row r="16" spans="1:5" x14ac:dyDescent="0.3">
      <c r="A16" s="48" t="s">
        <v>178</v>
      </c>
      <c r="B16" s="49">
        <f>B11*D16</f>
        <v>291588</v>
      </c>
      <c r="D16" s="183">
        <v>0.04</v>
      </c>
      <c r="E16" t="s">
        <v>206</v>
      </c>
    </row>
    <row r="17" spans="1:7" x14ac:dyDescent="0.3">
      <c r="A17" s="48" t="s">
        <v>64</v>
      </c>
      <c r="B17" s="49">
        <v>8000</v>
      </c>
      <c r="D17" s="50"/>
      <c r="E17" t="s">
        <v>79</v>
      </c>
    </row>
    <row r="18" spans="1:7" x14ac:dyDescent="0.3">
      <c r="A18" s="48" t="s">
        <v>65</v>
      </c>
      <c r="B18" s="49">
        <v>4700</v>
      </c>
      <c r="D18" s="50"/>
    </row>
    <row r="19" spans="1:7" x14ac:dyDescent="0.3">
      <c r="A19" s="48" t="s">
        <v>66</v>
      </c>
      <c r="B19" s="49">
        <v>15000</v>
      </c>
      <c r="D19" s="50"/>
    </row>
    <row r="20" spans="1:7" x14ac:dyDescent="0.3">
      <c r="A20" s="107" t="s">
        <v>67</v>
      </c>
      <c r="B20" s="108">
        <f>SUM(B13:B19)</f>
        <v>6305288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984412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758444.88</v>
      </c>
      <c r="C24" s="175"/>
      <c r="D24" s="109"/>
      <c r="E24" s="47" t="s">
        <v>214</v>
      </c>
    </row>
    <row r="25" spans="1:7" x14ac:dyDescent="0.3">
      <c r="A25" s="48" t="s">
        <v>68</v>
      </c>
      <c r="B25" s="49">
        <f>D25*C25</f>
        <v>758444.88</v>
      </c>
      <c r="C25" s="16">
        <v>12</v>
      </c>
      <c r="D25" s="117">
        <v>63203.74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1.2979347952088489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225967.12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7.0000000000000007E-2</v>
      </c>
      <c r="D31" s="50"/>
      <c r="E31" s="46" t="s">
        <v>212</v>
      </c>
      <c r="G31" s="46"/>
    </row>
    <row r="32" spans="1:7" x14ac:dyDescent="0.3">
      <c r="A32" s="48"/>
      <c r="B32" s="49"/>
      <c r="D32" s="50"/>
      <c r="E32" t="s">
        <v>180</v>
      </c>
    </row>
    <row r="33" spans="1:5" ht="15.6" x14ac:dyDescent="0.3">
      <c r="A33" s="54" t="s">
        <v>78</v>
      </c>
      <c r="B33" s="55">
        <f>B22/B31</f>
        <v>14063028.571428571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BB4701C8-4226-41A0-BA9B-980494ACFD11}"/>
    <hyperlink ref="E31" r:id="rId2" display="http://cbre.vo.llnwd.net/grgservices/secure/North America Cap Rate Survey_H2 2019_AWXl.pdf?e=1584553387&amp;h=6d3e276cd106fafa8618ab897f7cea2d" xr:uid="{9C434C39-DAC3-416C-BB7E-BBD9C428FB92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activeCell="E5" sqref="E5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84</v>
      </c>
      <c r="B1" s="173"/>
    </row>
    <row r="2" spans="1:9" x14ac:dyDescent="0.3">
      <c r="A2" s="171" t="s">
        <v>171</v>
      </c>
      <c r="B2" s="172"/>
      <c r="I2" t="s">
        <v>181</v>
      </c>
    </row>
    <row r="3" spans="1:9" x14ac:dyDescent="0.3">
      <c r="A3" s="116" t="s">
        <v>216</v>
      </c>
      <c r="B3" s="79"/>
      <c r="I3" s="8" t="s">
        <v>207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111</v>
      </c>
      <c r="B5" s="172"/>
      <c r="I5" t="s">
        <v>13</v>
      </c>
    </row>
    <row r="6" spans="1:9" x14ac:dyDescent="0.3">
      <c r="A6" s="81" t="s">
        <v>207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112</v>
      </c>
      <c r="B8" s="170"/>
    </row>
    <row r="9" spans="1:9" x14ac:dyDescent="0.3">
      <c r="A9" s="48" t="s">
        <v>81</v>
      </c>
      <c r="B9" s="80">
        <v>9500000</v>
      </c>
    </row>
    <row r="10" spans="1:9" x14ac:dyDescent="0.3">
      <c r="A10" s="48" t="s">
        <v>82</v>
      </c>
      <c r="B10" s="80">
        <v>14000000</v>
      </c>
      <c r="C10" t="s">
        <v>157</v>
      </c>
    </row>
    <row r="11" spans="1:9" x14ac:dyDescent="0.3">
      <c r="A11" s="81" t="s">
        <v>83</v>
      </c>
      <c r="B11" s="184">
        <f>B9/B10</f>
        <v>0.6785714285714286</v>
      </c>
    </row>
    <row r="13" spans="1:9" ht="15.6" x14ac:dyDescent="0.3">
      <c r="A13" s="169" t="s">
        <v>113</v>
      </c>
      <c r="B13" s="170"/>
    </row>
    <row r="14" spans="1:9" x14ac:dyDescent="0.3">
      <c r="A14" s="81" t="s">
        <v>217</v>
      </c>
      <c r="B14" s="185">
        <v>701984</v>
      </c>
      <c r="C14" s="46" t="s">
        <v>210</v>
      </c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5.8000000000000003E-2</v>
      </c>
      <c r="C17" s="46" t="s">
        <v>213</v>
      </c>
      <c r="D17" s="46"/>
    </row>
    <row r="18" spans="1:5" ht="24.6" customHeight="1" x14ac:dyDescent="0.3">
      <c r="A18" s="90" t="s">
        <v>168</v>
      </c>
      <c r="B18" s="114">
        <v>0.06</v>
      </c>
      <c r="C18" t="s">
        <v>158</v>
      </c>
    </row>
    <row r="19" spans="1:5" x14ac:dyDescent="0.3">
      <c r="A19" s="77"/>
    </row>
    <row r="20" spans="1:5" x14ac:dyDescent="0.3">
      <c r="A20" s="186" t="s">
        <v>100</v>
      </c>
      <c r="B20" s="187"/>
    </row>
    <row r="21" spans="1:5" x14ac:dyDescent="0.3">
      <c r="A21" s="51" t="s">
        <v>170</v>
      </c>
      <c r="B21" s="188"/>
    </row>
    <row r="22" spans="1:5" x14ac:dyDescent="0.3">
      <c r="A22" s="51" t="s">
        <v>174</v>
      </c>
      <c r="B22" s="118"/>
    </row>
    <row r="23" spans="1:5" x14ac:dyDescent="0.3">
      <c r="A23" s="51" t="s">
        <v>125</v>
      </c>
      <c r="B23" s="85"/>
      <c r="C23" s="46"/>
    </row>
    <row r="24" spans="1:5" x14ac:dyDescent="0.3">
      <c r="A24" s="81" t="s">
        <v>85</v>
      </c>
      <c r="B24" s="82"/>
      <c r="C24" s="46"/>
      <c r="D24" s="60"/>
      <c r="E24" s="46"/>
    </row>
    <row r="26" spans="1:5" ht="15.6" x14ac:dyDescent="0.3">
      <c r="A26" s="169" t="s">
        <v>132</v>
      </c>
      <c r="B26" s="170"/>
    </row>
    <row r="27" spans="1:5" x14ac:dyDescent="0.3">
      <c r="A27" s="88" t="s">
        <v>173</v>
      </c>
      <c r="B27" s="87" t="s">
        <v>218</v>
      </c>
    </row>
    <row r="28" spans="1:5" x14ac:dyDescent="0.3">
      <c r="A28" s="88" t="s">
        <v>174</v>
      </c>
      <c r="B28" s="87">
        <v>33</v>
      </c>
    </row>
    <row r="29" spans="1:5" x14ac:dyDescent="0.3">
      <c r="A29" s="88" t="s">
        <v>133</v>
      </c>
      <c r="B29" s="87">
        <v>690</v>
      </c>
    </row>
    <row r="30" spans="1:5" x14ac:dyDescent="0.3">
      <c r="A30" s="89" t="s">
        <v>115</v>
      </c>
      <c r="B30" s="83">
        <v>6700000</v>
      </c>
    </row>
    <row r="31" spans="1:5" x14ac:dyDescent="0.3">
      <c r="A31" s="81" t="s">
        <v>116</v>
      </c>
      <c r="B31" s="84">
        <f>B30/B9</f>
        <v>0.70526315789473681</v>
      </c>
    </row>
    <row r="33" spans="1:3" ht="15.6" x14ac:dyDescent="0.3">
      <c r="A33" s="169" t="s">
        <v>136</v>
      </c>
      <c r="B33" s="170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4.0750000000000002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9.1300000000000006E-2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E02E46F3-32B8-4561-B511-EED4FE34173B}">
      <formula1>$I$2:$I$7</formula1>
    </dataValidation>
  </dataValidations>
  <hyperlinks>
    <hyperlink ref="C34" r:id="rId1" xr:uid="{6B2AED83-77B9-4EB0-93F2-C62433583300}"/>
    <hyperlink ref="C17" r:id="rId2" xr:uid="{57F127C9-4DB5-4DF8-BFF9-4A5B8EC60B5B}"/>
    <hyperlink ref="C14" r:id="rId3" xr:uid="{F90DC391-4819-4D58-BB03-0C0D9D82E0B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TestCase14</vt:lpstr>
      <vt:lpstr>TCSummary14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2020-04-13T22:53:38Z</dcterms:modified>
</cp:coreProperties>
</file>