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19469D23-AB20-4933-91D5-6DA134B7B6CD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" sheetId="4" r:id="rId5"/>
    <sheet name="TCSummary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H4" i="2" l="1"/>
  <c r="H6" i="3" l="1"/>
  <c r="H5" i="3"/>
  <c r="B31" i="5"/>
  <c r="B11" i="5"/>
  <c r="B25" i="4"/>
  <c r="B24" i="4" s="1"/>
  <c r="D9" i="4"/>
  <c r="B5" i="4"/>
  <c r="B4" i="4"/>
  <c r="B9" i="4" s="1"/>
  <c r="B8" i="4" s="1"/>
  <c r="B3" i="4" l="1"/>
  <c r="B11" i="4" s="1"/>
  <c r="B16" i="4" l="1"/>
  <c r="B20" i="4" s="1"/>
  <c r="B22" i="4" s="1"/>
  <c r="B33" i="4" l="1"/>
  <c r="B28" i="4"/>
  <c r="B27" i="4"/>
  <c r="B37" i="5" l="1"/>
  <c r="H5" i="7" l="1"/>
  <c r="H4" i="7"/>
  <c r="H4" i="3"/>
  <c r="H7" i="2"/>
  <c r="H5" i="2"/>
  <c r="B38" i="5" l="1" a="1"/>
  <c r="B38" i="5" s="1"/>
  <c r="B39" i="5" a="1"/>
  <c r="B39" i="5" s="1"/>
  <c r="A5" i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<sst xmlns="http://schemas.openxmlformats.org/spreadsheetml/2006/main" count="268" uniqueCount="222">
  <si>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</si>
  <si>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</si>
  <si>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</si>
  <si>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</si>
  <si>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</si>
  <si>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</si>
  <si>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</si>
  <si>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</si>
  <si>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</si>
  <si>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</si>
  <si>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</si>
  <si>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</si>
  <si>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</si>
  <si>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</si>
  <si>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</si>
  <si>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</si>
  <si>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</si>
  <si>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</si>
  <si>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</si>
  <si>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</si>
  <si>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</si>
  <si>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</si>
  <si>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</si>
  <si>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</si>
  <si>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</si>
  <si>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</si>
  <si>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</si>
  <si>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</si>
  <si>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</si>
  <si>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</si>
  <si>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</si>
  <si>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</si>
  <si>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</si>
  <si>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</si>
  <si>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</si>
  <si>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</si>
  <si>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</si>
  <si>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</si>
  <si>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</si>
  <si>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</si>
  <si>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</si>
  <si>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</si>
  <si>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</si>
  <si>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</si>
  <si>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</si>
  <si>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</si>
  <si>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</si>
  <si>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</si>
  <si>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</si>
  <si>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</si>
  <si>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</si>
  <si>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</si>
  <si>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</si>
  <si>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</si>
  <si>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</si>
  <si>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</si>
  <si>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</si>
  <si>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</si>
  <si>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</si>
  <si>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</si>
  <si>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</si>
  <si>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</si>
  <si>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</si>
  <si>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</si>
  <si>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</si>
  <si>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</si>
  <si>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</si>
  <si>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</si>
  <si>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</si>
  <si>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</si>
  <si>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</si>
  <si>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</si>
  <si>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# of Units</t>
  </si>
  <si>
    <t>notes</t>
  </si>
  <si>
    <t>$/unit</t>
  </si>
  <si>
    <t xml:space="preserve">   - Rental income from units (assume 100% occupancy)</t>
  </si>
  <si>
    <t>3% of EGI; usually between 2-4% of EGI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</si>
  <si>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</si>
  <si>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</si>
  <si>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</si>
  <si>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</si>
  <si>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</si>
  <si>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</si>
  <si>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</si>
  <si>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</si>
  <si>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</si>
  <si>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</si>
  <si>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</si>
  <si>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</si>
  <si>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</si>
  <si>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</si>
  <si>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</si>
  <si>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</si>
  <si>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</si>
  <si>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</si>
  <si>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</si>
  <si>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</si>
  <si>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</si>
  <si>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</si>
  <si>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</si>
  <si>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</si>
  <si>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</si>
  <si>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</si>
  <si>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</si>
  <si>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</si>
  <si>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</si>
  <si>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</si>
  <si>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</si>
  <si>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</si>
  <si>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</si>
  <si>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</si>
  <si>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</si>
  <si>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</si>
  <si>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</si>
  <si>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</si>
  <si>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</si>
  <si>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</si>
  <si>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</si>
  <si>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</si>
  <si>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</si>
  <si>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</si>
  <si>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</si>
  <si>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</si>
  <si>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</si>
  <si>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</si>
  <si>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</si>
  <si>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</si>
  <si>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</si>
  <si>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</si>
  <si>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</si>
  <si>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</si>
  <si>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</si>
  <si>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</si>
  <si>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</si>
  <si>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</si>
  <si>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</si>
  <si>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</si>
  <si>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</si>
  <si>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</si>
  <si>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</si>
  <si>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</si>
  <si>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</si>
  <si>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</si>
  <si>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</si>
  <si>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</si>
  <si>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</si>
  <si>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</si>
  <si>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</si>
  <si>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</si>
  <si>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</si>
  <si>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</si>
  <si>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</si>
  <si>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</si>
  <si>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</si>
  <si>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</si>
  <si>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</si>
  <si>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</si>
  <si>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</si>
  <si>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</si>
  <si>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</si>
  <si>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</si>
  <si>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</si>
  <si>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</si>
  <si>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</si>
  <si>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</si>
  <si>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</si>
  <si>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</si>
  <si>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</si>
  <si>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</si>
  <si>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</si>
  <si>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</si>
  <si>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</si>
  <si>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</si>
  <si>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</si>
  <si>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</si>
  <si>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</si>
  <si>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</si>
  <si>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</si>
  <si>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</si>
  <si>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</si>
  <si>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</si>
  <si>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</si>
  <si>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</si>
  <si>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</si>
  <si>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</si>
  <si>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</si>
  <si>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</si>
  <si>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</si>
  <si>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</si>
  <si>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</si>
  <si>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</si>
  <si>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</si>
  <si>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</si>
  <si>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</si>
  <si>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</si>
  <si>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</si>
  <si>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</si>
  <si>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</si>
  <si>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</si>
  <si>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</si>
  <si>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</si>
  <si>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</si>
  <si>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</si>
  <si>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</si>
  <si>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>Frances LaSalle Office Building in Houston, Texas</t>
  </si>
  <si>
    <t>not applicable</t>
  </si>
  <si>
    <t xml:space="preserve"> $5000 signage income/y</t>
  </si>
  <si>
    <t>assume 7% interest rate of $5.2M loan, 5 year term and 30 year amortisation</t>
  </si>
  <si>
    <t>from CBRE report</t>
  </si>
  <si>
    <t>http://cbre.vo.llnwd.net/grgservices/secure/North%20America%20Cap%20Rate%20Survey_H1%202019.pdf?e=1584405223&amp;h=bbb807a0a1da0df42dbb261d66079d0c</t>
  </si>
  <si>
    <t xml:space="preserve">Class A office </t>
  </si>
  <si>
    <t>10998 Wilcrest Dr, Houston, TX 77099, United States</t>
  </si>
  <si>
    <t>Houston, Texas</t>
  </si>
  <si>
    <t>https://www.cbre.ca/en/research-and-reports/US-Office-Figures-Q4-2019</t>
  </si>
  <si>
    <t>Frances LaSalle</t>
  </si>
  <si>
    <t>made up score</t>
  </si>
  <si>
    <t>from bank/investment statements</t>
  </si>
  <si>
    <t xml:space="preserve">16-20 years </t>
  </si>
  <si>
    <t>11-15 years</t>
  </si>
  <si>
    <t>6-10 years</t>
  </si>
  <si>
    <t>&lt;= 5 years</t>
  </si>
  <si>
    <t>70.01%-74.99%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</si>
</sst>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10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3" fontId="9" fillId="0" borderId="38" xfId="0" applyNumberFormat="1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vertical="center"/>
    </xf>
    <xf numFmtId="9" fontId="13" fillId="7" borderId="20" xfId="0" applyNumberFormat="1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2" fontId="12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9" fontId="0" fillId="0" borderId="36" xfId="0" applyNumberFormat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5" fillId="0" borderId="37" xfId="0" applyFont="1" applyBorder="1"/>
    <xf numFmtId="0" fontId="1" fillId="0" borderId="45" xfId="0" applyFont="1" applyBorder="1"/>
    <xf numFmtId="8" fontId="16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5" fillId="0" borderId="0" xfId="0" applyFont="1"/>
    <xf numFmtId="10" fontId="1" fillId="0" borderId="38" xfId="3" applyNumberFormat="1" applyFont="1" applyBorder="1"/>
    <xf numFmtId="165" fontId="1" fillId="8" borderId="38" xfId="0" applyNumberFormat="1" applyFont="1" applyFill="1" applyBorder="1" applyAlignment="1">
      <alignment horizontal="right" vertical="center"/>
    </xf>
    <xf numFmtId="0" fontId="0" fillId="8" borderId="0" xfId="0" applyFill="1"/>
    <xf numFmtId="43" fontId="1" fillId="8" borderId="38" xfId="1" applyFont="1" applyFill="1" applyBorder="1"/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"/>
      <sheetName val="TCSummary2"/>
    </sheetNames>
    <sheetDataSet>
      <sheetData sheetId="0">
        <row r="14">
          <cell r="D14">
            <v>3.2125000000000004</v>
          </cell>
        </row>
        <row r="16">
          <cell r="C16" t="str">
            <v>Credit Manager Review</v>
          </cell>
        </row>
        <row r="18">
          <cell r="C18">
            <v>9.1300000000000006E-2</v>
          </cell>
        </row>
      </sheetData>
      <sheetData sheetId="1"/>
      <sheetData sheetId="2"/>
      <sheetData sheetId="3"/>
      <sheetData sheetId="4"/>
      <sheetData sheetId="5">
        <row r="18">
          <cell r="B18">
            <v>0.11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1%202019.pdf?e=1584405223&amp;h=bbb807a0a1da0df42dbb261d66079d0c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re.ca/en/research-and-reports/US-Office-Figures-Q4-2019" TargetMode="External"/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census.gov/popclock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5" workbookViewId="0">
      <selection activeCell="C20" sqref="C20:D20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6" t="s">
        <v>158</v>
      </c>
      <c r="B2" s="75"/>
      <c r="C2" s="76"/>
      <c r="D2" s="76"/>
      <c r="E2" s="74"/>
      <c r="F2" s="74"/>
      <c r="G2" s="74"/>
      <c r="H2" s="74"/>
      <c r="I2" s="74"/>
      <c r="J2" s="74"/>
      <c r="L2">
        <v>5</v>
      </c>
    </row>
    <row r="3" spans="1:12" ht="22.8" customHeight="1" thickBot="1" x14ac:dyDescent="0.4">
      <c r="A3" s="144" t="s">
        <v>113</v>
      </c>
      <c r="B3" s="144"/>
      <c r="C3" s="144"/>
      <c r="D3" s="144"/>
      <c r="E3" s="74"/>
      <c r="F3" s="74"/>
      <c r="G3" s="74"/>
      <c r="H3" s="74"/>
      <c r="I3" s="74" t="s">
        <v>10</v>
      </c>
      <c r="J3" s="74"/>
      <c r="L3">
        <v>4</v>
      </c>
    </row>
    <row r="4" spans="1:12" s="8" customFormat="1" ht="30" customHeight="1" thickBot="1" x14ac:dyDescent="0.35">
      <c r="A4" s="97" t="s">
        <v>0</v>
      </c>
      <c r="B4" s="98" t="s">
        <v>1</v>
      </c>
      <c r="C4" s="99" t="s">
        <v>2</v>
      </c>
      <c r="D4" s="99" t="s">
        <v>114</v>
      </c>
      <c r="H4"/>
      <c r="I4" s="8" t="s">
        <v>11</v>
      </c>
      <c r="K4" s="66">
        <v>0.75</v>
      </c>
      <c r="L4" s="66">
        <v>0.25</v>
      </c>
    </row>
    <row r="5" spans="1:12" ht="19.2" customHeight="1" x14ac:dyDescent="0.3">
      <c r="A5" s="38" t="str">
        <f>TCSummary2!A6</f>
        <v>Office</v>
      </c>
      <c r="B5" s="39">
        <v>0.75</v>
      </c>
      <c r="C5" s="43">
        <f>Property!J12</f>
        <v>3.7500000000000004</v>
      </c>
      <c r="D5" s="44">
        <f>C5*B5</f>
        <v>2.8125000000000004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7" t="s">
        <v>114</v>
      </c>
      <c r="I8" t="s">
        <v>37</v>
      </c>
    </row>
    <row r="9" spans="1:12" ht="20.399999999999999" customHeight="1" x14ac:dyDescent="0.3">
      <c r="A9" s="38" t="s">
        <v>106</v>
      </c>
      <c r="B9" s="39">
        <v>0.25</v>
      </c>
      <c r="C9" s="43">
        <f>IF(A9=I16,'Individual Borrower'!J8,'Corporate Borrower'!J8)</f>
        <v>1.6</v>
      </c>
      <c r="D9" s="44">
        <f>C9*B9</f>
        <v>0.4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100" t="s">
        <v>2</v>
      </c>
      <c r="D11" s="99" t="s">
        <v>2</v>
      </c>
      <c r="I11" s="8" t="s">
        <v>148</v>
      </c>
      <c r="K11" s="2">
        <v>1</v>
      </c>
    </row>
    <row r="12" spans="1:12" ht="34.799999999999997" customHeight="1" x14ac:dyDescent="0.3">
      <c r="A12" s="145" t="s">
        <v>4</v>
      </c>
      <c r="B12" s="146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5" t="s">
        <v>6</v>
      </c>
      <c r="B14" s="106"/>
      <c r="C14" s="107"/>
      <c r="D14" s="108">
        <f>D12+D9+D5</f>
        <v>3.2125000000000004</v>
      </c>
    </row>
    <row r="15" spans="1:12" ht="15" thickBot="1" x14ac:dyDescent="0.35">
      <c r="I15" t="s">
        <v>105</v>
      </c>
    </row>
    <row r="16" spans="1:12" ht="21.75" customHeight="1" thickBot="1" x14ac:dyDescent="0.35">
      <c r="A16" s="101" t="s">
        <v>39</v>
      </c>
      <c r="B16" s="102"/>
      <c r="C16" s="142" t="str">
        <f>IF(D14&lt;3.2,I18,I19)</f>
        <v>Credit Manager Review</v>
      </c>
      <c r="D16" s="143"/>
      <c r="I16" t="s">
        <v>106</v>
      </c>
    </row>
    <row r="17" spans="1:9" ht="15" thickBot="1" x14ac:dyDescent="0.35"/>
    <row r="18" spans="1:9" ht="21.6" customHeight="1" x14ac:dyDescent="0.3">
      <c r="A18" s="103" t="s">
        <v>178</v>
      </c>
      <c r="B18" s="104"/>
      <c r="C18" s="149">
        <f>IF(C20="Initial Application Rejected","Pricing not applicable",C20+C19)</f>
        <v>9.1200000000000003E-2</v>
      </c>
      <c r="D18" s="150"/>
      <c r="I18" t="s">
        <v>108</v>
      </c>
    </row>
    <row r="19" spans="1:9" ht="24" customHeight="1" x14ac:dyDescent="0.3">
      <c r="A19" s="70" t="s">
        <v>111</v>
      </c>
      <c r="B19" s="71"/>
      <c r="C19" s="151">
        <v>2.3699999999999999E-2</v>
      </c>
      <c r="D19" s="152"/>
      <c r="I19" t="s">
        <v>107</v>
      </c>
    </row>
    <row r="20" spans="1:9" ht="20.399999999999999" customHeight="1" x14ac:dyDescent="0.3">
      <c r="A20" s="72" t="s">
        <v>112</v>
      </c>
      <c r="B20" s="73"/>
      <c r="C20" s="147">
        <f>IF(D14&lt;3.2,"Initial Application Rejected",IF(D14&lt;3.6,TestCase2!B31,TestCase2!B31-0.25%))</f>
        <v>6.7500000000000004E-2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7" sqref="H7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2" t="s">
        <v>17</v>
      </c>
      <c r="B4" s="63" t="s">
        <v>7</v>
      </c>
      <c r="C4" s="12" t="s">
        <v>184</v>
      </c>
      <c r="D4" s="12" t="s">
        <v>185</v>
      </c>
      <c r="E4" s="12" t="s">
        <v>186</v>
      </c>
      <c r="F4" s="12" t="s">
        <v>221</v>
      </c>
      <c r="G4" s="12" t="s">
        <v>187</v>
      </c>
      <c r="H4" s="31">
        <f>IF(TCSummary2!B11&lt;=60%,5,IF(TCSummary2!B11&lt;=65%,4,IF(TCSummary2!B11&lt;=70%,3,IF(TCSummary2!B11&lt;=74.99%,2,1))))</f>
        <v>3</v>
      </c>
      <c r="I4" s="64">
        <v>0.1</v>
      </c>
      <c r="J4" s="65">
        <f>I4*H4</f>
        <v>0.30000000000000004</v>
      </c>
      <c r="K4" s="66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188</v>
      </c>
      <c r="D5" s="12" t="s">
        <v>189</v>
      </c>
      <c r="E5" s="12" t="s">
        <v>190</v>
      </c>
      <c r="F5" s="12" t="s">
        <v>191</v>
      </c>
      <c r="G5" s="79" t="s">
        <v>192</v>
      </c>
      <c r="H5" s="31">
        <f>IF(TestCase2!B27&gt;1.5,5,IF(TestCase2!B27&gt;1.4,4,IF(TestCase2!B27&gt;1.3,3,IF(TestCase2!B27&gt;1.2,2,1))))</f>
        <v>3</v>
      </c>
      <c r="I5" s="32">
        <v>0.15</v>
      </c>
      <c r="J5" s="23">
        <f t="shared" ref="J5:J11" si="0">H5*I5</f>
        <v>0.44999999999999996</v>
      </c>
      <c r="K5" s="60"/>
      <c r="M5" s="8">
        <v>1</v>
      </c>
    </row>
    <row r="6" spans="1:14" ht="85.2" customHeight="1" x14ac:dyDescent="0.3">
      <c r="A6" s="126" t="s">
        <v>19</v>
      </c>
      <c r="B6" s="127" t="s">
        <v>170</v>
      </c>
      <c r="C6" s="128" t="s">
        <v>182</v>
      </c>
      <c r="D6" s="128" t="s">
        <v>193</v>
      </c>
      <c r="E6" s="128" t="s">
        <v>194</v>
      </c>
      <c r="F6" s="128" t="s">
        <v>195</v>
      </c>
      <c r="G6" s="128" t="s">
        <v>197</v>
      </c>
      <c r="H6" s="129">
        <f>IF(TCSummary2!B18-TCSummary2!B17&lt;1%,5,IF(TCSummary2!B18-TCSummary2!B17&lt;2%,4,IF(TCSummary2!B18-TCSummary2!B17&lt;3%,3,IF(TCSummary2!B18-TCSummary2!B17&lt;4%,2,1))))</f>
        <v>5</v>
      </c>
      <c r="I6" s="130">
        <v>0.15</v>
      </c>
      <c r="J6" s="131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196</v>
      </c>
      <c r="E7" s="10" t="s">
        <v>28</v>
      </c>
      <c r="F7" s="10" t="s">
        <v>29</v>
      </c>
      <c r="G7" s="29" t="s">
        <v>30</v>
      </c>
      <c r="H7" s="30">
        <f>IF(TCSummary2!B14&gt;2000000,5,IF(TCSummary2!B14&gt;1500000,4,IF(TCSummary2!B14&gt;1000000,3,IF(TCSummary2!B14&gt;500000,2,1))))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123</v>
      </c>
      <c r="C8" s="11" t="s">
        <v>125</v>
      </c>
      <c r="D8" s="11" t="s">
        <v>124</v>
      </c>
      <c r="E8" s="11" t="s">
        <v>126</v>
      </c>
      <c r="F8" s="10" t="s">
        <v>152</v>
      </c>
      <c r="G8" s="11" t="s">
        <v>120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155</v>
      </c>
      <c r="D9" s="11" t="s">
        <v>154</v>
      </c>
      <c r="E9" s="11" t="s">
        <v>156</v>
      </c>
      <c r="F9" s="11" t="s">
        <v>157</v>
      </c>
      <c r="G9" s="79" t="s">
        <v>153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140</v>
      </c>
      <c r="C10" s="11" t="s">
        <v>46</v>
      </c>
      <c r="D10" s="11" t="s">
        <v>47</v>
      </c>
      <c r="E10" s="11" t="s">
        <v>48</v>
      </c>
      <c r="F10" s="11" t="s">
        <v>122</v>
      </c>
      <c r="G10" s="29" t="s">
        <v>121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168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6">
        <f>SUM(J4:J11)</f>
        <v>3.7500000000000004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92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2" t="s">
        <v>93</v>
      </c>
      <c r="B4" s="67" t="s">
        <v>169</v>
      </c>
      <c r="C4" s="68" t="s">
        <v>100</v>
      </c>
      <c r="D4" s="68" t="s">
        <v>103</v>
      </c>
      <c r="E4" s="68" t="s">
        <v>102</v>
      </c>
      <c r="F4" s="68" t="s">
        <v>198</v>
      </c>
      <c r="G4" s="68" t="s">
        <v>101</v>
      </c>
      <c r="H4" s="68">
        <f>IF(TCSummary2!B31&gt;2,5,IF(TCSummary2!B31&gt;1.5,4,IF(TCSummary2!B31&gt;1,3,IF(TCSummary2!B31&gt;0.5,2,1))))</f>
        <v>1</v>
      </c>
      <c r="I4" s="69">
        <v>0.3</v>
      </c>
      <c r="J4" s="65">
        <f>H4*I4</f>
        <v>0.3</v>
      </c>
      <c r="L4" s="8">
        <v>3</v>
      </c>
    </row>
    <row r="5" spans="1:12" s="8" customFormat="1" ht="79.2" customHeight="1" x14ac:dyDescent="0.3">
      <c r="A5" s="18" t="s">
        <v>94</v>
      </c>
      <c r="B5" s="20" t="s">
        <v>138</v>
      </c>
      <c r="C5" s="11" t="s">
        <v>35</v>
      </c>
      <c r="D5" s="11" t="s">
        <v>217</v>
      </c>
      <c r="E5" s="11" t="s">
        <v>218</v>
      </c>
      <c r="F5" s="11" t="s">
        <v>219</v>
      </c>
      <c r="G5" s="11" t="s">
        <v>220</v>
      </c>
      <c r="H5" s="12">
        <f>IF(TCSummary2!B28&gt;20,5,IF(TCSummary2!B28&gt;15,4,IF(TCSummary2!B28&gt;10,3,IF(TCSummary2!B28&gt;5,2,1))))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95</v>
      </c>
      <c r="B6" s="19" t="s">
        <v>133</v>
      </c>
      <c r="C6" s="11" t="s">
        <v>134</v>
      </c>
      <c r="D6" s="11" t="s">
        <v>199</v>
      </c>
      <c r="E6" s="11" t="s">
        <v>200</v>
      </c>
      <c r="F6" s="11" t="s">
        <v>201</v>
      </c>
      <c r="G6" s="11" t="s">
        <v>202</v>
      </c>
      <c r="H6" s="16">
        <f>IF(TCSummary2!B29&gt;750,5,IF(TCSummary2!B29&gt;700,4,IF(TCSummary2!B29&gt;650,3,IF(TCSummary2!B29&gt;600,2,1))))</f>
        <v>3</v>
      </c>
      <c r="I6" s="22">
        <v>0.2</v>
      </c>
      <c r="J6" s="23">
        <f>H6*I6</f>
        <v>0.60000000000000009</v>
      </c>
      <c r="L6">
        <v>1</v>
      </c>
    </row>
    <row r="7" spans="1:12" s="8" customFormat="1" ht="84" customHeight="1" x14ac:dyDescent="0.3">
      <c r="A7" s="18" t="s">
        <v>146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4">
        <f>SUM(J4:J7)</f>
        <v>1.6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6" sqref="H6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91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96</v>
      </c>
      <c r="B4" s="20" t="s">
        <v>127</v>
      </c>
      <c r="C4" s="88" t="s">
        <v>132</v>
      </c>
      <c r="D4" s="88" t="s">
        <v>203</v>
      </c>
      <c r="E4" s="88" t="s">
        <v>131</v>
      </c>
      <c r="F4" s="88" t="s">
        <v>130</v>
      </c>
      <c r="G4" s="88" t="s">
        <v>129</v>
      </c>
      <c r="H4" s="15">
        <f>IF(TCSummary2!B23&gt;2.5,5,IF(TCSummary2!B23&gt;2,4,IF(TCSummary2!B23&gt;1.5,3,IF(TCSummary2!B23&gt;1,2,1))))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97</v>
      </c>
      <c r="B5" s="19" t="s">
        <v>90</v>
      </c>
      <c r="C5" s="12" t="s">
        <v>141</v>
      </c>
      <c r="D5" s="12" t="s">
        <v>142</v>
      </c>
      <c r="E5" s="12" t="s">
        <v>143</v>
      </c>
      <c r="F5" s="12" t="s">
        <v>144</v>
      </c>
      <c r="G5" s="12" t="s">
        <v>145</v>
      </c>
      <c r="H5" s="15">
        <f>IF(TCSummary2!B24&lt;1,5,IF(TCSummary2!B24&lt;1.25,4,IF(TCSummary2!B24&lt;1.5,3,IF(TCSummary2!B24&lt;1.75,2,1))))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98</v>
      </c>
      <c r="B6" s="20" t="s">
        <v>162</v>
      </c>
      <c r="C6" s="11" t="s">
        <v>35</v>
      </c>
      <c r="D6" s="11" t="s">
        <v>137</v>
      </c>
      <c r="E6" s="11" t="s">
        <v>32</v>
      </c>
      <c r="F6" s="11" t="s">
        <v>33</v>
      </c>
      <c r="G6" s="11" t="s">
        <v>34</v>
      </c>
      <c r="H6" s="12">
        <f>IF(TCSummary2!B22&gt;20,5,IF(TCSummary2!B22&gt;15,4,IF(TCSummary2!B22&gt;10,3,IF(TCSummary2!B22&gt;5,2,1))))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99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5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topLeftCell="A13" workbookViewId="0">
      <selection activeCell="B31" sqref="B31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21" customHeight="1" x14ac:dyDescent="0.3">
      <c r="A2" s="180" t="s">
        <v>204</v>
      </c>
      <c r="B2" s="181"/>
      <c r="C2" s="181"/>
      <c r="D2" s="182"/>
    </row>
    <row r="3" spans="1:5" x14ac:dyDescent="0.3">
      <c r="A3" s="109" t="s">
        <v>53</v>
      </c>
      <c r="B3" s="110">
        <f>SUM(B4:B7)</f>
        <v>8526200</v>
      </c>
      <c r="C3" s="132" t="s">
        <v>72</v>
      </c>
      <c r="D3" s="111" t="s">
        <v>74</v>
      </c>
      <c r="E3" s="4" t="s">
        <v>73</v>
      </c>
    </row>
    <row r="4" spans="1:5" x14ac:dyDescent="0.3">
      <c r="A4" s="49" t="s">
        <v>75</v>
      </c>
      <c r="B4" s="50">
        <f>C4*D4*12</f>
        <v>8337600</v>
      </c>
      <c r="C4" s="16">
        <v>240</v>
      </c>
      <c r="D4" s="51">
        <v>2895</v>
      </c>
    </row>
    <row r="5" spans="1:5" x14ac:dyDescent="0.3">
      <c r="A5" s="49" t="s">
        <v>54</v>
      </c>
      <c r="B5" s="50">
        <f>C5*D5*12</f>
        <v>183600</v>
      </c>
      <c r="C5" s="16">
        <v>180</v>
      </c>
      <c r="D5" s="51">
        <v>85</v>
      </c>
    </row>
    <row r="6" spans="1:5" x14ac:dyDescent="0.3">
      <c r="A6" s="49" t="s">
        <v>55</v>
      </c>
      <c r="B6" s="50"/>
      <c r="D6" s="51"/>
      <c r="E6" t="s">
        <v>205</v>
      </c>
    </row>
    <row r="7" spans="1:5" x14ac:dyDescent="0.3">
      <c r="A7" s="49" t="s">
        <v>56</v>
      </c>
      <c r="B7" s="50">
        <v>5000</v>
      </c>
      <c r="D7" s="51"/>
      <c r="E7" t="s">
        <v>206</v>
      </c>
    </row>
    <row r="8" spans="1:5" x14ac:dyDescent="0.3">
      <c r="A8" s="52" t="s">
        <v>57</v>
      </c>
      <c r="B8" s="53">
        <f>SUM(B9:B10)</f>
        <v>917136</v>
      </c>
      <c r="D8" s="51"/>
    </row>
    <row r="9" spans="1:5" x14ac:dyDescent="0.3">
      <c r="A9" s="49" t="s">
        <v>58</v>
      </c>
      <c r="B9" s="50">
        <f>B4*D9</f>
        <v>917136</v>
      </c>
      <c r="D9" s="115">
        <f>[1]TCSummary2!B18</f>
        <v>0.11</v>
      </c>
      <c r="E9" s="47"/>
    </row>
    <row r="10" spans="1:5" x14ac:dyDescent="0.3">
      <c r="A10" s="49" t="s">
        <v>59</v>
      </c>
      <c r="B10" s="50"/>
      <c r="D10" s="51"/>
    </row>
    <row r="11" spans="1:5" x14ac:dyDescent="0.3">
      <c r="A11" s="109" t="s">
        <v>69</v>
      </c>
      <c r="B11" s="110">
        <f>B3-B8</f>
        <v>7609064</v>
      </c>
      <c r="C11" s="133"/>
      <c r="D11" s="112"/>
    </row>
    <row r="12" spans="1:5" x14ac:dyDescent="0.3">
      <c r="A12" s="175" t="s">
        <v>60</v>
      </c>
      <c r="B12" s="176"/>
      <c r="D12" s="51"/>
    </row>
    <row r="13" spans="1:5" x14ac:dyDescent="0.3">
      <c r="A13" s="49" t="s">
        <v>61</v>
      </c>
      <c r="B13" s="50">
        <v>656000</v>
      </c>
      <c r="D13" s="51"/>
      <c r="E13" t="s">
        <v>77</v>
      </c>
    </row>
    <row r="14" spans="1:5" x14ac:dyDescent="0.3">
      <c r="A14" s="49" t="s">
        <v>62</v>
      </c>
      <c r="B14" s="50">
        <v>213567</v>
      </c>
      <c r="D14" s="51"/>
      <c r="E14" t="s">
        <v>78</v>
      </c>
    </row>
    <row r="15" spans="1:5" x14ac:dyDescent="0.3">
      <c r="A15" s="49" t="s">
        <v>63</v>
      </c>
      <c r="B15" s="50">
        <v>5917500</v>
      </c>
      <c r="D15" s="51"/>
      <c r="E15" t="s">
        <v>79</v>
      </c>
    </row>
    <row r="16" spans="1:5" x14ac:dyDescent="0.3">
      <c r="A16" s="49" t="s">
        <v>181</v>
      </c>
      <c r="B16" s="50">
        <f>B11*D16</f>
        <v>228271.91999999998</v>
      </c>
      <c r="D16" s="115">
        <v>0.03</v>
      </c>
      <c r="E16" t="s">
        <v>76</v>
      </c>
    </row>
    <row r="17" spans="1:7" x14ac:dyDescent="0.3">
      <c r="A17" s="49" t="s">
        <v>64</v>
      </c>
      <c r="B17" s="50">
        <v>6890</v>
      </c>
      <c r="D17" s="51"/>
      <c r="E17" t="s">
        <v>82</v>
      </c>
    </row>
    <row r="18" spans="1:7" x14ac:dyDescent="0.3">
      <c r="A18" s="49" t="s">
        <v>65</v>
      </c>
      <c r="B18" s="50">
        <v>1980</v>
      </c>
      <c r="D18" s="51"/>
    </row>
    <row r="19" spans="1:7" x14ac:dyDescent="0.3">
      <c r="A19" s="49" t="s">
        <v>66</v>
      </c>
      <c r="B19" s="50">
        <v>30000</v>
      </c>
      <c r="D19" s="51"/>
    </row>
    <row r="20" spans="1:7" x14ac:dyDescent="0.3">
      <c r="A20" s="109" t="s">
        <v>67</v>
      </c>
      <c r="B20" s="110">
        <f>SUM(B13:B19)</f>
        <v>7054208.9199999999</v>
      </c>
      <c r="C20" s="133"/>
      <c r="D20" s="112"/>
    </row>
    <row r="21" spans="1:7" x14ac:dyDescent="0.3">
      <c r="A21" s="49"/>
      <c r="B21" s="50"/>
      <c r="D21" s="51"/>
    </row>
    <row r="22" spans="1:7" x14ac:dyDescent="0.3">
      <c r="A22" s="109" t="s">
        <v>149</v>
      </c>
      <c r="B22" s="110">
        <f>B11-B20</f>
        <v>554855.08000000007</v>
      </c>
      <c r="C22" s="133"/>
      <c r="D22" s="112"/>
    </row>
    <row r="23" spans="1:7" x14ac:dyDescent="0.3">
      <c r="A23" s="49"/>
      <c r="B23" s="50"/>
      <c r="D23" s="51"/>
    </row>
    <row r="24" spans="1:7" x14ac:dyDescent="0.3">
      <c r="A24" s="109" t="s">
        <v>83</v>
      </c>
      <c r="B24" s="110">
        <f>B25</f>
        <v>415148.76</v>
      </c>
      <c r="C24" s="132"/>
      <c r="D24" s="111"/>
      <c r="E24" s="48" t="s">
        <v>207</v>
      </c>
    </row>
    <row r="25" spans="1:7" x14ac:dyDescent="0.3">
      <c r="A25" s="49" t="s">
        <v>68</v>
      </c>
      <c r="B25" s="50">
        <f>D25*C25</f>
        <v>415148.76</v>
      </c>
      <c r="C25" s="16">
        <v>12</v>
      </c>
      <c r="D25" s="121">
        <v>34595.730000000003</v>
      </c>
      <c r="E25" s="46" t="s">
        <v>71</v>
      </c>
    </row>
    <row r="26" spans="1:7" x14ac:dyDescent="0.3">
      <c r="A26" s="49"/>
      <c r="B26" s="50"/>
      <c r="C26" s="54"/>
      <c r="D26" s="51"/>
    </row>
    <row r="27" spans="1:7" x14ac:dyDescent="0.3">
      <c r="A27" s="109" t="s">
        <v>150</v>
      </c>
      <c r="B27" s="113">
        <f>B22/B25</f>
        <v>1.3365211063137947</v>
      </c>
      <c r="C27" s="114"/>
      <c r="D27" s="112"/>
      <c r="E27" t="s">
        <v>159</v>
      </c>
    </row>
    <row r="28" spans="1:7" x14ac:dyDescent="0.3">
      <c r="A28" s="109" t="s">
        <v>70</v>
      </c>
      <c r="B28" s="113">
        <f>B22-B25</f>
        <v>139706.32000000007</v>
      </c>
      <c r="C28" s="133"/>
      <c r="D28" s="112"/>
    </row>
    <row r="29" spans="1:7" x14ac:dyDescent="0.3">
      <c r="A29" s="49"/>
      <c r="B29" s="50"/>
      <c r="D29" s="51"/>
    </row>
    <row r="30" spans="1:7" x14ac:dyDescent="0.3">
      <c r="A30" s="49"/>
      <c r="B30" s="50"/>
      <c r="D30" s="51"/>
    </row>
    <row r="31" spans="1:7" x14ac:dyDescent="0.3">
      <c r="A31" s="52" t="s">
        <v>80</v>
      </c>
      <c r="B31" s="134">
        <v>6.7500000000000004E-2</v>
      </c>
      <c r="D31" s="51"/>
      <c r="E31" t="s">
        <v>208</v>
      </c>
      <c r="G31" s="46" t="s">
        <v>209</v>
      </c>
    </row>
    <row r="32" spans="1:7" x14ac:dyDescent="0.3">
      <c r="A32" s="49"/>
      <c r="B32" s="50"/>
      <c r="D32" s="51"/>
      <c r="E32" t="s">
        <v>210</v>
      </c>
    </row>
    <row r="33" spans="1:5" ht="15.6" x14ac:dyDescent="0.3">
      <c r="A33" s="55" t="s">
        <v>81</v>
      </c>
      <c r="B33" s="56">
        <f>B22/B31</f>
        <v>8220075.2592592603</v>
      </c>
      <c r="C33" s="57"/>
      <c r="D33" s="58"/>
      <c r="E33" t="s">
        <v>151</v>
      </c>
    </row>
  </sheetData>
  <mergeCells count="3">
    <mergeCell ref="A12:B12"/>
    <mergeCell ref="A1:D1"/>
    <mergeCell ref="A2:D2"/>
  </mergeCells>
  <hyperlinks>
    <hyperlink ref="E25" r:id="rId1" location="top" xr:uid="{E104CB14-4B4C-4BDF-AB69-02C9DE2C42F7}"/>
    <hyperlink ref="G31" r:id="rId2" display="http://cbre.vo.llnwd.net/grgservices/secure/North America Cap Rate Survey_H1 2019.pdf?e=1584405223&amp;h=bbb807a0a1da0df42dbb261d66079d0c" xr:uid="{FA04B7DD-2660-46EF-A7FC-828B4297BAD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opLeftCell="A10" workbookViewId="0">
      <selection activeCell="A3" sqref="A3"/>
    </sheetView>
  </sheetViews>
  <sheetFormatPr defaultRowHeight="14.4" x14ac:dyDescent="0.3"/>
  <cols>
    <col min="1" max="1" width="45.5546875" customWidth="1"/>
    <col min="2" max="2" width="30.109375" style="59" customWidth="1"/>
    <col min="3" max="3" width="13.88671875" bestFit="1" customWidth="1"/>
  </cols>
  <sheetData>
    <row r="1" spans="1:9" ht="17.399999999999999" x14ac:dyDescent="0.3">
      <c r="A1" s="187" t="s">
        <v>88</v>
      </c>
      <c r="B1" s="187"/>
    </row>
    <row r="2" spans="1:9" x14ac:dyDescent="0.3">
      <c r="A2" s="185" t="s">
        <v>174</v>
      </c>
      <c r="B2" s="186"/>
      <c r="I2" t="s">
        <v>183</v>
      </c>
    </row>
    <row r="3" spans="1:9" x14ac:dyDescent="0.3">
      <c r="A3" s="119" t="s">
        <v>211</v>
      </c>
      <c r="B3" s="80"/>
      <c r="I3" s="8" t="s">
        <v>11</v>
      </c>
    </row>
    <row r="4" spans="1:9" x14ac:dyDescent="0.3">
      <c r="A4" s="135"/>
      <c r="B4" s="81"/>
      <c r="I4" t="s">
        <v>12</v>
      </c>
    </row>
    <row r="5" spans="1:9" x14ac:dyDescent="0.3">
      <c r="A5" s="185" t="s">
        <v>115</v>
      </c>
      <c r="B5" s="186"/>
      <c r="I5" t="s">
        <v>13</v>
      </c>
    </row>
    <row r="6" spans="1:9" x14ac:dyDescent="0.3">
      <c r="A6" s="82" t="s">
        <v>12</v>
      </c>
      <c r="B6" s="80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116</v>
      </c>
      <c r="B8" s="184"/>
    </row>
    <row r="9" spans="1:9" x14ac:dyDescent="0.3">
      <c r="A9" s="49" t="s">
        <v>84</v>
      </c>
      <c r="B9" s="81">
        <v>5200000</v>
      </c>
    </row>
    <row r="10" spans="1:9" x14ac:dyDescent="0.3">
      <c r="A10" s="49" t="s">
        <v>85</v>
      </c>
      <c r="B10" s="81">
        <v>7520000</v>
      </c>
      <c r="C10" t="s">
        <v>160</v>
      </c>
    </row>
    <row r="11" spans="1:9" x14ac:dyDescent="0.3">
      <c r="A11" s="82" t="s">
        <v>86</v>
      </c>
      <c r="B11" s="136">
        <f>B9/B10</f>
        <v>0.69148936170212771</v>
      </c>
    </row>
    <row r="13" spans="1:9" ht="15.6" x14ac:dyDescent="0.3">
      <c r="A13" s="183" t="s">
        <v>117</v>
      </c>
      <c r="B13" s="184"/>
    </row>
    <row r="14" spans="1:9" x14ac:dyDescent="0.3">
      <c r="A14" s="82" t="s">
        <v>212</v>
      </c>
      <c r="B14" s="83">
        <v>2325502</v>
      </c>
      <c r="C14" s="46" t="s">
        <v>87</v>
      </c>
    </row>
    <row r="16" spans="1:9" ht="15.6" x14ac:dyDescent="0.3">
      <c r="A16" s="183" t="s">
        <v>26</v>
      </c>
      <c r="B16" s="184"/>
    </row>
    <row r="17" spans="1:5" ht="28.8" x14ac:dyDescent="0.3">
      <c r="A17" s="118" t="s">
        <v>172</v>
      </c>
      <c r="B17" s="137">
        <v>0.121</v>
      </c>
      <c r="C17" s="46" t="s">
        <v>213</v>
      </c>
    </row>
    <row r="18" spans="1:5" ht="24.6" customHeight="1" x14ac:dyDescent="0.3">
      <c r="A18" s="92" t="s">
        <v>171</v>
      </c>
      <c r="B18" s="117">
        <v>0.11</v>
      </c>
      <c r="C18" t="s">
        <v>161</v>
      </c>
    </row>
    <row r="19" spans="1:5" x14ac:dyDescent="0.3">
      <c r="A19" s="78"/>
    </row>
    <row r="20" spans="1:5" ht="15.6" x14ac:dyDescent="0.3">
      <c r="A20" s="183" t="s">
        <v>104</v>
      </c>
      <c r="B20" s="184"/>
    </row>
    <row r="21" spans="1:5" x14ac:dyDescent="0.3">
      <c r="A21" s="52" t="s">
        <v>173</v>
      </c>
      <c r="B21" s="120"/>
    </row>
    <row r="22" spans="1:5" x14ac:dyDescent="0.3">
      <c r="A22" s="52" t="s">
        <v>177</v>
      </c>
      <c r="B22" s="122"/>
    </row>
    <row r="23" spans="1:5" x14ac:dyDescent="0.3">
      <c r="A23" s="52" t="s">
        <v>128</v>
      </c>
      <c r="B23" s="87"/>
      <c r="C23" s="46"/>
    </row>
    <row r="24" spans="1:5" x14ac:dyDescent="0.3">
      <c r="A24" s="82" t="s">
        <v>89</v>
      </c>
      <c r="B24" s="84"/>
      <c r="C24" s="61"/>
      <c r="D24" s="61"/>
      <c r="E24" s="46"/>
    </row>
    <row r="26" spans="1:5" ht="15.6" x14ac:dyDescent="0.3">
      <c r="A26" s="183" t="s">
        <v>135</v>
      </c>
      <c r="B26" s="184"/>
    </row>
    <row r="27" spans="1:5" x14ac:dyDescent="0.3">
      <c r="A27" s="90" t="s">
        <v>176</v>
      </c>
      <c r="B27" s="89" t="s">
        <v>214</v>
      </c>
    </row>
    <row r="28" spans="1:5" x14ac:dyDescent="0.3">
      <c r="A28" s="90" t="s">
        <v>177</v>
      </c>
      <c r="B28" s="89">
        <v>5</v>
      </c>
    </row>
    <row r="29" spans="1:5" x14ac:dyDescent="0.3">
      <c r="A29" s="90" t="s">
        <v>136</v>
      </c>
      <c r="B29" s="89">
        <v>680</v>
      </c>
      <c r="C29" s="138" t="s">
        <v>215</v>
      </c>
    </row>
    <row r="30" spans="1:5" x14ac:dyDescent="0.3">
      <c r="A30" s="91" t="s">
        <v>118</v>
      </c>
      <c r="B30" s="85">
        <v>720000</v>
      </c>
      <c r="C30" t="s">
        <v>216</v>
      </c>
    </row>
    <row r="31" spans="1:5" x14ac:dyDescent="0.3">
      <c r="A31" s="82" t="s">
        <v>119</v>
      </c>
      <c r="B31" s="86">
        <f>B30/B9</f>
        <v>0.13846153846153847</v>
      </c>
    </row>
    <row r="33" spans="1:3" ht="15.6" x14ac:dyDescent="0.3">
      <c r="A33" s="183" t="s">
        <v>139</v>
      </c>
      <c r="B33" s="184"/>
    </row>
    <row r="34" spans="1:3" x14ac:dyDescent="0.3">
      <c r="A34" s="82" t="s">
        <v>109</v>
      </c>
      <c r="B34" s="93">
        <v>2.3800000000000002E-2</v>
      </c>
      <c r="C34" s="46" t="s">
        <v>110</v>
      </c>
    </row>
    <row r="36" spans="1:3" ht="15.6" x14ac:dyDescent="0.3">
      <c r="A36" s="183" t="s">
        <v>6</v>
      </c>
      <c r="B36" s="184"/>
    </row>
    <row r="37" spans="1:3" x14ac:dyDescent="0.3">
      <c r="A37" s="82" t="s">
        <v>175</v>
      </c>
      <c r="B37" s="139">
        <f>'[1]Overall Score'!D14</f>
        <v>3.2125000000000004</v>
      </c>
    </row>
    <row r="38" spans="1:3" x14ac:dyDescent="0.3">
      <c r="A38" s="123" t="s">
        <v>179</v>
      </c>
      <c r="B38" s="124" t="str" cm="1">
        <f t="array" ref="B38:C38">'[1]Overall Score'!C16:D16</f>
        <v>Credit Manager Review</v>
      </c>
      <c r="C38">
        <v>0</v>
      </c>
    </row>
    <row r="39" spans="1:3" x14ac:dyDescent="0.3">
      <c r="A39" s="123" t="s">
        <v>180</v>
      </c>
      <c r="B39" s="125" cm="1">
        <f t="array" ref="B39:C39">'[1]Overall Score'!C18:D18</f>
        <v>9.1300000000000006E-2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B079349B-A72E-4F48-8D82-84EB5103907B}">
      <formula1>$I$2:$I$7</formula1>
    </dataValidation>
  </dataValidations>
  <hyperlinks>
    <hyperlink ref="C14" r:id="rId1" xr:uid="{34BDB639-4295-42D0-B35E-01A6C1717054}"/>
    <hyperlink ref="C34" r:id="rId2" xr:uid="{37A6031D-666E-4E4E-AFC8-50D4E3A6A6FE}"/>
    <hyperlink ref="C17" r:id="rId3" xr:uid="{3BB245D2-52DC-4A72-BD67-BF8ED0617E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</vt:lpstr>
      <vt:lpstr>TCSummary2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2020-04-14T00:12:49Z</dcterms:modified>
</cp:coreProperties>
</file>