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th and Programming\QuoridorC#\bin\Release\"/>
    </mc:Choice>
  </mc:AlternateContent>
  <xr:revisionPtr revIDLastSave="0" documentId="13_ncr:1_{A5B899DA-4E4C-4E2C-AA31-290CEBC961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ith Commas" sheetId="1" r:id="rId1"/>
    <sheet name="Without Commas" sheetId="2" r:id="rId2"/>
  </sheets>
  <calcPr calcId="191029"/>
</workbook>
</file>

<file path=xl/calcChain.xml><?xml version="1.0" encoding="utf-8"?>
<calcChain xmlns="http://schemas.openxmlformats.org/spreadsheetml/2006/main">
  <c r="C70" i="2" l="1"/>
  <c r="C69" i="2"/>
  <c r="C68" i="2"/>
  <c r="C68" i="1"/>
  <c r="C69" i="1"/>
  <c r="C70" i="1"/>
  <c r="B71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C66" i="2"/>
  <c r="B66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C65" i="2"/>
  <c r="B65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C64" i="2"/>
  <c r="B64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C63" i="2"/>
  <c r="B63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C62" i="2"/>
  <c r="B62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C61" i="2"/>
  <c r="B61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C60" i="2"/>
  <c r="B60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C59" i="2"/>
  <c r="B59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C58" i="2"/>
  <c r="B58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C57" i="2"/>
  <c r="B57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C56" i="2"/>
  <c r="B56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C55" i="2"/>
  <c r="B55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C54" i="2"/>
  <c r="B54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C53" i="2"/>
  <c r="B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C52" i="2"/>
  <c r="B52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C51" i="2"/>
  <c r="B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C50" i="2"/>
  <c r="B50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C49" i="2"/>
  <c r="B49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C48" i="2"/>
  <c r="B48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C47" i="2"/>
  <c r="B47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C46" i="2"/>
  <c r="B46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C45" i="2"/>
  <c r="B45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C44" i="2"/>
  <c r="B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C42" i="2"/>
  <c r="B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C41" i="2"/>
  <c r="B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C40" i="2"/>
  <c r="B40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C39" i="2"/>
  <c r="B39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C38" i="2"/>
  <c r="B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C37" i="2"/>
  <c r="B37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C36" i="2"/>
  <c r="B36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C35" i="2"/>
  <c r="B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34" i="2"/>
  <c r="B34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32" i="2"/>
  <c r="B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31" i="2"/>
  <c r="B31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29" i="2"/>
  <c r="B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28" i="2"/>
  <c r="B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C26" i="2"/>
  <c r="B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C25" i="2"/>
  <c r="B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C24" i="2"/>
  <c r="B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C23" i="2"/>
  <c r="B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C22" i="2"/>
  <c r="B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C21" i="2"/>
  <c r="B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C20" i="2"/>
  <c r="B20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C19" i="2"/>
  <c r="B19" i="2"/>
  <c r="R18" i="2"/>
  <c r="Q18" i="2"/>
  <c r="P18" i="2"/>
  <c r="O18" i="2"/>
  <c r="N18" i="2"/>
  <c r="M18" i="2"/>
  <c r="L18" i="2"/>
  <c r="K18" i="2"/>
  <c r="J18" i="2"/>
  <c r="I18" i="2"/>
  <c r="H18" i="2"/>
  <c r="G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C17" i="2"/>
  <c r="B17" i="2"/>
  <c r="P16" i="2"/>
  <c r="O16" i="2"/>
  <c r="N16" i="2"/>
  <c r="M16" i="2"/>
  <c r="L16" i="2"/>
  <c r="K16" i="2"/>
  <c r="J16" i="2"/>
  <c r="I16" i="2"/>
  <c r="H16" i="2"/>
  <c r="G16" i="2"/>
  <c r="C16" i="2"/>
  <c r="B16" i="2"/>
  <c r="O15" i="2"/>
  <c r="N15" i="2"/>
  <c r="M15" i="2"/>
  <c r="L15" i="2"/>
  <c r="K15" i="2"/>
  <c r="J15" i="2"/>
  <c r="I15" i="2"/>
  <c r="H15" i="2"/>
  <c r="G15" i="2"/>
  <c r="C15" i="2"/>
  <c r="B15" i="2"/>
  <c r="N14" i="2"/>
  <c r="M14" i="2"/>
  <c r="L14" i="2"/>
  <c r="K14" i="2"/>
  <c r="J14" i="2"/>
  <c r="I14" i="2"/>
  <c r="H14" i="2"/>
  <c r="G14" i="2"/>
  <c r="C14" i="2"/>
  <c r="B14" i="2"/>
  <c r="M13" i="2"/>
  <c r="L13" i="2"/>
  <c r="K13" i="2"/>
  <c r="J13" i="2"/>
  <c r="I13" i="2"/>
  <c r="H13" i="2"/>
  <c r="G13" i="2"/>
  <c r="C13" i="2"/>
  <c r="B13" i="2"/>
  <c r="L12" i="2"/>
  <c r="K12" i="2"/>
  <c r="J12" i="2"/>
  <c r="I12" i="2"/>
  <c r="H12" i="2"/>
  <c r="C12" i="2"/>
  <c r="B12" i="2"/>
  <c r="K11" i="2"/>
  <c r="J11" i="2"/>
  <c r="I11" i="2"/>
  <c r="H11" i="2"/>
  <c r="C11" i="2"/>
  <c r="B11" i="2"/>
  <c r="C10" i="2"/>
  <c r="B10" i="2"/>
  <c r="C9" i="2"/>
  <c r="B9" i="2"/>
  <c r="BP66" i="2"/>
  <c r="BO66" i="2"/>
  <c r="E66" i="2"/>
  <c r="D66" i="2"/>
  <c r="BO65" i="2"/>
  <c r="BN65" i="2"/>
  <c r="E65" i="2"/>
  <c r="D65" i="2"/>
  <c r="BN64" i="2"/>
  <c r="BM64" i="2"/>
  <c r="E64" i="2"/>
  <c r="D64" i="2"/>
  <c r="BM63" i="2"/>
  <c r="BL63" i="2"/>
  <c r="E63" i="2"/>
  <c r="D63" i="2"/>
  <c r="BL62" i="2"/>
  <c r="BK62" i="2"/>
  <c r="E62" i="2"/>
  <c r="D62" i="2"/>
  <c r="BK61" i="2"/>
  <c r="BJ61" i="2"/>
  <c r="E61" i="2"/>
  <c r="D61" i="2"/>
  <c r="BJ60" i="2"/>
  <c r="BI60" i="2"/>
  <c r="E60" i="2"/>
  <c r="D60" i="2"/>
  <c r="BI59" i="2"/>
  <c r="BH59" i="2"/>
  <c r="E59" i="2"/>
  <c r="D59" i="2"/>
  <c r="BH58" i="2"/>
  <c r="BG58" i="2"/>
  <c r="E58" i="2"/>
  <c r="D58" i="2"/>
  <c r="BG57" i="2"/>
  <c r="BF57" i="2"/>
  <c r="E57" i="2"/>
  <c r="D57" i="2"/>
  <c r="BF56" i="2"/>
  <c r="BE56" i="2"/>
  <c r="E56" i="2"/>
  <c r="D56" i="2"/>
  <c r="BE55" i="2"/>
  <c r="BD55" i="2"/>
  <c r="E55" i="2"/>
  <c r="D55" i="2"/>
  <c r="BD54" i="2"/>
  <c r="BC54" i="2"/>
  <c r="E54" i="2"/>
  <c r="D54" i="2"/>
  <c r="BC53" i="2"/>
  <c r="BB53" i="2"/>
  <c r="E53" i="2"/>
  <c r="D53" i="2"/>
  <c r="BB52" i="2"/>
  <c r="BA52" i="2"/>
  <c r="E52" i="2"/>
  <c r="D52" i="2"/>
  <c r="BA51" i="2"/>
  <c r="AZ51" i="2"/>
  <c r="E51" i="2"/>
  <c r="D51" i="2"/>
  <c r="AZ50" i="2"/>
  <c r="AY50" i="2"/>
  <c r="E50" i="2"/>
  <c r="D50" i="2"/>
  <c r="AY49" i="2"/>
  <c r="AX49" i="2"/>
  <c r="E49" i="2"/>
  <c r="D49" i="2"/>
  <c r="AX48" i="2"/>
  <c r="AW48" i="2"/>
  <c r="E48" i="2"/>
  <c r="D48" i="2"/>
  <c r="AW47" i="2"/>
  <c r="AV47" i="2"/>
  <c r="E47" i="2"/>
  <c r="D47" i="2"/>
  <c r="AV46" i="2"/>
  <c r="AU46" i="2"/>
  <c r="E46" i="2"/>
  <c r="D46" i="2"/>
  <c r="AU45" i="2"/>
  <c r="AT45" i="2"/>
  <c r="E45" i="2"/>
  <c r="D45" i="2"/>
  <c r="AT44" i="2"/>
  <c r="AS44" i="2"/>
  <c r="E44" i="2"/>
  <c r="D44" i="2"/>
  <c r="AS43" i="2"/>
  <c r="AR43" i="2"/>
  <c r="E43" i="2"/>
  <c r="D43" i="2"/>
  <c r="AR42" i="2"/>
  <c r="AQ42" i="2"/>
  <c r="E42" i="2"/>
  <c r="D42" i="2"/>
  <c r="AQ41" i="2"/>
  <c r="AP41" i="2"/>
  <c r="E41" i="2"/>
  <c r="D41" i="2"/>
  <c r="AP40" i="2"/>
  <c r="AO40" i="2"/>
  <c r="E40" i="2"/>
  <c r="D40" i="2"/>
  <c r="AO39" i="2"/>
  <c r="AN39" i="2"/>
  <c r="E39" i="2"/>
  <c r="D39" i="2"/>
  <c r="AN38" i="2"/>
  <c r="AM38" i="2"/>
  <c r="E38" i="2"/>
  <c r="D38" i="2"/>
  <c r="AM37" i="2"/>
  <c r="AL37" i="2"/>
  <c r="E37" i="2"/>
  <c r="D37" i="2"/>
  <c r="AL36" i="2"/>
  <c r="AK36" i="2"/>
  <c r="E36" i="2"/>
  <c r="D36" i="2"/>
  <c r="AK35" i="2"/>
  <c r="AJ35" i="2"/>
  <c r="E35" i="2"/>
  <c r="D35" i="2"/>
  <c r="AJ34" i="2"/>
  <c r="AI34" i="2"/>
  <c r="E34" i="2"/>
  <c r="D34" i="2"/>
  <c r="AI33" i="2"/>
  <c r="AH33" i="2"/>
  <c r="E33" i="2"/>
  <c r="D33" i="2"/>
  <c r="AH32" i="2"/>
  <c r="AG32" i="2"/>
  <c r="E32" i="2"/>
  <c r="D32" i="2"/>
  <c r="AG31" i="2"/>
  <c r="AF31" i="2"/>
  <c r="E31" i="2"/>
  <c r="D31" i="2"/>
  <c r="AF30" i="2"/>
  <c r="AE30" i="2"/>
  <c r="E30" i="2"/>
  <c r="D30" i="2"/>
  <c r="AE29" i="2"/>
  <c r="AD29" i="2"/>
  <c r="E29" i="2"/>
  <c r="D29" i="2"/>
  <c r="AD28" i="2"/>
  <c r="AC28" i="2"/>
  <c r="E28" i="2"/>
  <c r="D28" i="2"/>
  <c r="AC27" i="2"/>
  <c r="AB27" i="2"/>
  <c r="E27" i="2"/>
  <c r="D27" i="2"/>
  <c r="AB26" i="2"/>
  <c r="AA26" i="2"/>
  <c r="E26" i="2"/>
  <c r="D26" i="2"/>
  <c r="AA25" i="2"/>
  <c r="Z25" i="2"/>
  <c r="F25" i="2"/>
  <c r="E25" i="2"/>
  <c r="D25" i="2"/>
  <c r="Z24" i="2"/>
  <c r="Y24" i="2"/>
  <c r="F24" i="2"/>
  <c r="E24" i="2"/>
  <c r="D24" i="2"/>
  <c r="Y23" i="2"/>
  <c r="X23" i="2"/>
  <c r="F23" i="2"/>
  <c r="E23" i="2"/>
  <c r="D23" i="2"/>
  <c r="X22" i="2"/>
  <c r="W22" i="2"/>
  <c r="F22" i="2"/>
  <c r="E22" i="2"/>
  <c r="D22" i="2"/>
  <c r="W21" i="2"/>
  <c r="V21" i="2"/>
  <c r="F21" i="2"/>
  <c r="E21" i="2"/>
  <c r="D21" i="2"/>
  <c r="V20" i="2"/>
  <c r="U20" i="2"/>
  <c r="F20" i="2"/>
  <c r="E20" i="2"/>
  <c r="D20" i="2"/>
  <c r="U19" i="2"/>
  <c r="T19" i="2"/>
  <c r="F19" i="2"/>
  <c r="E19" i="2"/>
  <c r="D19" i="2"/>
  <c r="T18" i="2"/>
  <c r="S18" i="2"/>
  <c r="F18" i="2"/>
  <c r="E18" i="2"/>
  <c r="D18" i="2"/>
  <c r="S17" i="2"/>
  <c r="R17" i="2"/>
  <c r="F17" i="2"/>
  <c r="E17" i="2"/>
  <c r="D17" i="2"/>
  <c r="R16" i="2"/>
  <c r="Q16" i="2"/>
  <c r="F16" i="2"/>
  <c r="E16" i="2"/>
  <c r="D16" i="2"/>
  <c r="Q15" i="2"/>
  <c r="P15" i="2"/>
  <c r="F15" i="2"/>
  <c r="E15" i="2"/>
  <c r="D15" i="2"/>
  <c r="P14" i="2"/>
  <c r="O14" i="2"/>
  <c r="F14" i="2"/>
  <c r="E14" i="2"/>
  <c r="D14" i="2"/>
  <c r="O13" i="2"/>
  <c r="N13" i="2"/>
  <c r="F13" i="2"/>
  <c r="E13" i="2"/>
  <c r="D13" i="2"/>
  <c r="N12" i="2"/>
  <c r="M12" i="2"/>
  <c r="G12" i="2"/>
  <c r="F12" i="2"/>
  <c r="E12" i="2"/>
  <c r="D12" i="2"/>
  <c r="M11" i="2"/>
  <c r="L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J8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G5" i="2"/>
  <c r="F5" i="2"/>
  <c r="E5" i="2"/>
  <c r="D5" i="2"/>
  <c r="C5" i="2"/>
  <c r="B5" i="2"/>
  <c r="F4" i="2"/>
  <c r="E4" i="2"/>
  <c r="D4" i="2"/>
  <c r="C4" i="2"/>
  <c r="B4" i="2"/>
  <c r="E3" i="2"/>
  <c r="D3" i="2"/>
  <c r="C3" i="2"/>
  <c r="B3" i="2"/>
  <c r="B3" i="1" l="1"/>
  <c r="C3" i="1"/>
  <c r="D3" i="1"/>
  <c r="E3" i="1"/>
  <c r="B4" i="1"/>
  <c r="C4" i="1"/>
  <c r="D4" i="1"/>
  <c r="E4" i="1"/>
  <c r="F4" i="1"/>
  <c r="B5" i="1"/>
  <c r="C5" i="1"/>
  <c r="D5" i="1"/>
  <c r="E5" i="1"/>
  <c r="F5" i="1"/>
  <c r="G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71" i="1"/>
</calcChain>
</file>

<file path=xl/sharedStrings.xml><?xml version="1.0" encoding="utf-8"?>
<sst xmlns="http://schemas.openxmlformats.org/spreadsheetml/2006/main" count="18" uniqueCount="9">
  <si>
    <t>Ways to place walls</t>
  </si>
  <si>
    <t>Walls</t>
  </si>
  <si>
    <t>0-20 Walls</t>
  </si>
  <si>
    <t>Total</t>
  </si>
  <si>
    <t>Ways to place any number of walls =</t>
  </si>
  <si>
    <t>3^64 =</t>
  </si>
  <si>
    <t>Ways to place 0 to 20 walls =</t>
  </si>
  <si>
    <t>Intersections</t>
  </si>
  <si>
    <t>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</si>
</sst>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1"/>
  <sheetViews>
    <sheetView tabSelected="1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B71" sqref="B71"/>
    </sheetView>
  </sheetViews>
  <sheetFormatPr defaultRowHeight="14.4" x14ac:dyDescent="0.3"/>
  <cols>
    <col min="1" max="1" width="11.77734375" bestFit="1" customWidth="1"/>
    <col min="2" max="2" width="27.5546875" bestFit="1" customWidth="1"/>
    <col min="3" max="3" width="38.6640625" bestFit="1" customWidth="1"/>
    <col min="9" max="9" width="11.109375" bestFit="1" customWidth="1"/>
    <col min="10" max="10" width="12.6640625" bestFit="1" customWidth="1"/>
    <col min="11" max="11" width="13.88671875" bestFit="1" customWidth="1"/>
    <col min="12" max="12" width="14.88671875" bestFit="1" customWidth="1"/>
    <col min="13" max="13" width="16.44140625" bestFit="1" customWidth="1"/>
    <col min="14" max="14" width="17.5546875" bestFit="1" customWidth="1"/>
    <col min="15" max="15" width="18.5546875" bestFit="1" customWidth="1"/>
    <col min="16" max="16" width="20.109375" bestFit="1" customWidth="1"/>
    <col min="17" max="17" width="21.109375" bestFit="1" customWidth="1"/>
    <col min="18" max="18" width="22.33203125" bestFit="1" customWidth="1"/>
    <col min="19" max="20" width="23.88671875" bestFit="1" customWidth="1"/>
    <col min="21" max="22" width="24.88671875" bestFit="1" customWidth="1"/>
    <col min="23" max="24" width="26" bestFit="1" customWidth="1"/>
    <col min="25" max="26" width="27.5546875" bestFit="1" customWidth="1"/>
    <col min="27" max="29" width="28.5546875" bestFit="1" customWidth="1"/>
    <col min="30" max="35" width="29.6640625" bestFit="1" customWidth="1"/>
    <col min="36" max="37" width="31.33203125" bestFit="1" customWidth="1"/>
    <col min="38" max="43" width="29.6640625" bestFit="1" customWidth="1"/>
    <col min="44" max="46" width="28.5546875" bestFit="1" customWidth="1"/>
    <col min="47" max="48" width="27.5546875" bestFit="1" customWidth="1"/>
    <col min="49" max="49" width="26" bestFit="1" customWidth="1"/>
    <col min="50" max="51" width="24.88671875" bestFit="1" customWidth="1"/>
    <col min="52" max="52" width="23.88671875" bestFit="1" customWidth="1"/>
    <col min="53" max="53" width="22.33203125" bestFit="1" customWidth="1"/>
    <col min="54" max="55" width="21.109375" bestFit="1" customWidth="1"/>
    <col min="56" max="56" width="20.109375" bestFit="1" customWidth="1"/>
    <col min="57" max="57" width="18.5546875" bestFit="1" customWidth="1"/>
    <col min="58" max="58" width="17.5546875" bestFit="1" customWidth="1"/>
    <col min="59" max="59" width="16.44140625" bestFit="1" customWidth="1"/>
    <col min="60" max="60" width="14.88671875" bestFit="1" customWidth="1"/>
    <col min="61" max="61" width="13.88671875" bestFit="1" customWidth="1"/>
    <col min="62" max="62" width="12.6640625" bestFit="1" customWidth="1"/>
    <col min="63" max="63" width="10.109375" bestFit="1" customWidth="1"/>
    <col min="65" max="65" width="9.33203125" customWidth="1"/>
  </cols>
  <sheetData>
    <row r="1" spans="1:68" x14ac:dyDescent="0.3">
      <c r="A1" s="1" t="s">
        <v>7</v>
      </c>
      <c r="B1" s="1" t="s">
        <v>0</v>
      </c>
      <c r="D1" s="1" t="s">
        <v>1</v>
      </c>
    </row>
    <row r="2" spans="1:68" x14ac:dyDescent="0.3">
      <c r="A2" s="1" t="s">
        <v>8</v>
      </c>
      <c r="B2" s="1" t="s">
        <v>2</v>
      </c>
      <c r="C2" s="1" t="s">
        <v>3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</row>
    <row r="3" spans="1:68" x14ac:dyDescent="0.3">
      <c r="A3">
        <v>1</v>
      </c>
      <c r="B3" t="str">
        <f>"3"</f>
        <v>3</v>
      </c>
      <c r="C3" t="str">
        <f>"3"</f>
        <v>3</v>
      </c>
      <c r="D3" t="str">
        <f t="shared" ref="D3:D34" si="0">"1"</f>
        <v>1</v>
      </c>
      <c r="E3" t="str">
        <f>"2"</f>
        <v>2</v>
      </c>
    </row>
    <row r="4" spans="1:68" x14ac:dyDescent="0.3">
      <c r="A4">
        <v>2</v>
      </c>
      <c r="B4" t="str">
        <f>"8"</f>
        <v>8</v>
      </c>
      <c r="C4" t="str">
        <f>"8"</f>
        <v>8</v>
      </c>
      <c r="D4" t="str">
        <f t="shared" si="0"/>
        <v>1</v>
      </c>
      <c r="E4" t="str">
        <f>"4"</f>
        <v>4</v>
      </c>
      <c r="F4" t="str">
        <f>"3"</f>
        <v>3</v>
      </c>
    </row>
    <row r="5" spans="1:68" x14ac:dyDescent="0.3">
      <c r="A5">
        <v>3</v>
      </c>
      <c r="B5" t="str">
        <f>"22"</f>
        <v>22</v>
      </c>
      <c r="C5" t="str">
        <f>"22"</f>
        <v>22</v>
      </c>
      <c r="D5" t="str">
        <f t="shared" si="0"/>
        <v>1</v>
      </c>
      <c r="E5" t="str">
        <f>"6"</f>
        <v>6</v>
      </c>
      <c r="F5" t="str">
        <f>"10"</f>
        <v>10</v>
      </c>
      <c r="G5" t="str">
        <f>"5"</f>
        <v>5</v>
      </c>
    </row>
    <row r="6" spans="1:68" x14ac:dyDescent="0.3">
      <c r="A6">
        <v>4</v>
      </c>
      <c r="B6" t="str">
        <f>"60"</f>
        <v>60</v>
      </c>
      <c r="C6" t="str">
        <f>"60"</f>
        <v>60</v>
      </c>
      <c r="D6" t="str">
        <f t="shared" si="0"/>
        <v>1</v>
      </c>
      <c r="E6" t="str">
        <f>"8"</f>
        <v>8</v>
      </c>
      <c r="F6" t="str">
        <f>"21"</f>
        <v>21</v>
      </c>
      <c r="G6" t="str">
        <f>"22"</f>
        <v>22</v>
      </c>
      <c r="H6" t="str">
        <f>"8"</f>
        <v>8</v>
      </c>
    </row>
    <row r="7" spans="1:68" x14ac:dyDescent="0.3">
      <c r="A7">
        <v>5</v>
      </c>
      <c r="B7" t="str">
        <f>"164"</f>
        <v>164</v>
      </c>
      <c r="C7" t="str">
        <f>"164"</f>
        <v>164</v>
      </c>
      <c r="D7" t="str">
        <f t="shared" si="0"/>
        <v>1</v>
      </c>
      <c r="E7" t="str">
        <f>"10"</f>
        <v>10</v>
      </c>
      <c r="F7" t="str">
        <f>"36"</f>
        <v>36</v>
      </c>
      <c r="G7" t="str">
        <f>"59"</f>
        <v>59</v>
      </c>
      <c r="H7" t="str">
        <f>"45"</f>
        <v>45</v>
      </c>
      <c r="I7" t="str">
        <f>"13"</f>
        <v>13</v>
      </c>
    </row>
    <row r="8" spans="1:68" x14ac:dyDescent="0.3">
      <c r="A8">
        <v>6</v>
      </c>
      <c r="B8" t="str">
        <f>"448"</f>
        <v>448</v>
      </c>
      <c r="C8" t="str">
        <f>"448"</f>
        <v>448</v>
      </c>
      <c r="D8" t="str">
        <f t="shared" si="0"/>
        <v>1</v>
      </c>
      <c r="E8" t="str">
        <f>"12"</f>
        <v>12</v>
      </c>
      <c r="F8" t="str">
        <f>"55"</f>
        <v>55</v>
      </c>
      <c r="G8" t="str">
        <f>"124"</f>
        <v>124</v>
      </c>
      <c r="H8" t="str">
        <f>"147"</f>
        <v>147</v>
      </c>
      <c r="I8" t="str">
        <f>"88"</f>
        <v>88</v>
      </c>
      <c r="J8" t="str">
        <f>"21"</f>
        <v>21</v>
      </c>
    </row>
    <row r="9" spans="1:68" x14ac:dyDescent="0.3">
      <c r="A9">
        <v>7</v>
      </c>
      <c r="B9" t="str">
        <f>"1,224"</f>
        <v>1,224</v>
      </c>
      <c r="C9" t="str">
        <f>"1,224"</f>
        <v>1,224</v>
      </c>
      <c r="D9" t="str">
        <f t="shared" si="0"/>
        <v>1</v>
      </c>
      <c r="E9" t="str">
        <f>"14"</f>
        <v>14</v>
      </c>
      <c r="F9" t="str">
        <f>"78"</f>
        <v>78</v>
      </c>
      <c r="G9" t="str">
        <f>"225"</f>
        <v>225</v>
      </c>
      <c r="H9" t="str">
        <f>"366"</f>
        <v>366</v>
      </c>
      <c r="I9" t="str">
        <f>"339"</f>
        <v>339</v>
      </c>
      <c r="J9" t="str">
        <f>"167"</f>
        <v>167</v>
      </c>
      <c r="K9" t="str">
        <f>"34"</f>
        <v>34</v>
      </c>
    </row>
    <row r="10" spans="1:68" x14ac:dyDescent="0.3">
      <c r="A10">
        <v>8</v>
      </c>
      <c r="B10" t="str">
        <f>"3,344"</f>
        <v>3,344</v>
      </c>
      <c r="C10" t="str">
        <f>"3,344"</f>
        <v>3,344</v>
      </c>
      <c r="D10" t="str">
        <f t="shared" si="0"/>
        <v>1</v>
      </c>
      <c r="E10" t="str">
        <f>"16"</f>
        <v>16</v>
      </c>
      <c r="F10" t="str">
        <f>"105"</f>
        <v>105</v>
      </c>
      <c r="G10" t="str">
        <f>"370"</f>
        <v>370</v>
      </c>
      <c r="H10" t="str">
        <f>"770"</f>
        <v>770</v>
      </c>
      <c r="I10" t="str">
        <f>"976"</f>
        <v>976</v>
      </c>
      <c r="J10" t="str">
        <f>"741"</f>
        <v>741</v>
      </c>
      <c r="K10" t="str">
        <f>"310"</f>
        <v>310</v>
      </c>
      <c r="L10" t="str">
        <f>"55"</f>
        <v>55</v>
      </c>
    </row>
    <row r="11" spans="1:68" x14ac:dyDescent="0.3">
      <c r="A11">
        <v>9</v>
      </c>
      <c r="B11" t="str">
        <f>"8,808"</f>
        <v>8,808</v>
      </c>
      <c r="C11" t="str">
        <f>"8,808"</f>
        <v>8,808</v>
      </c>
      <c r="D11" t="str">
        <f t="shared" si="0"/>
        <v>1</v>
      </c>
      <c r="E11" t="str">
        <f>"18"</f>
        <v>18</v>
      </c>
      <c r="F11" t="str">
        <f>"136"</f>
        <v>136</v>
      </c>
      <c r="G11" t="str">
        <f>"566"</f>
        <v>566</v>
      </c>
      <c r="H11" t="str">
        <f>"1,432"</f>
        <v>1,432</v>
      </c>
      <c r="I11" t="str">
        <f>"2,291"</f>
        <v>2,291</v>
      </c>
      <c r="J11" t="str">
        <f>"2,327"</f>
        <v>2,327</v>
      </c>
      <c r="K11" t="str">
        <f>"1,453"</f>
        <v>1,453</v>
      </c>
      <c r="L11" t="str">
        <f>"508"</f>
        <v>508</v>
      </c>
      <c r="M11" t="str">
        <f>"76"</f>
        <v>76</v>
      </c>
    </row>
    <row r="12" spans="1:68" x14ac:dyDescent="0.3">
      <c r="A12">
        <v>10</v>
      </c>
      <c r="B12" t="str">
        <f>"19,496"</f>
        <v>19,496</v>
      </c>
      <c r="C12" t="str">
        <f>"19,496"</f>
        <v>19,496</v>
      </c>
      <c r="D12" t="str">
        <f t="shared" si="0"/>
        <v>1</v>
      </c>
      <c r="E12" t="str">
        <f>"20"</f>
        <v>20</v>
      </c>
      <c r="F12" t="str">
        <f>"170"</f>
        <v>170</v>
      </c>
      <c r="G12" t="str">
        <f>"806"</f>
        <v>806</v>
      </c>
      <c r="H12" t="str">
        <f>"2,353"</f>
        <v>2,353</v>
      </c>
      <c r="I12" t="str">
        <f>"4,405"</f>
        <v>4,405</v>
      </c>
      <c r="J12" t="str">
        <f>"5,331"</f>
        <v>5,331</v>
      </c>
      <c r="K12" t="str">
        <f>"4,083"</f>
        <v>4,083</v>
      </c>
      <c r="L12" t="str">
        <f>"1,859"</f>
        <v>1,859</v>
      </c>
      <c r="M12" t="str">
        <f>"434"</f>
        <v>434</v>
      </c>
      <c r="N12" t="str">
        <f>"34"</f>
        <v>34</v>
      </c>
    </row>
    <row r="13" spans="1:68" x14ac:dyDescent="0.3">
      <c r="A13">
        <v>11</v>
      </c>
      <c r="B13" t="str">
        <f>"45,316"</f>
        <v>45,316</v>
      </c>
      <c r="C13" t="str">
        <f>"45,316"</f>
        <v>45,316</v>
      </c>
      <c r="D13" t="str">
        <f t="shared" si="0"/>
        <v>1</v>
      </c>
      <c r="E13" t="str">
        <f>"22"</f>
        <v>22</v>
      </c>
      <c r="F13" t="str">
        <f>"208"</f>
        <v>208</v>
      </c>
      <c r="G13" t="str">
        <f>"1,111"</f>
        <v>1,111</v>
      </c>
      <c r="H13" t="str">
        <f>"3,709"</f>
        <v>3,709</v>
      </c>
      <c r="I13" t="str">
        <f>"8,087"</f>
        <v>8,087</v>
      </c>
      <c r="J13" t="str">
        <f>"11,680"</f>
        <v>11,680</v>
      </c>
      <c r="K13" t="str">
        <f>"11,075"</f>
        <v>11,075</v>
      </c>
      <c r="L13" t="str">
        <f>"6,654"</f>
        <v>6,654</v>
      </c>
      <c r="M13" t="str">
        <f>"2,342"</f>
        <v>2,342</v>
      </c>
      <c r="N13" t="str">
        <f>"406"</f>
        <v>406</v>
      </c>
      <c r="O13" t="str">
        <f>"21"</f>
        <v>21</v>
      </c>
    </row>
    <row r="14" spans="1:68" x14ac:dyDescent="0.3">
      <c r="A14">
        <v>12</v>
      </c>
      <c r="B14" t="str">
        <f>"103,856"</f>
        <v>103,856</v>
      </c>
      <c r="C14" t="str">
        <f>"103,856"</f>
        <v>103,856</v>
      </c>
      <c r="D14" t="str">
        <f t="shared" si="0"/>
        <v>1</v>
      </c>
      <c r="E14" t="str">
        <f>"24"</f>
        <v>24</v>
      </c>
      <c r="F14" t="str">
        <f>"250"</f>
        <v>250</v>
      </c>
      <c r="G14" t="str">
        <f>"1,488"</f>
        <v>1,488</v>
      </c>
      <c r="H14" t="str">
        <f>"5,608"</f>
        <v>5,608</v>
      </c>
      <c r="I14" t="str">
        <f>"14,015"</f>
        <v>14,015</v>
      </c>
      <c r="J14" t="str">
        <f>"23,634"</f>
        <v>23,634</v>
      </c>
      <c r="K14" t="str">
        <f>"26,812"</f>
        <v>26,812</v>
      </c>
      <c r="L14" t="str">
        <f>"19,985"</f>
        <v>19,985</v>
      </c>
      <c r="M14" t="str">
        <f>"9,292"</f>
        <v>9,292</v>
      </c>
      <c r="N14" t="str">
        <f>"2,437"</f>
        <v>2,437</v>
      </c>
      <c r="O14" t="str">
        <f>"297"</f>
        <v>297</v>
      </c>
      <c r="P14" t="str">
        <f>"13"</f>
        <v>13</v>
      </c>
    </row>
    <row r="15" spans="1:68" x14ac:dyDescent="0.3">
      <c r="A15">
        <v>13</v>
      </c>
      <c r="B15" t="str">
        <f>"238,924"</f>
        <v>238,924</v>
      </c>
      <c r="C15" t="str">
        <f>"238,924"</f>
        <v>238,924</v>
      </c>
      <c r="D15" t="str">
        <f t="shared" si="0"/>
        <v>1</v>
      </c>
      <c r="E15" t="str">
        <f>"26"</f>
        <v>26</v>
      </c>
      <c r="F15" t="str">
        <f>"296"</f>
        <v>296</v>
      </c>
      <c r="G15" t="str">
        <f>"1,945"</f>
        <v>1,945</v>
      </c>
      <c r="H15" t="str">
        <f>"8,187"</f>
        <v>8,187</v>
      </c>
      <c r="I15" t="str">
        <f>"23,164"</f>
        <v>23,164</v>
      </c>
      <c r="J15" t="str">
        <f>"44,962"</f>
        <v>44,962</v>
      </c>
      <c r="K15" t="str">
        <f>"59,981"</f>
        <v>59,981</v>
      </c>
      <c r="L15" t="str">
        <f>"54,182"</f>
        <v>54,182</v>
      </c>
      <c r="M15" t="str">
        <f>"32,014"</f>
        <v>32,014</v>
      </c>
      <c r="N15" t="str">
        <f>"11,617"</f>
        <v>11,617</v>
      </c>
      <c r="O15" t="str">
        <f>"2,324"</f>
        <v>2,324</v>
      </c>
      <c r="P15" t="str">
        <f>"217"</f>
        <v>217</v>
      </c>
      <c r="Q15" t="str">
        <f>"8"</f>
        <v>8</v>
      </c>
    </row>
    <row r="16" spans="1:68" x14ac:dyDescent="0.3">
      <c r="A16">
        <v>14</v>
      </c>
      <c r="B16" t="str">
        <f>"549,584"</f>
        <v>549,584</v>
      </c>
      <c r="C16" t="str">
        <f>"549,584"</f>
        <v>549,584</v>
      </c>
      <c r="D16" t="str">
        <f t="shared" si="0"/>
        <v>1</v>
      </c>
      <c r="E16" t="str">
        <f>"28"</f>
        <v>28</v>
      </c>
      <c r="F16" t="str">
        <f>"346"</f>
        <v>346</v>
      </c>
      <c r="G16" t="str">
        <f>"2,490"</f>
        <v>2,490</v>
      </c>
      <c r="H16" t="str">
        <f>"11,598"</f>
        <v>11,598</v>
      </c>
      <c r="I16" t="str">
        <f>"36,753"</f>
        <v>36,753</v>
      </c>
      <c r="J16" t="str">
        <f>"81,067"</f>
        <v>81,067</v>
      </c>
      <c r="K16" t="str">
        <f>"125,149"</f>
        <v>125,149</v>
      </c>
      <c r="L16" t="str">
        <f>"134,030"</f>
        <v>134,030</v>
      </c>
      <c r="M16" t="str">
        <f>"97,217"</f>
        <v>97,217</v>
      </c>
      <c r="N16" t="str">
        <f>"45,728"</f>
        <v>45,728</v>
      </c>
      <c r="O16" t="str">
        <f>"12,998"</f>
        <v>12,998</v>
      </c>
      <c r="P16" t="str">
        <f>"2,017"</f>
        <v>2,017</v>
      </c>
      <c r="Q16" t="str">
        <f>"157"</f>
        <v>157</v>
      </c>
      <c r="R16" t="str">
        <f>"5"</f>
        <v>5</v>
      </c>
    </row>
    <row r="17" spans="1:34" x14ac:dyDescent="0.3">
      <c r="A17">
        <v>15</v>
      </c>
      <c r="B17" t="str">
        <f>"1,259,653"</f>
        <v>1,259,653</v>
      </c>
      <c r="C17" t="str">
        <f>"1,259,653"</f>
        <v>1,259,653</v>
      </c>
      <c r="D17" t="str">
        <f t="shared" si="0"/>
        <v>1</v>
      </c>
      <c r="E17" t="str">
        <f>"30"</f>
        <v>30</v>
      </c>
      <c r="F17" t="str">
        <f>"400"</f>
        <v>400</v>
      </c>
      <c r="G17" t="str">
        <f>"3,131"</f>
        <v>3,131</v>
      </c>
      <c r="H17" t="str">
        <f>"16,009"</f>
        <v>16,009</v>
      </c>
      <c r="I17" t="str">
        <f>"56,289"</f>
        <v>56,289</v>
      </c>
      <c r="J17" t="str">
        <f>"139,519"</f>
        <v>139,519</v>
      </c>
      <c r="K17" t="str">
        <f>"245,789"</f>
        <v>245,789</v>
      </c>
      <c r="L17" t="str">
        <f>"306,274"</f>
        <v>306,274</v>
      </c>
      <c r="M17" t="str">
        <f>"265,251"</f>
        <v>265,251</v>
      </c>
      <c r="N17" t="str">
        <f>"154,621"</f>
        <v>154,621</v>
      </c>
      <c r="O17" t="str">
        <f>"57,720"</f>
        <v>57,720</v>
      </c>
      <c r="P17" t="str">
        <f>"12,896"</f>
        <v>12,896</v>
      </c>
      <c r="Q17" t="str">
        <f>"1,613"</f>
        <v>1,613</v>
      </c>
      <c r="R17" t="str">
        <f>"107"</f>
        <v>107</v>
      </c>
      <c r="S17" t="str">
        <f>"3"</f>
        <v>3</v>
      </c>
    </row>
    <row r="18" spans="1:34" x14ac:dyDescent="0.3">
      <c r="A18">
        <v>16</v>
      </c>
      <c r="B18" t="str">
        <f>"2,929,319"</f>
        <v>2,929,319</v>
      </c>
      <c r="C18" t="str">
        <f>"2,929,319"</f>
        <v>2,929,319</v>
      </c>
      <c r="D18" t="str">
        <f t="shared" si="0"/>
        <v>1</v>
      </c>
      <c r="E18" t="str">
        <f>"32"</f>
        <v>32</v>
      </c>
      <c r="F18" t="str">
        <f>"458"</f>
        <v>458</v>
      </c>
      <c r="G18" t="str">
        <f>"3,876"</f>
        <v>3,876</v>
      </c>
      <c r="H18" t="str">
        <f>"21,605"</f>
        <v>21,605</v>
      </c>
      <c r="I18" t="str">
        <f>"83,624"</f>
        <v>83,624</v>
      </c>
      <c r="J18" t="str">
        <f>"230,866"</f>
        <v>230,866</v>
      </c>
      <c r="K18" t="str">
        <f>"459,676"</f>
        <v>459,676</v>
      </c>
      <c r="L18" t="str">
        <f>"659,653"</f>
        <v>659,653</v>
      </c>
      <c r="M18" t="str">
        <f>"674,564"</f>
        <v>674,564</v>
      </c>
      <c r="N18" t="str">
        <f>"480,482"</f>
        <v>480,482</v>
      </c>
      <c r="O18" t="str">
        <f>"229,900"</f>
        <v>229,900</v>
      </c>
      <c r="P18" t="str">
        <f>"70,216"</f>
        <v>70,216</v>
      </c>
      <c r="Q18" t="str">
        <f>"12,908"</f>
        <v>12,908</v>
      </c>
      <c r="R18" t="str">
        <f>"1,376"</f>
        <v>1,376</v>
      </c>
      <c r="S18" t="str">
        <f>"80"</f>
        <v>80</v>
      </c>
      <c r="T18" t="str">
        <f>"2"</f>
        <v>2</v>
      </c>
    </row>
    <row r="19" spans="1:34" x14ac:dyDescent="0.3">
      <c r="A19">
        <v>17</v>
      </c>
      <c r="B19" t="str">
        <f>"7,994,712"</f>
        <v>7,994,712</v>
      </c>
      <c r="C19" t="str">
        <f>"7,994,712"</f>
        <v>7,994,712</v>
      </c>
      <c r="D19" t="str">
        <f t="shared" si="0"/>
        <v>1</v>
      </c>
      <c r="E19" t="str">
        <f>"34"</f>
        <v>34</v>
      </c>
      <c r="F19" t="str">
        <f>"521"</f>
        <v>521</v>
      </c>
      <c r="G19" t="str">
        <f>"4,763"</f>
        <v>4,763</v>
      </c>
      <c r="H19" t="str">
        <f>"28,985"</f>
        <v>28,985</v>
      </c>
      <c r="I19" t="str">
        <f>"124,048"</f>
        <v>124,048</v>
      </c>
      <c r="J19" t="str">
        <f>"384,571"</f>
        <v>384,571</v>
      </c>
      <c r="K19" t="str">
        <f>"876,468"</f>
        <v>876,468</v>
      </c>
      <c r="L19" t="str">
        <f>"1,474,772"</f>
        <v>1,474,772</v>
      </c>
      <c r="M19" t="str">
        <f>"1,823,727"</f>
        <v>1,823,727</v>
      </c>
      <c r="N19" t="str">
        <f>"1,635,392"</f>
        <v>1,635,392</v>
      </c>
      <c r="O19" t="str">
        <f>"1,038,766"</f>
        <v>1,038,766</v>
      </c>
      <c r="P19" t="str">
        <f>"450,947"</f>
        <v>450,947</v>
      </c>
      <c r="Q19" t="str">
        <f>"127,306"</f>
        <v>127,306</v>
      </c>
      <c r="R19" t="str">
        <f>"22,042"</f>
        <v>22,042</v>
      </c>
      <c r="S19" t="str">
        <f>"2,241"</f>
        <v>2,241</v>
      </c>
      <c r="T19" t="str">
        <f>"125"</f>
        <v>125</v>
      </c>
      <c r="U19" t="str">
        <f>"3"</f>
        <v>3</v>
      </c>
    </row>
    <row r="20" spans="1:34" x14ac:dyDescent="0.3">
      <c r="A20">
        <v>18</v>
      </c>
      <c r="B20" t="str">
        <f>"18,692,709"</f>
        <v>18,692,709</v>
      </c>
      <c r="C20" t="str">
        <f>"18,692,709"</f>
        <v>18,692,709</v>
      </c>
      <c r="D20" t="str">
        <f t="shared" si="0"/>
        <v>1</v>
      </c>
      <c r="E20" t="str">
        <f>"36"</f>
        <v>36</v>
      </c>
      <c r="F20" t="str">
        <f>"587"</f>
        <v>587</v>
      </c>
      <c r="G20" t="str">
        <f>"5,742"</f>
        <v>5,742</v>
      </c>
      <c r="H20" t="str">
        <f>"37,623"</f>
        <v>37,623</v>
      </c>
      <c r="I20" t="str">
        <f>"174,613"</f>
        <v>174,613</v>
      </c>
      <c r="J20" t="str">
        <f>"591,968"</f>
        <v>591,968</v>
      </c>
      <c r="K20" t="str">
        <f>"1,490,147"</f>
        <v>1,490,147</v>
      </c>
      <c r="L20" t="str">
        <f>"2,803,651"</f>
        <v>2,803,651</v>
      </c>
      <c r="M20" t="str">
        <f>"3,937,738"</f>
        <v>3,937,738</v>
      </c>
      <c r="N20" t="str">
        <f>"4,093,773"</f>
        <v>4,093,773</v>
      </c>
      <c r="O20" t="str">
        <f>"3,100,085"</f>
        <v>3,100,085</v>
      </c>
      <c r="P20" t="str">
        <f>"1,668,009"</f>
        <v>1,668,009</v>
      </c>
      <c r="Q20" t="str">
        <f>"615,572"</f>
        <v>615,572</v>
      </c>
      <c r="R20" t="str">
        <f>"148,753"</f>
        <v>148,753</v>
      </c>
      <c r="S20" t="str">
        <f>"22,324"</f>
        <v>22,324</v>
      </c>
      <c r="T20" t="str">
        <f>"1,988"</f>
        <v>1,988</v>
      </c>
      <c r="U20" t="str">
        <f>"97"</f>
        <v>97</v>
      </c>
      <c r="V20" t="str">
        <f>"2"</f>
        <v>2</v>
      </c>
    </row>
    <row r="21" spans="1:34" x14ac:dyDescent="0.3">
      <c r="A21">
        <v>19</v>
      </c>
      <c r="B21" t="str">
        <f>"45,630,767"</f>
        <v>45,630,767</v>
      </c>
      <c r="C21" t="str">
        <f>"45,630,767"</f>
        <v>45,630,767</v>
      </c>
      <c r="D21" t="str">
        <f t="shared" si="0"/>
        <v>1</v>
      </c>
      <c r="E21" t="str">
        <f>"38"</f>
        <v>38</v>
      </c>
      <c r="F21" t="str">
        <f>"657"</f>
        <v>657</v>
      </c>
      <c r="G21" t="str">
        <f>"6,850"</f>
        <v>6,850</v>
      </c>
      <c r="H21" t="str">
        <f>"48,128"</f>
        <v>48,128</v>
      </c>
      <c r="I21" t="str">
        <f>"241,223"</f>
        <v>241,223</v>
      </c>
      <c r="J21" t="str">
        <f>"890,678"</f>
        <v>890,678</v>
      </c>
      <c r="K21" t="str">
        <f>"2,467,210"</f>
        <v>2,467,210</v>
      </c>
      <c r="L21" t="str">
        <f>"5,173,483"</f>
        <v>5,173,483</v>
      </c>
      <c r="M21" t="str">
        <f>"8,228,707"</f>
        <v>8,228,707</v>
      </c>
      <c r="N21" t="str">
        <f>"9,887,713"</f>
        <v>9,887,713</v>
      </c>
      <c r="O21" t="str">
        <f>"8,885,844"</f>
        <v>8,885,844</v>
      </c>
      <c r="P21" t="str">
        <f>"5,872,769"</f>
        <v>5,872,769</v>
      </c>
      <c r="Q21" t="str">
        <f>"2,784,328"</f>
        <v>2,784,328</v>
      </c>
      <c r="R21" t="str">
        <f>"914,631"</f>
        <v>914,631</v>
      </c>
      <c r="S21" t="str">
        <f>"198,943"</f>
        <v>198,943</v>
      </c>
      <c r="T21" t="str">
        <f>"27,222"</f>
        <v>27,222</v>
      </c>
      <c r="U21" t="str">
        <f>"2,238"</f>
        <v>2,238</v>
      </c>
      <c r="V21" t="str">
        <f>"102"</f>
        <v>102</v>
      </c>
      <c r="W21" t="str">
        <f>"2"</f>
        <v>2</v>
      </c>
    </row>
    <row r="22" spans="1:34" x14ac:dyDescent="0.3">
      <c r="A22">
        <v>20</v>
      </c>
      <c r="B22" t="str">
        <f>"110,019,028"</f>
        <v>110,019,028</v>
      </c>
      <c r="C22" t="str">
        <f>"110,019,028"</f>
        <v>110,019,028</v>
      </c>
      <c r="D22" t="str">
        <f t="shared" si="0"/>
        <v>1</v>
      </c>
      <c r="E22" t="str">
        <f>"40"</f>
        <v>40</v>
      </c>
      <c r="F22" t="str">
        <f>"731"</f>
        <v>731</v>
      </c>
      <c r="G22" t="str">
        <f>"8,094"</f>
        <v>8,094</v>
      </c>
      <c r="H22" t="str">
        <f>"60,720"</f>
        <v>60,720</v>
      </c>
      <c r="I22" t="str">
        <f>"326,975"</f>
        <v>326,975</v>
      </c>
      <c r="J22" t="str">
        <f>"1,306,539"</f>
        <v>1,306,539</v>
      </c>
      <c r="K22" t="str">
        <f>"3,950,128"</f>
        <v>3,950,128</v>
      </c>
      <c r="L22" t="str">
        <f>"9,132,530"</f>
        <v>9,132,530</v>
      </c>
      <c r="M22" t="str">
        <f>"16,212,446"</f>
        <v>16,212,446</v>
      </c>
      <c r="N22" t="str">
        <f>"22,070,962"</f>
        <v>22,070,962</v>
      </c>
      <c r="O22" t="str">
        <f>"22,894,918"</f>
        <v>22,894,918</v>
      </c>
      <c r="P22" t="str">
        <f>"17,885,798"</f>
        <v>17,885,798</v>
      </c>
      <c r="Q22" t="str">
        <f>"10,336,129"</f>
        <v>10,336,129</v>
      </c>
      <c r="R22" t="str">
        <f>"4,307,808"</f>
        <v>4,307,808</v>
      </c>
      <c r="S22" t="str">
        <f>"1,250,885"</f>
        <v>1,250,885</v>
      </c>
      <c r="T22" t="str">
        <f>"242,174"</f>
        <v>242,174</v>
      </c>
      <c r="U22" t="str">
        <f>"29,801"</f>
        <v>29,801</v>
      </c>
      <c r="V22" t="str">
        <f>"2,249"</f>
        <v>2,249</v>
      </c>
      <c r="W22" t="str">
        <f>"98"</f>
        <v>98</v>
      </c>
      <c r="X22" t="str">
        <f>"2"</f>
        <v>2</v>
      </c>
    </row>
    <row r="23" spans="1:34" x14ac:dyDescent="0.3">
      <c r="A23">
        <v>21</v>
      </c>
      <c r="B23" t="str">
        <f>"266,155,019"</f>
        <v>266,155,019</v>
      </c>
      <c r="C23" t="str">
        <f>"266,155,021"</f>
        <v>266,155,021</v>
      </c>
      <c r="D23" t="str">
        <f t="shared" si="0"/>
        <v>1</v>
      </c>
      <c r="E23" t="str">
        <f>"42"</f>
        <v>42</v>
      </c>
      <c r="F23" t="str">
        <f>"809"</f>
        <v>809</v>
      </c>
      <c r="G23" t="str">
        <f>"9,482"</f>
        <v>9,482</v>
      </c>
      <c r="H23" t="str">
        <f>"75,664"</f>
        <v>75,664</v>
      </c>
      <c r="I23" t="str">
        <f>"435,824"</f>
        <v>435,824</v>
      </c>
      <c r="J23" t="str">
        <f>"1,874,765"</f>
        <v>1,874,765</v>
      </c>
      <c r="K23" t="str">
        <f>"6,147,691"</f>
        <v>6,147,691</v>
      </c>
      <c r="L23" t="str">
        <f>"15,552,357"</f>
        <v>15,552,357</v>
      </c>
      <c r="M23" t="str">
        <f>"30,530,035"</f>
        <v>30,530,035</v>
      </c>
      <c r="N23" t="str">
        <f>"46,548,658"</f>
        <v>46,548,658</v>
      </c>
      <c r="O23" t="str">
        <f>"54,933,508"</f>
        <v>54,933,508</v>
      </c>
      <c r="P23" t="str">
        <f>"49,787,669"</f>
        <v>49,787,669</v>
      </c>
      <c r="Q23" t="str">
        <f>"34,219,238"</f>
        <v>34,219,238</v>
      </c>
      <c r="R23" t="str">
        <f>"17,510,355"</f>
        <v>17,510,355</v>
      </c>
      <c r="S23" t="str">
        <f>"6,502,855"</f>
        <v>6,502,855</v>
      </c>
      <c r="T23" t="str">
        <f>"1,693,751"</f>
        <v>1,693,751</v>
      </c>
      <c r="U23" t="str">
        <f>"296,479"</f>
        <v>296,479</v>
      </c>
      <c r="V23" t="str">
        <f>"33,382"</f>
        <v>33,382</v>
      </c>
      <c r="W23" t="str">
        <f>"2,355"</f>
        <v>2,355</v>
      </c>
      <c r="X23" t="str">
        <f>"99"</f>
        <v>99</v>
      </c>
      <c r="Y23" t="str">
        <f>"2"</f>
        <v>2</v>
      </c>
    </row>
    <row r="24" spans="1:34" x14ac:dyDescent="0.3">
      <c r="A24">
        <v>22</v>
      </c>
      <c r="B24" t="str">
        <f>"643,641,449"</f>
        <v>643,641,449</v>
      </c>
      <c r="C24" t="str">
        <f>"643,641,551"</f>
        <v>643,641,551</v>
      </c>
      <c r="D24" t="str">
        <f t="shared" si="0"/>
        <v>1</v>
      </c>
      <c r="E24" t="str">
        <f>"44"</f>
        <v>44</v>
      </c>
      <c r="F24" t="str">
        <f>"891"</f>
        <v>891</v>
      </c>
      <c r="G24" t="str">
        <f>"11,022"</f>
        <v>11,022</v>
      </c>
      <c r="H24" t="str">
        <f>"93,240"</f>
        <v>93,240</v>
      </c>
      <c r="I24" t="str">
        <f>"572,209"</f>
        <v>572,209</v>
      </c>
      <c r="J24" t="str">
        <f>"2,637,595"</f>
        <v>2,637,595</v>
      </c>
      <c r="K24" t="str">
        <f>"9,329,421"</f>
        <v>9,329,421</v>
      </c>
      <c r="L24" t="str">
        <f>"25,653,602"</f>
        <v>25,653,602</v>
      </c>
      <c r="M24" t="str">
        <f>"55,232,850"</f>
        <v>55,232,850</v>
      </c>
      <c r="N24" t="str">
        <f>"93,355,327"</f>
        <v>93,355,327</v>
      </c>
      <c r="O24" t="str">
        <f>"123,714,002"</f>
        <v>123,714,002</v>
      </c>
      <c r="P24" t="str">
        <f>"127,899,629"</f>
        <v>127,899,629</v>
      </c>
      <c r="Q24" t="str">
        <f>"102,239,601"</f>
        <v>102,239,601</v>
      </c>
      <c r="R24" t="str">
        <f>"62,349,248"</f>
        <v>62,349,248</v>
      </c>
      <c r="S24" t="str">
        <f>"28,461,296"</f>
        <v>28,461,296</v>
      </c>
      <c r="T24" t="str">
        <f>"9,475,782"</f>
        <v>9,475,782</v>
      </c>
      <c r="U24" t="str">
        <f>"2,223,705"</f>
        <v>2,223,705</v>
      </c>
      <c r="V24" t="str">
        <f>"353,025"</f>
        <v>353,025</v>
      </c>
      <c r="W24" t="str">
        <f>"36,526"</f>
        <v>36,526</v>
      </c>
      <c r="X24" t="str">
        <f>"2,433"</f>
        <v>2,433</v>
      </c>
      <c r="Y24" t="str">
        <f>"100"</f>
        <v>100</v>
      </c>
      <c r="Z24" t="str">
        <f>"2"</f>
        <v>2</v>
      </c>
    </row>
    <row r="25" spans="1:34" x14ac:dyDescent="0.3">
      <c r="A25">
        <v>23</v>
      </c>
      <c r="B25" t="str">
        <f>"1,553,520,947"</f>
        <v>1,553,520,947</v>
      </c>
      <c r="C25" t="str">
        <f>"1,553,523,572"</f>
        <v>1,553,523,572</v>
      </c>
      <c r="D25" t="str">
        <f t="shared" si="0"/>
        <v>1</v>
      </c>
      <c r="E25" t="str">
        <f>"46"</f>
        <v>46</v>
      </c>
      <c r="F25" t="str">
        <f>"977"</f>
        <v>977</v>
      </c>
      <c r="G25" t="str">
        <f>"12,722"</f>
        <v>12,722</v>
      </c>
      <c r="H25" t="str">
        <f>"113,744"</f>
        <v>113,744</v>
      </c>
      <c r="I25" t="str">
        <f>"741,113"</f>
        <v>741,113</v>
      </c>
      <c r="J25" t="str">
        <f>"3,645,629"</f>
        <v>3,645,629</v>
      </c>
      <c r="K25" t="str">
        <f>"13,841,809"</f>
        <v>13,841,809</v>
      </c>
      <c r="L25" t="str">
        <f>"41,131,059"</f>
        <v>41,131,059</v>
      </c>
      <c r="M25" t="str">
        <f>"96,441,271"</f>
        <v>96,441,271</v>
      </c>
      <c r="N25" t="str">
        <f>"179,129,468"</f>
        <v>179,129,468</v>
      </c>
      <c r="O25" t="str">
        <f>"263,652,331"</f>
        <v>263,652,331</v>
      </c>
      <c r="P25" t="str">
        <f>"306,617,306"</f>
        <v>306,617,306</v>
      </c>
      <c r="Q25" t="str">
        <f>"280,018,653"</f>
        <v>280,018,653</v>
      </c>
      <c r="R25" t="str">
        <f>"198,871,000"</f>
        <v>198,871,000</v>
      </c>
      <c r="S25" t="str">
        <f>"108,311,863"</f>
        <v>108,311,863</v>
      </c>
      <c r="T25" t="str">
        <f>"44,374,811"</f>
        <v>44,374,811</v>
      </c>
      <c r="U25" t="str">
        <f>"13,327,061"</f>
        <v>13,327,061</v>
      </c>
      <c r="V25" t="str">
        <f>"2,838,026"</f>
        <v>2,838,026</v>
      </c>
      <c r="W25" t="str">
        <f>"412,393"</f>
        <v>412,393</v>
      </c>
      <c r="X25" t="str">
        <f>"39,664"</f>
        <v>39,664</v>
      </c>
      <c r="Y25" t="str">
        <f>"2,522"</f>
        <v>2,522</v>
      </c>
      <c r="Z25" t="str">
        <f>"101"</f>
        <v>101</v>
      </c>
      <c r="AA25" t="str">
        <f>"2"</f>
        <v>2</v>
      </c>
    </row>
    <row r="26" spans="1:34" x14ac:dyDescent="0.3">
      <c r="A26">
        <v>24</v>
      </c>
      <c r="B26" t="str">
        <f>"3,779,502,819"</f>
        <v>3,779,502,819</v>
      </c>
      <c r="C26" t="str">
        <f>"3,779,549,833"</f>
        <v>3,779,549,833</v>
      </c>
      <c r="D26" t="str">
        <f t="shared" si="0"/>
        <v>1</v>
      </c>
      <c r="E26" t="str">
        <f>"48"</f>
        <v>48</v>
      </c>
      <c r="F26" t="str">
        <f>"1,067"</f>
        <v>1,067</v>
      </c>
      <c r="G26" t="str">
        <f>"14,590"</f>
        <v>14,590</v>
      </c>
      <c r="H26" t="str">
        <f>"137,489"</f>
        <v>137,489</v>
      </c>
      <c r="I26" t="str">
        <f>"948,134"</f>
        <v>948,134</v>
      </c>
      <c r="J26" t="str">
        <f>"4,959,572"</f>
        <v>4,959,572</v>
      </c>
      <c r="K26" t="str">
        <f>"20,131,298"</f>
        <v>20,131,298</v>
      </c>
      <c r="L26" t="str">
        <f>"64,344,734"</f>
        <v>64,344,734</v>
      </c>
      <c r="M26" t="str">
        <f>"163,430,306"</f>
        <v>163,430,306</v>
      </c>
      <c r="N26" t="str">
        <f>"331,525,612"</f>
        <v>331,525,612</v>
      </c>
      <c r="O26" t="str">
        <f>"538,042,270"</f>
        <v>538,042,270</v>
      </c>
      <c r="P26" t="str">
        <f>"697,769,790"</f>
        <v>697,769,790</v>
      </c>
      <c r="Q26" t="str">
        <f>"720,208,278"</f>
        <v>720,208,278</v>
      </c>
      <c r="R26" t="str">
        <f>"587,498,756"</f>
        <v>587,498,756</v>
      </c>
      <c r="S26" t="str">
        <f>"374,817,998"</f>
        <v>374,817,998</v>
      </c>
      <c r="T26" t="str">
        <f>"184,310,996"</f>
        <v>184,310,996</v>
      </c>
      <c r="U26" t="str">
        <f>"68,485,702"</f>
        <v>68,485,702</v>
      </c>
      <c r="V26" t="str">
        <f>"18,734,338"</f>
        <v>18,734,338</v>
      </c>
      <c r="W26" t="str">
        <f>"3,651,974"</f>
        <v>3,651,974</v>
      </c>
      <c r="X26" t="str">
        <f>"489,866"</f>
        <v>489,866</v>
      </c>
      <c r="Y26" t="str">
        <f>"44,214"</f>
        <v>44,214</v>
      </c>
      <c r="Z26" t="str">
        <f>"2,694"</f>
        <v>2,694</v>
      </c>
      <c r="AA26" t="str">
        <f>"104"</f>
        <v>104</v>
      </c>
      <c r="AB26" t="str">
        <f>"2"</f>
        <v>2</v>
      </c>
    </row>
    <row r="27" spans="1:34" x14ac:dyDescent="0.3">
      <c r="A27">
        <v>25</v>
      </c>
      <c r="B27" t="str">
        <f>"10,209,775,453"</f>
        <v>10,209,775,453</v>
      </c>
      <c r="C27" t="str">
        <f>"10,210,644,703"</f>
        <v>10,210,644,703</v>
      </c>
      <c r="D27" t="str">
        <f t="shared" si="0"/>
        <v>1</v>
      </c>
      <c r="E27" t="str">
        <f>"50"</f>
        <v>50</v>
      </c>
      <c r="F27" t="str">
        <f>"1,162"</f>
        <v>1,162</v>
      </c>
      <c r="G27" t="str">
        <f>"16,679"</f>
        <v>16,679</v>
      </c>
      <c r="H27" t="str">
        <f>"165,735"</f>
        <v>165,735</v>
      </c>
      <c r="I27" t="str">
        <f>"1,211,239"</f>
        <v>1,211,239</v>
      </c>
      <c r="J27" t="str">
        <f>"6,752,311"</f>
        <v>6,752,311</v>
      </c>
      <c r="K27" t="str">
        <f>"29,393,160"</f>
        <v>29,393,160</v>
      </c>
      <c r="L27" t="str">
        <f>"101,459,453"</f>
        <v>101,459,453</v>
      </c>
      <c r="M27" t="str">
        <f>"280,491,713"</f>
        <v>280,491,713</v>
      </c>
      <c r="N27" t="str">
        <f>"624,789,492"</f>
        <v>624,789,492</v>
      </c>
      <c r="O27" t="str">
        <f>"1,124,534,076"</f>
        <v>1,124,534,076</v>
      </c>
      <c r="P27" t="str">
        <f>"1,635,704,412"</f>
        <v>1,635,704,412</v>
      </c>
      <c r="Q27" t="str">
        <f>"1,918,267,568"</f>
        <v>1,918,267,568</v>
      </c>
      <c r="R27" t="str">
        <f>"1,804,949,486"</f>
        <v>1,804,949,486</v>
      </c>
      <c r="S27" t="str">
        <f>"1,352,239,982"</f>
        <v>1,352,239,982</v>
      </c>
      <c r="T27" t="str">
        <f>"797,930,078"</f>
        <v>797,930,078</v>
      </c>
      <c r="U27" t="str">
        <f>"365,423,709"</f>
        <v>365,423,709</v>
      </c>
      <c r="V27" t="str">
        <f>"127,368,354"</f>
        <v>127,368,354</v>
      </c>
      <c r="W27" t="str">
        <f>"32,945,267"</f>
        <v>32,945,267</v>
      </c>
      <c r="X27" t="str">
        <f>"6,131,526"</f>
        <v>6,131,526</v>
      </c>
      <c r="Y27" t="str">
        <f>"794,697"</f>
        <v>794,697</v>
      </c>
      <c r="Z27" t="str">
        <f>"70,181"</f>
        <v>70,181</v>
      </c>
      <c r="AA27" t="str">
        <f>"4,209"</f>
        <v>4,209</v>
      </c>
      <c r="AB27" t="str">
        <f>"160"</f>
        <v>160</v>
      </c>
      <c r="AC27" t="str">
        <f>"3"</f>
        <v>3</v>
      </c>
    </row>
    <row r="28" spans="1:34" x14ac:dyDescent="0.3">
      <c r="A28">
        <v>26</v>
      </c>
      <c r="B28" t="str">
        <f>"23,469,447,929"</f>
        <v>23,469,447,929</v>
      </c>
      <c r="C28" t="str">
        <f>"23,475,842,264"</f>
        <v>23,475,842,264</v>
      </c>
      <c r="D28" t="str">
        <f t="shared" si="0"/>
        <v>1</v>
      </c>
      <c r="E28" t="str">
        <f>"52"</f>
        <v>52</v>
      </c>
      <c r="F28" t="str">
        <f>"1,260"</f>
        <v>1,260</v>
      </c>
      <c r="G28" t="str">
        <f>"18,908"</f>
        <v>18,908</v>
      </c>
      <c r="H28" t="str">
        <f>"197,002"</f>
        <v>197,002</v>
      </c>
      <c r="I28" t="str">
        <f>"1,514,379"</f>
        <v>1,514,379</v>
      </c>
      <c r="J28" t="str">
        <f>"8,910,061"</f>
        <v>8,910,061</v>
      </c>
      <c r="K28" t="str">
        <f>"41,085,895"</f>
        <v>41,085,895</v>
      </c>
      <c r="L28" t="str">
        <f>"150,829,500"</f>
        <v>150,829,500</v>
      </c>
      <c r="M28" t="str">
        <f>"445,393,063"</f>
        <v>445,393,063</v>
      </c>
      <c r="N28" t="str">
        <f>"1,064,748,966"</f>
        <v>1,064,748,966</v>
      </c>
      <c r="O28" t="str">
        <f>"2,067,513,245"</f>
        <v>2,067,513,245</v>
      </c>
      <c r="P28" t="str">
        <f>"3,263,418,169"</f>
        <v>3,263,418,169</v>
      </c>
      <c r="Q28" t="str">
        <f>"4,180,452,130"</f>
        <v>4,180,452,130</v>
      </c>
      <c r="R28" t="str">
        <f>"4,329,117,314"</f>
        <v>4,329,117,314</v>
      </c>
      <c r="S28" t="str">
        <f>"3,601,191,876"</f>
        <v>3,601,191,876</v>
      </c>
      <c r="T28" t="str">
        <f>"2,384,711,028"</f>
        <v>2,384,711,028</v>
      </c>
      <c r="U28" t="str">
        <f>"1,241,886,195"</f>
        <v>1,241,886,195</v>
      </c>
      <c r="V28" t="str">
        <f>"500,622,908"</f>
        <v>500,622,908</v>
      </c>
      <c r="W28" t="str">
        <f>"153,131,648"</f>
        <v>153,131,648</v>
      </c>
      <c r="X28" t="str">
        <f>"34,704,329"</f>
        <v>34,704,329</v>
      </c>
      <c r="Y28" t="str">
        <f>"5,680,243"</f>
        <v>5,680,243</v>
      </c>
      <c r="Z28" t="str">
        <f>"657,588"</f>
        <v>657,588</v>
      </c>
      <c r="AA28" t="str">
        <f>"53,389"</f>
        <v>53,389</v>
      </c>
      <c r="AB28" t="str">
        <f>"3,004"</f>
        <v>3,004</v>
      </c>
      <c r="AC28" t="str">
        <f>"109"</f>
        <v>109</v>
      </c>
      <c r="AD28" t="str">
        <f>"2"</f>
        <v>2</v>
      </c>
    </row>
    <row r="29" spans="1:34" x14ac:dyDescent="0.3">
      <c r="A29">
        <v>27</v>
      </c>
      <c r="B29" t="str">
        <f>"56,407,040,754"</f>
        <v>56,407,040,754</v>
      </c>
      <c r="C29" t="str">
        <f>"56,456,886,738"</f>
        <v>56,456,886,738</v>
      </c>
      <c r="D29" t="str">
        <f t="shared" si="0"/>
        <v>1</v>
      </c>
      <c r="E29" t="str">
        <f>"54"</f>
        <v>54</v>
      </c>
      <c r="F29" t="str">
        <f>"1,362"</f>
        <v>1,362</v>
      </c>
      <c r="G29" t="str">
        <f>"21,330"</f>
        <v>21,330</v>
      </c>
      <c r="H29" t="str">
        <f>"232,588"</f>
        <v>232,588</v>
      </c>
      <c r="I29" t="str">
        <f>"1,877,073"</f>
        <v>1,877,073</v>
      </c>
      <c r="J29" t="str">
        <f>"11,634,825"</f>
        <v>11,634,825</v>
      </c>
      <c r="K29" t="str">
        <f>"56,737,864"</f>
        <v>56,737,864</v>
      </c>
      <c r="L29" t="str">
        <f>"221,221,498"</f>
        <v>221,221,498</v>
      </c>
      <c r="M29" t="str">
        <f>"697,150,763"</f>
        <v>697,150,763</v>
      </c>
      <c r="N29" t="str">
        <f>"1,788,184,560"</f>
        <v>1,788,184,560</v>
      </c>
      <c r="O29" t="str">
        <f>"3,748,331,015"</f>
        <v>3,748,331,015</v>
      </c>
      <c r="P29" t="str">
        <f>"6,431,151,809"</f>
        <v>6,431,151,809</v>
      </c>
      <c r="Q29" t="str">
        <f>"9,026,076,468"</f>
        <v>9,026,076,468</v>
      </c>
      <c r="R29" t="str">
        <f>"10,334,626,443"</f>
        <v>10,334,626,443</v>
      </c>
      <c r="S29" t="str">
        <f>"9,606,732,809"</f>
        <v>9,606,732,809</v>
      </c>
      <c r="T29" t="str">
        <f>"7,198,475,333"</f>
        <v>7,198,475,333</v>
      </c>
      <c r="U29" t="str">
        <f>"4,305,857,837"</f>
        <v>4,305,857,837</v>
      </c>
      <c r="V29" t="str">
        <f>"2,030,040,773"</f>
        <v>2,030,040,773</v>
      </c>
      <c r="W29" t="str">
        <f>"742,285,846"</f>
        <v>742,285,846</v>
      </c>
      <c r="X29" t="str">
        <f>"206,400,503"</f>
        <v>206,400,503</v>
      </c>
      <c r="Y29" t="str">
        <f>"42,676,337"</f>
        <v>42,676,337</v>
      </c>
      <c r="Z29" t="str">
        <f>"6,419,927"</f>
        <v>6,419,927</v>
      </c>
      <c r="AA29" t="str">
        <f>"693,030"</f>
        <v>693,030</v>
      </c>
      <c r="AB29" t="str">
        <f>"53,641"</f>
        <v>53,641</v>
      </c>
      <c r="AC29" t="str">
        <f>"2,941"</f>
        <v>2,941</v>
      </c>
      <c r="AD29" t="str">
        <f>"106"</f>
        <v>106</v>
      </c>
      <c r="AE29" t="str">
        <f>"2"</f>
        <v>2</v>
      </c>
    </row>
    <row r="30" spans="1:34" x14ac:dyDescent="0.3">
      <c r="A30">
        <v>28</v>
      </c>
      <c r="B30" t="str">
        <f>"133,729,449,184"</f>
        <v>133,729,449,184</v>
      </c>
      <c r="C30" t="str">
        <f>"134,037,493,808"</f>
        <v>134,037,493,808</v>
      </c>
      <c r="D30" t="str">
        <f t="shared" si="0"/>
        <v>1</v>
      </c>
      <c r="E30" t="str">
        <f>"56"</f>
        <v>56</v>
      </c>
      <c r="F30" t="str">
        <f>"1,468"</f>
        <v>1,468</v>
      </c>
      <c r="G30" t="str">
        <f>"23,952"</f>
        <v>23,952</v>
      </c>
      <c r="H30" t="str">
        <f>"272,825"</f>
        <v>272,825</v>
      </c>
      <c r="I30" t="str">
        <f>"2,306,617"</f>
        <v>2,306,617</v>
      </c>
      <c r="J30" t="str">
        <f>"15,025,295"</f>
        <v>15,025,295</v>
      </c>
      <c r="K30" t="str">
        <f>"77,269,828"</f>
        <v>77,269,828</v>
      </c>
      <c r="L30" t="str">
        <f>"318,927,844"</f>
        <v>318,927,844</v>
      </c>
      <c r="M30" t="str">
        <f>"1,068,419,691"</f>
        <v>1,068,419,691</v>
      </c>
      <c r="N30" t="str">
        <f>"2,926,771,459"</f>
        <v>2,926,771,459</v>
      </c>
      <c r="O30" t="str">
        <f>"6,585,714,581"</f>
        <v>6,585,714,581</v>
      </c>
      <c r="P30" t="str">
        <f>"12,198,862,997"</f>
        <v>12,198,862,997</v>
      </c>
      <c r="Q30" t="str">
        <f>"18,602,313,712"</f>
        <v>18,602,313,712</v>
      </c>
      <c r="R30" t="str">
        <f>"23,309,181,143"</f>
        <v>23,309,181,143</v>
      </c>
      <c r="S30" t="str">
        <f>"23,907,719,603"</f>
        <v>23,907,719,603</v>
      </c>
      <c r="T30" t="str">
        <f>"19,955,178,135"</f>
        <v>19,955,178,135</v>
      </c>
      <c r="U30" t="str">
        <f>"13,445,324,371"</f>
        <v>13,445,324,371</v>
      </c>
      <c r="V30" t="str">
        <f>"7,236,128,304"</f>
        <v>7,236,128,304</v>
      </c>
      <c r="W30" t="str">
        <f>"3,069,774,032"</f>
        <v>3,069,774,032</v>
      </c>
      <c r="X30" t="str">
        <f>"1,010,233,270"</f>
        <v>1,010,233,270</v>
      </c>
      <c r="Y30" t="str">
        <f>"253,257,149"</f>
        <v>253,257,149</v>
      </c>
      <c r="Z30" t="str">
        <f>"47,491,748"</f>
        <v>47,491,748</v>
      </c>
      <c r="AA30" t="str">
        <f>"6,572,707"</f>
        <v>6,572,707</v>
      </c>
      <c r="AB30" t="str">
        <f>"669,628"</f>
        <v>669,628</v>
      </c>
      <c r="AC30" t="str">
        <f>"50,502"</f>
        <v>50,502</v>
      </c>
      <c r="AD30" t="str">
        <f>"2,785"</f>
        <v>2,785</v>
      </c>
      <c r="AE30" t="str">
        <f>"103"</f>
        <v>103</v>
      </c>
      <c r="AF30" t="str">
        <f>"2"</f>
        <v>2</v>
      </c>
    </row>
    <row r="31" spans="1:34" x14ac:dyDescent="0.3">
      <c r="A31">
        <v>29</v>
      </c>
      <c r="B31" t="str">
        <f>"317,608,676,762"</f>
        <v>317,608,676,762</v>
      </c>
      <c r="C31" t="str">
        <f>"319,327,860,224"</f>
        <v>319,327,860,224</v>
      </c>
      <c r="D31" t="str">
        <f t="shared" si="0"/>
        <v>1</v>
      </c>
      <c r="E31" t="str">
        <f>"58"</f>
        <v>58</v>
      </c>
      <c r="F31" t="str">
        <f>"1,578"</f>
        <v>1,578</v>
      </c>
      <c r="G31" t="str">
        <f>"26,782"</f>
        <v>26,782</v>
      </c>
      <c r="H31" t="str">
        <f>"318,106"</f>
        <v>318,106</v>
      </c>
      <c r="I31" t="str">
        <f>"2,811,982"</f>
        <v>2,811,982</v>
      </c>
      <c r="J31" t="str">
        <f>"19,207,914"</f>
        <v>19,207,914</v>
      </c>
      <c r="K31" t="str">
        <f>"103,915,190"</f>
        <v>103,915,190</v>
      </c>
      <c r="L31" t="str">
        <f>"452,794,802"</f>
        <v>452,794,802</v>
      </c>
      <c r="M31" t="str">
        <f>"1,607,582,640"</f>
        <v>1,607,582,640</v>
      </c>
      <c r="N31" t="str">
        <f>"4,687,074,137"</f>
        <v>4,687,074,137</v>
      </c>
      <c r="O31" t="str">
        <f>"11,278,739,813"</f>
        <v>11,278,739,813</v>
      </c>
      <c r="P31" t="str">
        <f>"22,460,680,282"</f>
        <v>22,460,680,282</v>
      </c>
      <c r="Q31" t="str">
        <f>"37,042,424,488"</f>
        <v>37,042,424,488</v>
      </c>
      <c r="R31" t="str">
        <f>"50,537,016,218"</f>
        <v>50,537,016,218</v>
      </c>
      <c r="S31" t="str">
        <f>"56,872,737,362"</f>
        <v>56,872,737,362</v>
      </c>
      <c r="T31" t="str">
        <f>"52,546,893,390"</f>
        <v>52,546,893,390</v>
      </c>
      <c r="U31" t="str">
        <f>"39,597,267,825"</f>
        <v>39,597,267,825</v>
      </c>
      <c r="V31" t="str">
        <f>"24,125,411,231"</f>
        <v>24,125,411,231</v>
      </c>
      <c r="W31" t="str">
        <f>"11,754,513,856"</f>
        <v>11,754,513,856</v>
      </c>
      <c r="X31" t="str">
        <f>"4,519,259,107"</f>
        <v>4,519,259,107</v>
      </c>
      <c r="Y31" t="str">
        <f>"1,350,155,673"</f>
        <v>1,350,155,673</v>
      </c>
      <c r="Z31" t="str">
        <f>"308,384,601"</f>
        <v>308,384,601</v>
      </c>
      <c r="AA31" t="str">
        <f>"53,089,042"</f>
        <v>53,089,042</v>
      </c>
      <c r="AB31" t="str">
        <f>"6,839,843"</f>
        <v>6,839,843</v>
      </c>
      <c r="AC31" t="str">
        <f>"662,703"</f>
        <v>662,703</v>
      </c>
      <c r="AD31" t="str">
        <f>"48,800"</f>
        <v>48,800</v>
      </c>
      <c r="AE31" t="str">
        <f>"2,696"</f>
        <v>2,696</v>
      </c>
      <c r="AF31" t="str">
        <f>"102"</f>
        <v>102</v>
      </c>
      <c r="AG31" t="str">
        <f>"2"</f>
        <v>2</v>
      </c>
    </row>
    <row r="32" spans="1:34" x14ac:dyDescent="0.3">
      <c r="A32">
        <v>30</v>
      </c>
      <c r="B32" t="str">
        <f>"752,004,505,091"</f>
        <v>752,004,505,091</v>
      </c>
      <c r="C32" t="str">
        <f>"760,583,387,984"</f>
        <v>760,583,387,984</v>
      </c>
      <c r="D32" t="str">
        <f t="shared" si="0"/>
        <v>1</v>
      </c>
      <c r="E32" t="str">
        <f>"60"</f>
        <v>60</v>
      </c>
      <c r="F32" t="str">
        <f>"1,692"</f>
        <v>1,692</v>
      </c>
      <c r="G32" t="str">
        <f>"29,828"</f>
        <v>29,828</v>
      </c>
      <c r="H32" t="str">
        <f>"368,839"</f>
        <v>368,839</v>
      </c>
      <c r="I32" t="str">
        <f>"3,402,863"</f>
        <v>3,402,863</v>
      </c>
      <c r="J32" t="str">
        <f>"24,325,349"</f>
        <v>24,325,349</v>
      </c>
      <c r="K32" t="str">
        <f>"138,131,631"</f>
        <v>138,131,631</v>
      </c>
      <c r="L32" t="str">
        <f>"633,812,258"</f>
        <v>633,812,258</v>
      </c>
      <c r="M32" t="str">
        <f>"2,378,071,073"</f>
        <v>2,378,071,073</v>
      </c>
      <c r="N32" t="str">
        <f>"7,356,125,973"</f>
        <v>7,356,125,973</v>
      </c>
      <c r="O32" t="str">
        <f>"18,861,947,513"</f>
        <v>18,861,947,513</v>
      </c>
      <c r="P32" t="str">
        <f>"40,217,779,272"</f>
        <v>40,217,779,272</v>
      </c>
      <c r="Q32" t="str">
        <f>"71,399,948,151"</f>
        <v>71,399,948,151</v>
      </c>
      <c r="R32" t="str">
        <f>"105,495,546,620"</f>
        <v>105,495,546,620</v>
      </c>
      <c r="S32" t="str">
        <f>"129,456,429,016"</f>
        <v>129,456,429,016</v>
      </c>
      <c r="T32" t="str">
        <f>"131,446,806,607"</f>
        <v>131,446,806,607</v>
      </c>
      <c r="U32" t="str">
        <f>"109,838,037,918"</f>
        <v>109,838,037,918</v>
      </c>
      <c r="V32" t="str">
        <f>"74,985,118,493"</f>
        <v>74,985,118,493</v>
      </c>
      <c r="W32" t="str">
        <f>"41,438,800,258"</f>
        <v>41,438,800,258</v>
      </c>
      <c r="X32" t="str">
        <f>"18,329,821,676"</f>
        <v>18,329,821,676</v>
      </c>
      <c r="Y32" t="str">
        <f>"6,405,192,963"</f>
        <v>6,405,192,963</v>
      </c>
      <c r="Z32" t="str">
        <f>"1,743,240,169"</f>
        <v>1,743,240,169</v>
      </c>
      <c r="AA32" t="str">
        <f>"364,604,561"</f>
        <v>364,604,561</v>
      </c>
      <c r="AB32" t="str">
        <f>"58,085,709"</f>
        <v>58,085,709</v>
      </c>
      <c r="AC32" t="str">
        <f>"7,050,232"</f>
        <v>7,050,232</v>
      </c>
      <c r="AD32" t="str">
        <f>"658,689"</f>
        <v>658,689</v>
      </c>
      <c r="AE32" t="str">
        <f>"47,824"</f>
        <v>47,824</v>
      </c>
      <c r="AF32" t="str">
        <f>"2,643"</f>
        <v>2,643</v>
      </c>
      <c r="AG32" t="str">
        <f>"101"</f>
        <v>101</v>
      </c>
      <c r="AH32" t="str">
        <f>"2"</f>
        <v>2</v>
      </c>
    </row>
    <row r="33" spans="1:50" x14ac:dyDescent="0.3">
      <c r="A33">
        <v>31</v>
      </c>
      <c r="B33" t="str">
        <f>"1,768,126,487,668"</f>
        <v>1,768,126,487,668</v>
      </c>
      <c r="C33" t="str">
        <f>"1,806,671,710,896"</f>
        <v>1,806,671,710,896</v>
      </c>
      <c r="D33" t="str">
        <f t="shared" si="0"/>
        <v>1</v>
      </c>
      <c r="E33" t="str">
        <f>"62"</f>
        <v>62</v>
      </c>
      <c r="F33" t="str">
        <f>"1,810"</f>
        <v>1,810</v>
      </c>
      <c r="G33" t="str">
        <f>"33,098"</f>
        <v>33,098</v>
      </c>
      <c r="H33" t="str">
        <f>"425,448"</f>
        <v>425,448</v>
      </c>
      <c r="I33" t="str">
        <f>"4,089,755"</f>
        <v>4,089,755</v>
      </c>
      <c r="J33" t="str">
        <f>"30,538,884"</f>
        <v>30,538,884</v>
      </c>
      <c r="K33" t="str">
        <f>"181,644,822"</f>
        <v>181,644,822</v>
      </c>
      <c r="L33" t="str">
        <f>"875,645,315"</f>
        <v>875,645,315</v>
      </c>
      <c r="M33" t="str">
        <f>"3,462,996,438"</f>
        <v>3,462,996,438</v>
      </c>
      <c r="N33" t="str">
        <f>"11,331,640,058"</f>
        <v>11,331,640,058</v>
      </c>
      <c r="O33" t="str">
        <f>"30,857,164,884"</f>
        <v>30,857,164,884</v>
      </c>
      <c r="P33" t="str">
        <f>"70,177,423,267"</f>
        <v>70,177,423,267</v>
      </c>
      <c r="Q33" t="str">
        <f>"133,528,093,003"</f>
        <v>133,528,093,003</v>
      </c>
      <c r="R33" t="str">
        <f>"212,581,650,093"</f>
        <v>212,581,650,093</v>
      </c>
      <c r="S33" t="str">
        <f>"282,770,048,563"</f>
        <v>282,770,048,563</v>
      </c>
      <c r="T33" t="str">
        <f>"313,339,626,194"</f>
        <v>313,339,626,194</v>
      </c>
      <c r="U33" t="str">
        <f>"287,951,344,123"</f>
        <v>287,951,344,123</v>
      </c>
      <c r="V33" t="str">
        <f>"218,115,531,147"</f>
        <v>218,115,531,147</v>
      </c>
      <c r="W33" t="str">
        <f>"135,118,312,708"</f>
        <v>135,118,312,708</v>
      </c>
      <c r="X33" t="str">
        <f>"67,800,277,995"</f>
        <v>67,800,277,995</v>
      </c>
      <c r="Y33" t="str">
        <f>"27,248,723,194"</f>
        <v>27,248,723,194</v>
      </c>
      <c r="Z33" t="str">
        <f>"8,662,654,517"</f>
        <v>8,662,654,517</v>
      </c>
      <c r="AA33" t="str">
        <f>"2,151,563,365"</f>
        <v>2,151,563,365</v>
      </c>
      <c r="AB33" t="str">
        <f>"413,370,499"</f>
        <v>413,370,499</v>
      </c>
      <c r="AC33" t="str">
        <f>"61,205,438"</f>
        <v>61,205,438</v>
      </c>
      <c r="AD33" t="str">
        <f>"7,024,915"</f>
        <v>7,024,915</v>
      </c>
      <c r="AE33" t="str">
        <f>"633,506"</f>
        <v>633,506</v>
      </c>
      <c r="AF33" t="str">
        <f>"45,209"</f>
        <v>45,209</v>
      </c>
      <c r="AG33" t="str">
        <f>"2,487"</f>
        <v>2,487</v>
      </c>
      <c r="AH33" t="str">
        <f>"96"</f>
        <v>96</v>
      </c>
      <c r="AI33" t="str">
        <f>"2"</f>
        <v>2</v>
      </c>
    </row>
    <row r="34" spans="1:50" x14ac:dyDescent="0.3">
      <c r="A34">
        <v>32</v>
      </c>
      <c r="B34" t="str">
        <f>"4,172,841,091,899"</f>
        <v>4,172,841,091,899</v>
      </c>
      <c r="C34" t="str">
        <f>"4,338,686,379,488"</f>
        <v>4,338,686,379,488</v>
      </c>
      <c r="D34" t="str">
        <f t="shared" si="0"/>
        <v>1</v>
      </c>
      <c r="E34" t="str">
        <f>"64"</f>
        <v>64</v>
      </c>
      <c r="F34" t="str">
        <f>"1,932"</f>
        <v>1,932</v>
      </c>
      <c r="G34" t="str">
        <f>"36,600"</f>
        <v>36,600</v>
      </c>
      <c r="H34" t="str">
        <f>"488,374"</f>
        <v>488,374</v>
      </c>
      <c r="I34" t="str">
        <f>"4,884,040"</f>
        <v>4,884,040</v>
      </c>
      <c r="J34" t="str">
        <f>"38,031,400"</f>
        <v>38,031,400</v>
      </c>
      <c r="K34" t="str">
        <f>"236,506,632"</f>
        <v>236,506,632</v>
      </c>
      <c r="L34" t="str">
        <f>"1,195,386,134"</f>
        <v>1,195,386,134</v>
      </c>
      <c r="M34" t="str">
        <f>"4,972,090,256"</f>
        <v>4,972,090,256</v>
      </c>
      <c r="N34" t="str">
        <f>"17,169,968,458"</f>
        <v>17,169,968,458</v>
      </c>
      <c r="O34" t="str">
        <f>"49,529,145,988"</f>
        <v>49,529,145,988</v>
      </c>
      <c r="P34" t="str">
        <f>"119,825,247,166"</f>
        <v>119,825,247,166</v>
      </c>
      <c r="Q34" t="str">
        <f>"243,666,980,864"</f>
        <v>243,666,980,864</v>
      </c>
      <c r="R34" t="str">
        <f>"416,768,402,950"</f>
        <v>416,768,402,950</v>
      </c>
      <c r="S34" t="str">
        <f>"599,111,775,272"</f>
        <v>599,111,775,272</v>
      </c>
      <c r="T34" t="str">
        <f>"722,266,594,916"</f>
        <v>722,266,594,916</v>
      </c>
      <c r="U34" t="str">
        <f>"727,641,029,256"</f>
        <v>727,641,029,256</v>
      </c>
      <c r="V34" t="str">
        <f>"609,521,265,286"</f>
        <v>609,521,265,286</v>
      </c>
      <c r="W34" t="str">
        <f>"421,765,146,880"</f>
        <v>421,765,146,880</v>
      </c>
      <c r="X34" t="str">
        <f>"239,128,109,430"</f>
        <v>239,128,109,430</v>
      </c>
      <c r="Y34" t="str">
        <f>"110,016,666,180"</f>
        <v>110,016,666,180</v>
      </c>
      <c r="Z34" t="str">
        <f>"40,623,528,336"</f>
        <v>40,623,528,336</v>
      </c>
      <c r="AA34" t="str">
        <f>"11,900,542,320"</f>
        <v>11,900,542,320</v>
      </c>
      <c r="AB34" t="str">
        <f>"2,736,855,523"</f>
        <v>2,736,855,523</v>
      </c>
      <c r="AC34" t="str">
        <f>"490,784,588"</f>
        <v>490,784,588</v>
      </c>
      <c r="AD34" t="str">
        <f>"68,644,922"</f>
        <v>68,644,922</v>
      </c>
      <c r="AE34" t="str">
        <f>"7,554,344"</f>
        <v>7,554,344</v>
      </c>
      <c r="AF34" t="str">
        <f>"662,402"</f>
        <v>662,402</v>
      </c>
      <c r="AG34" t="str">
        <f>"46,364"</f>
        <v>46,364</v>
      </c>
      <c r="AH34" t="str">
        <f>"2,512"</f>
        <v>2,512</v>
      </c>
      <c r="AI34" t="str">
        <f>"96"</f>
        <v>96</v>
      </c>
      <c r="AJ34" t="str">
        <f>"2"</f>
        <v>2</v>
      </c>
    </row>
    <row r="35" spans="1:50" x14ac:dyDescent="0.3">
      <c r="A35">
        <v>33</v>
      </c>
      <c r="B35" t="str">
        <f>"10,927,210,979,397"</f>
        <v>10,927,210,979,397</v>
      </c>
      <c r="C35" t="str">
        <f>"11,754,835,298,544"</f>
        <v>11,754,835,298,544</v>
      </c>
      <c r="D35" t="str">
        <f t="shared" ref="D35:D66" si="1">"1"</f>
        <v>1</v>
      </c>
      <c r="E35" t="str">
        <f>"66"</f>
        <v>66</v>
      </c>
      <c r="F35" t="str">
        <f>"2,059"</f>
        <v>2,059</v>
      </c>
      <c r="G35" t="str">
        <f>"40,403"</f>
        <v>40,403</v>
      </c>
      <c r="H35" t="str">
        <f>"559,823"</f>
        <v>559,823</v>
      </c>
      <c r="I35" t="str">
        <f>"5,829,325"</f>
        <v>5,829,325</v>
      </c>
      <c r="J35" t="str">
        <f>"47,402,338"</f>
        <v>47,402,338</v>
      </c>
      <c r="K35" t="str">
        <f>"308,823,199"</f>
        <v>308,823,199</v>
      </c>
      <c r="L35" t="str">
        <f>"1,640,969,074"</f>
        <v>1,640,969,074</v>
      </c>
      <c r="M35" t="str">
        <f>"7,203,000,454"</f>
        <v>7,203,000,454</v>
      </c>
      <c r="N35" t="str">
        <f>"26,359,684,927"</f>
        <v>26,359,684,927</v>
      </c>
      <c r="O35" t="str">
        <f>"80,950,524,262"</f>
        <v>80,950,524,262</v>
      </c>
      <c r="P35" t="str">
        <f>"209,550,923,588"</f>
        <v>209,550,923,588</v>
      </c>
      <c r="Q35" t="str">
        <f>"458,508,246,557"</f>
        <v>458,508,246,557</v>
      </c>
      <c r="R35" t="str">
        <f>"849,083,546,797"</f>
        <v>849,083,546,797</v>
      </c>
      <c r="S35" t="str">
        <f>"1,330,694,865,251"</f>
        <v>1,330,694,865,251</v>
      </c>
      <c r="T35" t="str">
        <f>"1,762,629,206,046"</f>
        <v>1,762,629,206,046</v>
      </c>
      <c r="U35" t="str">
        <f>"1,968,265,042,828"</f>
        <v>1,968,265,042,828</v>
      </c>
      <c r="V35" t="str">
        <f>"1,845,756,536,099"</f>
        <v>1,845,756,536,099</v>
      </c>
      <c r="W35" t="str">
        <f>"1,446,025,703,811"</f>
        <v>1,446,025,703,811</v>
      </c>
      <c r="X35" t="str">
        <f>"940,180,072,489"</f>
        <v>940,180,072,489</v>
      </c>
      <c r="Y35" t="str">
        <f>"503,218,450,783"</f>
        <v>503,218,450,783</v>
      </c>
      <c r="Z35" t="str">
        <f>"219,612,506,972"</f>
        <v>219,612,506,972</v>
      </c>
      <c r="AA35" t="str">
        <f>"77,309,900,278"</f>
        <v>77,309,900,278</v>
      </c>
      <c r="AB35" t="str">
        <f>"21,707,174,495"</f>
        <v>21,707,174,495</v>
      </c>
      <c r="AC35" t="str">
        <f>"4,812,031,860"</f>
        <v>4,812,031,860</v>
      </c>
      <c r="AD35" t="str">
        <f>"836,679,845"</f>
        <v>836,679,845</v>
      </c>
      <c r="AE35" t="str">
        <f>"114,124,141"</f>
        <v>114,124,141</v>
      </c>
      <c r="AF35" t="str">
        <f>"12,311,307"</f>
        <v>12,311,307</v>
      </c>
      <c r="AG35" t="str">
        <f>"1,062,140"</f>
        <v>1,062,140</v>
      </c>
      <c r="AH35" t="str">
        <f>"73,265"</f>
        <v>73,265</v>
      </c>
      <c r="AI35" t="str">
        <f>"3,911"</f>
        <v>3,911</v>
      </c>
      <c r="AJ35" t="str">
        <f>"147"</f>
        <v>147</v>
      </c>
      <c r="AK35" t="str">
        <f>"3"</f>
        <v>3</v>
      </c>
    </row>
    <row r="36" spans="1:50" x14ac:dyDescent="0.3">
      <c r="A36">
        <v>34</v>
      </c>
      <c r="B36" t="str">
        <f>"24,354,983,828,484"</f>
        <v>24,354,983,828,484</v>
      </c>
      <c r="C36" t="str">
        <f>"27,164,642,347,952"</f>
        <v>27,164,642,347,952</v>
      </c>
      <c r="D36" t="str">
        <f t="shared" si="1"/>
        <v>1</v>
      </c>
      <c r="E36" t="str">
        <f>"68"</f>
        <v>68</v>
      </c>
      <c r="F36" t="str">
        <f>"2,189"</f>
        <v>2,189</v>
      </c>
      <c r="G36" t="str">
        <f>"44,394"</f>
        <v>44,394</v>
      </c>
      <c r="H36" t="str">
        <f>"636,824"</f>
        <v>636,824</v>
      </c>
      <c r="I36" t="str">
        <f>"6,877,407"</f>
        <v>6,877,407</v>
      </c>
      <c r="J36" t="str">
        <f>"58,112,598"</f>
        <v>58,112,598</v>
      </c>
      <c r="K36" t="str">
        <f>"394,204,580"</f>
        <v>394,204,580</v>
      </c>
      <c r="L36" t="str">
        <f>"2,185,680,282"</f>
        <v>2,185,680,282</v>
      </c>
      <c r="M36" t="str">
        <f>"10,033,908,206"</f>
        <v>10,033,908,206</v>
      </c>
      <c r="N36" t="str">
        <f>"38,497,651,242"</f>
        <v>38,497,651,242</v>
      </c>
      <c r="O36" t="str">
        <f>"124,279,452,444"</f>
        <v>124,279,452,444</v>
      </c>
      <c r="P36" t="str">
        <f>"339,154,808,254"</f>
        <v>339,154,808,254</v>
      </c>
      <c r="Q36" t="str">
        <f>"784,764,322,349"</f>
        <v>784,764,322,349</v>
      </c>
      <c r="R36" t="str">
        <f>"1,542,108,661,724"</f>
        <v>1,542,108,661,724</v>
      </c>
      <c r="S36" t="str">
        <f>"2,574,340,867,030"</f>
        <v>2,574,340,867,030</v>
      </c>
      <c r="T36" t="str">
        <f>"3,647,704,709,089"</f>
        <v>3,647,704,709,089</v>
      </c>
      <c r="U36" t="str">
        <f>"4,378,288,376,898"</f>
        <v>4,378,288,376,898</v>
      </c>
      <c r="V36" t="str">
        <f>"4,437,594,055,415"</f>
        <v>4,437,594,055,415</v>
      </c>
      <c r="W36" t="str">
        <f>"3,781,466,852,460"</f>
        <v>3,781,466,852,460</v>
      </c>
      <c r="X36" t="str">
        <f>"2,694,104,605,030"</f>
        <v>2,694,104,605,030</v>
      </c>
      <c r="Y36" t="str">
        <f>"1,593,759,406,834"</f>
        <v>1,593,759,406,834</v>
      </c>
      <c r="Z36" t="str">
        <f>"776,496,487,589"</f>
        <v>776,496,487,589</v>
      </c>
      <c r="AA36" t="str">
        <f>"308,685,595,767"</f>
        <v>308,685,595,767</v>
      </c>
      <c r="AB36" t="str">
        <f>"99,122,985,997"</f>
        <v>99,122,985,997</v>
      </c>
      <c r="AC36" t="str">
        <f>"25,455,854,979"</f>
        <v>25,455,854,979</v>
      </c>
      <c r="AD36" t="str">
        <f>"5,185,519,608"</f>
        <v>5,185,519,608</v>
      </c>
      <c r="AE36" t="str">
        <f>"834,520,286"</f>
        <v>834,520,286</v>
      </c>
      <c r="AF36" t="str">
        <f>"106,366,299"</f>
        <v>106,366,299</v>
      </c>
      <c r="AG36" t="str">
        <f>"10,831,734"</f>
        <v>10,831,734</v>
      </c>
      <c r="AH36" t="str">
        <f>"888,871"</f>
        <v>888,871</v>
      </c>
      <c r="AI36" t="str">
        <f>"58,435"</f>
        <v>58,435</v>
      </c>
      <c r="AJ36" t="str">
        <f>"2,962"</f>
        <v>2,962</v>
      </c>
      <c r="AK36" t="str">
        <f>"105"</f>
        <v>105</v>
      </c>
      <c r="AL36" t="str">
        <f>"2"</f>
        <v>2</v>
      </c>
    </row>
    <row r="37" spans="1:50" x14ac:dyDescent="0.3">
      <c r="A37">
        <v>35</v>
      </c>
      <c r="B37" t="str">
        <f>"55,687,769,045,465"</f>
        <v>55,687,769,045,465</v>
      </c>
      <c r="C37" t="str">
        <f>"65,622,282,410,848"</f>
        <v>65,622,282,410,848</v>
      </c>
      <c r="D37" t="str">
        <f t="shared" si="1"/>
        <v>1</v>
      </c>
      <c r="E37" t="str">
        <f>"70"</f>
        <v>70</v>
      </c>
      <c r="F37" t="str">
        <f>"2,323"</f>
        <v>2,323</v>
      </c>
      <c r="G37" t="str">
        <f>"48,642"</f>
        <v>48,642</v>
      </c>
      <c r="H37" t="str">
        <f>"721,620"</f>
        <v>721,620</v>
      </c>
      <c r="I37" t="str">
        <f>"8,073,996"</f>
        <v>8,073,996</v>
      </c>
      <c r="J37" t="str">
        <f>"70,817,749"</f>
        <v>70,817,749</v>
      </c>
      <c r="K37" t="str">
        <f>"499,692,577"</f>
        <v>499,692,577</v>
      </c>
      <c r="L37" t="str">
        <f>"2,888,386,113"</f>
        <v>2,888,386,113</v>
      </c>
      <c r="M37" t="str">
        <f>"13,857,687,127"</f>
        <v>13,857,687,127</v>
      </c>
      <c r="N37" t="str">
        <f>"55,714,731,849"</f>
        <v>55,714,731,849</v>
      </c>
      <c r="O37" t="str">
        <f>"189,027,995,571"</f>
        <v>189,027,995,571</v>
      </c>
      <c r="P37" t="str">
        <f>"543,902,461,155"</f>
        <v>543,902,461,155</v>
      </c>
      <c r="Q37" t="str">
        <f>"1,331,721,488,401"</f>
        <v>1,331,721,488,401</v>
      </c>
      <c r="R37" t="str">
        <f>"2,780,154,398,592"</f>
        <v>2,780,154,398,592</v>
      </c>
      <c r="S37" t="str">
        <f>"4,952,578,208,606"</f>
        <v>4,952,578,208,606</v>
      </c>
      <c r="T37" t="str">
        <f>"7,526,025,193,565"</f>
        <v>7,526,025,193,565</v>
      </c>
      <c r="U37" t="str">
        <f>"9,742,708,244,861"</f>
        <v>9,742,708,244,861</v>
      </c>
      <c r="V37" t="str">
        <f>"10,718,371,871,560"</f>
        <v>10,718,371,871,560</v>
      </c>
      <c r="W37" t="str">
        <f>"9,986,364,396,450"</f>
        <v>9,986,364,396,450</v>
      </c>
      <c r="X37" t="str">
        <f>"7,843,874,624,637"</f>
        <v>7,843,874,624,637</v>
      </c>
      <c r="Y37" t="str">
        <f>"5,164,312,371,148"</f>
        <v>5,164,312,371,148</v>
      </c>
      <c r="Z37" t="str">
        <f>"2,830,416,329,465"</f>
        <v>2,830,416,329,465</v>
      </c>
      <c r="AA37" t="str">
        <f>"1,280,960,196,024"</f>
        <v>1,280,960,196,024</v>
      </c>
      <c r="AB37" t="str">
        <f>"474,381,774,914"</f>
        <v>474,381,774,914</v>
      </c>
      <c r="AC37" t="str">
        <f>"142,382,071,955"</f>
        <v>142,382,071,955</v>
      </c>
      <c r="AD37" t="str">
        <f>"34,319,117,554"</f>
        <v>34,319,117,554</v>
      </c>
      <c r="AE37" t="str">
        <f>"6,596,614,234"</f>
        <v>6,596,614,234</v>
      </c>
      <c r="AF37" t="str">
        <f>"1,008,595,498"</f>
        <v>1,008,595,498</v>
      </c>
      <c r="AG37" t="str">
        <f>"123,145,244"</f>
        <v>123,145,244</v>
      </c>
      <c r="AH37" t="str">
        <f>"12,116,596"</f>
        <v>12,116,596</v>
      </c>
      <c r="AI37" t="str">
        <f>"967,435"</f>
        <v>967,435</v>
      </c>
      <c r="AJ37" t="str">
        <f>"62,126"</f>
        <v>62,126</v>
      </c>
      <c r="AK37" t="str">
        <f>"3,081"</f>
        <v>3,081</v>
      </c>
      <c r="AL37" t="str">
        <f>"107"</f>
        <v>107</v>
      </c>
      <c r="AM37" t="str">
        <f>"2"</f>
        <v>2</v>
      </c>
    </row>
    <row r="38" spans="1:50" x14ac:dyDescent="0.3">
      <c r="A38">
        <v>36</v>
      </c>
      <c r="B38" t="str">
        <f>"124,146,334,859,675"</f>
        <v>124,146,334,859,675</v>
      </c>
      <c r="C38" t="str">
        <f>"156,521,315,846,424"</f>
        <v>156,521,315,846,424</v>
      </c>
      <c r="D38" t="str">
        <f t="shared" si="1"/>
        <v>1</v>
      </c>
      <c r="E38" t="str">
        <f>"72"</f>
        <v>72</v>
      </c>
      <c r="F38" t="str">
        <f>"2,461"</f>
        <v>2,461</v>
      </c>
      <c r="G38" t="str">
        <f>"53,154"</f>
        <v>53,154</v>
      </c>
      <c r="H38" t="str">
        <f>"814,655"</f>
        <v>814,655</v>
      </c>
      <c r="I38" t="str">
        <f>"9,432,379"</f>
        <v>9,432,379</v>
      </c>
      <c r="J38" t="str">
        <f>"85,767,397"</f>
        <v>85,767,397</v>
      </c>
      <c r="K38" t="str">
        <f>"628,591,241"</f>
        <v>628,591,241</v>
      </c>
      <c r="L38" t="str">
        <f>"3,781,880,452"</f>
        <v>3,781,880,452</v>
      </c>
      <c r="M38" t="str">
        <f>"18,927,915,929"</f>
        <v>18,927,915,929</v>
      </c>
      <c r="N38" t="str">
        <f>"79,577,867,561"</f>
        <v>79,577,867,561</v>
      </c>
      <c r="O38" t="str">
        <f>"283,071,883,477"</f>
        <v>283,071,883,477</v>
      </c>
      <c r="P38" t="str">
        <f>"856,399,467,244"</f>
        <v>856,399,467,244</v>
      </c>
      <c r="Q38" t="str">
        <f>"2,211,572,545,429"</f>
        <v>2,211,572,545,429</v>
      </c>
      <c r="R38" t="str">
        <f>"4,886,116,040,599"</f>
        <v>4,886,116,040,599</v>
      </c>
      <c r="S38" t="str">
        <f>"9,246,005,975,244"</f>
        <v>9,246,005,975,244</v>
      </c>
      <c r="T38" t="str">
        <f>"14,986,738,718,869"</f>
        <v>14,986,738,718,869</v>
      </c>
      <c r="U38" t="str">
        <f>"20,788,786,715,338"</f>
        <v>20,788,786,715,338</v>
      </c>
      <c r="V38" t="str">
        <f>"24,632,553,995,120"</f>
        <v>24,632,553,995,120</v>
      </c>
      <c r="W38" t="str">
        <f>"24,861,000,664,947"</f>
        <v>24,861,000,664,947</v>
      </c>
      <c r="X38" t="str">
        <f>"21,291,076,528,106"</f>
        <v>21,291,076,528,106</v>
      </c>
      <c r="Y38" t="str">
        <f>"15,397,194,483,160"</f>
        <v>15,397,194,483,160</v>
      </c>
      <c r="Z38" t="str">
        <f>"9,347,267,276,436"</f>
        <v>9,347,267,276,436</v>
      </c>
      <c r="AA38" t="str">
        <f>"4,730,404,046,053"</f>
        <v>4,730,404,046,053</v>
      </c>
      <c r="AB38" t="str">
        <f>"1,979,817,087,908"</f>
        <v>1,979,817,087,908</v>
      </c>
      <c r="AC38" t="str">
        <f>"679,343,337,064"</f>
        <v>679,343,337,064</v>
      </c>
      <c r="AD38" t="str">
        <f>"189,430,449,347"</f>
        <v>189,430,449,347</v>
      </c>
      <c r="AE38" t="str">
        <f>"42,588,306,240"</f>
        <v>42,588,306,240</v>
      </c>
      <c r="AF38" t="str">
        <f>"7,681,134,642"</f>
        <v>7,681,134,642</v>
      </c>
      <c r="AG38" t="str">
        <f>"1,111,513,514"</f>
        <v>1,111,513,514</v>
      </c>
      <c r="AH38" t="str">
        <f>"129,917,431"</f>
        <v>129,917,431</v>
      </c>
      <c r="AI38" t="str">
        <f>"12,397,982"</f>
        <v>12,397,982</v>
      </c>
      <c r="AJ38" t="str">
        <f>"971,914"</f>
        <v>971,914</v>
      </c>
      <c r="AK38" t="str">
        <f>"61,882"</f>
        <v>61,882</v>
      </c>
      <c r="AL38" t="str">
        <f>"3,067"</f>
        <v>3,067</v>
      </c>
      <c r="AM38" t="str">
        <f>"107"</f>
        <v>107</v>
      </c>
      <c r="AN38" t="str">
        <f>"2"</f>
        <v>2</v>
      </c>
    </row>
    <row r="39" spans="1:50" x14ac:dyDescent="0.3">
      <c r="A39">
        <v>37</v>
      </c>
      <c r="B39" t="str">
        <f>"272,878,596,166,636"</f>
        <v>272,878,596,166,636</v>
      </c>
      <c r="C39" t="str">
        <f>"374,617,808,119,408"</f>
        <v>374,617,808,119,408</v>
      </c>
      <c r="D39" t="str">
        <f t="shared" si="1"/>
        <v>1</v>
      </c>
      <c r="E39" t="str">
        <f>"74"</f>
        <v>74</v>
      </c>
      <c r="F39" t="str">
        <f>"2,603"</f>
        <v>2,603</v>
      </c>
      <c r="G39" t="str">
        <f>"57,938"</f>
        <v>57,938</v>
      </c>
      <c r="H39" t="str">
        <f>"916,450"</f>
        <v>916,450</v>
      </c>
      <c r="I39" t="str">
        <f>"10,968,591"</f>
        <v>10,968,591</v>
      </c>
      <c r="J39" t="str">
        <f>"103,271,898"</f>
        <v>103,271,898</v>
      </c>
      <c r="K39" t="str">
        <f>"785,141,368"</f>
        <v>785,141,368</v>
      </c>
      <c r="L39" t="str">
        <f>"4,909,702,834"</f>
        <v>4,909,702,834</v>
      </c>
      <c r="M39" t="str">
        <f>"25,593,620,344"</f>
        <v>25,593,620,344</v>
      </c>
      <c r="N39" t="str">
        <f>"112,328,308,083"</f>
        <v>112,328,308,083</v>
      </c>
      <c r="O39" t="str">
        <f>"418,147,777,972"</f>
        <v>418,147,777,972</v>
      </c>
      <c r="P39" t="str">
        <f>"1,327,412,445,422"</f>
        <v>1,327,412,445,422</v>
      </c>
      <c r="Q39" t="str">
        <f>"3,607,382,043,945"</f>
        <v>3,607,382,043,945</v>
      </c>
      <c r="R39" t="str">
        <f>"8,413,970,951,826"</f>
        <v>8,413,970,951,826</v>
      </c>
      <c r="S39" t="str">
        <f>"16,867,881,216,893"</f>
        <v>16,867,881,216,893</v>
      </c>
      <c r="T39" t="str">
        <f>"29,078,062,535,433"</f>
        <v>29,078,062,535,433</v>
      </c>
      <c r="U39" t="str">
        <f>"43,083,272,559,685"</f>
        <v>43,083,272,559,685</v>
      </c>
      <c r="V39" t="str">
        <f>"54,789,513,937,310"</f>
        <v>54,789,513,937,310</v>
      </c>
      <c r="W39" t="str">
        <f>"59,670,220,053,830"</f>
        <v>59,670,220,053,830</v>
      </c>
      <c r="X39" t="str">
        <f>"55,479,000,654,136"</f>
        <v>55,479,000,654,136</v>
      </c>
      <c r="Y39" t="str">
        <f>"43,858,284,006,904"</f>
        <v>43,858,284,006,904</v>
      </c>
      <c r="Z39" t="str">
        <f>"29,332,956,581,480"</f>
        <v>29,332,956,581,480</v>
      </c>
      <c r="AA39" t="str">
        <f>"16,498,697,428,763"</f>
        <v>16,498,697,428,763</v>
      </c>
      <c r="AB39" t="str">
        <f>"7,750,518,582,849"</f>
        <v>7,750,518,582,849</v>
      </c>
      <c r="AC39" t="str">
        <f>"3,017,447,268,214"</f>
        <v>3,017,447,268,214</v>
      </c>
      <c r="AD39" t="str">
        <f>"965,607,481,745"</f>
        <v>965,607,481,745</v>
      </c>
      <c r="AE39" t="str">
        <f>"251,952,650,257"</f>
        <v>251,952,650,257</v>
      </c>
      <c r="AF39" t="str">
        <f>"53,250,649,381"</f>
        <v>53,250,649,381</v>
      </c>
      <c r="AG39" t="str">
        <f>"9,086,812,427"</f>
        <v>9,086,812,427</v>
      </c>
      <c r="AH39" t="str">
        <f>"1,254,814,945"</f>
        <v>1,254,814,945</v>
      </c>
      <c r="AI39" t="str">
        <f>"141,433,887"</f>
        <v>141,433,887</v>
      </c>
      <c r="AJ39" t="str">
        <f>"13,159,124"</f>
        <v>13,159,124</v>
      </c>
      <c r="AK39" t="str">
        <f>"1,015,455"</f>
        <v>1,015,455</v>
      </c>
      <c r="AL39" t="str">
        <f>"64,075"</f>
        <v>64,075</v>
      </c>
      <c r="AM39" t="str">
        <f>"3,155"</f>
        <v>3,155</v>
      </c>
      <c r="AN39" t="str">
        <f>"109"</f>
        <v>109</v>
      </c>
      <c r="AO39" t="str">
        <f>"2"</f>
        <v>2</v>
      </c>
    </row>
    <row r="40" spans="1:50" x14ac:dyDescent="0.3">
      <c r="A40">
        <v>38</v>
      </c>
      <c r="B40" t="str">
        <f>"589,331,414,111,341"</f>
        <v>589,331,414,111,341</v>
      </c>
      <c r="C40" t="str">
        <f>"896,342,432,655,744"</f>
        <v>896,342,432,655,744</v>
      </c>
      <c r="D40" t="str">
        <f t="shared" si="1"/>
        <v>1</v>
      </c>
      <c r="E40" t="str">
        <f>"76"</f>
        <v>76</v>
      </c>
      <c r="F40" t="str">
        <f>"2,749"</f>
        <v>2,749</v>
      </c>
      <c r="G40" t="str">
        <f>"63,002"</f>
        <v>63,002</v>
      </c>
      <c r="H40" t="str">
        <f>"1,027,541"</f>
        <v>1,027,541</v>
      </c>
      <c r="I40" t="str">
        <f>"12,699,631"</f>
        <v>12,699,631</v>
      </c>
      <c r="J40" t="str">
        <f>"123,670,871"</f>
        <v>123,670,871</v>
      </c>
      <c r="K40" t="str">
        <f>"974,142,074"</f>
        <v>974,142,074</v>
      </c>
      <c r="L40" t="str">
        <f>"6,322,908,942"</f>
        <v>6,322,908,942</v>
      </c>
      <c r="M40" t="str">
        <f>"34,279,805,632"</f>
        <v>34,279,805,632</v>
      </c>
      <c r="N40" t="str">
        <f>"156,806,627,932"</f>
        <v>156,806,627,932</v>
      </c>
      <c r="O40" t="str">
        <f>"609,776,768,771"</f>
        <v>609,776,768,771</v>
      </c>
      <c r="P40" t="str">
        <f>"2,027,182,126,332"</f>
        <v>2,027,182,126,332</v>
      </c>
      <c r="Q40" t="str">
        <f>"5,784,927,864,527"</f>
        <v>5,784,927,864,527</v>
      </c>
      <c r="R40" t="str">
        <f>"14,210,346,369,924"</f>
        <v>14,210,346,369,924</v>
      </c>
      <c r="S40" t="str">
        <f>"30,099,671,535,460"</f>
        <v>30,099,671,535,460</v>
      </c>
      <c r="T40" t="str">
        <f>"55,017,728,194,835"</f>
        <v>55,017,728,194,835</v>
      </c>
      <c r="U40" t="str">
        <f>"86,772,114,537,089"</f>
        <v>86,772,114,537,089</v>
      </c>
      <c r="V40" t="str">
        <f>"117,974,109,595,704"</f>
        <v>117,974,109,595,704</v>
      </c>
      <c r="W40" t="str">
        <f>"138,026,571,860,330"</f>
        <v>138,026,571,860,330</v>
      </c>
      <c r="X40" t="str">
        <f>"138,610,464,309,918"</f>
        <v>138,610,464,309,918</v>
      </c>
      <c r="Y40" t="str">
        <f>"119,073,241,648,137"</f>
        <v>119,073,241,648,137</v>
      </c>
      <c r="Z40" t="str">
        <f>"87,130,961,495,647"</f>
        <v>87,130,961,495,647</v>
      </c>
      <c r="AA40" t="str">
        <f>"54,030,988,864,473"</f>
        <v>54,030,988,864,473</v>
      </c>
      <c r="AB40" t="str">
        <f>"28,223,564,290,986"</f>
        <v>28,223,564,290,986</v>
      </c>
      <c r="AC40" t="str">
        <f>"12,333,981,559,823"</f>
        <v>12,333,981,559,823</v>
      </c>
      <c r="AD40" t="str">
        <f>"4,475,640,508,554"</f>
        <v>4,475,640,508,554</v>
      </c>
      <c r="AE40" t="str">
        <f>"1,338,130,270,822"</f>
        <v>1,338,130,270,822</v>
      </c>
      <c r="AF40" t="str">
        <f>"327,274,264,759"</f>
        <v>327,274,264,759</v>
      </c>
      <c r="AG40" t="str">
        <f>"65,138,472,611"</f>
        <v>65,138,472,611</v>
      </c>
      <c r="AH40" t="str">
        <f>"10,538,036,511"</f>
        <v>10,538,036,511</v>
      </c>
      <c r="AI40" t="str">
        <f>"1,392,343,116"</f>
        <v>1,392,343,116</v>
      </c>
      <c r="AJ40" t="str">
        <f>"151,839,093"</f>
        <v>151,839,093</v>
      </c>
      <c r="AK40" t="str">
        <f>"13,826,031"</f>
        <v>13,826,031</v>
      </c>
      <c r="AL40" t="str">
        <f>"1,054,328"</f>
        <v>1,054,328</v>
      </c>
      <c r="AM40" t="str">
        <f>"66,156"</f>
        <v>66,156</v>
      </c>
      <c r="AN40" t="str">
        <f>"3,243"</f>
        <v>3,243</v>
      </c>
      <c r="AO40" t="str">
        <f>"111"</f>
        <v>111</v>
      </c>
      <c r="AP40" t="str">
        <f>"2"</f>
        <v>2</v>
      </c>
    </row>
    <row r="41" spans="1:50" x14ac:dyDescent="0.3">
      <c r="A41">
        <v>39</v>
      </c>
      <c r="B41" t="str">
        <f>"1,248,354,235,498,855"</f>
        <v>1,248,354,235,498,855</v>
      </c>
      <c r="C41" t="str">
        <f>"2,139,582,772,403,285"</f>
        <v>2,139,582,772,403,285</v>
      </c>
      <c r="D41" t="str">
        <f t="shared" si="1"/>
        <v>1</v>
      </c>
      <c r="E41" t="str">
        <f>"78"</f>
        <v>78</v>
      </c>
      <c r="F41" t="str">
        <f>"2,899"</f>
        <v>2,899</v>
      </c>
      <c r="G41" t="str">
        <f>"68,354"</f>
        <v>68,354</v>
      </c>
      <c r="H41" t="str">
        <f>"1,148,480"</f>
        <v>1,148,480</v>
      </c>
      <c r="I41" t="str">
        <f>"14,643,554"</f>
        <v>14,643,554</v>
      </c>
      <c r="J41" t="str">
        <f>"147,336,904"</f>
        <v>147,336,904</v>
      </c>
      <c r="K41" t="str">
        <f>"1,201,040,449"</f>
        <v>1,201,040,449</v>
      </c>
      <c r="L41" t="str">
        <f>"8,081,555,561"</f>
        <v>8,081,555,561</v>
      </c>
      <c r="M41" t="str">
        <f>"45,505,540,049"</f>
        <v>45,505,540,049</v>
      </c>
      <c r="N41" t="str">
        <f>"216,621,942,354"</f>
        <v>216,621,942,354</v>
      </c>
      <c r="O41" t="str">
        <f>"878,517,513,618"</f>
        <v>878,517,513,618</v>
      </c>
      <c r="P41" t="str">
        <f>"3,052,921,102,170"</f>
        <v>3,052,921,102,170</v>
      </c>
      <c r="Q41" t="str">
        <f>"9,129,489,060,584"</f>
        <v>9,129,489,060,584</v>
      </c>
      <c r="R41" t="str">
        <f>"23,564,159,316,653"</f>
        <v>23,564,159,316,653</v>
      </c>
      <c r="S41" t="str">
        <f>"52,599,697,122,200"</f>
        <v>52,599,697,122,200</v>
      </c>
      <c r="T41" t="str">
        <f>"101,646,001,764,941"</f>
        <v>101,646,001,764,941</v>
      </c>
      <c r="U41" t="str">
        <f>"170,082,440,815,735"</f>
        <v>170,082,440,815,735</v>
      </c>
      <c r="V41" t="str">
        <f>"246,284,562,094,851"</f>
        <v>246,284,562,094,851</v>
      </c>
      <c r="W41" t="str">
        <f>"308,207,063,562,162"</f>
        <v>308,207,063,562,162</v>
      </c>
      <c r="X41" t="str">
        <f>"332,637,809,867,258"</f>
        <v>332,637,809,867,258</v>
      </c>
      <c r="Y41" t="str">
        <f>"308,741,000,818,232"</f>
        <v>308,741,000,818,232</v>
      </c>
      <c r="Z41" t="str">
        <f>"245,554,342,667,949"</f>
        <v>245,554,342,667,949</v>
      </c>
      <c r="AA41" t="str">
        <f>"166,619,883,223,549"</f>
        <v>166,619,883,223,549</v>
      </c>
      <c r="AB41" t="str">
        <f>"95,957,946,371,093"</f>
        <v>95,957,946,371,093</v>
      </c>
      <c r="AC41" t="str">
        <f>"46,625,307,637,125"</f>
        <v>46,625,307,637,125</v>
      </c>
      <c r="AD41" t="str">
        <f>"18,987,311,096,911"</f>
        <v>18,987,311,096,911</v>
      </c>
      <c r="AE41" t="str">
        <f>"6,434,643,511,978"</f>
        <v>6,434,643,511,978</v>
      </c>
      <c r="AF41" t="str">
        <f>"1,801,938,845,633"</f>
        <v>1,801,938,845,633</v>
      </c>
      <c r="AG41" t="str">
        <f>"414,437,272,693"</f>
        <v>414,437,272,693</v>
      </c>
      <c r="AH41" t="str">
        <f>"77,999,136,788"</f>
        <v>77,999,136,788</v>
      </c>
      <c r="AI41" t="str">
        <f>"12,021,422,186"</f>
        <v>12,021,422,186</v>
      </c>
      <c r="AJ41" t="str">
        <f>"1,527,425,001"</f>
        <v>1,527,425,001</v>
      </c>
      <c r="AK41" t="str">
        <f>"161,856,865"</f>
        <v>161,856,865</v>
      </c>
      <c r="AL41" t="str">
        <f>"14,458,365"</f>
        <v>14,458,365</v>
      </c>
      <c r="AM41" t="str">
        <f>"1,088,934"</f>
        <v>1,088,934</v>
      </c>
      <c r="AN41" t="str">
        <f>"67,719"</f>
        <v>67,719</v>
      </c>
      <c r="AO41" t="str">
        <f>"3,295"</f>
        <v>3,295</v>
      </c>
      <c r="AP41" t="str">
        <f>"112"</f>
        <v>112</v>
      </c>
      <c r="AQ41" t="str">
        <f>"2"</f>
        <v>2</v>
      </c>
    </row>
    <row r="42" spans="1:50" x14ac:dyDescent="0.3">
      <c r="A42">
        <v>40</v>
      </c>
      <c r="B42" t="str">
        <f>"2,611,067,501,551,077"</f>
        <v>2,611,067,501,551,077</v>
      </c>
      <c r="C42" t="str">
        <f>"5,157,239,789,537,295"</f>
        <v>5,157,239,789,537,295</v>
      </c>
      <c r="D42" t="str">
        <f t="shared" si="1"/>
        <v>1</v>
      </c>
      <c r="E42" t="str">
        <f>"80"</f>
        <v>80</v>
      </c>
      <c r="F42" t="str">
        <f>"3,053"</f>
        <v>3,053</v>
      </c>
      <c r="G42" t="str">
        <f>"74,002"</f>
        <v>74,002</v>
      </c>
      <c r="H42" t="str">
        <f>"1,279,836"</f>
        <v>1,279,836</v>
      </c>
      <c r="I42" t="str">
        <f>"16,819,574"</f>
        <v>16,819,574</v>
      </c>
      <c r="J42" t="str">
        <f>"174,680,023"</f>
        <v>174,680,023</v>
      </c>
      <c r="K42" t="str">
        <f>"1,472,046,162"</f>
        <v>1,472,046,162</v>
      </c>
      <c r="L42" t="str">
        <f>"10,256,697,497"</f>
        <v>10,256,697,497</v>
      </c>
      <c r="M42" t="str">
        <f>"59,909,439,410"</f>
        <v>59,909,439,410</v>
      </c>
      <c r="N42" t="str">
        <f>"296,401,362,284"</f>
        <v>296,401,362,284</v>
      </c>
      <c r="O42" t="str">
        <f>"1,251,897,451,000"</f>
        <v>1,251,897,451,000</v>
      </c>
      <c r="P42" t="str">
        <f>"4,540,894,796,900"</f>
        <v>4,540,894,796,900</v>
      </c>
      <c r="Q42" t="str">
        <f>"14,207,863,773,768"</f>
        <v>14,207,863,773,768</v>
      </c>
      <c r="R42" t="str">
        <f>"38,470,853,037,351"</f>
        <v>38,470,853,037,351</v>
      </c>
      <c r="S42" t="str">
        <f>"90,345,330,730,530"</f>
        <v>90,345,330,730,530</v>
      </c>
      <c r="T42" t="str">
        <f>"184,254,432,003,507"</f>
        <v>184,254,432,003,507</v>
      </c>
      <c r="U42" t="str">
        <f>"326,503,638,332,954"</f>
        <v>326,503,638,332,954</v>
      </c>
      <c r="V42" t="str">
        <f>"502,589,564,438,906"</f>
        <v>502,589,564,438,906</v>
      </c>
      <c r="W42" t="str">
        <f>"671,405,648,020,896"</f>
        <v>671,405,648,020,896</v>
      </c>
      <c r="X42" t="str">
        <f>"777,129,146,563,343"</f>
        <v>777,129,146,563,343</v>
      </c>
      <c r="Y42" t="str">
        <f>"777,550,157,036,524"</f>
        <v>777,550,157,036,524</v>
      </c>
      <c r="Z42" t="str">
        <f>"670,463,934,762,018"</f>
        <v>670,463,934,762,018</v>
      </c>
      <c r="AA42" t="str">
        <f>"496,369,790,765,116"</f>
        <v>496,369,790,765,116</v>
      </c>
      <c r="AB42" t="str">
        <f>"314,100,221,201,674"</f>
        <v>314,100,221,201,674</v>
      </c>
      <c r="AC42" t="str">
        <f>"169,002,363,533,908"</f>
        <v>169,002,363,533,908</v>
      </c>
      <c r="AD42" t="str">
        <f>"76,860,675,276,479"</f>
        <v>76,860,675,276,479</v>
      </c>
      <c r="AE42" t="str">
        <f>"29,354,906,912,762"</f>
        <v>29,354,906,912,762</v>
      </c>
      <c r="AF42" t="str">
        <f>"9,351,519,608,160"</f>
        <v>9,351,519,608,160</v>
      </c>
      <c r="AG42" t="str">
        <f>"2,468,900,694,706"</f>
        <v>2,468,900,694,706</v>
      </c>
      <c r="AH42" t="str">
        <f>"537,426,224,532"</f>
        <v>537,426,224,532</v>
      </c>
      <c r="AI42" t="str">
        <f>"96,238,902,830"</f>
        <v>96,238,902,830</v>
      </c>
      <c r="AJ42" t="str">
        <f>"14,211,644,514"</f>
        <v>14,211,644,514</v>
      </c>
      <c r="AK42" t="str">
        <f>"1,744,407,678"</f>
        <v>1,744,407,678</v>
      </c>
      <c r="AL42" t="str">
        <f>"180,018,963"</f>
        <v>180,018,963</v>
      </c>
      <c r="AM42" t="str">
        <f>"15,755,310"</f>
        <v>15,755,310</v>
      </c>
      <c r="AN42" t="str">
        <f>"1,166,192"</f>
        <v>1,166,192</v>
      </c>
      <c r="AO42" t="str">
        <f>"71,324"</f>
        <v>71,324</v>
      </c>
      <c r="AP42" t="str">
        <f>"3,412"</f>
        <v>3,412</v>
      </c>
      <c r="AQ42" t="str">
        <f>"114"</f>
        <v>114</v>
      </c>
      <c r="AR42" t="str">
        <f>"2"</f>
        <v>2</v>
      </c>
    </row>
    <row r="43" spans="1:50" x14ac:dyDescent="0.3">
      <c r="A43">
        <v>41</v>
      </c>
      <c r="B43" t="str">
        <f>"5,819,653,178,643,422"</f>
        <v>5,819,653,178,643,422</v>
      </c>
      <c r="C43" t="str">
        <f>"13,961,272,972,480,352"</f>
        <v>13,961,272,972,480,352</v>
      </c>
      <c r="D43" t="str">
        <f t="shared" si="1"/>
        <v>1</v>
      </c>
      <c r="E43" t="str">
        <f>"82"</f>
        <v>82</v>
      </c>
      <c r="F43" t="str">
        <f>"3,212"</f>
        <v>3,212</v>
      </c>
      <c r="G43" t="str">
        <f>"80,031"</f>
        <v>80,031</v>
      </c>
      <c r="H43" t="str">
        <f>"1,425,016"</f>
        <v>1,425,016</v>
      </c>
      <c r="I43" t="str">
        <f>"19,313,568"</f>
        <v>19,313,568</v>
      </c>
      <c r="J43" t="str">
        <f>"207,231,161"</f>
        <v>207,231,161</v>
      </c>
      <c r="K43" t="str">
        <f>"1,807,734,648"</f>
        <v>1,807,734,648</v>
      </c>
      <c r="L43" t="str">
        <f>"13,065,286,933"</f>
        <v>13,065,286,933</v>
      </c>
      <c r="M43" t="str">
        <f>"79,335,262,500"</f>
        <v>79,335,262,500</v>
      </c>
      <c r="N43" t="str">
        <f>"409,018,273,970"</f>
        <v>409,018,273,970</v>
      </c>
      <c r="O43" t="str">
        <f>"1,804,810,236,359"</f>
        <v>1,804,810,236,359</v>
      </c>
      <c r="P43" t="str">
        <f>"6,857,997,473,398"</f>
        <v>6,857,997,473,398</v>
      </c>
      <c r="Q43" t="str">
        <f>"22,545,649,219,346"</f>
        <v>22,545,649,219,346</v>
      </c>
      <c r="R43" t="str">
        <f>"64,347,287,297,087"</f>
        <v>64,347,287,297,087</v>
      </c>
      <c r="S43" t="str">
        <f>"159,833,162,727,841"</f>
        <v>159,833,162,727,841</v>
      </c>
      <c r="T43" t="str">
        <f>"346,070,117,156,393"</f>
        <v>346,070,117,156,393</v>
      </c>
      <c r="U43" t="str">
        <f>"653,700,943,389,028"</f>
        <v>653,700,943,389,028</v>
      </c>
      <c r="V43" t="str">
        <f>"1,077,365,382,826,855"</f>
        <v>1,077,365,382,826,855</v>
      </c>
      <c r="W43" t="str">
        <f>"1,548,382,599,587,798"</f>
        <v>1,548,382,599,587,798</v>
      </c>
      <c r="X43" t="str">
        <f>"1,938,241,774,118,195"</f>
        <v>1,938,241,774,118,195</v>
      </c>
      <c r="Y43" t="str">
        <f>"2,109,395,753,820,672"</f>
        <v>2,109,395,753,820,672</v>
      </c>
      <c r="Z43" t="str">
        <f>"1,990,924,158,738,142"</f>
        <v>1,990,924,158,738,142</v>
      </c>
      <c r="AA43" t="str">
        <f>"1,624,565,200,760,180"</f>
        <v>1,624,565,200,760,180</v>
      </c>
      <c r="AB43" t="str">
        <f>"1,141,692,597,124,776"</f>
        <v>1,141,692,597,124,776</v>
      </c>
      <c r="AC43" t="str">
        <f>"687,911,429,102,322"</f>
        <v>687,911,429,102,322</v>
      </c>
      <c r="AD43" t="str">
        <f>"353,531,589,331,472"</f>
        <v>353,531,589,331,472</v>
      </c>
      <c r="AE43" t="str">
        <f>"154,062,778,989,261"</f>
        <v>154,062,778,989,261</v>
      </c>
      <c r="AF43" t="str">
        <f>"56,569,585,955,024"</f>
        <v>56,569,585,955,024</v>
      </c>
      <c r="AG43" t="str">
        <f>"17,387,546,382,017"</f>
        <v>17,387,546,382,017</v>
      </c>
      <c r="AH43" t="str">
        <f>"4,446,128,931,362"</f>
        <v>4,446,128,931,362</v>
      </c>
      <c r="AI43" t="str">
        <f>"941,294,930,894"</f>
        <v>941,294,930,894</v>
      </c>
      <c r="AJ43" t="str">
        <f>"164,664,871,598"</f>
        <v>164,664,871,598</v>
      </c>
      <c r="AK43" t="str">
        <f>"23,858,811,616"</f>
        <v>23,858,811,616</v>
      </c>
      <c r="AL43" t="str">
        <f>"2,884,637,291"</f>
        <v>2,884,637,291</v>
      </c>
      <c r="AM43" t="str">
        <f>"294,025,030"</f>
        <v>294,025,030</v>
      </c>
      <c r="AN43" t="str">
        <f>"25,445,737"</f>
        <v>25,445,737</v>
      </c>
      <c r="AO43" t="str">
        <f>"1,861,684"</f>
        <v>1,861,684</v>
      </c>
      <c r="AP43" t="str">
        <f>"112,379"</f>
        <v>112,379</v>
      </c>
      <c r="AQ43" t="str">
        <f>"5,296"</f>
        <v>5,296</v>
      </c>
      <c r="AR43" t="str">
        <f>"174"</f>
        <v>174</v>
      </c>
      <c r="AS43" t="str">
        <f>"3"</f>
        <v>3</v>
      </c>
    </row>
    <row r="44" spans="1:50" x14ac:dyDescent="0.3">
      <c r="A44">
        <v>42</v>
      </c>
      <c r="B44" t="str">
        <f>"11,410,930,423,013,252"</f>
        <v>11,410,930,423,013,252</v>
      </c>
      <c r="C44" t="str">
        <f>"32,213,139,277,648,829"</f>
        <v>32,213,139,277,648,829</v>
      </c>
      <c r="D44" t="str">
        <f t="shared" si="1"/>
        <v>1</v>
      </c>
      <c r="E44" t="str">
        <f>"84"</f>
        <v>84</v>
      </c>
      <c r="F44" t="str">
        <f>"3,374"</f>
        <v>3,374</v>
      </c>
      <c r="G44" t="str">
        <f>"86,296"</f>
        <v>86,296</v>
      </c>
      <c r="H44" t="str">
        <f>"1,579,047"</f>
        <v>1,579,047</v>
      </c>
      <c r="I44" t="str">
        <f>"22,018,273"</f>
        <v>22,018,273</v>
      </c>
      <c r="J44" t="str">
        <f>"243,359,163"</f>
        <v>243,359,163</v>
      </c>
      <c r="K44" t="str">
        <f>"2,189,532,007"</f>
        <v>2,189,532,007</v>
      </c>
      <c r="L44" t="str">
        <f>"16,343,274,713"</f>
        <v>16,343,274,713</v>
      </c>
      <c r="M44" t="str">
        <f>"102,635,852,785"</f>
        <v>102,635,852,785</v>
      </c>
      <c r="N44" t="str">
        <f>"548,061,928,851"</f>
        <v>548,061,928,851</v>
      </c>
      <c r="O44" t="str">
        <f>"2,508,702,338,820"</f>
        <v>2,508,702,338,820</v>
      </c>
      <c r="P44" t="str">
        <f>"9,905,145,627,499"</f>
        <v>9,905,145,627,499</v>
      </c>
      <c r="Q44" t="str">
        <f>"33,894,592,887,375"</f>
        <v>33,894,592,887,375</v>
      </c>
      <c r="R44" t="str">
        <f>"100,880,695,564,371"</f>
        <v>100,880,695,564,371</v>
      </c>
      <c r="S44" t="str">
        <f>"261,827,106,843,863"</f>
        <v>261,827,106,843,863</v>
      </c>
      <c r="T44" t="str">
        <f>"593,611,300,866,894"</f>
        <v>593,611,300,866,894</v>
      </c>
      <c r="U44" t="str">
        <f>"1,176,784,698,620,586"</f>
        <v>1,176,784,698,620,586</v>
      </c>
      <c r="V44" t="str">
        <f>"2,040,465,117,328,830"</f>
        <v>2,040,465,117,328,830</v>
      </c>
      <c r="W44" t="str">
        <f>"3,093,511,730,320,581"</f>
        <v>3,093,511,730,320,581</v>
      </c>
      <c r="X44" t="str">
        <f>"4,096,871,834,979,839"</f>
        <v>4,096,871,834,979,839</v>
      </c>
      <c r="Y44" t="str">
        <f>"4,732,144,243,584,783"</f>
        <v>4,732,144,243,584,783</v>
      </c>
      <c r="Z44" t="str">
        <f>"4,757,017,034,326,394"</f>
        <v>4,757,017,034,326,394</v>
      </c>
      <c r="AA44" t="str">
        <f>"4,150,342,987,734,008"</f>
        <v>4,150,342,987,734,008</v>
      </c>
      <c r="AB44" t="str">
        <f>"3,132,107,627,109,595"</f>
        <v>3,132,107,627,109,595</v>
      </c>
      <c r="AC44" t="str">
        <f>"2,036,330,115,669,149"</f>
        <v>2,036,330,115,669,149</v>
      </c>
      <c r="AD44" t="str">
        <f>"1,135,270,292,744,712"</f>
        <v>1,135,270,292,744,712</v>
      </c>
      <c r="AE44" t="str">
        <f>"539,896,698,561,209"</f>
        <v>539,896,698,561,209</v>
      </c>
      <c r="AF44" t="str">
        <f>"217,763,578,225,495"</f>
        <v>217,763,578,225,495</v>
      </c>
      <c r="AG44" t="str">
        <f>"74,045,744,481,214"</f>
        <v>74,045,744,481,214</v>
      </c>
      <c r="AH44" t="str">
        <f>"21,099,993,017,361"</f>
        <v>21,099,993,017,361</v>
      </c>
      <c r="AI44" t="str">
        <f>"5,013,152,975,099"</f>
        <v>5,013,152,975,099</v>
      </c>
      <c r="AJ44" t="str">
        <f>"989,870,145,408"</f>
        <v>989,870,145,408</v>
      </c>
      <c r="AK44" t="str">
        <f>"162,432,079,213"</f>
        <v>162,432,079,213</v>
      </c>
      <c r="AL44" t="str">
        <f>"22,246,171,068"</f>
        <v>22,246,171,068</v>
      </c>
      <c r="AM44" t="str">
        <f>"2,564,171,653"</f>
        <v>2,564,171,653</v>
      </c>
      <c r="AN44" t="str">
        <f>"251,083,325"</f>
        <v>251,083,325</v>
      </c>
      <c r="AO44" t="str">
        <f>"20,980,762"</f>
        <v>20,980,762</v>
      </c>
      <c r="AP44" t="str">
        <f>"1,484,552"</f>
        <v>1,484,552</v>
      </c>
      <c r="AQ44" t="str">
        <f>"86,531"</f>
        <v>86,531</v>
      </c>
      <c r="AR44" t="str">
        <f>"3,921"</f>
        <v>3,921</v>
      </c>
      <c r="AS44" t="str">
        <f>"123"</f>
        <v>123</v>
      </c>
      <c r="AT44" t="str">
        <f>"2"</f>
        <v>2</v>
      </c>
    </row>
    <row r="45" spans="1:50" x14ac:dyDescent="0.3">
      <c r="A45">
        <v>43</v>
      </c>
      <c r="B45" t="str">
        <f>"22,527,375,007,438,319"</f>
        <v>22,527,375,007,438,319</v>
      </c>
      <c r="C45" t="str">
        <f>"77,712,652,038,512,113"</f>
        <v>77,712,652,038,512,113</v>
      </c>
      <c r="D45" t="str">
        <f t="shared" si="1"/>
        <v>1</v>
      </c>
      <c r="E45" t="str">
        <f>"86"</f>
        <v>86</v>
      </c>
      <c r="F45" t="str">
        <f>"3,540"</f>
        <v>3,540</v>
      </c>
      <c r="G45" t="str">
        <f>"92,882"</f>
        <v>92,882</v>
      </c>
      <c r="H45" t="str">
        <f>"1,745,373"</f>
        <v>1,745,373</v>
      </c>
      <c r="I45" t="str">
        <f>"25,022,262"</f>
        <v>25,022,262</v>
      </c>
      <c r="J45" t="str">
        <f>"284,688,397"</f>
        <v>284,688,397</v>
      </c>
      <c r="K45" t="str">
        <f>"2,640,064,117"</f>
        <v>2,640,064,117</v>
      </c>
      <c r="L45" t="str">
        <f>"20,339,615,877"</f>
        <v>20,339,615,877</v>
      </c>
      <c r="M45" t="str">
        <f>"132,033,258,689"</f>
        <v>132,033,258,689</v>
      </c>
      <c r="N45" t="str">
        <f>"729,927,022,966"</f>
        <v>729,927,022,966</v>
      </c>
      <c r="O45" t="str">
        <f>"3,464,966,885,874"</f>
        <v>3,464,966,885,874</v>
      </c>
      <c r="P45" t="str">
        <f>"14,213,482,479,633"</f>
        <v>14,213,482,479,633</v>
      </c>
      <c r="Q45" t="str">
        <f>"50,630,272,726,875"</f>
        <v>50,630,272,726,875</v>
      </c>
      <c r="R45" t="str">
        <f>"157,197,819,762,619"</f>
        <v>157,197,819,762,619</v>
      </c>
      <c r="S45" t="str">
        <f>"426,585,128,583,841"</f>
        <v>426,585,128,583,841</v>
      </c>
      <c r="T45" t="str">
        <f>"1,013,735,068,884,484"</f>
        <v>1,013,735,068,884,484</v>
      </c>
      <c r="U45" t="str">
        <f>"2,112,144,530,011,229"</f>
        <v>2,112,144,530,011,229</v>
      </c>
      <c r="V45" t="str">
        <f>"3,860,460,894,339,289"</f>
        <v>3,860,460,894,339,289</v>
      </c>
      <c r="W45" t="str">
        <f>"6,189,321,101,051,336"</f>
        <v>6,189,321,101,051,336</v>
      </c>
      <c r="X45" t="str">
        <f>"8,698,736,491,198,949"</f>
        <v>8,698,736,491,198,949</v>
      </c>
      <c r="Y45" t="str">
        <f>"10,704,225,394,455,257"</f>
        <v>10,704,225,394,455,257</v>
      </c>
      <c r="Z45" t="str">
        <f>"11,512,614,370,742,863"</f>
        <v>11,512,614,370,742,863</v>
      </c>
      <c r="AA45" t="str">
        <f>"10,796,939,767,460,904"</f>
        <v>10,796,939,767,460,904</v>
      </c>
      <c r="AB45" t="str">
        <f>"8,803,863,657,413,306"</f>
        <v>8,803,863,657,413,306</v>
      </c>
      <c r="AC45" t="str">
        <f>"6,219,759,278,681,990"</f>
        <v>6,219,759,278,681,990</v>
      </c>
      <c r="AD45" t="str">
        <f>"3,791,612,815,678,968"</f>
        <v>3,791,612,815,678,968</v>
      </c>
      <c r="AE45" t="str">
        <f>"1,985,147,770,249,589"</f>
        <v>1,985,147,770,249,589</v>
      </c>
      <c r="AF45" t="str">
        <f>"888,007,561,163,665"</f>
        <v>888,007,561,163,665</v>
      </c>
      <c r="AG45" t="str">
        <f>"337,485,475,144,521"</f>
        <v>337,485,475,144,521</v>
      </c>
      <c r="AH45" t="str">
        <f>"108,343,319,626,052"</f>
        <v>108,343,319,626,052</v>
      </c>
      <c r="AI45" t="str">
        <f>"29,220,499,513,597"</f>
        <v>29,220,499,513,597</v>
      </c>
      <c r="AJ45" t="str">
        <f>"6,591,839,112,490"</f>
        <v>6,591,839,112,490</v>
      </c>
      <c r="AK45" t="str">
        <f>"1,241,057,980,938"</f>
        <v>1,241,057,980,938</v>
      </c>
      <c r="AL45" t="str">
        <f>"195,234,008,981"</f>
        <v>195,234,008,981</v>
      </c>
      <c r="AM45" t="str">
        <f>"25,800,027,121"</f>
        <v>25,800,027,121</v>
      </c>
      <c r="AN45" t="str">
        <f>"2,889,008,561"</f>
        <v>2,889,008,561</v>
      </c>
      <c r="AO45" t="str">
        <f>"276,463,397"</f>
        <v>276,463,397</v>
      </c>
      <c r="AP45" t="str">
        <f>"22,669,390"</f>
        <v>22,669,390</v>
      </c>
      <c r="AQ45" t="str">
        <f>"1,577,507"</f>
        <v>1,577,507</v>
      </c>
      <c r="AR45" t="str">
        <f>"90,528"</f>
        <v>90,528</v>
      </c>
      <c r="AS45" t="str">
        <f>"4,042"</f>
        <v>4,042</v>
      </c>
      <c r="AT45" t="str">
        <f>"125"</f>
        <v>125</v>
      </c>
      <c r="AU45" t="str">
        <f>"2"</f>
        <v>2</v>
      </c>
    </row>
    <row r="46" spans="1:50" x14ac:dyDescent="0.3">
      <c r="A46">
        <v>44</v>
      </c>
      <c r="B46" t="str">
        <f>"43,476,415,298,208,333"</f>
        <v>43,476,415,298,208,333</v>
      </c>
      <c r="C46" t="str">
        <f>"185,100,154,012,183,212"</f>
        <v>185,100,154,012,183,212</v>
      </c>
      <c r="D46" t="str">
        <f t="shared" si="1"/>
        <v>1</v>
      </c>
      <c r="E46" t="str">
        <f>"88"</f>
        <v>88</v>
      </c>
      <c r="F46" t="str">
        <f>"3,710"</f>
        <v>3,710</v>
      </c>
      <c r="G46" t="str">
        <f>"99,796"</f>
        <v>99,796</v>
      </c>
      <c r="H46" t="str">
        <f>"1,924,550"</f>
        <v>1,924,550</v>
      </c>
      <c r="I46" t="str">
        <f>"28,346,605"</f>
        <v>28,346,605</v>
      </c>
      <c r="J46" t="str">
        <f>"331,726,103"</f>
        <v>331,726,103</v>
      </c>
      <c r="K46" t="str">
        <f>"3,168,045,642"</f>
        <v>3,168,045,642</v>
      </c>
      <c r="L46" t="str">
        <f>"25,168,111,872"</f>
        <v>25,168,111,872</v>
      </c>
      <c r="M46" t="str">
        <f>"168,702,217,337"</f>
        <v>168,702,217,337</v>
      </c>
      <c r="N46" t="str">
        <f>"964,456,654,872"</f>
        <v>964,456,654,872</v>
      </c>
      <c r="O46" t="str">
        <f>"4,741,822,298,449"</f>
        <v>4,741,822,298,449</v>
      </c>
      <c r="P46" t="str">
        <f>"20,179,531,614,180"</f>
        <v>20,179,531,614,180</v>
      </c>
      <c r="Q46" t="str">
        <f>"74,705,938,716,868"</f>
        <v>74,705,938,716,868</v>
      </c>
      <c r="R46" t="str">
        <f>"241,517,419,304,425"</f>
        <v>241,517,419,304,425</v>
      </c>
      <c r="S46" t="str">
        <f>"683,825,987,469,567"</f>
        <v>683,825,987,469,567</v>
      </c>
      <c r="T46" t="str">
        <f>"1,699,210,242,753,259"</f>
        <v>1,699,210,242,753,259</v>
      </c>
      <c r="U46" t="str">
        <f>"3,710,603,308,630,792"</f>
        <v>3,710,603,308,630,792</v>
      </c>
      <c r="V46" t="str">
        <f>"7,126,105,567,174,240"</f>
        <v>7,126,105,567,174,240</v>
      </c>
      <c r="W46" t="str">
        <f>"12,037,317,469,664,911"</f>
        <v>12,037,317,469,664,911</v>
      </c>
      <c r="X46" t="str">
        <f>"17,877,046,153,451,066"</f>
        <v>17,877,046,153,451,066</v>
      </c>
      <c r="Y46" t="str">
        <f>"23,320,450,184,068,987"</f>
        <v>23,320,450,184,068,987</v>
      </c>
      <c r="Z46" t="str">
        <f>"26,681,533,201,181,177"</f>
        <v>26,681,533,201,181,177</v>
      </c>
      <c r="AA46" t="str">
        <f>"26,720,548,959,720,397"</f>
        <v>26,720,548,959,720,397</v>
      </c>
      <c r="AB46" t="str">
        <f>"23,363,402,619,574,011"</f>
        <v>23,363,402,619,574,011</v>
      </c>
      <c r="AC46" t="str">
        <f>"17,780,396,602,115,718"</f>
        <v>17,780,396,602,115,718</v>
      </c>
      <c r="AD46" t="str">
        <f>"11,734,927,000,323,126"</f>
        <v>11,734,927,000,323,126</v>
      </c>
      <c r="AE46" t="str">
        <f>"6,688,601,196,360,433"</f>
        <v>6,688,601,196,360,433</v>
      </c>
      <c r="AF46" t="str">
        <f>"3,276,930,992,446,794"</f>
        <v>3,276,930,992,446,794</v>
      </c>
      <c r="AG46" t="str">
        <f>"1,372,951,047,499,686"</f>
        <v>1,372,951,047,499,686</v>
      </c>
      <c r="AH46" t="str">
        <f>"489,298,980,630,065"</f>
        <v>489,298,980,630,065</v>
      </c>
      <c r="AI46" t="str">
        <f>"147,551,347,778,333"</f>
        <v>147,551,347,778,333</v>
      </c>
      <c r="AJ46" t="str">
        <f>"37,476,985,094,223"</f>
        <v>37,476,985,094,223</v>
      </c>
      <c r="AK46" t="str">
        <f>"7,992,669,166,954"</f>
        <v>7,992,669,166,954</v>
      </c>
      <c r="AL46" t="str">
        <f>"1,430,538,970,225"</f>
        <v>1,430,538,970,225</v>
      </c>
      <c r="AM46" t="str">
        <f>"215,542,421,676"</f>
        <v>215,542,421,676</v>
      </c>
      <c r="AN46" t="str">
        <f>"27,530,179,689"</f>
        <v>27,530,179,689</v>
      </c>
      <c r="AO46" t="str">
        <f>"3,008,359,328"</f>
        <v>3,008,359,328</v>
      </c>
      <c r="AP46" t="str">
        <f>"283,377,105"</f>
        <v>283,377,105</v>
      </c>
      <c r="AQ46" t="str">
        <f>"23,018,853"</f>
        <v>23,018,853</v>
      </c>
      <c r="AR46" t="str">
        <f>"1,592,858"</f>
        <v>1,592,858</v>
      </c>
      <c r="AS46" t="str">
        <f>"91,061"</f>
        <v>91,061</v>
      </c>
      <c r="AT46" t="str">
        <f>"4,053"</f>
        <v>4,053</v>
      </c>
      <c r="AU46" t="str">
        <f>"125"</f>
        <v>125</v>
      </c>
      <c r="AV46" t="str">
        <f>"2"</f>
        <v>2</v>
      </c>
    </row>
    <row r="47" spans="1:50" x14ac:dyDescent="0.3">
      <c r="A47">
        <v>45</v>
      </c>
      <c r="B47" t="str">
        <f>"82,585,343,644,822,201"</f>
        <v>82,585,343,644,822,201</v>
      </c>
      <c r="C47" t="str">
        <f>"442,400,383,704,440,235"</f>
        <v>442,400,383,704,440,235</v>
      </c>
      <c r="D47" t="str">
        <f t="shared" si="1"/>
        <v>1</v>
      </c>
      <c r="E47" t="str">
        <f>"90"</f>
        <v>90</v>
      </c>
      <c r="F47" t="str">
        <f>"3,884"</f>
        <v>3,884</v>
      </c>
      <c r="G47" t="str">
        <f>"107,046"</f>
        <v>107,046</v>
      </c>
      <c r="H47" t="str">
        <f>"2,117,227"</f>
        <v>2,117,227</v>
      </c>
      <c r="I47" t="str">
        <f>"32,016,449"</f>
        <v>32,016,449</v>
      </c>
      <c r="J47" t="str">
        <f>"385,091,990"</f>
        <v>385,091,990</v>
      </c>
      <c r="K47" t="str">
        <f>"3,784,388,671"</f>
        <v>3,784,388,671</v>
      </c>
      <c r="L47" t="str">
        <f>"30,974,997,257"</f>
        <v>30,974,997,257</v>
      </c>
      <c r="M47" t="str">
        <f>"214,193,987,797"</f>
        <v>214,193,987,797</v>
      </c>
      <c r="N47" t="str">
        <f>"1,265,027,572,495"</f>
        <v>1,265,027,572,495</v>
      </c>
      <c r="O47" t="str">
        <f>"6,434,827,117,615"</f>
        <v>6,434,827,117,615</v>
      </c>
      <c r="P47" t="str">
        <f>"28,376,754,150,068"</f>
        <v>28,376,754,150,068</v>
      </c>
      <c r="Q47" t="str">
        <f>"109,043,223,853,703"</f>
        <v>109,043,223,853,703</v>
      </c>
      <c r="R47" t="str">
        <f>"366,578,189,350,805"</f>
        <v>366,578,189,350,805</v>
      </c>
      <c r="S47" t="str">
        <f>"1,081,376,925,637,864"</f>
        <v>1,081,376,925,637,864</v>
      </c>
      <c r="T47" t="str">
        <f>"2,805,386,613,430,241"</f>
        <v>2,805,386,613,430,241</v>
      </c>
      <c r="U47" t="str">
        <f>"6,410,234,652,986,908"</f>
        <v>6,410,234,652,986,908</v>
      </c>
      <c r="V47" t="str">
        <f>"12,912,547,941,582,998"</f>
        <v>12,912,547,941,582,998</v>
      </c>
      <c r="W47" t="str">
        <f>"22,937,815,337,255,887"</f>
        <v>22,937,815,337,255,887</v>
      </c>
      <c r="X47" t="str">
        <f>"35,926,034,779,173,205"</f>
        <v>35,926,034,779,173,205</v>
      </c>
      <c r="Y47" t="str">
        <f>"49,576,764,719,157,918"</f>
        <v>49,576,764,719,157,918</v>
      </c>
      <c r="Z47" t="str">
        <f>"60,205,705,617,990,915"</f>
        <v>60,205,705,617,990,915</v>
      </c>
      <c r="AA47" t="str">
        <f>"64,232,086,290,093,352"</f>
        <v>64,232,086,290,093,352</v>
      </c>
      <c r="AB47" t="str">
        <f>"60,071,616,517,591,933"</f>
        <v>60,071,616,517,591,933</v>
      </c>
      <c r="AC47" t="str">
        <f>"49,115,426,328,776,076"</f>
        <v>49,115,426,328,776,076</v>
      </c>
      <c r="AD47" t="str">
        <f>"34,994,815,636,297,194"</f>
        <v>34,994,815,636,297,194</v>
      </c>
      <c r="AE47" t="str">
        <f>"21,647,637,732,364,470"</f>
        <v>21,647,637,732,364,470</v>
      </c>
      <c r="AF47" t="str">
        <f>"11,577,337,299,915,908"</f>
        <v>11,577,337,299,915,908</v>
      </c>
      <c r="AG47" t="str">
        <f>"5,328,189,804,652,183"</f>
        <v>5,328,189,804,652,183</v>
      </c>
      <c r="AH47" t="str">
        <f>"2,099,755,555,860,205"</f>
        <v>2,099,755,555,860,205</v>
      </c>
      <c r="AI47" t="str">
        <f>"704,991,586,841,160"</f>
        <v>704,991,586,841,160</v>
      </c>
      <c r="AJ47" t="str">
        <f>"200,708,891,638,829"</f>
        <v>200,708,891,638,829</v>
      </c>
      <c r="AK47" t="str">
        <f>"48,268,135,430,127"</f>
        <v>48,268,135,430,127</v>
      </c>
      <c r="AL47" t="str">
        <f>"9,785,739,825,601"</f>
        <v>9,785,739,825,601</v>
      </c>
      <c r="AM47" t="str">
        <f>"1,673,912,743,258"</f>
        <v>1,673,912,743,258</v>
      </c>
      <c r="AN47" t="str">
        <f>"242,688,283,342"</f>
        <v>242,688,283,342</v>
      </c>
      <c r="AO47" t="str">
        <f>"30,064,820,973"</f>
        <v>30,064,820,973</v>
      </c>
      <c r="AP47" t="str">
        <f>"3,213,219,866"</f>
        <v>3,213,219,866</v>
      </c>
      <c r="AQ47" t="str">
        <f>"298,329,313"</f>
        <v>298,329,313</v>
      </c>
      <c r="AR47" t="str">
        <f>"24,031,807"</f>
        <v>24,031,807</v>
      </c>
      <c r="AS47" t="str">
        <f>"1,655,091"</f>
        <v>1,655,091</v>
      </c>
      <c r="AT47" t="str">
        <f>"94,219"</f>
        <v>94,219</v>
      </c>
      <c r="AU47" t="str">
        <f>"4,165"</f>
        <v>4,165</v>
      </c>
      <c r="AV47" t="str">
        <f>"127"</f>
        <v>127</v>
      </c>
      <c r="AW47" t="str">
        <f>"2"</f>
        <v>2</v>
      </c>
    </row>
    <row r="48" spans="1:50" x14ac:dyDescent="0.3">
      <c r="A48">
        <v>46</v>
      </c>
      <c r="B48" t="str">
        <f>"154,313,771,519,093,140"</f>
        <v>154,313,771,519,093,140</v>
      </c>
      <c r="C48" t="str">
        <f>"1,057,080,359,935,212,943"</f>
        <v>1,057,080,359,935,212,943</v>
      </c>
      <c r="D48" t="str">
        <f t="shared" si="1"/>
        <v>1</v>
      </c>
      <c r="E48" t="str">
        <f>"92"</f>
        <v>92</v>
      </c>
      <c r="F48" t="str">
        <f>"4,062"</f>
        <v>4,062</v>
      </c>
      <c r="G48" t="str">
        <f>"114,640"</f>
        <v>114,640</v>
      </c>
      <c r="H48" t="str">
        <f>"2,324,068"</f>
        <v>2,324,068</v>
      </c>
      <c r="I48" t="str">
        <f>"36,058,145"</f>
        <v>36,058,145</v>
      </c>
      <c r="J48" t="str">
        <f>"445,451,909"</f>
        <v>445,451,909</v>
      </c>
      <c r="K48" t="str">
        <f>"4,501,129,559"</f>
        <v>4,501,129,559</v>
      </c>
      <c r="L48" t="str">
        <f>"37,926,072,368"</f>
        <v>37,926,072,368</v>
      </c>
      <c r="M48" t="str">
        <f>"270,318,875,737"</f>
        <v>270,318,875,737</v>
      </c>
      <c r="N48" t="str">
        <f>"1,647,730,306,188"</f>
        <v>1,647,730,306,188</v>
      </c>
      <c r="O48" t="str">
        <f>"8,662,640,366,145"</f>
        <v>8,662,640,366,145</v>
      </c>
      <c r="P48" t="str">
        <f>"39,541,439,175,344"</f>
        <v>39,541,439,175,344</v>
      </c>
      <c r="Q48" t="str">
        <f>"157,527,486,223,951"</f>
        <v>157,527,486,223,951</v>
      </c>
      <c r="R48" t="str">
        <f>"549,958,942,095,087"</f>
        <v>549,958,942,095,087</v>
      </c>
      <c r="S48" t="str">
        <f>"1,687,858,183,165,666"</f>
        <v>1,687,858,183,165,666</v>
      </c>
      <c r="T48" t="str">
        <f>"4,564,491,403,941,021"</f>
        <v>4,564,491,403,941,021</v>
      </c>
      <c r="U48" t="str">
        <f>"10,894,878,319,263,277"</f>
        <v>10,894,878,319,263,277</v>
      </c>
      <c r="V48" t="str">
        <f>"22,976,628,949,552,801"</f>
        <v>22,976,628,949,552,801</v>
      </c>
      <c r="W48" t="str">
        <f>"42,835,747,772,563,846"</f>
        <v>42,835,747,772,563,846</v>
      </c>
      <c r="X48" t="str">
        <f>"70,596,515,422,409,233"</f>
        <v>70,596,515,422,409,233</v>
      </c>
      <c r="Y48" t="str">
        <f>"102,803,350,955,872,353"</f>
        <v>102,803,350,955,872,353</v>
      </c>
      <c r="Z48" t="str">
        <f>"132,149,096,342,898,140"</f>
        <v>132,149,096,342,898,140</v>
      </c>
      <c r="AA48" t="str">
        <f>"149,739,990,763,470,395"</f>
        <v>149,739,990,763,470,395</v>
      </c>
      <c r="AB48" t="str">
        <f>"149,282,599,334,853,598"</f>
        <v>149,282,599,334,853,598</v>
      </c>
      <c r="AC48" t="str">
        <f>"130,633,448,097,937,462"</f>
        <v>130,633,448,097,937,462</v>
      </c>
      <c r="AD48" t="str">
        <f>"100,055,645,718,791,232"</f>
        <v>100,055,645,718,791,232</v>
      </c>
      <c r="AE48" t="str">
        <f>"66,854,449,774,317,633"</f>
        <v>66,854,449,774,317,633</v>
      </c>
      <c r="AF48" t="str">
        <f>"38,821,835,595,801,423"</f>
        <v>38,821,835,595,801,423</v>
      </c>
      <c r="AG48" t="str">
        <f>"19,509,512,058,814,817"</f>
        <v>19,509,512,058,814,817</v>
      </c>
      <c r="AH48" t="str">
        <f>"8,446,123,652,439,339"</f>
        <v>8,446,123,652,439,339</v>
      </c>
      <c r="AI48" t="str">
        <f>"3,135,049,722,071,491"</f>
        <v>3,135,049,722,071,491</v>
      </c>
      <c r="AJ48" t="str">
        <f>"993,084,253,385,161"</f>
        <v>993,084,253,385,161</v>
      </c>
      <c r="AK48" t="str">
        <f>"267,365,843,668,865"</f>
        <v>267,365,843,668,865</v>
      </c>
      <c r="AL48" t="str">
        <f>"61,005,736,985,286"</f>
        <v>61,005,736,985,286</v>
      </c>
      <c r="AM48" t="str">
        <f>"11,789,067,210,212"</f>
        <v>11,789,067,210,212</v>
      </c>
      <c r="AN48" t="str">
        <f>"1,934,044,700,575"</f>
        <v>1,934,044,700,575</v>
      </c>
      <c r="AO48" t="str">
        <f>"270,967,585,555"</f>
        <v>270,967,585,555</v>
      </c>
      <c r="AP48" t="str">
        <f>"32,709,568,250"</f>
        <v>32,709,568,250</v>
      </c>
      <c r="AQ48" t="str">
        <f>"3,433,601,076"</f>
        <v>3,433,601,076</v>
      </c>
      <c r="AR48" t="str">
        <f>"315,121,333"</f>
        <v>315,121,333</v>
      </c>
      <c r="AS48" t="str">
        <f>"25,197,771"</f>
        <v>25,197,771</v>
      </c>
      <c r="AT48" t="str">
        <f>"1,725,769"</f>
        <v>1,725,769</v>
      </c>
      <c r="AU48" t="str">
        <f>"97,655"</f>
        <v>97,655</v>
      </c>
      <c r="AV48" t="str">
        <f>"4,281"</f>
        <v>4,281</v>
      </c>
      <c r="AW48" t="str">
        <f>"129"</f>
        <v>129</v>
      </c>
      <c r="AX48" t="str">
        <f>"2"</f>
        <v>2</v>
      </c>
    </row>
    <row r="49" spans="1:66" x14ac:dyDescent="0.3">
      <c r="A49">
        <v>47</v>
      </c>
      <c r="B49" t="str">
        <f>"283,633,371,242,961,616"</f>
        <v>283,633,371,242,961,616</v>
      </c>
      <c r="C49" t="str">
        <f>"2,519,472,323,862,346,980"</f>
        <v>2,519,472,323,862,346,980</v>
      </c>
      <c r="D49" t="str">
        <f t="shared" si="1"/>
        <v>1</v>
      </c>
      <c r="E49" t="str">
        <f>"94"</f>
        <v>94</v>
      </c>
      <c r="F49" t="str">
        <f>"4,244"</f>
        <v>4,244</v>
      </c>
      <c r="G49" t="str">
        <f>"122,586"</f>
        <v>122,586</v>
      </c>
      <c r="H49" t="str">
        <f>"2,545,753"</f>
        <v>2,545,753</v>
      </c>
      <c r="I49" t="str">
        <f>"40,499,356"</f>
        <v>40,499,356</v>
      </c>
      <c r="J49" t="str">
        <f>"513,523,128"</f>
        <v>513,523,128</v>
      </c>
      <c r="K49" t="str">
        <f>"5,331,587,083"</f>
        <v>5,331,587,083</v>
      </c>
      <c r="L49" t="str">
        <f>"46,210,008,572"</f>
        <v>46,210,008,572</v>
      </c>
      <c r="M49" t="str">
        <f>"339,197,855,688"</f>
        <v>339,197,855,688</v>
      </c>
      <c r="N49" t="str">
        <f>"2,131,998,588,529"</f>
        <v>2,131,998,588,529</v>
      </c>
      <c r="O49" t="str">
        <f>"11,573,192,805,559"</f>
        <v>11,573,192,805,559</v>
      </c>
      <c r="P49" t="str">
        <f>"54,622,399,590,930"</f>
        <v>54,622,399,590,930</v>
      </c>
      <c r="Q49" t="str">
        <f>"225,341,673,767,351"</f>
        <v>225,341,673,767,351</v>
      </c>
      <c r="R49" t="str">
        <f>"815,972,106,388,213"</f>
        <v>815,972,106,388,213</v>
      </c>
      <c r="S49" t="str">
        <f>"2,601,831,509,526,169"</f>
        <v>2,601,831,509,526,169</v>
      </c>
      <c r="T49" t="str">
        <f>"7,323,549,862,845,790"</f>
        <v>7,323,549,862,845,790</v>
      </c>
      <c r="U49" t="str">
        <f>"18,229,718,300,860,595"</f>
        <v>18,229,718,300,860,595</v>
      </c>
      <c r="V49" t="str">
        <f>"40,176,720,518,044,392"</f>
        <v>40,176,720,518,044,392</v>
      </c>
      <c r="W49" t="str">
        <f>"78,450,146,973,333,689"</f>
        <v>78,450,146,973,333,689</v>
      </c>
      <c r="X49" t="str">
        <f>"135,741,371,411,063,894"</f>
        <v>135,741,371,411,063,894</v>
      </c>
      <c r="Y49" t="str">
        <f>"208,066,528,298,137,407"</f>
        <v>208,066,528,298,137,407</v>
      </c>
      <c r="Z49" t="str">
        <f>"282,319,769,708,317,914"</f>
        <v>282,319,769,708,317,914</v>
      </c>
      <c r="AA49" t="str">
        <f>"338,700,545,458,743,604"</f>
        <v>338,700,545,458,743,604</v>
      </c>
      <c r="AB49" t="str">
        <f>"358,692,368,357,573,739"</f>
        <v>358,692,368,357,573,739</v>
      </c>
      <c r="AC49" t="str">
        <f>"334,629,745,547,720,153"</f>
        <v>334,629,745,547,720,153</v>
      </c>
      <c r="AD49" t="str">
        <f>"274,317,842,513,833,053"</f>
        <v>274,317,842,513,833,053</v>
      </c>
      <c r="AE49" t="str">
        <f>"197,018,465,726,965,989"</f>
        <v>197,018,465,726,965,989</v>
      </c>
      <c r="AF49" t="str">
        <f>"123,551,279,434,935,961"</f>
        <v>123,551,279,434,935,961</v>
      </c>
      <c r="AG49" t="str">
        <f>"67,393,374,865,260,023"</f>
        <v>67,393,374,865,260,023</v>
      </c>
      <c r="AH49" t="str">
        <f>"31,842,110,814,761,790"</f>
        <v>31,842,110,814,761,790</v>
      </c>
      <c r="AI49" t="str">
        <f>"12,974,128,580,134,776"</f>
        <v>12,974,128,580,134,776</v>
      </c>
      <c r="AJ49" t="str">
        <f>"4,538,406,150,393,548"</f>
        <v>4,538,406,150,393,548</v>
      </c>
      <c r="AK49" t="str">
        <f>"1,357,253,093,287,055"</f>
        <v>1,357,253,093,287,055</v>
      </c>
      <c r="AL49" t="str">
        <f>"345,848,435,889,508"</f>
        <v>345,848,435,889,508</v>
      </c>
      <c r="AM49" t="str">
        <f>"74,951,531,836,749"</f>
        <v>74,951,531,836,749</v>
      </c>
      <c r="AN49" t="str">
        <f>"13,822,762,442,765"</f>
        <v>13,822,762,442,765</v>
      </c>
      <c r="AO49" t="str">
        <f>"2,177,545,934,185"</f>
        <v>2,177,545,934,185</v>
      </c>
      <c r="AP49" t="str">
        <f>"295,122,570,533"</f>
        <v>295,122,570,533</v>
      </c>
      <c r="AQ49" t="str">
        <f>"34,736,126,029"</f>
        <v>34,736,126,029</v>
      </c>
      <c r="AR49" t="str">
        <f>"3,581,964,069"</f>
        <v>3,581,964,069</v>
      </c>
      <c r="AS49" t="str">
        <f>"324,907,294"</f>
        <v>324,907,294</v>
      </c>
      <c r="AT49" t="str">
        <f>"25,787,911"</f>
        <v>25,787,911</v>
      </c>
      <c r="AU49" t="str">
        <f>"1,757,722"</f>
        <v>1,757,722</v>
      </c>
      <c r="AV49" t="str">
        <f>"99,123"</f>
        <v>99,123</v>
      </c>
      <c r="AW49" t="str">
        <f>"4,332"</f>
        <v>4,332</v>
      </c>
      <c r="AX49" t="str">
        <f>"130"</f>
        <v>130</v>
      </c>
      <c r="AY49" t="str">
        <f>"2"</f>
        <v>2</v>
      </c>
    </row>
    <row r="50" spans="1:66" x14ac:dyDescent="0.3">
      <c r="A50">
        <v>48</v>
      </c>
      <c r="B50" t="str">
        <f>"514,873,966,661,421,500"</f>
        <v>514,873,966,661,421,500</v>
      </c>
      <c r="C50" t="str">
        <f>"6,066,511,906,233,254,169"</f>
        <v>6,066,511,906,233,254,169</v>
      </c>
      <c r="D50" t="str">
        <f t="shared" si="1"/>
        <v>1</v>
      </c>
      <c r="E50" t="str">
        <f>"96"</f>
        <v>96</v>
      </c>
      <c r="F50" t="str">
        <f>"4,430"</f>
        <v>4,430</v>
      </c>
      <c r="G50" t="str">
        <f>"130,892"</f>
        <v>130,892</v>
      </c>
      <c r="H50" t="str">
        <f>"2,782,979"</f>
        <v>2,782,979</v>
      </c>
      <c r="I50" t="str">
        <f>"45,369,176"</f>
        <v>45,369,176</v>
      </c>
      <c r="J50" t="str">
        <f>"590,080,546"</f>
        <v>590,080,546</v>
      </c>
      <c r="K50" t="str">
        <f>"6,290,558,824"</f>
        <v>6,290,558,824</v>
      </c>
      <c r="L50" t="str">
        <f>"56,042,641,820"</f>
        <v>56,042,641,820</v>
      </c>
      <c r="M50" t="str">
        <f>"423,332,426,152"</f>
        <v>423,332,426,152</v>
      </c>
      <c r="N50" t="str">
        <f>"2,741,494,457,618"</f>
        <v>2,741,494,457,618</v>
      </c>
      <c r="O50" t="str">
        <f>"15,352,693,146,716"</f>
        <v>15,352,693,146,716</v>
      </c>
      <c r="P50" t="str">
        <f>"74,856,193,068,375"</f>
        <v>74,856,193,068,375</v>
      </c>
      <c r="Q50" t="str">
        <f>"319,490,399,479,764"</f>
        <v>319,490,399,479,764</v>
      </c>
      <c r="R50" t="str">
        <f>"1,198,746,979,697,928"</f>
        <v>1,198,746,979,697,928</v>
      </c>
      <c r="S50" t="str">
        <f>"3,967,261,981,516,660"</f>
        <v>3,967,261,981,516,660</v>
      </c>
      <c r="T50" t="str">
        <f>"11,610,959,509,712,120"</f>
        <v>11,610,959,509,712,120</v>
      </c>
      <c r="U50" t="str">
        <f>"30,108,793,841,300,640"</f>
        <v>30,108,793,841,300,640</v>
      </c>
      <c r="V50" t="str">
        <f>"69,270,734,563,003,840"</f>
        <v>69,270,734,563,003,840</v>
      </c>
      <c r="W50" t="str">
        <f>"141,512,678,526,201,488"</f>
        <v>141,512,678,526,201,488</v>
      </c>
      <c r="X50" t="str">
        <f>"256,791,864,175,841,435"</f>
        <v>256,791,864,175,841,435</v>
      </c>
      <c r="Y50" t="str">
        <f>"413,870,893,033,743,904"</f>
        <v>413,870,893,033,743,904</v>
      </c>
      <c r="Z50" t="str">
        <f>"592,131,288,279,153,762"</f>
        <v>592,131,288,279,153,762</v>
      </c>
      <c r="AA50" t="str">
        <f>"751,331,220,189,519,596"</f>
        <v>751,331,220,189,519,596</v>
      </c>
      <c r="AB50" t="str">
        <f>"844,338,559,855,230,879"</f>
        <v>844,338,559,855,230,879</v>
      </c>
      <c r="AC50" t="str">
        <f>"838,890,320,758,085,364"</f>
        <v>838,890,320,758,085,364</v>
      </c>
      <c r="AD50" t="str">
        <f>"735,270,480,026,021,966"</f>
        <v>735,270,480,026,021,966</v>
      </c>
      <c r="AE50" t="str">
        <f>"567,034,165,210,842,720"</f>
        <v>567,034,165,210,842,720</v>
      </c>
      <c r="AF50" t="str">
        <f>"383,597,181,336,860,296"</f>
        <v>383,597,181,336,860,296</v>
      </c>
      <c r="AG50" t="str">
        <f>"226,857,088,660,326,652"</f>
        <v>226,857,088,660,326,652</v>
      </c>
      <c r="AH50" t="str">
        <f>"116,838,250,461,596,650"</f>
        <v>116,838,250,461,596,650</v>
      </c>
      <c r="AI50" t="str">
        <f>"52,190,275,753,176,564"</f>
        <v>52,190,275,753,176,564</v>
      </c>
      <c r="AJ50" t="str">
        <f>"20,133,262,611,496,338"</f>
        <v>20,133,262,611,496,338</v>
      </c>
      <c r="AK50" t="str">
        <f>"6,679,481,650,971,368"</f>
        <v>6,679,481,650,971,368</v>
      </c>
      <c r="AL50" t="str">
        <f>"1,898,714,708,846,508"</f>
        <v>1,898,714,708,846,508</v>
      </c>
      <c r="AM50" t="str">
        <f>"461,200,821,831,116"</f>
        <v>461,200,821,831,116</v>
      </c>
      <c r="AN50" t="str">
        <f>"95,634,470,512,982"</f>
        <v>95,634,470,512,982</v>
      </c>
      <c r="AO50" t="str">
        <f>"16,955,545,463,664"</f>
        <v>16,955,545,463,664</v>
      </c>
      <c r="AP50" t="str">
        <f>"2,582,273,003,670"</f>
        <v>2,582,273,003,670</v>
      </c>
      <c r="AQ50" t="str">
        <f>"340,384,864,764"</f>
        <v>340,384,864,764</v>
      </c>
      <c r="AR50" t="str">
        <f>"39,186,027,452"</f>
        <v>39,186,027,452</v>
      </c>
      <c r="AS50" t="str">
        <f>"3,969,803,436"</f>
        <v>3,969,803,436</v>
      </c>
      <c r="AT50" t="str">
        <f>"354,714,910"</f>
        <v>354,714,910</v>
      </c>
      <c r="AU50" t="str">
        <f>"27,763,672"</f>
        <v>27,763,672</v>
      </c>
      <c r="AV50" t="str">
        <f>"1,866,112"</f>
        <v>1,866,112</v>
      </c>
      <c r="AW50" t="str">
        <f>"103,724"</f>
        <v>103,724</v>
      </c>
      <c r="AX50" t="str">
        <f>"4,466"</f>
        <v>4,466</v>
      </c>
      <c r="AY50" t="str">
        <f>"132"</f>
        <v>132</v>
      </c>
      <c r="AZ50" t="str">
        <f>"2"</f>
        <v>2</v>
      </c>
    </row>
    <row r="51" spans="1:66" x14ac:dyDescent="0.3">
      <c r="A51">
        <v>49</v>
      </c>
      <c r="B51" t="str">
        <f>"975,944,580,827,534,058"</f>
        <v>975,944,580,827,534,058</v>
      </c>
      <c r="C51" t="str">
        <f>"16,426,491,875,892,052,719"</f>
        <v>16,426,491,875,892,052,719</v>
      </c>
      <c r="D51" t="str">
        <f t="shared" si="1"/>
        <v>1</v>
      </c>
      <c r="E51" t="str">
        <f>"98"</f>
        <v>98</v>
      </c>
      <c r="F51" t="str">
        <f>"4,621"</f>
        <v>4,621</v>
      </c>
      <c r="G51" t="str">
        <f>"139,659"</f>
        <v>139,659</v>
      </c>
      <c r="H51" t="str">
        <f>"3,040,610"</f>
        <v>3,040,610</v>
      </c>
      <c r="I51" t="str">
        <f>"50,816,521"</f>
        <v>50,816,521</v>
      </c>
      <c r="J51" t="str">
        <f>"678,383,988"</f>
        <v>678,383,988</v>
      </c>
      <c r="K51" t="str">
        <f>"7,432,441,207"</f>
        <v>7,432,441,207</v>
      </c>
      <c r="L51" t="str">
        <f>"68,144,273,598"</f>
        <v>68,144,273,598</v>
      </c>
      <c r="M51" t="str">
        <f>"530,501,393,206"</f>
        <v>530,501,393,206</v>
      </c>
      <c r="N51" t="str">
        <f>"3,546,092,026,065"</f>
        <v>3,546,092,026,065</v>
      </c>
      <c r="O51" t="str">
        <f>"20,530,934,158,944"</f>
        <v>20,530,934,158,944</v>
      </c>
      <c r="P51" t="str">
        <f>"103,671,829,706,195"</f>
        <v>103,671,829,706,195</v>
      </c>
      <c r="Q51" t="str">
        <f>"459,085,895,253,051"</f>
        <v>459,085,895,253,051</v>
      </c>
      <c r="R51" t="str">
        <f>"1,790,653,478,020,443"</f>
        <v>1,790,653,478,020,443</v>
      </c>
      <c r="S51" t="str">
        <f>"6,173,368,995,696,152"</f>
        <v>6,173,368,995,696,152</v>
      </c>
      <c r="T51" t="str">
        <f>"18,862,771,437,181,782"</f>
        <v>18,862,771,437,181,782</v>
      </c>
      <c r="U51" t="str">
        <f>"51,187,025,457,051,181"</f>
        <v>51,187,025,457,051,181</v>
      </c>
      <c r="V51" t="str">
        <f>"123,548,864,524,454,509"</f>
        <v>123,548,864,524,454,509</v>
      </c>
      <c r="W51" t="str">
        <f>"265,507,453,546,476,184"</f>
        <v>265,507,453,546,476,184</v>
      </c>
      <c r="X51" t="str">
        <f>"508,287,001,827,016,043"</f>
        <v>508,287,001,827,016,043</v>
      </c>
      <c r="Y51" t="str">
        <f>"866,932,380,242,105,686"</f>
        <v>866,932,380,242,105,686</v>
      </c>
      <c r="Z51" t="str">
        <f>"1,316,978,325,268,051,267"</f>
        <v>1,316,978,325,268,051,267</v>
      </c>
      <c r="AA51" t="str">
        <f>"1,780,703,896,361,635,918"</f>
        <v>1,780,703,896,361,635,918</v>
      </c>
      <c r="AB51" t="str">
        <f>"2,140,714,862,547,592,500"</f>
        <v>2,140,714,862,547,592,500</v>
      </c>
      <c r="AC51" t="str">
        <f>"2,284,790,719,147,550,325"</f>
        <v>2,284,790,719,147,550,325</v>
      </c>
      <c r="AD51" t="str">
        <f>"2,160,984,265,865,225,024"</f>
        <v>2,160,984,265,865,225,024</v>
      </c>
      <c r="AE51" t="str">
        <f>"1,807,173,333,647,100,779"</f>
        <v>1,807,173,333,647,100,779</v>
      </c>
      <c r="AF51" t="str">
        <f>"1,332,732,580,501,691,511"</f>
        <v>1,332,732,580,501,691,511</v>
      </c>
      <c r="AG51" t="str">
        <f>"864,092,582,489,891,570"</f>
        <v>864,092,582,489,891,570</v>
      </c>
      <c r="AH51" t="str">
        <f>"490,866,857,353,364,045"</f>
        <v>490,866,857,353,364,045</v>
      </c>
      <c r="AI51" t="str">
        <f>"243,396,639,948,605,505"</f>
        <v>243,396,639,948,605,505</v>
      </c>
      <c r="AJ51" t="str">
        <f>"104,919,607,310,679,605"</f>
        <v>104,919,607,310,679,605</v>
      </c>
      <c r="AK51" t="str">
        <f>"39,154,102,838,167,605"</f>
        <v>39,154,102,838,167,605</v>
      </c>
      <c r="AL51" t="str">
        <f>"12,598,250,478,187,527"</f>
        <v>12,598,250,478,187,527</v>
      </c>
      <c r="AM51" t="str">
        <f>"3,482,549,413,311,929"</f>
        <v>3,482,549,413,311,929</v>
      </c>
      <c r="AN51" t="str">
        <f>"824,939,214,449,086"</f>
        <v>824,939,214,449,086</v>
      </c>
      <c r="AO51" t="str">
        <f>"167,306,256,876,871"</f>
        <v>167,306,256,876,871</v>
      </c>
      <c r="AP51" t="str">
        <f>"29,098,044,666,766"</f>
        <v>29,098,044,666,766</v>
      </c>
      <c r="AQ51" t="str">
        <f>"4,359,711,987,502"</f>
        <v>4,359,711,987,502</v>
      </c>
      <c r="AR51" t="str">
        <f>"566,835,763,425"</f>
        <v>566,835,763,425</v>
      </c>
      <c r="AS51" t="str">
        <f>"64,500,017,175"</f>
        <v>64,500,017,175</v>
      </c>
      <c r="AT51" t="str">
        <f>"6,467,715,692"</f>
        <v>6,467,715,692</v>
      </c>
      <c r="AU51" t="str">
        <f>"572,390,801"</f>
        <v>572,390,801</v>
      </c>
      <c r="AV51" t="str">
        <f>"44,369,655"</f>
        <v>44,369,655</v>
      </c>
      <c r="AW51" t="str">
        <f>"2,951,592"</f>
        <v>2,951,592</v>
      </c>
      <c r="AX51" t="str">
        <f>"162,200"</f>
        <v>162,200</v>
      </c>
      <c r="AY51" t="str">
        <f>"6,896"</f>
        <v>6,896</v>
      </c>
      <c r="AZ51" t="str">
        <f>"201"</f>
        <v>201</v>
      </c>
      <c r="BA51" t="str">
        <f>"3"</f>
        <v>3</v>
      </c>
    </row>
    <row r="52" spans="1:66" x14ac:dyDescent="0.3">
      <c r="A52">
        <v>50</v>
      </c>
      <c r="B52" t="str">
        <f>"1,692,894,618,320,538,968"</f>
        <v>1,692,894,618,320,538,968</v>
      </c>
      <c r="C52" t="str">
        <f>"37,919,379,202,484,619,544"</f>
        <v>37,919,379,202,484,619,544</v>
      </c>
      <c r="D52" t="str">
        <f t="shared" si="1"/>
        <v>1</v>
      </c>
      <c r="E52" t="str">
        <f>"100"</f>
        <v>100</v>
      </c>
      <c r="F52" t="str">
        <f>"4,815"</f>
        <v>4,815</v>
      </c>
      <c r="G52" t="str">
        <f>"148,710"</f>
        <v>148,710</v>
      </c>
      <c r="H52" t="str">
        <f>"3,311,159"</f>
        <v>3,311,159</v>
      </c>
      <c r="I52" t="str">
        <f>"56,639,931"</f>
        <v>56,639,931</v>
      </c>
      <c r="J52" t="str">
        <f>"774,561,999"</f>
        <v>774,561,999</v>
      </c>
      <c r="K52" t="str">
        <f>"8,700,694,854"</f>
        <v>8,700,694,854</v>
      </c>
      <c r="L52" t="str">
        <f>"81,863,118,627"</f>
        <v>81,863,118,627</v>
      </c>
      <c r="M52" t="str">
        <f>"654,625,677,870"</f>
        <v>654,625,677,870</v>
      </c>
      <c r="N52" t="str">
        <f>"4,499,174,400,401"</f>
        <v>4,499,174,400,401</v>
      </c>
      <c r="O52" t="str">
        <f>"26,811,148,781,411"</f>
        <v>26,811,148,781,411</v>
      </c>
      <c r="P52" t="str">
        <f>"139,495,173,813,750"</f>
        <v>139,495,173,813,750</v>
      </c>
      <c r="Q52" t="str">
        <f>"637,197,070,765,145"</f>
        <v>637,197,070,765,145</v>
      </c>
      <c r="R52" t="str">
        <f>"2,566,765,643,685,925"</f>
        <v>2,566,765,643,685,925</v>
      </c>
      <c r="S52" t="str">
        <f>"9,150,211,083,081,363"</f>
        <v>9,150,211,083,081,363</v>
      </c>
      <c r="T52" t="str">
        <f>"28,947,855,049,755,949"</f>
        <v>28,947,855,049,755,949</v>
      </c>
      <c r="U52" t="str">
        <f>"81,446,413,157,524,040"</f>
        <v>81,446,413,157,524,040</v>
      </c>
      <c r="V52" t="str">
        <f>"204,120,195,374,987,779"</f>
        <v>204,120,195,374,987,779</v>
      </c>
      <c r="W52" t="str">
        <f>"456,175,364,763,390,367"</f>
        <v>456,175,364,763,390,367</v>
      </c>
      <c r="X52" t="str">
        <f>"909,679,064,656,194,772"</f>
        <v>909,679,064,656,194,772</v>
      </c>
      <c r="Y52" t="str">
        <f>"1,619,025,115,510,074,976"</f>
        <v>1,619,025,115,510,074,976</v>
      </c>
      <c r="Z52" t="str">
        <f>"2,571,322,000,904,876,180"</f>
        <v>2,571,322,000,904,876,180</v>
      </c>
      <c r="AA52" t="str">
        <f>"3,642,184,469,096,783,731"</f>
        <v>3,642,184,469,096,783,731</v>
      </c>
      <c r="AB52" t="str">
        <f>"4,597,010,346,709,192,853"</f>
        <v>4,597,010,346,709,192,853</v>
      </c>
      <c r="AC52" t="str">
        <f>"5,163,503,007,211,829,135"</f>
        <v>5,163,503,007,211,829,135</v>
      </c>
      <c r="AD52" t="str">
        <f>"5,152,972,333,457,996,598"</f>
        <v>5,152,972,333,457,996,598</v>
      </c>
      <c r="AE52" t="str">
        <f>"4,559,793,608,327,523,247"</f>
        <v>4,559,793,608,327,523,247</v>
      </c>
      <c r="AF52" t="str">
        <f>"3,569,239,346,574,745,961"</f>
        <v>3,569,239,346,574,745,961</v>
      </c>
      <c r="AG52" t="str">
        <f>"2,464,668,308,994,924,634"</f>
        <v>2,464,668,308,994,924,634</v>
      </c>
      <c r="AH52" t="str">
        <f>"1,496,743,295,706,390,463"</f>
        <v>1,496,743,295,706,390,463</v>
      </c>
      <c r="AI52" t="str">
        <f>"796,621,600,133,466,149"</f>
        <v>796,621,600,133,466,149</v>
      </c>
      <c r="AJ52" t="str">
        <f>"370,222,589,964,729,242"</f>
        <v>370,222,589,964,729,242</v>
      </c>
      <c r="AK52" t="str">
        <f>"149,656,059,330,588,511"</f>
        <v>149,656,059,330,588,511</v>
      </c>
      <c r="AL52" t="str">
        <f>"52,415,450,680,302,522"</f>
        <v>52,415,450,680,302,522</v>
      </c>
      <c r="AM52" t="str">
        <f>"15,848,461,358,718,111"</f>
        <v>15,848,461,358,718,111</v>
      </c>
      <c r="AN52" t="str">
        <f>"4,124,739,009,271,761"</f>
        <v>4,124,739,009,271,761</v>
      </c>
      <c r="AO52" t="str">
        <f>"922,425,945,057,251"</f>
        <v>922,425,945,057,251</v>
      </c>
      <c r="AP52" t="str">
        <f>"177,272,694,113,597"</f>
        <v>177,272,694,113,597</v>
      </c>
      <c r="AQ52" t="str">
        <f>"29,352,334,634,021"</f>
        <v>29,352,334,634,021</v>
      </c>
      <c r="AR52" t="str">
        <f>"4,209,383,729,939"</f>
        <v>4,209,383,729,939</v>
      </c>
      <c r="AS52" t="str">
        <f>"526,717,824,420"</f>
        <v>526,717,824,420</v>
      </c>
      <c r="AT52" t="str">
        <f>"57,956,234,554"</f>
        <v>57,956,234,554</v>
      </c>
      <c r="AU52" t="str">
        <f>"5,637,617,389"</f>
        <v>5,637,617,389</v>
      </c>
      <c r="AV52" t="str">
        <f>"484,540,577"</f>
        <v>484,540,577</v>
      </c>
      <c r="AW52" t="str">
        <f>"36,440,064"</f>
        <v>36,440,064</v>
      </c>
      <c r="AX52" t="str">
        <f>"2,345,280"</f>
        <v>2,345,280</v>
      </c>
      <c r="AY52" t="str">
        <f>"124,201"</f>
        <v>124,201</v>
      </c>
      <c r="AZ52" t="str">
        <f>"5,066"</f>
        <v>5,066</v>
      </c>
      <c r="BA52" t="str">
        <f>"141"</f>
        <v>141</v>
      </c>
      <c r="BB52" t="str">
        <f>"2"</f>
        <v>2</v>
      </c>
    </row>
    <row r="53" spans="1:66" x14ac:dyDescent="0.3">
      <c r="A53">
        <v>51</v>
      </c>
      <c r="B53" t="str">
        <f>"2,938,564,145,194,070,885"</f>
        <v>2,938,564,145,194,070,885</v>
      </c>
      <c r="C53" t="str">
        <f>"91,516,004,889,870,149,738"</f>
        <v>91,516,004,889,870,149,738</v>
      </c>
      <c r="D53" t="str">
        <f t="shared" si="1"/>
        <v>1</v>
      </c>
      <c r="E53" t="str">
        <f>"102"</f>
        <v>102</v>
      </c>
      <c r="F53" t="str">
        <f>"5,013"</f>
        <v>5,013</v>
      </c>
      <c r="G53" t="str">
        <f>"158,146"</f>
        <v>158,146</v>
      </c>
      <c r="H53" t="str">
        <f>"3,599,527"</f>
        <v>3,599,527</v>
      </c>
      <c r="I53" t="str">
        <f>"62,991,610"</f>
        <v>62,991,610</v>
      </c>
      <c r="J53" t="str">
        <f>"882,014,563"</f>
        <v>882,014,563</v>
      </c>
      <c r="K53" t="str">
        <f>"10,153,533,456"</f>
        <v>10,153,533,456</v>
      </c>
      <c r="L53" t="str">
        <f>"97,994,123,700"</f>
        <v>97,994,123,700</v>
      </c>
      <c r="M53" t="str">
        <f>"804,600,697,319"</f>
        <v>804,600,697,319</v>
      </c>
      <c r="N53" t="str">
        <f>"5,683,909,766,106"</f>
        <v>5,683,909,766,106</v>
      </c>
      <c r="O53" t="str">
        <f>"34,852,537,094,829"</f>
        <v>34,852,537,094,829</v>
      </c>
      <c r="P53" t="str">
        <f>"186,805,226,674,453"</f>
        <v>186,805,226,674,453</v>
      </c>
      <c r="Q53" t="str">
        <f>"880,140,189,676,636"</f>
        <v>880,140,189,676,636</v>
      </c>
      <c r="R53" t="str">
        <f>"3,661,709,559,721,099"</f>
        <v>3,661,709,559,721,099</v>
      </c>
      <c r="S53" t="str">
        <f>"13,500,718,412,894,882"</f>
        <v>13,500,718,412,894,882</v>
      </c>
      <c r="T53" t="str">
        <f>"44,240,437,754,282,277"</f>
        <v>44,240,437,754,282,277</v>
      </c>
      <c r="U53" t="str">
        <f>"129,135,616,185,765,845"</f>
        <v>129,135,616,185,765,845</v>
      </c>
      <c r="V53" t="str">
        <f>"336,336,442,082,470,518"</f>
        <v>336,336,442,082,470,518</v>
      </c>
      <c r="W53" t="str">
        <f>"782,583,076,241,213,796"</f>
        <v>782,583,076,241,213,796</v>
      </c>
      <c r="X53" t="str">
        <f>"1,627,997,749,397,387,007"</f>
        <v>1,627,997,749,397,387,007</v>
      </c>
      <c r="Y53" t="str">
        <f>"3,029,061,909,382,867,982"</f>
        <v>3,029,061,909,382,867,982</v>
      </c>
      <c r="Z53" t="str">
        <f>"5,040,743,019,504,686,964"</f>
        <v>5,040,743,019,504,686,964</v>
      </c>
      <c r="AA53" t="str">
        <f>"7,499,949,677,112,099,686"</f>
        <v>7,499,949,677,112,099,686</v>
      </c>
      <c r="AB53" t="str">
        <f>"9,969,965,603,303,033,911"</f>
        <v>9,969,965,603,303,033,911</v>
      </c>
      <c r="AC53" t="str">
        <f>"11,828,935,262,025,559,464"</f>
        <v>11,828,935,262,025,559,464</v>
      </c>
      <c r="AD53" t="str">
        <f>"12,508,664,906,200,376,473"</f>
        <v>12,508,664,906,200,376,473</v>
      </c>
      <c r="AE53" t="str">
        <f>"11,768,926,861,392,094,438"</f>
        <v>11,768,926,861,392,094,438</v>
      </c>
      <c r="AF53" t="str">
        <f>"9,831,506,792,574,205,428"</f>
        <v>9,831,506,792,574,205,428</v>
      </c>
      <c r="AG53" t="str">
        <f>"7,274,549,506,049,995,945"</f>
        <v>7,274,549,506,049,995,945</v>
      </c>
      <c r="AH53" t="str">
        <f>"4,754,345,547,695,362,469"</f>
        <v>4,754,345,547,695,362,469</v>
      </c>
      <c r="AI53" t="str">
        <f>"2,736,064,512,824,528,253"</f>
        <v>2,736,064,512,824,528,253</v>
      </c>
      <c r="AJ53" t="str">
        <f>"1,381,771,317,342,988,057"</f>
        <v>1,381,771,317,342,988,057</v>
      </c>
      <c r="AK53" t="str">
        <f>"610,158,521,490,122,709"</f>
        <v>610,158,521,490,122,709</v>
      </c>
      <c r="AL53" t="str">
        <f>"234,702,101,727,966,279"</f>
        <v>234,702,101,727,966,279</v>
      </c>
      <c r="AM53" t="str">
        <f>"78,353,842,599,742,830"</f>
        <v>78,353,842,599,742,830</v>
      </c>
      <c r="AN53" t="str">
        <f>"22,627,132,962,518,077"</f>
        <v>22,627,132,962,518,077</v>
      </c>
      <c r="AO53" t="str">
        <f>"5,637,905,628,461,672"</f>
        <v>5,637,905,628,461,672</v>
      </c>
      <c r="AP53" t="str">
        <f>"1,210,573,115,432,676"</f>
        <v>1,210,573,115,432,676</v>
      </c>
      <c r="AQ53" t="str">
        <f>"224,157,945,289,988"</f>
        <v>224,157,945,289,988</v>
      </c>
      <c r="AR53" t="str">
        <f>"35,906,261,629,608"</f>
        <v>35,906,261,629,608</v>
      </c>
      <c r="AS53" t="str">
        <f>"5,003,682,378,700"</f>
        <v>5,003,682,378,700</v>
      </c>
      <c r="AT53" t="str">
        <f>"611,100,429,268"</f>
        <v>611,100,429,268</v>
      </c>
      <c r="AU53" t="str">
        <f>"65,882,828,595"</f>
        <v>65,882,828,595</v>
      </c>
      <c r="AV53" t="str">
        <f>"6,296,840,626"</f>
        <v>6,296,840,626</v>
      </c>
      <c r="AW53" t="str">
        <f>"532,575,189"</f>
        <v>532,575,189</v>
      </c>
      <c r="AX53" t="str">
        <f>"39,430,515"</f>
        <v>39,430,515</v>
      </c>
      <c r="AY53" t="str">
        <f>"2,497,575"</f>
        <v>2,497,575</v>
      </c>
      <c r="AZ53" t="str">
        <f>"130,111"</f>
        <v>130,111</v>
      </c>
      <c r="BA53" t="str">
        <f>"5,220"</f>
        <v>5,220</v>
      </c>
      <c r="BB53" t="str">
        <f>"143"</f>
        <v>143</v>
      </c>
      <c r="BC53" t="str">
        <f>"2"</f>
        <v>2</v>
      </c>
    </row>
    <row r="54" spans="1:66" x14ac:dyDescent="0.3">
      <c r="A54">
        <v>52</v>
      </c>
      <c r="B54" t="str">
        <f>"5,021,662,522,077,721,403"</f>
        <v>5,021,662,522,077,721,403</v>
      </c>
      <c r="C54" t="str">
        <f>"218,069,542,585,047,732,356"</f>
        <v>218,069,542,585,047,732,356</v>
      </c>
      <c r="D54" t="str">
        <f t="shared" si="1"/>
        <v>1</v>
      </c>
      <c r="E54" t="str">
        <f>"104"</f>
        <v>104</v>
      </c>
      <c r="F54" t="str">
        <f>"5,215"</f>
        <v>5,215</v>
      </c>
      <c r="G54" t="str">
        <f>"167,974"</f>
        <v>167,974</v>
      </c>
      <c r="H54" t="str">
        <f>"3,906,382"</f>
        <v>3,906,382</v>
      </c>
      <c r="I54" t="str">
        <f>"69,902,203"</f>
        <v>69,902,203</v>
      </c>
      <c r="J54" t="str">
        <f>"1,001,641,946"</f>
        <v>1,001,641,946</v>
      </c>
      <c r="K54" t="str">
        <f>"11,809,990,969"</f>
        <v>11,809,990,969</v>
      </c>
      <c r="L54" t="str">
        <f>"116,845,898,870"</f>
        <v>116,845,898,870</v>
      </c>
      <c r="M54" t="str">
        <f>"984,419,174,157"</f>
        <v>984,419,174,157</v>
      </c>
      <c r="N54" t="str">
        <f>"7,142,647,327,638"</f>
        <v>7,142,647,327,638</v>
      </c>
      <c r="O54" t="str">
        <f>"45,030,568,288,034"</f>
        <v>45,030,568,288,034</v>
      </c>
      <c r="P54" t="str">
        <f>"248,425,252,796,797"</f>
        <v>248,425,252,796,797</v>
      </c>
      <c r="Q54" t="str">
        <f>"1,206,120,680,154,081"</f>
        <v>1,206,120,680,154,081</v>
      </c>
      <c r="R54" t="str">
        <f>"5,177,036,830,984,781"</f>
        <v>5,177,036,830,984,781</v>
      </c>
      <c r="S54" t="str">
        <f>"19,718,271,090,177,711"</f>
        <v>19,718,271,090,177,711</v>
      </c>
      <c r="T54" t="str">
        <f>"66,839,682,321,427,403"</f>
        <v>66,839,682,321,427,403</v>
      </c>
      <c r="U54" t="str">
        <f>"202,109,793,573,845,595"</f>
        <v>202,109,793,573,845,595</v>
      </c>
      <c r="V54" t="str">
        <f>"546,138,612,914,788,529"</f>
        <v>546,138,612,914,788,529</v>
      </c>
      <c r="W54" t="str">
        <f>"1,320,534,144,301,081,021"</f>
        <v>1,320,534,144,301,081,021</v>
      </c>
      <c r="X54" t="str">
        <f>"2,859,637,147,746,161,992"</f>
        <v>2,859,637,147,746,161,992</v>
      </c>
      <c r="Y54" t="str">
        <f>"5,548,817,259,445,324,598"</f>
        <v>5,548,817,259,445,324,598</v>
      </c>
      <c r="Z54" t="str">
        <f>"9,648,806,123,666,411,902"</f>
        <v>9,648,806,123,666,411,902</v>
      </c>
      <c r="AA54" t="str">
        <f>"15,032,657,103,373,609,865"</f>
        <v>15,032,657,103,373,609,865</v>
      </c>
      <c r="AB54" t="str">
        <f>"20,972,367,098,849,460,897"</f>
        <v>20,972,367,098,849,460,897</v>
      </c>
      <c r="AC54" t="str">
        <f>"26,177,453,273,394,778,081"</f>
        <v>26,177,453,273,394,778,081</v>
      </c>
      <c r="AD54" t="str">
        <f>"29,198,043,087,551,198,586"</f>
        <v>29,198,043,087,551,198,586</v>
      </c>
      <c r="AE54" t="str">
        <f>"29,057,892,569,483,996,905"</f>
        <v>29,057,892,569,483,996,905</v>
      </c>
      <c r="AF54" t="str">
        <f>"25,754,604,091,638,419,497"</f>
        <v>25,754,604,091,638,419,497</v>
      </c>
      <c r="AG54" t="str">
        <f>"20,285,266,135,995,448,295"</f>
        <v>20,285,266,135,995,448,295</v>
      </c>
      <c r="AH54" t="str">
        <f>"14,163,007,739,040,889,422"</f>
        <v>14,163,007,739,040,889,422</v>
      </c>
      <c r="AI54" t="str">
        <f>"8,740,905,855,561,874,223"</f>
        <v>8,740,905,855,561,874,223</v>
      </c>
      <c r="AJ54" t="str">
        <f>"4,753,725,854,084,968,824"</f>
        <v>4,753,725,854,084,968,824</v>
      </c>
      <c r="AK54" t="str">
        <f>"2,270,556,998,412,824,336"</f>
        <v>2,270,556,998,412,824,336</v>
      </c>
      <c r="AL54" t="str">
        <f>"949,126,256,232,271,806"</f>
        <v>949,126,256,232,271,806</v>
      </c>
      <c r="AM54" t="str">
        <f>"345,994,917,040,167,462"</f>
        <v>345,994,917,040,167,462</v>
      </c>
      <c r="AN54" t="str">
        <f>"109,625,531,482,407,333"</f>
        <v>109,625,531,482,407,333</v>
      </c>
      <c r="AO54" t="str">
        <f>"30,103,112,860,131,831"</f>
        <v>30,103,112,860,131,831</v>
      </c>
      <c r="AP54" t="str">
        <f>"7,150,560,273,364,199"</f>
        <v>7,150,560,273,364,199</v>
      </c>
      <c r="AQ54" t="str">
        <f>"1,468,640,299,095,991"</f>
        <v>1,468,640,299,095,991</v>
      </c>
      <c r="AR54" t="str">
        <f>"261,244,107,644,229"</f>
        <v>261,244,107,644,229</v>
      </c>
      <c r="AS54" t="str">
        <f>"40,410,634,335,652"</f>
        <v>40,410,634,335,652</v>
      </c>
      <c r="AT54" t="str">
        <f>"5,470,297,384,566"</f>
        <v>5,470,297,384,566</v>
      </c>
      <c r="AU54" t="str">
        <f>"652,940,527,621"</f>
        <v>652,940,527,621</v>
      </c>
      <c r="AV54" t="str">
        <f>"69,185,013,254"</f>
        <v>69,185,013,254</v>
      </c>
      <c r="AW54" t="str">
        <f>"6,528,643,422"</f>
        <v>6,528,643,422</v>
      </c>
      <c r="AX54" t="str">
        <f>"546,956,659"</f>
        <v>546,956,659</v>
      </c>
      <c r="AY54" t="str">
        <f>"40,194,801"</f>
        <v>40,194,801</v>
      </c>
      <c r="AZ54" t="str">
        <f>"2,530,212"</f>
        <v>2,530,212</v>
      </c>
      <c r="BA54" t="str">
        <f>"131,103"</f>
        <v>131,103</v>
      </c>
      <c r="BB54" t="str">
        <f>"5,236"</f>
        <v>5,236</v>
      </c>
      <c r="BC54" t="str">
        <f>"143"</f>
        <v>143</v>
      </c>
      <c r="BD54" t="str">
        <f>"2"</f>
        <v>2</v>
      </c>
    </row>
    <row r="55" spans="1:66" x14ac:dyDescent="0.3">
      <c r="A55">
        <v>53</v>
      </c>
      <c r="B55" t="str">
        <f>"8,478,229,641,700,451,313"</f>
        <v>8,478,229,641,700,451,313</v>
      </c>
      <c r="C55" t="str">
        <f>"521,419,135,159,980,055,884"</f>
        <v>521,419,135,159,980,055,884</v>
      </c>
      <c r="D55" t="str">
        <f t="shared" si="1"/>
        <v>1</v>
      </c>
      <c r="E55" t="str">
        <f>"106"</f>
        <v>106</v>
      </c>
      <c r="F55" t="str">
        <f>"5,421"</f>
        <v>5,421</v>
      </c>
      <c r="G55" t="str">
        <f>"178,202"</f>
        <v>178,202</v>
      </c>
      <c r="H55" t="str">
        <f>"4,232,501"</f>
        <v>4,232,501</v>
      </c>
      <c r="I55" t="str">
        <f>"77,408,017"</f>
        <v>77,408,017</v>
      </c>
      <c r="J55" t="str">
        <f>"1,134,531,418"</f>
        <v>1,134,531,418</v>
      </c>
      <c r="K55" t="str">
        <f>"13,693,520,383"</f>
        <v>13,693,520,383</v>
      </c>
      <c r="L55" t="str">
        <f>"138,806,743,725"</f>
        <v>138,806,743,725</v>
      </c>
      <c r="M55" t="str">
        <f>"1,199,215,847,447"</f>
        <v>1,199,215,847,447</v>
      </c>
      <c r="N55" t="str">
        <f>"8,931,107,260,797"</f>
        <v>8,931,107,260,797</v>
      </c>
      <c r="O55" t="str">
        <f>"57,851,192,239,947"</f>
        <v>57,851,192,239,947</v>
      </c>
      <c r="P55" t="str">
        <f>"328,255,773,813,894"</f>
        <v>328,255,773,813,894</v>
      </c>
      <c r="Q55" t="str">
        <f>"1,640,955,651,132,027"</f>
        <v>1,640,955,651,132,027</v>
      </c>
      <c r="R55" t="str">
        <f>"7,260,744,941,123,516"</f>
        <v>7,260,744,941,123,516</v>
      </c>
      <c r="S55" t="str">
        <f>"28,542,755,284,897,861"</f>
        <v>28,542,755,284,897,861</v>
      </c>
      <c r="T55" t="str">
        <f>"99,989,223,878,916,414"</f>
        <v>99,989,223,878,916,414</v>
      </c>
      <c r="U55" t="str">
        <f>"312,893,573,715,027,201"</f>
        <v>312,893,573,715,027,201</v>
      </c>
      <c r="V55" t="str">
        <f>"876,271,131,759,976,279"</f>
        <v>876,271,131,759,976,279</v>
      </c>
      <c r="W55" t="str">
        <f>"2,199,318,379,831,372,430"</f>
        <v>2,199,318,379,831,372,430</v>
      </c>
      <c r="X55" t="str">
        <f>"4,951,916,485,632,223,726"</f>
        <v>4,951,916,485,632,223,726</v>
      </c>
      <c r="Y55" t="str">
        <f>"10,008,217,878,521,013,637"</f>
        <v>10,008,217,878,521,013,637</v>
      </c>
      <c r="Z55" t="str">
        <f>"18,161,337,668,034,558,058"</f>
        <v>18,161,337,668,034,558,058</v>
      </c>
      <c r="AA55" t="str">
        <f>"29,587,715,771,028,207,061"</f>
        <v>29,587,715,771,028,207,061</v>
      </c>
      <c r="AB55" t="str">
        <f>"43,258,740,811,198,855,851"</f>
        <v>43,258,740,811,198,855,851</v>
      </c>
      <c r="AC55" t="str">
        <f>"56,718,744,311,980,446,127"</f>
        <v>56,718,744,311,980,446,127</v>
      </c>
      <c r="AD55" t="str">
        <f>"66,623,618,827,367,436,020"</f>
        <v>66,623,618,827,367,436,020</v>
      </c>
      <c r="AE55" t="str">
        <f>"70,017,243,849,213,209,575"</f>
        <v>70,017,243,849,213,209,575</v>
      </c>
      <c r="AF55" t="str">
        <f>"65,728,056,457,979,037,605"</f>
        <v>65,728,056,457,979,037,605</v>
      </c>
      <c r="AG55" t="str">
        <f>"55,008,076,550,850,507,037"</f>
        <v>55,008,076,550,850,507,037</v>
      </c>
      <c r="AH55" t="str">
        <f>"40,950,606,679,771,556,567"</f>
        <v>40,950,606,679,771,556,567</v>
      </c>
      <c r="AI55" t="str">
        <f>"27,048,959,163,479,868,826"</f>
        <v>27,048,959,163,479,868,826</v>
      </c>
      <c r="AJ55" t="str">
        <f>"15,807,800,830,166,661,548"</f>
        <v>15,807,800,830,166,661,548</v>
      </c>
      <c r="AK55" t="str">
        <f>"8,148,674,270,386,393,440"</f>
        <v>8,148,674,270,386,393,440</v>
      </c>
      <c r="AL55" t="str">
        <f>"3,692,964,750,490,065,753"</f>
        <v>3,692,964,750,490,065,753</v>
      </c>
      <c r="AM55" t="str">
        <f>"1,466,459,849,863,051,011"</f>
        <v>1,466,459,849,863,051,011</v>
      </c>
      <c r="AN55" t="str">
        <f>"508,544,923,531,216,228"</f>
        <v>508,544,923,531,216,228</v>
      </c>
      <c r="AO55" t="str">
        <f>"153,544,949,680,034,073"</f>
        <v>153,544,949,680,034,073</v>
      </c>
      <c r="AP55" t="str">
        <f>"40,266,562,351,814,651"</f>
        <v>40,266,562,351,814,651</v>
      </c>
      <c r="AQ55" t="str">
        <f>"9,159,688,875,524,881"</f>
        <v>9,159,688,875,524,881</v>
      </c>
      <c r="AR55" t="str">
        <f>"1,807,873,376,942,497"</f>
        <v>1,807,873,376,942,497</v>
      </c>
      <c r="AS55" t="str">
        <f>"310,347,113,382,894"</f>
        <v>310,347,113,382,894</v>
      </c>
      <c r="AT55" t="str">
        <f>"46,556,736,084,919"</f>
        <v>46,556,736,084,919</v>
      </c>
      <c r="AU55" t="str">
        <f>"6,144,734,837,016"</f>
        <v>6,144,734,837,016</v>
      </c>
      <c r="AV55" t="str">
        <f>"718,907,008,533"</f>
        <v>718,907,008,533</v>
      </c>
      <c r="AW55" t="str">
        <f>"75,018,389,084"</f>
        <v>75,018,389,084</v>
      </c>
      <c r="AX55" t="str">
        <f>"6,997,478,001"</f>
        <v>6,997,478,001</v>
      </c>
      <c r="AY55" t="str">
        <f>"580,889,713"</f>
        <v>580,889,713</v>
      </c>
      <c r="AZ55" t="str">
        <f>"42,348,040"</f>
        <v>42,348,040</v>
      </c>
      <c r="BA55" t="str">
        <f>"2,644,573"</f>
        <v>2,644,573</v>
      </c>
      <c r="BB55" t="str">
        <f>"135,834"</f>
        <v>135,834</v>
      </c>
      <c r="BC55" t="str">
        <f>"5,371"</f>
        <v>5,371</v>
      </c>
      <c r="BD55" t="str">
        <f>"145"</f>
        <v>145</v>
      </c>
      <c r="BE55" t="str">
        <f>"2"</f>
        <v>2</v>
      </c>
    </row>
    <row r="56" spans="1:66" x14ac:dyDescent="0.3">
      <c r="A56">
        <v>54</v>
      </c>
      <c r="B56" t="str">
        <f>"14,142,451,232,816,764,807"</f>
        <v>14,142,451,232,816,764,807</v>
      </c>
      <c r="C56" t="str">
        <f>"1,246,398,677,900,766,994,408"</f>
        <v>1,246,398,677,900,766,994,408</v>
      </c>
      <c r="D56" t="str">
        <f t="shared" si="1"/>
        <v>1</v>
      </c>
      <c r="E56" t="str">
        <f>"108"</f>
        <v>108</v>
      </c>
      <c r="F56" t="str">
        <f>"5,631"</f>
        <v>5,631</v>
      </c>
      <c r="G56" t="str">
        <f>"188,838"</f>
        <v>188,838</v>
      </c>
      <c r="H56" t="str">
        <f>"4,578,676"</f>
        <v>4,578,676</v>
      </c>
      <c r="I56" t="str">
        <f>"85,546,803"</f>
        <v>85,546,803</v>
      </c>
      <c r="J56" t="str">
        <f>"1,281,837,110"</f>
        <v>1,281,837,110</v>
      </c>
      <c r="K56" t="str">
        <f>"15,829,558,244"</f>
        <v>15,829,558,244</v>
      </c>
      <c r="L56" t="str">
        <f>"164,307,333,338"</f>
        <v>164,307,333,338</v>
      </c>
      <c r="M56" t="str">
        <f>"1,454,820,119,060"</f>
        <v>1,454,820,119,060</v>
      </c>
      <c r="N56" t="str">
        <f>"11,114,102,456,482"</f>
        <v>11,114,102,456,482</v>
      </c>
      <c r="O56" t="str">
        <f>"73,917,999,136,186"</f>
        <v>73,917,999,136,186</v>
      </c>
      <c r="P56" t="str">
        <f>"431,074,382,101,097"</f>
        <v>431,074,382,101,097</v>
      </c>
      <c r="Q56" t="str">
        <f>"2,217,149,108,830,599"</f>
        <v>2,217,149,108,830,599</v>
      </c>
      <c r="R56" t="str">
        <f>"10,104,587,993,358,078"</f>
        <v>10,104,587,993,358,078</v>
      </c>
      <c r="S56" t="str">
        <f>"40,961,958,379,490,413"</f>
        <v>40,961,958,379,490,413</v>
      </c>
      <c r="T56" t="str">
        <f>"148,157,103,793,390,725"</f>
        <v>148,157,103,793,390,725</v>
      </c>
      <c r="U56" t="str">
        <f>"479,312,742,999,258,197"</f>
        <v>479,312,742,999,258,197</v>
      </c>
      <c r="V56" t="str">
        <f>"1,389,686,113,516,870,724"</f>
        <v>1,389,686,113,516,870,724</v>
      </c>
      <c r="W56" t="str">
        <f>"3,616,282,451,716,482,946"</f>
        <v>3,616,282,451,716,482,946</v>
      </c>
      <c r="X56" t="str">
        <f>"8,455,211,382,496,221,551"</f>
        <v>8,455,211,382,496,221,551</v>
      </c>
      <c r="Y56" t="str">
        <f>"17,775,028,658,006,310,602"</f>
        <v>17,775,028,658,006,310,602</v>
      </c>
      <c r="Z56" t="str">
        <f>"33,610,747,508,755,156,273"</f>
        <v>33,610,747,508,755,156,273</v>
      </c>
      <c r="AA56" t="str">
        <f>"57,167,163,031,974,850,792"</f>
        <v>57,167,163,031,974,850,792</v>
      </c>
      <c r="AB56" t="str">
        <f>"87,438,173,860,227,674,033"</f>
        <v>87,438,173,860,227,674,033</v>
      </c>
      <c r="AC56" t="str">
        <f>"120,198,188,440,633,202,744"</f>
        <v>120,198,188,440,633,202,744</v>
      </c>
      <c r="AD56" t="str">
        <f>"148,377,208,366,067,503,150"</f>
        <v>148,377,208,366,067,503,150</v>
      </c>
      <c r="AE56" t="str">
        <f>"164,290,949,051,621,067,394"</f>
        <v>164,290,949,051,621,067,394</v>
      </c>
      <c r="AF56" t="str">
        <f>"162,935,930,182,345,021,984"</f>
        <v>162,935,930,182,345,021,984</v>
      </c>
      <c r="AG56" t="str">
        <f>"144,487,768,644,732,195,931"</f>
        <v>144,487,768,644,732,195,931</v>
      </c>
      <c r="AH56" t="str">
        <f>"114,336,552,428,465,045,151"</f>
        <v>114,336,552,428,465,045,151</v>
      </c>
      <c r="AI56" t="str">
        <f>"80,553,336,453,108,929,903"</f>
        <v>80,553,336,453,108,929,903</v>
      </c>
      <c r="AJ56" t="str">
        <f>"50,397,723,559,379,374,047"</f>
        <v>50,397,723,559,379,374,047</v>
      </c>
      <c r="AK56" t="str">
        <f>"27,921,619,886,792,309,133"</f>
        <v>27,921,619,886,792,309,133</v>
      </c>
      <c r="AL56" t="str">
        <f>"13,656,893,778,637,339,801"</f>
        <v>13,656,893,778,637,339,801</v>
      </c>
      <c r="AM56" t="str">
        <f>"5,878,412,632,928,991,380"</f>
        <v>5,878,412,632,928,991,380</v>
      </c>
      <c r="AN56" t="str">
        <f>"2,219,550,746,227,983,423"</f>
        <v>2,219,550,746,227,983,423</v>
      </c>
      <c r="AO56" t="str">
        <f>"732,872,237,625,755,454"</f>
        <v>732,872,237,625,755,454</v>
      </c>
      <c r="AP56" t="str">
        <f>"211,049,950,932,035,388"</f>
        <v>211,049,950,932,035,388</v>
      </c>
      <c r="AQ56" t="str">
        <f>"52,905,806,631,605,497"</f>
        <v>52,905,806,631,605,497</v>
      </c>
      <c r="AR56" t="str">
        <f>"11,536,721,613,110,569"</f>
        <v>11,536,721,613,110,569</v>
      </c>
      <c r="AS56" t="str">
        <f>"2,190,672,808,594,671"</f>
        <v>2,190,672,808,594,671</v>
      </c>
      <c r="AT56" t="str">
        <f>"363,398,670,226,486"</f>
        <v>363,398,670,226,486</v>
      </c>
      <c r="AU56" t="str">
        <f>"52,950,819,809,346"</f>
        <v>52,950,819,809,346</v>
      </c>
      <c r="AV56" t="str">
        <f>"6,825,809,011,473"</f>
        <v>6,825,809,011,473</v>
      </c>
      <c r="AW56" t="str">
        <f>"784,255,236,482"</f>
        <v>784,255,236,482</v>
      </c>
      <c r="AX56" t="str">
        <f>"80,758,142,283"</f>
        <v>80,758,142,283</v>
      </c>
      <c r="AY56" t="str">
        <f>"7,461,338,139"</f>
        <v>7,461,338,139</v>
      </c>
      <c r="AZ56" t="str">
        <f>"614,951,208"</f>
        <v>614,951,208</v>
      </c>
      <c r="BA56" t="str">
        <f>"44,547,440"</f>
        <v>44,547,440</v>
      </c>
      <c r="BB56" t="str">
        <f>"2,763,010"</f>
        <v>2,763,010</v>
      </c>
      <c r="BC56" t="str">
        <f>"140,755"</f>
        <v>140,755</v>
      </c>
      <c r="BD56" t="str">
        <f>"5,510"</f>
        <v>5,510</v>
      </c>
      <c r="BE56" t="str">
        <f>"147"</f>
        <v>147</v>
      </c>
      <c r="BF56" t="str">
        <f>"2"</f>
        <v>2</v>
      </c>
    </row>
    <row r="57" spans="1:66" x14ac:dyDescent="0.3">
      <c r="A57">
        <v>55</v>
      </c>
      <c r="B57" t="str">
        <f>"23,313,290,816,748,562,972"</f>
        <v>23,313,290,816,748,562,972</v>
      </c>
      <c r="C57" t="str">
        <f>"2,972,077,237,714,090,817,544"</f>
        <v>2,972,077,237,714,090,817,544</v>
      </c>
      <c r="D57" t="str">
        <f t="shared" si="1"/>
        <v>1</v>
      </c>
      <c r="E57" t="str">
        <f>"110"</f>
        <v>110</v>
      </c>
      <c r="F57" t="str">
        <f>"5,845"</f>
        <v>5,845</v>
      </c>
      <c r="G57" t="str">
        <f>"199,890"</f>
        <v>199,890</v>
      </c>
      <c r="H57" t="str">
        <f>"4,945,715"</f>
        <v>4,945,715</v>
      </c>
      <c r="I57" t="str">
        <f>"94,357,880"</f>
        <v>94,357,880</v>
      </c>
      <c r="J57" t="str">
        <f>"1,444,787,114"</f>
        <v>1,444,787,114</v>
      </c>
      <c r="K57" t="str">
        <f>"18,245,777,968"</f>
        <v>18,245,777,968</v>
      </c>
      <c r="L57" t="str">
        <f>"193,827,096,558"</f>
        <v>193,827,096,558</v>
      </c>
      <c r="M57" t="str">
        <f>"1,757,877,433,250"</f>
        <v>1,757,877,433,250</v>
      </c>
      <c r="N57" t="str">
        <f>"13,767,361,300,044"</f>
        <v>13,767,361,300,044</v>
      </c>
      <c r="O57" t="str">
        <f>"93,954,467,245,130"</f>
        <v>93,954,467,245,130</v>
      </c>
      <c r="P57" t="str">
        <f>"562,761,188,733,379"</f>
        <v>562,761,188,733,379</v>
      </c>
      <c r="Q57" t="str">
        <f>"2,975,819,186,259,343"</f>
        <v>2,975,819,186,259,343</v>
      </c>
      <c r="R57" t="str">
        <f>"13,958,145,925,833,359"</f>
        <v>13,958,145,925,833,359</v>
      </c>
      <c r="S57" t="str">
        <f>"58,300,126,925,475,896"</f>
        <v>58,300,126,925,475,896</v>
      </c>
      <c r="T57" t="str">
        <f>"217,520,076,425,568,177"</f>
        <v>217,520,076,425,568,177</v>
      </c>
      <c r="U57" t="str">
        <f>"726,809,519,912,602,460"</f>
        <v>726,809,519,912,602,460</v>
      </c>
      <c r="V57" t="str">
        <f>"2,179,266,469,290,905,932"</f>
        <v>2,179,266,469,290,905,932</v>
      </c>
      <c r="W57" t="str">
        <f>"5,872,841,048,242,218,469"</f>
        <v>5,872,841,048,242,218,469</v>
      </c>
      <c r="X57" t="str">
        <f>"14,240,947,156,327,816,452"</f>
        <v>14,240,947,156,327,816,452</v>
      </c>
      <c r="Y57" t="str">
        <f>"31,097,721,198,329,372,787"</f>
        <v>31,097,721,198,329,372,787</v>
      </c>
      <c r="Z57" t="str">
        <f>"61,181,253,688,978,660,195"</f>
        <v>61,181,253,688,978,660,195</v>
      </c>
      <c r="AA57" t="str">
        <f>"108,461,026,149,400,174,737"</f>
        <v>108,461,026,149,400,174,737</v>
      </c>
      <c r="AB57" t="str">
        <f>"173,233,298,015,634,033,211"</f>
        <v>173,233,298,015,634,033,211</v>
      </c>
      <c r="AC57" t="str">
        <f>"249,174,972,739,661,685,802"</f>
        <v>249,174,972,739,661,685,802</v>
      </c>
      <c r="AD57" t="str">
        <f>"322,541,267,540,070,342,150"</f>
        <v>322,541,267,540,070,342,150</v>
      </c>
      <c r="AE57" t="str">
        <f>"375,359,633,685,259,252,824"</f>
        <v>375,359,633,685,259,252,824</v>
      </c>
      <c r="AF57" t="str">
        <f>"392,235,359,988,887,477,399"</f>
        <v>392,235,359,988,887,477,399</v>
      </c>
      <c r="AG57" t="str">
        <f>"367,468,742,361,384,779,457"</f>
        <v>367,468,742,361,384,779,457</v>
      </c>
      <c r="AH57" t="str">
        <f>"308,097,680,066,806,465,330"</f>
        <v>308,097,680,066,806,465,330</v>
      </c>
      <c r="AI57" t="str">
        <f>"230,703,384,613,126,591,801"</f>
        <v>230,703,384,613,126,591,801</v>
      </c>
      <c r="AJ57" t="str">
        <f>"153,923,983,443,950,126,764"</f>
        <v>153,923,983,443,950,126,764</v>
      </c>
      <c r="AK57" t="str">
        <f>"91,269,819,209,868,252,512"</f>
        <v>91,269,819,209,868,252,512</v>
      </c>
      <c r="AL57" t="str">
        <f>"47,962,650,278,121,883,955"</f>
        <v>47,962,650,278,121,883,955</v>
      </c>
      <c r="AM57" t="str">
        <f>"22,271,373,767,710,495,669"</f>
        <v>22,271,373,767,710,495,669</v>
      </c>
      <c r="AN57" t="str">
        <f>"9,110,311,804,589,079,791"</f>
        <v>9,110,311,804,589,079,791</v>
      </c>
      <c r="AO57" t="str">
        <f>"3,273,061,612,618,057,925"</f>
        <v>3,273,061,612,618,057,925</v>
      </c>
      <c r="AP57" t="str">
        <f>"1,029,921,592,872,275,756"</f>
        <v>1,029,921,592,872,275,756</v>
      </c>
      <c r="AQ57" t="str">
        <f>"283,204,623,317,599,061"</f>
        <v>283,204,623,317,599,061</v>
      </c>
      <c r="AR57" t="str">
        <f>"67,958,671,762,837,861"</f>
        <v>67,958,671,762,837,861</v>
      </c>
      <c r="AS57" t="str">
        <f>"14,230,583,407,744,128"</f>
        <v>14,230,583,407,744,128</v>
      </c>
      <c r="AT57" t="str">
        <f>"2,604,983,148,557,427"</f>
        <v>2,604,983,148,557,427</v>
      </c>
      <c r="AU57" t="str">
        <f>"418,494,364,752,871"</f>
        <v>418,494,364,752,871</v>
      </c>
      <c r="AV57" t="str">
        <f>"59,356,708,378,142"</f>
        <v>59,356,708,378,142</v>
      </c>
      <c r="AW57" t="str">
        <f>"7,487,021,085,736"</f>
        <v>7,487,021,085,736</v>
      </c>
      <c r="AX57" t="str">
        <f>"845,807,859,584"</f>
        <v>845,807,859,584</v>
      </c>
      <c r="AY57" t="str">
        <f>"85,978,374,160"</f>
        <v>85,978,374,160</v>
      </c>
      <c r="AZ57" t="str">
        <f>"7,864,079,916"</f>
        <v>7,864,079,916</v>
      </c>
      <c r="BA57" t="str">
        <f>"642,767,693"</f>
        <v>642,767,693</v>
      </c>
      <c r="BB57" t="str">
        <f>"46,214,674"</f>
        <v>46,214,674</v>
      </c>
      <c r="BC57" t="str">
        <f>"2,845,621"</f>
        <v>2,845,621</v>
      </c>
      <c r="BD57" t="str">
        <f>"143,893"</f>
        <v>143,893</v>
      </c>
      <c r="BE57" t="str">
        <f>"5,590"</f>
        <v>5,590</v>
      </c>
      <c r="BF57" t="str">
        <f>"148"</f>
        <v>148</v>
      </c>
      <c r="BG57" t="str">
        <f>"2"</f>
        <v>2</v>
      </c>
    </row>
    <row r="58" spans="1:66" x14ac:dyDescent="0.3">
      <c r="A58">
        <v>56</v>
      </c>
      <c r="B58" t="str">
        <f>"38,061,840,583,619,565,141"</f>
        <v>38,061,840,583,619,565,141</v>
      </c>
      <c r="C58" t="str">
        <f>"7,158,465,461,001,983,140,304"</f>
        <v>7,158,465,461,001,983,140,304</v>
      </c>
      <c r="D58" t="str">
        <f t="shared" si="1"/>
        <v>1</v>
      </c>
      <c r="E58" t="str">
        <f>"112"</f>
        <v>112</v>
      </c>
      <c r="F58" t="str">
        <f>"6,063"</f>
        <v>6,063</v>
      </c>
      <c r="G58" t="str">
        <f>"211,366"</f>
        <v>211,366</v>
      </c>
      <c r="H58" t="str">
        <f>"5,334,443"</f>
        <v>5,334,443</v>
      </c>
      <c r="I58" t="str">
        <f>"103,882,270"</f>
        <v>103,882,270</v>
      </c>
      <c r="J58" t="str">
        <f>"1,624,691,698"</f>
        <v>1,624,691,698</v>
      </c>
      <c r="K58" t="str">
        <f>"20,972,397,472"</f>
        <v>20,972,397,472</v>
      </c>
      <c r="L58" t="str">
        <f>"227,902,288,401"</f>
        <v>227,902,288,401</v>
      </c>
      <c r="M58" t="str">
        <f>"2,116,008,679,082"</f>
        <v>2,116,008,679,082</v>
      </c>
      <c r="N58" t="str">
        <f>"16,980,004,891,987"</f>
        <v>16,980,004,891,987</v>
      </c>
      <c r="O58" t="str">
        <f>"118,835,199,788,440"</f>
        <v>118,835,199,788,440</v>
      </c>
      <c r="P58" t="str">
        <f>"730,625,514,338,428"</f>
        <v>730,625,514,338,428</v>
      </c>
      <c r="Q58" t="str">
        <f>"3,969,578,826,617,052"</f>
        <v>3,969,578,826,617,052</v>
      </c>
      <c r="R58" t="str">
        <f>"19,150,512,170,522,836"</f>
        <v>19,150,512,170,522,836</v>
      </c>
      <c r="S58" t="str">
        <f>"82,358,757,052,495,872"</f>
        <v>82,358,757,052,495,872</v>
      </c>
      <c r="T58" t="str">
        <f>"316,757,901,946,556,499"</f>
        <v>316,757,901,946,556,499</v>
      </c>
      <c r="U58" t="str">
        <f>"1,092,361,454,565,872,212"</f>
        <v>1,092,361,454,565,872,212</v>
      </c>
      <c r="V58" t="str">
        <f>"3,384,820,888,475,250,960"</f>
        <v>3,384,820,888,475,250,960</v>
      </c>
      <c r="W58" t="str">
        <f>"9,439,522,604,681,894,742"</f>
        <v>9,439,522,604,681,894,742</v>
      </c>
      <c r="X58" t="str">
        <f>"23,722,030,078,563,845,205"</f>
        <v>23,722,030,078,563,845,205</v>
      </c>
      <c r="Y58" t="str">
        <f>"53,768,607,482,530,673,842"</f>
        <v>53,768,607,482,530,673,842</v>
      </c>
      <c r="Z58" t="str">
        <f>"109,983,333,354,296,267,432"</f>
        <v>109,983,333,354,296,267,432</v>
      </c>
      <c r="AA58" t="str">
        <f>"203,076,923,649,199,800,038"</f>
        <v>203,076,923,649,199,800,038</v>
      </c>
      <c r="AB58" t="str">
        <f>"338,469,986,186,562,542,682"</f>
        <v>338,469,986,186,562,542,682</v>
      </c>
      <c r="AC58" t="str">
        <f>"509,069,428,485,813,052,750"</f>
        <v>509,069,428,485,813,052,750</v>
      </c>
      <c r="AD58" t="str">
        <f>"690,537,271,052,328,125,647"</f>
        <v>690,537,271,052,328,125,647</v>
      </c>
      <c r="AE58" t="str">
        <f>"844,098,637,324,050,943,080"</f>
        <v>844,098,637,324,050,943,080</v>
      </c>
      <c r="AF58" t="str">
        <f>"928,807,496,650,967,196,887"</f>
        <v>928,807,496,650,967,196,887</v>
      </c>
      <c r="AG58" t="str">
        <f>"918,762,389,504,244,575,144"</f>
        <v>918,762,389,504,244,575,144</v>
      </c>
      <c r="AH58" t="str">
        <f>"815,703,576,302,776,610,482"</f>
        <v>815,703,576,302,776,610,482</v>
      </c>
      <c r="AI58" t="str">
        <f>"648,796,342,077,331,219,896"</f>
        <v>648,796,342,077,331,219,896</v>
      </c>
      <c r="AJ58" t="str">
        <f>"461,335,222,535,203,001,693"</f>
        <v>461,335,222,535,203,001,693</v>
      </c>
      <c r="AK58" t="str">
        <f>"292,574,508,422,136,073,848"</f>
        <v>292,574,508,422,136,073,848</v>
      </c>
      <c r="AL58" t="str">
        <f>"165,063,021,298,965,129,636"</f>
        <v>165,063,021,298,965,129,636</v>
      </c>
      <c r="AM58" t="str">
        <f>"82,614,374,795,744,725,338"</f>
        <v>82,614,374,795,744,725,338</v>
      </c>
      <c r="AN58" t="str">
        <f>"36,575,959,320,422,469,205"</f>
        <v>36,575,959,320,422,469,205</v>
      </c>
      <c r="AO58" t="str">
        <f>"14,282,204,178,987,191,082"</f>
        <v>14,282,204,178,987,191,082</v>
      </c>
      <c r="AP58" t="str">
        <f>"4,904,843,442,233,329,949"</f>
        <v>4,904,843,442,233,329,949</v>
      </c>
      <c r="AQ58" t="str">
        <f>"1,477,726,074,263,595,658"</f>
        <v>1,477,726,074,263,595,658</v>
      </c>
      <c r="AR58" t="str">
        <f>"389,829,657,701,605,331"</f>
        <v>389,829,657,701,605,331</v>
      </c>
      <c r="AS58" t="str">
        <f>"89,964,352,785,841,498"</f>
        <v>89,964,352,785,841,498</v>
      </c>
      <c r="AT58" t="str">
        <f>"18,171,956,184,824,426"</f>
        <v>18,171,956,184,824,426</v>
      </c>
      <c r="AU58" t="str">
        <f>"3,220,210,267,041,546"</f>
        <v>3,220,210,267,041,546</v>
      </c>
      <c r="AV58" t="str">
        <f>"502,825,626,804,986"</f>
        <v>502,825,626,804,986</v>
      </c>
      <c r="AW58" t="str">
        <f>"69,611,623,629,140"</f>
        <v>69,611,623,629,140</v>
      </c>
      <c r="AX58" t="str">
        <f>"8,605,034,252,108"</f>
        <v>8,605,034,252,108</v>
      </c>
      <c r="AY58" t="str">
        <f>"955,904,713,904"</f>
        <v>955,904,713,904</v>
      </c>
      <c r="AZ58" t="str">
        <f>"95,780,815,449"</f>
        <v>95,780,815,449</v>
      </c>
      <c r="BA58" t="str">
        <f>"8,646,975,108"</f>
        <v>8,646,975,108</v>
      </c>
      <c r="BB58" t="str">
        <f>"697,853,176"</f>
        <v>697,853,176</v>
      </c>
      <c r="BC58" t="str">
        <f>"49,529,482"</f>
        <v>49,529,482</v>
      </c>
      <c r="BD58" t="str">
        <f>"3,008,794"</f>
        <v>3,008,794</v>
      </c>
      <c r="BE58" t="str">
        <f>"150,028"</f>
        <v>150,028</v>
      </c>
      <c r="BF58" t="str">
        <f>"5,746"</f>
        <v>5,746</v>
      </c>
      <c r="BG58" t="str">
        <f>"150"</f>
        <v>150</v>
      </c>
      <c r="BH58" t="str">
        <f>"2"</f>
        <v>2</v>
      </c>
    </row>
    <row r="59" spans="1:66" x14ac:dyDescent="0.3">
      <c r="A59">
        <v>57</v>
      </c>
      <c r="B59" t="str">
        <f>"64,107,724,137,431,728,126"</f>
        <v>64,107,724,137,431,728,126</v>
      </c>
      <c r="C59" t="str">
        <f>"19,381,992,917,763,357,573,560"</f>
        <v>19,381,992,917,763,357,573,560</v>
      </c>
      <c r="D59" t="str">
        <f t="shared" si="1"/>
        <v>1</v>
      </c>
      <c r="E59" t="str">
        <f>"114"</f>
        <v>114</v>
      </c>
      <c r="F59" t="str">
        <f>"6,286"</f>
        <v>6,286</v>
      </c>
      <c r="G59" t="str">
        <f>"223,383"</f>
        <v>223,383</v>
      </c>
      <c r="H59" t="str">
        <f>"5,751,437"</f>
        <v>5,751,437</v>
      </c>
      <c r="I59" t="str">
        <f>"114,356,792"</f>
        <v>114,356,792</v>
      </c>
      <c r="J59" t="str">
        <f>"1,827,694,043"</f>
        <v>1,827,694,043</v>
      </c>
      <c r="K59" t="str">
        <f>"24,131,828,576"</f>
        <v>24,131,828,576</v>
      </c>
      <c r="L59" t="str">
        <f>"268,483,773,593"</f>
        <v>268,483,773,593</v>
      </c>
      <c r="M59" t="str">
        <f>"2,554,775,659,962"</f>
        <v>2,554,775,659,962</v>
      </c>
      <c r="N59" t="str">
        <f>"21,032,956,627,190"</f>
        <v>21,032,956,627,190</v>
      </c>
      <c r="O59" t="str">
        <f>"151,188,887,774,500"</f>
        <v>151,188,887,774,500</v>
      </c>
      <c r="P59" t="str">
        <f>"955,855,547,590,088"</f>
        <v>955,855,547,590,088</v>
      </c>
      <c r="Q59" t="str">
        <f>"5,346,897,691,431,083"</f>
        <v>5,346,897,691,431,083</v>
      </c>
      <c r="R59" t="str">
        <f>"26,592,789,987,526,722"</f>
        <v>26,592,789,987,526,722</v>
      </c>
      <c r="S59" t="str">
        <f>"118,063,598,077,861,975"</f>
        <v>118,063,598,077,861,975</v>
      </c>
      <c r="T59" t="str">
        <f>"469,446,099,084,859,897"</f>
        <v>469,446,099,084,859,897</v>
      </c>
      <c r="U59" t="str">
        <f>"1,676,258,330,089,895,750"</f>
        <v>1,676,258,330,089,895,750</v>
      </c>
      <c r="V59" t="str">
        <f>"5,386,767,722,098,265,786"</f>
        <v>5,386,767,722,098,265,786</v>
      </c>
      <c r="W59" t="str">
        <f>"15,606,386,531,476,740,661"</f>
        <v>15,606,386,531,476,740,661</v>
      </c>
      <c r="X59" t="str">
        <f>"40,817,731,242,193,860,287"</f>
        <v>40,817,731,242,193,860,287</v>
      </c>
      <c r="Y59" t="str">
        <f>"96,472,111,726,012,676,675"</f>
        <v>96,472,111,726,012,676,675</v>
      </c>
      <c r="Z59" t="str">
        <f>"206,185,049,467,703,519,844"</f>
        <v>206,185,049,467,703,519,844</v>
      </c>
      <c r="AA59" t="str">
        <f>"398,642,362,658,376,470,922"</f>
        <v>398,642,362,658,376,470,922</v>
      </c>
      <c r="AB59" t="str">
        <f>"697,315,328,895,846,621,355"</f>
        <v>697,315,328,895,846,621,355</v>
      </c>
      <c r="AC59" t="str">
        <f>"1,103,389,611,006,243,063,830"</f>
        <v>1,103,389,611,006,243,063,830</v>
      </c>
      <c r="AD59" t="str">
        <f>"1,578,725,590,125,368,430,587"</f>
        <v>1,578,725,590,125,368,430,587</v>
      </c>
      <c r="AE59" t="str">
        <f>"2,041,168,504,006,955,363,359"</f>
        <v>2,041,168,504,006,955,363,359</v>
      </c>
      <c r="AF59" t="str">
        <f>"2,382,623,422,694,835,204,726"</f>
        <v>2,382,623,422,694,835,204,726</v>
      </c>
      <c r="AG59" t="str">
        <f>"2,508,072,816,868,695,472,091"</f>
        <v>2,508,072,816,868,695,472,091</v>
      </c>
      <c r="AH59" t="str">
        <f>"2,377,556,173,226,085,590,570"</f>
        <v>2,377,556,173,226,085,590,570</v>
      </c>
      <c r="AI59" t="str">
        <f>"2,026,370,108,911,014,912,937"</f>
        <v>2,026,370,108,911,014,912,937</v>
      </c>
      <c r="AJ59" t="str">
        <f>"1,549,849,570,077,576,743,731"</f>
        <v>1,549,849,570,077,576,743,731</v>
      </c>
      <c r="AK59" t="str">
        <f>"1,061,510,425,732,389,253,781"</f>
        <v>1,061,510,425,732,389,253,781</v>
      </c>
      <c r="AL59" t="str">
        <f>"649,537,143,594,940,582,970"</f>
        <v>649,537,143,594,940,582,970</v>
      </c>
      <c r="AM59" t="str">
        <f>"354,175,306,460,855,925,595"</f>
        <v>354,175,306,460,855,925,595</v>
      </c>
      <c r="AN59" t="str">
        <f>"171,625,008,903,803,338,985"</f>
        <v>171,625,008,903,803,338,985</v>
      </c>
      <c r="AO59" t="str">
        <f>"73,697,720,327,644,489,626"</f>
        <v>73,697,720,327,644,489,626</v>
      </c>
      <c r="AP59" t="str">
        <f>"27,963,575,643,478,468,085"</f>
        <v>27,963,575,643,478,468,085</v>
      </c>
      <c r="AQ59" t="str">
        <f>"9,349,829,890,402,457,392"</f>
        <v>9,349,829,890,402,457,392</v>
      </c>
      <c r="AR59" t="str">
        <f>"2,748,135,090,975,249,927"</f>
        <v>2,748,135,090,975,249,927</v>
      </c>
      <c r="AS59" t="str">
        <f>"708,786,004,979,586,678"</f>
        <v>708,786,004,979,586,678</v>
      </c>
      <c r="AT59" t="str">
        <f>"160,280,647,432,341,361"</f>
        <v>160,280,647,432,341,361</v>
      </c>
      <c r="AU59" t="str">
        <f>"31,797,141,320,872,972"</f>
        <v>31,797,141,320,872,972</v>
      </c>
      <c r="AV59" t="str">
        <f>"5,546,959,239,402,060"</f>
        <v>5,546,959,239,402,060</v>
      </c>
      <c r="AW59" t="str">
        <f>"854,549,696,617,598"</f>
        <v>854,549,696,617,598</v>
      </c>
      <c r="AX59" t="str">
        <f>"116,952,095,483,736"</f>
        <v>116,952,095,483,736</v>
      </c>
      <c r="AY59" t="str">
        <f>"14,314,133,984,902"</f>
        <v>14,314,133,984,902</v>
      </c>
      <c r="AZ59" t="str">
        <f>"1,576,016,511,036"</f>
        <v>1,576,016,511,036</v>
      </c>
      <c r="BA59" t="str">
        <f>"156,586,061,944"</f>
        <v>156,586,061,944</v>
      </c>
      <c r="BB59" t="str">
        <f>"14,016,307,826"</f>
        <v>14,016,307,826</v>
      </c>
      <c r="BC59" t="str">
        <f>"1,121,057,374"</f>
        <v>1,121,057,374</v>
      </c>
      <c r="BD59" t="str">
        <f>"78,800,804"</f>
        <v>78,800,804</v>
      </c>
      <c r="BE59" t="str">
        <f>"4,737,462"</f>
        <v>4,737,462</v>
      </c>
      <c r="BF59" t="str">
        <f>"233,619"</f>
        <v>233,619</v>
      </c>
      <c r="BG59" t="str">
        <f>"8,843"</f>
        <v>8,843</v>
      </c>
      <c r="BH59" t="str">
        <f>"228"</f>
        <v>228</v>
      </c>
      <c r="BI59" t="str">
        <f>"3"</f>
        <v>3</v>
      </c>
    </row>
    <row r="60" spans="1:66" x14ac:dyDescent="0.3">
      <c r="A60">
        <v>58</v>
      </c>
      <c r="B60" t="str">
        <f>"101,465,822,016,766,230,488"</f>
        <v>101,465,822,016,766,230,488</v>
      </c>
      <c r="C60" t="str">
        <f>"44,735,334,655,531,319,958,936"</f>
        <v>44,735,334,655,531,319,958,936</v>
      </c>
      <c r="D60" t="str">
        <f t="shared" si="1"/>
        <v>1</v>
      </c>
      <c r="E60" t="str">
        <f>"116"</f>
        <v>116</v>
      </c>
      <c r="F60" t="str">
        <f>"6,512"</f>
        <v>6,512</v>
      </c>
      <c r="G60" t="str">
        <f>"235,732"</f>
        <v>235,732</v>
      </c>
      <c r="H60" t="str">
        <f>"6,186,184"</f>
        <v>6,186,184</v>
      </c>
      <c r="I60" t="str">
        <f>"125,442,461"</f>
        <v>125,442,461</v>
      </c>
      <c r="J60" t="str">
        <f>"2,045,922,361"</f>
        <v>2,045,922,361</v>
      </c>
      <c r="K60" t="str">
        <f>"27,583,862,527"</f>
        <v>27,583,862,527</v>
      </c>
      <c r="L60" t="str">
        <f>"313,579,673,606"</f>
        <v>313,579,673,606</v>
      </c>
      <c r="M60" t="str">
        <f>"3,051,009,913,622"</f>
        <v>3,051,009,913,622</v>
      </c>
      <c r="N60" t="str">
        <f>"25,701,521,716,875"</f>
        <v>25,701,521,716,875</v>
      </c>
      <c r="O60" t="str">
        <f>"189,175,118,615,929"</f>
        <v>189,175,118,615,929</v>
      </c>
      <c r="P60" t="str">
        <f>"1,225,609,083,007,407"</f>
        <v>1,225,609,083,007,407</v>
      </c>
      <c r="Q60" t="str">
        <f>"7,031,043,470,472,449"</f>
        <v>7,031,043,470,472,449</v>
      </c>
      <c r="R60" t="str">
        <f>"35,891,879,600,639,799"</f>
        <v>35,891,879,600,639,799</v>
      </c>
      <c r="S60" t="str">
        <f>"163,694,233,595,301,142"</f>
        <v>163,694,233,595,301,142</v>
      </c>
      <c r="T60" t="str">
        <f>"669,228,465,906,452,788"</f>
        <v>669,228,465,906,452,788</v>
      </c>
      <c r="U60" t="str">
        <f>"2,459,257,062,410,945,976"</f>
        <v>2,459,257,062,410,945,976</v>
      </c>
      <c r="V60" t="str">
        <f>"8,141,167,158,838,815,761"</f>
        <v>8,141,167,158,838,815,761</v>
      </c>
      <c r="W60" t="str">
        <f>"24,321,875,030,533,082,957"</f>
        <v>24,321,875,030,533,082,957</v>
      </c>
      <c r="X60" t="str">
        <f>"65,666,233,262,335,936,283"</f>
        <v>65,666,233,262,335,936,283</v>
      </c>
      <c r="Y60" t="str">
        <f>"160,390,748,580,206,198,356"</f>
        <v>160,390,748,580,206,198,356</v>
      </c>
      <c r="Z60" t="str">
        <f>"354,674,900,999,183,041,414"</f>
        <v>354,674,900,999,183,041,414</v>
      </c>
      <c r="AA60" t="str">
        <f>"710,382,532,674,225,741,254"</f>
        <v>710,382,532,674,225,741,254</v>
      </c>
      <c r="AB60" t="str">
        <f>"1,288,975,332,169,823,030,550"</f>
        <v>1,288,975,332,169,823,030,550</v>
      </c>
      <c r="AC60" t="str">
        <f>"2,118,636,378,612,086,698,511"</f>
        <v>2,118,636,378,612,086,698,511</v>
      </c>
      <c r="AD60" t="str">
        <f>"3,153,480,611,852,390,070,757"</f>
        <v>3,153,480,611,852,390,070,757</v>
      </c>
      <c r="AE60" t="str">
        <f>"4,248,196,862,487,562,171,124"</f>
        <v>4,248,196,862,487,562,171,124</v>
      </c>
      <c r="AF60" t="str">
        <f>"5,175,553,322,818,521,688,446"</f>
        <v>5,175,553,322,818,521,688,446</v>
      </c>
      <c r="AG60" t="str">
        <f>"5,696,428,328,955,015,714,070"</f>
        <v>5,696,428,328,955,015,714,070</v>
      </c>
      <c r="AH60" t="str">
        <f>"5,657,148,641,049,272,116,401"</f>
        <v>5,657,148,641,049,272,116,401</v>
      </c>
      <c r="AI60" t="str">
        <f>"5,061,702,118,280,217,158,921"</f>
        <v>5,061,702,118,280,217,158,921</v>
      </c>
      <c r="AJ60" t="str">
        <f>"4,073,376,169,328,317,258,036"</f>
        <v>4,073,376,169,328,317,258,036</v>
      </c>
      <c r="AK60" t="str">
        <f>"2,942,575,761,338,412,746,879"</f>
        <v>2,942,575,761,338,412,746,879</v>
      </c>
      <c r="AL60" t="str">
        <f>"1,904,043,772,808,212,528,166"</f>
        <v>1,904,043,772,808,212,528,166</v>
      </c>
      <c r="AM60" t="str">
        <f>"1,100,967,729,553,904,908,844"</f>
        <v>1,100,967,729,553,904,908,844</v>
      </c>
      <c r="AN60" t="str">
        <f>"567,434,924,029,456,719,529"</f>
        <v>567,434,924,029,456,719,529</v>
      </c>
      <c r="AO60" t="str">
        <f>"259,979,913,116,853,805,979"</f>
        <v>259,979,913,116,853,805,979</v>
      </c>
      <c r="AP60" t="str">
        <f>"105,598,749,577,619,349,451"</f>
        <v>105,598,749,577,619,349,451</v>
      </c>
      <c r="AQ60" t="str">
        <f>"37,923,507,636,295,542,391"</f>
        <v>37,923,507,636,295,542,391</v>
      </c>
      <c r="AR60" t="str">
        <f>"12,012,047,013,961,092,708"</f>
        <v>12,012,047,013,961,092,708</v>
      </c>
      <c r="AS60" t="str">
        <f>"3,348,903,733,493,189,649"</f>
        <v>3,348,903,733,493,189,649</v>
      </c>
      <c r="AT60" t="str">
        <f>"820,733,705,333,921,498"</f>
        <v>820,733,705,333,921,498</v>
      </c>
      <c r="AU60" t="str">
        <f>"176,776,864,184,566,324"</f>
        <v>176,776,864,184,566,324</v>
      </c>
      <c r="AV60" t="str">
        <f>"33,505,364,784,925,490"</f>
        <v>33,505,364,784,925,490</v>
      </c>
      <c r="AW60" t="str">
        <f>"5,604,856,114,048,784"</f>
        <v>5,604,856,114,048,784</v>
      </c>
      <c r="AX60" t="str">
        <f>"831,443,354,930,462"</f>
        <v>831,443,354,930,462</v>
      </c>
      <c r="AY60" t="str">
        <f>"110,039,197,677,120"</f>
        <v>110,039,197,677,120</v>
      </c>
      <c r="AZ60" t="str">
        <f>"13,075,646,732,602"</f>
        <v>13,075,646,732,602</v>
      </c>
      <c r="BA60" t="str">
        <f>"1,402,099,415,948"</f>
        <v>1,402,099,415,948</v>
      </c>
      <c r="BB60" t="str">
        <f>"135,933,837,583"</f>
        <v>135,933,837,583</v>
      </c>
      <c r="BC60" t="str">
        <f>"11,878,954,447"</f>
        <v>11,878,954,447</v>
      </c>
      <c r="BD60" t="str">
        <f>"926,674,804"</f>
        <v>926,674,804</v>
      </c>
      <c r="BE60" t="str">
        <f>"63,391,514"</f>
        <v>63,391,514</v>
      </c>
      <c r="BF60" t="str">
        <f>"3,697,565"</f>
        <v>3,697,565</v>
      </c>
      <c r="BG60" t="str">
        <f>"176,283"</f>
        <v>176,283</v>
      </c>
      <c r="BH60" t="str">
        <f>"6,427"</f>
        <v>6,427</v>
      </c>
      <c r="BI60" t="str">
        <f>"159"</f>
        <v>159</v>
      </c>
      <c r="BJ60" t="str">
        <f>"2"</f>
        <v>2</v>
      </c>
    </row>
    <row r="61" spans="1:66" x14ac:dyDescent="0.3">
      <c r="A61">
        <v>59</v>
      </c>
      <c r="B61" t="str">
        <f>"160,400,427,950,821,970,083"</f>
        <v>160,400,427,950,821,970,083</v>
      </c>
      <c r="C61" t="str">
        <f>"107,952,637,749,886,364,255,164"</f>
        <v>107,952,637,749,886,364,255,164</v>
      </c>
      <c r="D61" t="str">
        <f t="shared" si="1"/>
        <v>1</v>
      </c>
      <c r="E61" t="str">
        <f>"118"</f>
        <v>118</v>
      </c>
      <c r="F61" t="str">
        <f>"6,742"</f>
        <v>6,742</v>
      </c>
      <c r="G61" t="str">
        <f>"248,530"</f>
        <v>248,530</v>
      </c>
      <c r="H61" t="str">
        <f>"6,645,298"</f>
        <v>6,645,298</v>
      </c>
      <c r="I61" t="str">
        <f>"137,379,976"</f>
        <v>137,379,976</v>
      </c>
      <c r="J61" t="str">
        <f>"2,285,716,189"</f>
        <v>2,285,716,189</v>
      </c>
      <c r="K61" t="str">
        <f>"31,457,300,326"</f>
        <v>31,457,300,326</v>
      </c>
      <c r="L61" t="str">
        <f>"365,291,112,634"</f>
        <v>365,291,112,634</v>
      </c>
      <c r="M61" t="str">
        <f>"3,632,995,342,193"</f>
        <v>3,632,995,342,193</v>
      </c>
      <c r="N61" t="str">
        <f>"31,306,159,007,840"</f>
        <v>31,306,159,007,840</v>
      </c>
      <c r="O61" t="str">
        <f>"235,895,665,180,737"</f>
        <v>235,895,665,180,737</v>
      </c>
      <c r="P61" t="str">
        <f>"1,565,830,977,319,663"</f>
        <v>1,565,830,977,319,663</v>
      </c>
      <c r="Q61" t="str">
        <f>"9,211,271,158,106,408"</f>
        <v>9,211,271,158,106,408</v>
      </c>
      <c r="R61" t="str">
        <f>"48,260,528,345,379,858"</f>
        <v>48,260,528,345,379,858</v>
      </c>
      <c r="S61" t="str">
        <f>"226,118,105,700,948,144"</f>
        <v>226,118,105,700,948,144</v>
      </c>
      <c r="T61" t="str">
        <f>"950,637,351,979,904,298"</f>
        <v>950,637,351,979,904,298</v>
      </c>
      <c r="U61" t="str">
        <f>"3,596,164,434,488,206,593"</f>
        <v>3,596,164,434,488,206,593</v>
      </c>
      <c r="V61" t="str">
        <f>"12,268,747,826,369,122,404"</f>
        <v>12,268,747,826,369,122,404</v>
      </c>
      <c r="W61" t="str">
        <f>"37,818,100,424,802,582,612"</f>
        <v>37,818,100,424,802,582,612</v>
      </c>
      <c r="X61" t="str">
        <f>"105,481,350,943,002,459,519"</f>
        <v>105,481,350,943,002,459,519</v>
      </c>
      <c r="Y61" t="str">
        <f>"266,513,328,014,610,283,871"</f>
        <v>266,513,328,014,610,283,871</v>
      </c>
      <c r="Z61" t="str">
        <f>"610,502,392,540,040,456,129"</f>
        <v>610,502,392,540,040,456,129</v>
      </c>
      <c r="AA61" t="str">
        <f>"1,268,577,472,977,931,193,618"</f>
        <v>1,268,577,472,977,931,193,618</v>
      </c>
      <c r="AB61" t="str">
        <f>"2,391,829,988,494,296,457,610"</f>
        <v>2,391,829,988,494,296,457,610</v>
      </c>
      <c r="AC61" t="str">
        <f>"4,092,066,210,601,256,218,770"</f>
        <v>4,092,066,210,601,256,218,770</v>
      </c>
      <c r="AD61" t="str">
        <f>"6,351,361,916,355,884,126,258"</f>
        <v>6,351,361,916,355,884,126,258</v>
      </c>
      <c r="AE61" t="str">
        <f>"8,939,566,583,500,422,552,201"</f>
        <v>8,939,566,583,500,422,552,201</v>
      </c>
      <c r="AF61" t="str">
        <f>"11,402,701,321,628,868,569,531"</f>
        <v>11,402,701,321,628,868,569,531</v>
      </c>
      <c r="AG61" t="str">
        <f>"13,169,245,478,544,955,280,424"</f>
        <v>13,169,245,478,544,955,280,424</v>
      </c>
      <c r="AH61" t="str">
        <f>"13,756,261,454,064,093,928,145"</f>
        <v>13,756,261,454,064,093,928,145</v>
      </c>
      <c r="AI61" t="str">
        <f>"12,979,420,182,161,181,040,026"</f>
        <v>12,979,420,182,161,181,040,026</v>
      </c>
      <c r="AJ61" t="str">
        <f>"11,044,828,775,582,274,611,680"</f>
        <v>11,044,828,775,582,274,611,680</v>
      </c>
      <c r="AK61" t="str">
        <f>"8,461,554,006,840,487,470,929"</f>
        <v>8,461,554,006,840,487,470,929</v>
      </c>
      <c r="AL61" t="str">
        <f>"5,824,710,573,872,852,147,881"</f>
        <v>5,824,710,573,872,852,147,881</v>
      </c>
      <c r="AM61" t="str">
        <f>"3,594,913,384,024,116,524,118"</f>
        <v>3,594,913,384,024,116,524,118</v>
      </c>
      <c r="AN61" t="str">
        <f>"1,984,578,187,993,290,768,907"</f>
        <v>1,984,578,187,993,290,768,907</v>
      </c>
      <c r="AO61" t="str">
        <f>"977,512,498,529,285,391,552"</f>
        <v>977,512,498,529,285,391,552</v>
      </c>
      <c r="AP61" t="str">
        <f>"428,464,194,656,362,716,898"</f>
        <v>428,464,194,656,362,716,898</v>
      </c>
      <c r="AQ61" t="str">
        <f>"166,685,825,256,138,482,142"</f>
        <v>166,685,825,256,138,482,142</v>
      </c>
      <c r="AR61" t="str">
        <f>"57,407,759,690,209,906,479"</f>
        <v>57,407,759,690,209,906,479</v>
      </c>
      <c r="AS61" t="str">
        <f>"17,463,963,842,568,793,247"</f>
        <v>17,463,963,842,568,793,247</v>
      </c>
      <c r="AT61" t="str">
        <f>"4,684,314,983,683,473,343"</f>
        <v>4,684,314,983,683,473,343</v>
      </c>
      <c r="AU61" t="str">
        <f>"1,106,774,123,306,929,465"</f>
        <v>1,106,774,123,306,929,465</v>
      </c>
      <c r="AV61" t="str">
        <f>"230,386,710,662,054,511"</f>
        <v>230,386,710,662,054,511</v>
      </c>
      <c r="AW61" t="str">
        <f>"42,321,282,771,452,703"</f>
        <v>42,321,282,771,452,703</v>
      </c>
      <c r="AX61" t="str">
        <f>"6,883,547,192,222,753"</f>
        <v>6,883,547,192,222,753</v>
      </c>
      <c r="AY61" t="str">
        <f>"996,237,038,095,398"</f>
        <v>996,237,038,095,398</v>
      </c>
      <c r="AZ61" t="str">
        <f>"129,066,891,329,200"</f>
        <v>129,066,891,329,200</v>
      </c>
      <c r="BA61" t="str">
        <f>"15,057,854,580,790"</f>
        <v>15,057,854,580,790</v>
      </c>
      <c r="BB61" t="str">
        <f>"1,589,006,147,498"</f>
        <v>1,589,006,147,498</v>
      </c>
      <c r="BC61" t="str">
        <f>"151,841,375,943"</f>
        <v>151,841,375,943</v>
      </c>
      <c r="BD61" t="str">
        <f>"13,088,395,764"</f>
        <v>13,088,395,764</v>
      </c>
      <c r="BE61" t="str">
        <f>"1,007,252,248"</f>
        <v>1,007,252,248</v>
      </c>
      <c r="BF61" t="str">
        <f>"67,956,755"</f>
        <v>67,956,755</v>
      </c>
      <c r="BG61" t="str">
        <f>"3,907,899"</f>
        <v>3,907,899</v>
      </c>
      <c r="BH61" t="str">
        <f>"183,633"</f>
        <v>183,633</v>
      </c>
      <c r="BI61" t="str">
        <f>"6,599"</f>
        <v>6,599</v>
      </c>
      <c r="BJ61" t="str">
        <f>"161"</f>
        <v>161</v>
      </c>
      <c r="BK61" t="str">
        <f>"2"</f>
        <v>2</v>
      </c>
    </row>
    <row r="62" spans="1:66" x14ac:dyDescent="0.3">
      <c r="A62">
        <v>60</v>
      </c>
      <c r="B62" t="str">
        <f>"250,839,153,864,702,385,377"</f>
        <v>250,839,153,864,702,385,377</v>
      </c>
      <c r="C62" t="str">
        <f>"257,203,030,436,248,601,856,536"</f>
        <v>257,203,030,436,248,601,856,536</v>
      </c>
      <c r="D62" t="str">
        <f t="shared" si="1"/>
        <v>1</v>
      </c>
      <c r="E62" t="str">
        <f>"120"</f>
        <v>120</v>
      </c>
      <c r="F62" t="str">
        <f>"6,976"</f>
        <v>6,976</v>
      </c>
      <c r="G62" t="str">
        <f>"261,784"</f>
        <v>261,784</v>
      </c>
      <c r="H62" t="str">
        <f>"7,129,559"</f>
        <v>7,129,559</v>
      </c>
      <c r="I62" t="str">
        <f>"150,211,349"</f>
        <v>150,211,349</v>
      </c>
      <c r="J62" t="str">
        <f>"2,548,532,883"</f>
        <v>2,548,532,883</v>
      </c>
      <c r="K62" t="str">
        <f>"35,788,743,996"</f>
        <v>35,788,743,996</v>
      </c>
      <c r="L62" t="str">
        <f>"424,327,487,600"</f>
        <v>424,327,487,600</v>
      </c>
      <c r="M62" t="str">
        <f>"4,311,775,353,880"</f>
        <v>4,311,775,353,880</v>
      </c>
      <c r="N62" t="str">
        <f>"37,988,781,939,600"</f>
        <v>37,988,781,939,600</v>
      </c>
      <c r="O62" t="str">
        <f>"292,885,969,724,783"</f>
        <v>292,885,969,724,783</v>
      </c>
      <c r="P62" t="str">
        <f>"1,990,717,863,649,566"</f>
        <v>1,990,717,863,649,566</v>
      </c>
      <c r="Q62" t="str">
        <f>"12,001,048,109,651,654"</f>
        <v>12,001,048,109,651,654</v>
      </c>
      <c r="R62" t="str">
        <f>"64,489,842,062,795,722"</f>
        <v>64,489,842,062,795,722</v>
      </c>
      <c r="S62" t="str">
        <f>"310,181,865,207,731,755"</f>
        <v>310,181,865,207,731,755</v>
      </c>
      <c r="T62" t="str">
        <f>"1,339,918,601,448,067,428"</f>
        <v>1,339,918,601,448,067,428</v>
      </c>
      <c r="U62" t="str">
        <f>"5,213,218,215,830,007,035"</f>
        <v>5,213,218,215,830,007,035</v>
      </c>
      <c r="V62" t="str">
        <f>"18,310,946,788,751,495,164"</f>
        <v>18,310,946,788,751,495,164</v>
      </c>
      <c r="W62" t="str">
        <f>"58,172,584,311,885,512,649"</f>
        <v>58,172,584,311,885,512,649</v>
      </c>
      <c r="X62" t="str">
        <f>"167,413,486,824,194,081,873"</f>
        <v>167,413,486,824,194,081,873</v>
      </c>
      <c r="Y62" t="str">
        <f>"436,962,089,734,739,944,754"</f>
        <v>436,962,089,734,739,944,754</v>
      </c>
      <c r="Z62" t="str">
        <f>"1,035,295,061,077,616,987,600"</f>
        <v>1,035,295,061,077,616,987,600</v>
      </c>
      <c r="AA62" t="str">
        <f>"2,228,012,928,055,804,234,582"</f>
        <v>2,228,012,928,055,804,234,582</v>
      </c>
      <c r="AB62" t="str">
        <f>"4,356,718,623,974,193,981,965"</f>
        <v>4,356,718,623,974,193,981,965</v>
      </c>
      <c r="AC62" t="str">
        <f>"7,741,768,336,380,513,015,843"</f>
        <v>7,741,768,336,380,513,015,843</v>
      </c>
      <c r="AD62" t="str">
        <f>"12,500,021,922,467,317,582,007"</f>
        <v>12,500,021,922,467,317,582,007</v>
      </c>
      <c r="AE62" t="str">
        <f>"18,332,699,556,365,004,240,651"</f>
        <v>18,332,699,556,365,004,240,651</v>
      </c>
      <c r="AF62" t="str">
        <f>"24,408,921,952,797,344,479,849"</f>
        <v>24,408,921,952,797,344,479,849</v>
      </c>
      <c r="AG62" t="str">
        <f>"29,481,300,706,721,092,447,134"</f>
        <v>29,481,300,706,721,092,447,134</v>
      </c>
      <c r="AH62" t="str">
        <f>"32,269,964,320,820,904,127,085"</f>
        <v>32,269,964,320,820,904,127,085</v>
      </c>
      <c r="AI62" t="str">
        <f>"31,973,560,513,681,496,406,749"</f>
        <v>31,973,560,513,681,496,406,749</v>
      </c>
      <c r="AJ62" t="str">
        <f>"28,636,516,987,764,055,376,802"</f>
        <v>28,636,516,987,764,055,376,802</v>
      </c>
      <c r="AK62" t="str">
        <f>"23,146,840,768,742,327,626,656"</f>
        <v>23,146,840,768,742,327,626,656</v>
      </c>
      <c r="AL62" t="str">
        <f>"16,854,749,833,441,611,405,622"</f>
        <v>16,854,749,833,441,611,405,622</v>
      </c>
      <c r="AM62" t="str">
        <f>"11,034,250,943,430,254,554,969"</f>
        <v>11,034,250,943,430,254,554,969</v>
      </c>
      <c r="AN62" t="str">
        <f>"6,480,439,093,197,761,150,103"</f>
        <v>6,480,439,093,197,761,150,103</v>
      </c>
      <c r="AO62" t="str">
        <f>"3,406,346,043,394,494,039,627"</f>
        <v>3,406,346,043,394,494,039,627</v>
      </c>
      <c r="AP62" t="str">
        <f>"1,598,547,122,551,139,462,631"</f>
        <v>1,598,547,122,551,139,462,631</v>
      </c>
      <c r="AQ62" t="str">
        <f>"668,065,260,627,273,185,670"</f>
        <v>668,065,260,627,273,185,670</v>
      </c>
      <c r="AR62" t="str">
        <f>"248,021,270,444,331,473,697"</f>
        <v>248,021,270,444,331,473,697</v>
      </c>
      <c r="AS62" t="str">
        <f>"81,607,401,050,730,379,853"</f>
        <v>81,607,401,050,730,379,853</v>
      </c>
      <c r="AT62" t="str">
        <f>"23,751,467,609,278,751,302"</f>
        <v>23,751,467,609,278,751,302</v>
      </c>
      <c r="AU62" t="str">
        <f>"6,106,386,870,455,260,589"</f>
        <v>6,106,386,870,455,260,589</v>
      </c>
      <c r="AV62" t="str">
        <f>"1,386,173,282,506,436,191"</f>
        <v>1,386,173,282,506,436,191</v>
      </c>
      <c r="AW62" t="str">
        <f>"278,055,334,661,921,457"</f>
        <v>278,055,334,661,921,457</v>
      </c>
      <c r="AX62" t="str">
        <f>"49,399,409,477,521,319"</f>
        <v>49,399,409,477,521,319</v>
      </c>
      <c r="AY62" t="str">
        <f>"7,803,456,858,038,982"</f>
        <v>7,803,456,858,038,982</v>
      </c>
      <c r="AZ62" t="str">
        <f>"1,101,870,961,792,118"</f>
        <v>1,101,870,961,792,118</v>
      </c>
      <c r="BA62" t="str">
        <f>"139,915,832,282,570"</f>
        <v>139,915,832,282,570</v>
      </c>
      <c r="BB62" t="str">
        <f>"16,066,364,389,027"</f>
        <v>16,066,364,389,027</v>
      </c>
      <c r="BC62" t="str">
        <f>"1,674,437,009,600"</f>
        <v>1,674,437,009,600</v>
      </c>
      <c r="BD62" t="str">
        <f>"158,412,795,900"</f>
        <v>158,412,795,900</v>
      </c>
      <c r="BE62" t="str">
        <f>"13,539,684,102"</f>
        <v>13,539,684,102</v>
      </c>
      <c r="BF62" t="str">
        <f>"1,034,064,815"</f>
        <v>1,034,064,815</v>
      </c>
      <c r="BG62" t="str">
        <f>"69,270,428"</f>
        <v>69,270,428</v>
      </c>
      <c r="BH62" t="str">
        <f>"3,957,246"</f>
        <v>3,957,246</v>
      </c>
      <c r="BI62" t="str">
        <f>"184,886"</f>
        <v>184,886</v>
      </c>
      <c r="BJ62" t="str">
        <f>"6,615"</f>
        <v>6,615</v>
      </c>
      <c r="BK62" t="str">
        <f>"161"</f>
        <v>161</v>
      </c>
      <c r="BL62" t="str">
        <f>"2"</f>
        <v>2</v>
      </c>
    </row>
    <row r="63" spans="1:66" x14ac:dyDescent="0.3">
      <c r="A63">
        <v>61</v>
      </c>
      <c r="B63" t="str">
        <f>"388,790,810,732,431,392,712"</f>
        <v>388,790,810,732,431,392,712</v>
      </c>
      <c r="C63" t="str">
        <f>"614,911,465,452,554,353,686,588"</f>
        <v>614,911,465,452,554,353,686,588</v>
      </c>
      <c r="D63" t="str">
        <f t="shared" si="1"/>
        <v>1</v>
      </c>
      <c r="E63" t="str">
        <f>"122"</f>
        <v>122</v>
      </c>
      <c r="F63" t="str">
        <f>"7,214"</f>
        <v>7,214</v>
      </c>
      <c r="G63" t="str">
        <f>"275,502"</f>
        <v>275,502</v>
      </c>
      <c r="H63" t="str">
        <f>"7,639,872"</f>
        <v>7,639,872</v>
      </c>
      <c r="I63" t="str">
        <f>"163,986,095"</f>
        <v>163,986,095</v>
      </c>
      <c r="J63" t="str">
        <f>"2,836,118,250"</f>
        <v>2,836,118,250</v>
      </c>
      <c r="K63" t="str">
        <f>"40,622,787,020"</f>
        <v>40,622,787,020</v>
      </c>
      <c r="L63" t="str">
        <f>"491,568,370,554"</f>
        <v>491,568,370,554</v>
      </c>
      <c r="M63" t="str">
        <f>"5,101,294,140,000"</f>
        <v>5,101,294,140,000</v>
      </c>
      <c r="N63" t="str">
        <f>"45,932,001,537,822"</f>
        <v>45,932,001,537,822</v>
      </c>
      <c r="O63" t="str">
        <f>"362,161,004,486,876"</f>
        <v>362,161,004,486,876</v>
      </c>
      <c r="P63" t="str">
        <f>"2,519,284,306,627,222"</f>
        <v>2,519,284,306,627,222</v>
      </c>
      <c r="Q63" t="str">
        <f>"15,555,608,065,211,305"</f>
        <v>15,555,608,065,211,305</v>
      </c>
      <c r="R63" t="str">
        <f>"85,686,263,585,914,014"</f>
        <v>85,686,263,585,914,014</v>
      </c>
      <c r="S63" t="str">
        <f>"422,821,330,437,994,284"</f>
        <v>422,821,330,437,994,284</v>
      </c>
      <c r="T63" t="str">
        <f>"1,875,538,385,675,701,782"</f>
        <v>1,875,538,385,675,701,782</v>
      </c>
      <c r="U63" t="str">
        <f>"7,500,084,932,897,812,587"</f>
        <v>7,500,084,932,897,812,587</v>
      </c>
      <c r="V63" t="str">
        <f>"27,102,547,511,646,065,891"</f>
        <v>27,102,547,511,646,065,891</v>
      </c>
      <c r="W63" t="str">
        <f>"88,675,811,133,098,451,516"</f>
        <v>88,675,811,133,098,451,516</v>
      </c>
      <c r="X63" t="str">
        <f>"263,109,832,553,218,264,783"</f>
        <v>263,109,832,553,218,264,783</v>
      </c>
      <c r="Y63" t="str">
        <f>"708,840,121,805,205,888,285"</f>
        <v>708,840,121,805,205,888,285</v>
      </c>
      <c r="Z63" t="str">
        <f>"1,735,611,273,626,232,407,954"</f>
        <v>1,735,611,273,626,232,407,954</v>
      </c>
      <c r="AA63" t="str">
        <f>"3,864,967,311,782,557,870,088"</f>
        <v>3,864,967,311,782,557,870,088</v>
      </c>
      <c r="AB63" t="str">
        <f>"7,830,979,538,962,145,725,505"</f>
        <v>7,830,979,538,962,145,725,505</v>
      </c>
      <c r="AC63" t="str">
        <f>"14,439,405,333,949,164,881,146"</f>
        <v>14,439,405,333,949,164,881,146</v>
      </c>
      <c r="AD63" t="str">
        <f>"24,228,977,135,544,915,215,702"</f>
        <v>24,228,977,135,544,915,215,702</v>
      </c>
      <c r="AE63" t="str">
        <f>"36,988,810,960,129,787,442,933"</f>
        <v>36,988,810,960,129,787,442,933</v>
      </c>
      <c r="AF63" t="str">
        <f>"51,352,570,125,145,421,703,332"</f>
        <v>51,352,570,125,145,421,703,332</v>
      </c>
      <c r="AG63" t="str">
        <f>"64,793,181,593,943,409,394,275"</f>
        <v>64,793,181,593,943,409,394,275</v>
      </c>
      <c r="AH63" t="str">
        <f>"74,234,077,238,365,494,822,054"</f>
        <v>74,234,077,238,365,494,822,054</v>
      </c>
      <c r="AI63" t="str">
        <f>"77,148,784,816,298,804,301,618"</f>
        <v>77,148,784,816,298,804,301,618</v>
      </c>
      <c r="AJ63" t="str">
        <f>"72,638,201,482,988,275,326,882"</f>
        <v>72,638,201,482,988,275,326,882</v>
      </c>
      <c r="AK63" t="str">
        <f>"61,870,508,305,690,116,235,184"</f>
        <v>61,870,508,305,690,116,235,184</v>
      </c>
      <c r="AL63" t="str">
        <f>"47,596,186,763,247,716,685,846"</f>
        <v>47,596,186,763,247,716,685,846</v>
      </c>
      <c r="AM63" t="str">
        <f>"33,009,183,707,704,030,392,705"</f>
        <v>33,009,183,707,704,030,392,705</v>
      </c>
      <c r="AN63" t="str">
        <f>"20,596,672,832,210,725,673,128"</f>
        <v>20,596,672,832,210,725,673,128</v>
      </c>
      <c r="AO63" t="str">
        <f>"11,537,543,297,709,016,619,750"</f>
        <v>11,537,543,297,709,016,619,750</v>
      </c>
      <c r="AP63" t="str">
        <f>"5,788,678,119,879,175,000,260"</f>
        <v>5,788,678,119,879,175,000,260</v>
      </c>
      <c r="AQ63" t="str">
        <f>"2,595,091,045,180,723,085,952"</f>
        <v>2,595,091,045,180,723,085,952</v>
      </c>
      <c r="AR63" t="str">
        <f>"1,037,008,858,703,702,321,943"</f>
        <v>1,037,008,858,703,702,321,943</v>
      </c>
      <c r="AS63" t="str">
        <f>"368,515,427,572,067,477,953"</f>
        <v>368,515,427,572,067,477,953</v>
      </c>
      <c r="AT63" t="str">
        <f>"116,214,323,077,492,485,928"</f>
        <v>116,214,323,077,492,485,928</v>
      </c>
      <c r="AU63" t="str">
        <f>"32,468,988,449,257,624,717"</f>
        <v>32,468,988,449,257,624,717</v>
      </c>
      <c r="AV63" t="str">
        <f>"8,028,867,835,311,735,079"</f>
        <v>8,028,867,835,311,735,079</v>
      </c>
      <c r="AW63" t="str">
        <f>"1,757,170,277,633,772,777"</f>
        <v>1,757,170,277,633,772,777</v>
      </c>
      <c r="AX63" t="str">
        <f>"340,802,568,830,616,155"</f>
        <v>340,802,568,830,616,155</v>
      </c>
      <c r="AY63" t="str">
        <f>"58,740,058,014,913,633"</f>
        <v>58,740,058,014,913,633</v>
      </c>
      <c r="AZ63" t="str">
        <f>"9,036,326,530,340,503"</f>
        <v>9,036,326,530,340,503</v>
      </c>
      <c r="BA63" t="str">
        <f>"1,247,647,085,186,063"</f>
        <v>1,247,647,085,186,063</v>
      </c>
      <c r="BB63" t="str">
        <f>"155,542,320,113,817"</f>
        <v>155,542,320,113,817</v>
      </c>
      <c r="BC63" t="str">
        <f>"17,601,601,278,664"</f>
        <v>17,601,601,278,664</v>
      </c>
      <c r="BD63" t="str">
        <f>"1,813,547,092,796"</f>
        <v>1,813,547,092,796</v>
      </c>
      <c r="BE63" t="str">
        <f>"170,017,683,058"</f>
        <v>170,017,683,058</v>
      </c>
      <c r="BF63" t="str">
        <f>"14,420,413,195"</f>
        <v>14,420,413,195</v>
      </c>
      <c r="BG63" t="str">
        <f>"1,093,520,129"</f>
        <v>1,093,520,129</v>
      </c>
      <c r="BH63" t="str">
        <f>"72,724,693"</f>
        <v>72,724,693</v>
      </c>
      <c r="BI63" t="str">
        <f>"4,122,287"</f>
        <v>4,122,287</v>
      </c>
      <c r="BJ63" t="str">
        <f>"190,954"</f>
        <v>190,954</v>
      </c>
      <c r="BK63" t="str">
        <f>"6,768"</f>
        <v>6,768</v>
      </c>
      <c r="BL63" t="str">
        <f>"163"</f>
        <v>163</v>
      </c>
      <c r="BM63" t="str">
        <f>"2"</f>
        <v>2</v>
      </c>
    </row>
    <row r="64" spans="1:66" x14ac:dyDescent="0.3">
      <c r="A64">
        <v>62</v>
      </c>
      <c r="B64" t="str">
        <f>"597,344,903,487,383,778,885"</f>
        <v>597,344,903,487,383,778,885</v>
      </c>
      <c r="C64" t="str">
        <f>"1,469,702,891,218,760,151,501,024"</f>
        <v>1,469,702,891,218,760,151,501,024</v>
      </c>
      <c r="D64" t="str">
        <f t="shared" si="1"/>
        <v>1</v>
      </c>
      <c r="E64" t="str">
        <f>"124"</f>
        <v>124</v>
      </c>
      <c r="F64" t="str">
        <f>"7,456"</f>
        <v>7,456</v>
      </c>
      <c r="G64" t="str">
        <f>"289,692"</f>
        <v>289,692</v>
      </c>
      <c r="H64" t="str">
        <f>"8,177,157"</f>
        <v>8,177,157</v>
      </c>
      <c r="I64" t="str">
        <f>"178,755,413"</f>
        <v>178,755,413</v>
      </c>
      <c r="J64" t="str">
        <f>"3,150,309,517"</f>
        <v>3,150,309,517</v>
      </c>
      <c r="K64" t="str">
        <f>"46,007,220,511"</f>
        <v>46,007,220,511</v>
      </c>
      <c r="L64" t="str">
        <f>"567,974,344,802"</f>
        <v>567,974,344,802</v>
      </c>
      <c r="M64" t="str">
        <f>"6,017,080,418,502"</f>
        <v>6,017,080,418,502</v>
      </c>
      <c r="N64" t="str">
        <f>"55,343,333,760,126"</f>
        <v>55,343,333,760,126</v>
      </c>
      <c r="O64" t="str">
        <f>"446,059,030,119,648"</f>
        <v>446,059,030,119,648</v>
      </c>
      <c r="P64" t="str">
        <f>"3,174,080,021,006,179"</f>
        <v>3,174,080,021,006,179</v>
      </c>
      <c r="Q64" t="str">
        <f>"20,063,237,128,501,462"</f>
        <v>20,063,237,128,501,462</v>
      </c>
      <c r="R64" t="str">
        <f>"113,223,523,019,664,870"</f>
        <v>113,223,523,019,664,870</v>
      </c>
      <c r="S64" t="str">
        <f>"572,858,975,338,189,267"</f>
        <v>572,858,975,338,189,267</v>
      </c>
      <c r="T64" t="str">
        <f>"2,607,672,013,974,439,960"</f>
        <v>2,607,672,013,974,439,960</v>
      </c>
      <c r="U64" t="str">
        <f>"10,710,708,489,651,985,367"</f>
        <v>10,710,708,489,651,985,367</v>
      </c>
      <c r="V64" t="str">
        <f>"39,791,955,344,983,898,056"</f>
        <v>39,791,955,344,983,898,056</v>
      </c>
      <c r="W64" t="str">
        <f>"133,983,811,242,735,864,970"</f>
        <v>133,983,811,242,735,864,970</v>
      </c>
      <c r="X64" t="str">
        <f>"409,540,928,543,766,825,805"</f>
        <v>409,540,928,543,766,825,805</v>
      </c>
      <c r="Y64" t="str">
        <f>"1,137,880,384,281,554,093,336"</f>
        <v>1,137,880,384,281,554,093,336</v>
      </c>
      <c r="Z64" t="str">
        <f>"2,876,667,499,110,802,930,586"</f>
        <v>2,876,667,499,110,802,930,586</v>
      </c>
      <c r="AA64" t="str">
        <f>"6,622,173,288,781,279,539,705"</f>
        <v>6,622,173,288,781,279,539,705</v>
      </c>
      <c r="AB64" t="str">
        <f>"13,888,233,696,924,251,999,064"</f>
        <v>13,888,233,696,924,251,999,064</v>
      </c>
      <c r="AC64" t="str">
        <f>"26,542,857,575,287,613,777,522"</f>
        <v>26,542,857,575,287,613,777,522</v>
      </c>
      <c r="AD64" t="str">
        <f>"46,230,367,748,875,260,038,905"</f>
        <v>46,230,367,748,875,260,038,905</v>
      </c>
      <c r="AE64" t="str">
        <f>"73,370,444,928,379,348,267,933"</f>
        <v>73,370,444,928,379,348,267,933</v>
      </c>
      <c r="AF64" t="str">
        <f>"106,066,302,854,532,055,269,088"</f>
        <v>106,066,302,854,532,055,269,088</v>
      </c>
      <c r="AG64" t="str">
        <f>"139,591,739,558,621,575,690,164"</f>
        <v>139,591,739,558,621,575,690,164</v>
      </c>
      <c r="AH64" t="str">
        <f>"167,127,523,064,054,005,869,744"</f>
        <v>167,127,523,064,054,005,869,744</v>
      </c>
      <c r="AI64" t="str">
        <f>"181,860,866,174,407,840,830,747"</f>
        <v>181,860,866,174,407,840,830,747</v>
      </c>
      <c r="AJ64" t="str">
        <f>"179,658,613,300,428,761,502,941"</f>
        <v>179,658,613,300,428,761,502,941</v>
      </c>
      <c r="AK64" t="str">
        <f>"160,918,717,237,496,647,787,012"</f>
        <v>160,918,717,237,496,647,787,012</v>
      </c>
      <c r="AL64" t="str">
        <f>"130,486,442,516,466,036,564,077"</f>
        <v>130,486,442,516,466,036,564,077</v>
      </c>
      <c r="AM64" t="str">
        <f>"95,630,171,837,371,726,969,167"</f>
        <v>95,630,171,837,371,726,969,167</v>
      </c>
      <c r="AN64" t="str">
        <f>"63,224,943,820,545,975,360,846"</f>
        <v>63,224,943,820,545,975,360,846</v>
      </c>
      <c r="AO64" t="str">
        <f>"37,632,894,038,574,826,793,007"</f>
        <v>37,632,894,038,574,826,793,007</v>
      </c>
      <c r="AP64" t="str">
        <f>"20,122,968,329,303,729,199,915"</f>
        <v>20,122,968,329,303,729,199,915</v>
      </c>
      <c r="AQ64" t="str">
        <f>"9,644,386,365,164,881,217,984"</f>
        <v>9,644,386,365,164,881,217,984</v>
      </c>
      <c r="AR64" t="str">
        <f>"4,133,377,480,522,870,384,586"</f>
        <v>4,133,377,480,522,870,384,586</v>
      </c>
      <c r="AS64" t="str">
        <f>"1,580,466,539,425,041,833,998"</f>
        <v>1,580,466,539,425,041,833,998</v>
      </c>
      <c r="AT64" t="str">
        <f>"537,996,784,472,855,251,688"</f>
        <v>537,996,784,472,855,251,688</v>
      </c>
      <c r="AU64" t="str">
        <f>"162,736,375,684,815,665,786"</f>
        <v>162,736,375,684,815,665,786</v>
      </c>
      <c r="AV64" t="str">
        <f>"43,683,770,428,134,322,784"</f>
        <v>43,683,770,428,134,322,784</v>
      </c>
      <c r="AW64" t="str">
        <f>"10,400,205,193,762,485,416"</f>
        <v>10,400,205,193,762,485,416</v>
      </c>
      <c r="AX64" t="str">
        <f>"2,197,184,625,435,967,191"</f>
        <v>2,197,184,625,435,967,191</v>
      </c>
      <c r="AY64" t="str">
        <f>"412,655,162,127,842,944"</f>
        <v>412,655,162,127,842,944</v>
      </c>
      <c r="AZ64" t="str">
        <f>"69,126,180,463,019,584"</f>
        <v>69,126,180,463,019,584</v>
      </c>
      <c r="BA64" t="str">
        <f>"10,377,281,071,879,737"</f>
        <v>10,377,281,071,879,737</v>
      </c>
      <c r="BB64" t="str">
        <f>"1,404,063,852,057,809"</f>
        <v>1,404,063,852,057,809</v>
      </c>
      <c r="BC64" t="str">
        <f>"172,220,664,475,111"</f>
        <v>172,220,664,475,111</v>
      </c>
      <c r="BD64" t="str">
        <f>"19,241,697,587,875"</f>
        <v>19,241,697,587,875</v>
      </c>
      <c r="BE64" t="str">
        <f>"1,962,701,819,980"</f>
        <v>1,962,701,819,980</v>
      </c>
      <c r="BF64" t="str">
        <f>"182,494,543,493"</f>
        <v>182,494,543,493</v>
      </c>
      <c r="BG64" t="str">
        <f>"15,366,843,430"</f>
        <v>15,366,843,430</v>
      </c>
      <c r="BH64" t="str">
        <f>"1,157,143,377"</f>
        <v>1,157,143,377</v>
      </c>
      <c r="BI64" t="str">
        <f>"76,395,136"</f>
        <v>76,395,136</v>
      </c>
      <c r="BJ64" t="str">
        <f>"4,296,103"</f>
        <v>4,296,103</v>
      </c>
      <c r="BK64" t="str">
        <f>"197,276"</f>
        <v>197,276</v>
      </c>
      <c r="BL64" t="str">
        <f>"6,925"</f>
        <v>6,925</v>
      </c>
      <c r="BM64" t="str">
        <f>"165"</f>
        <v>165</v>
      </c>
      <c r="BN64" t="str">
        <f>"2"</f>
        <v>2</v>
      </c>
    </row>
    <row r="65" spans="1:68" x14ac:dyDescent="0.3">
      <c r="A65">
        <v>63</v>
      </c>
      <c r="B65" t="str">
        <f>"909,933,147,868,947,953,647"</f>
        <v>909,933,147,868,947,953,647</v>
      </c>
      <c r="C65" t="str">
        <f>"3,504,050,212,918,918,438,596,837"</f>
        <v>3,504,050,212,918,918,438,596,837</v>
      </c>
      <c r="D65" t="str">
        <f t="shared" si="1"/>
        <v>1</v>
      </c>
      <c r="E65" t="str">
        <f>"126"</f>
        <v>126</v>
      </c>
      <c r="F65" t="str">
        <f>"7,702"</f>
        <v>7,702</v>
      </c>
      <c r="G65" t="str">
        <f>"304,362"</f>
        <v>304,362</v>
      </c>
      <c r="H65" t="str">
        <f>"8,742,350"</f>
        <v>8,742,350</v>
      </c>
      <c r="I65" t="str">
        <f>"194,572,326"</f>
        <v>194,572,326</v>
      </c>
      <c r="J65" t="str">
        <f>"3,493,044,512"</f>
        <v>3,493,044,512</v>
      </c>
      <c r="K65" t="str">
        <f>"51,993,412,436"</f>
        <v>51,993,412,436</v>
      </c>
      <c r="L65" t="str">
        <f>"654,598,160,299"</f>
        <v>654,598,160,299</v>
      </c>
      <c r="M65" t="str">
        <f>"7,076,497,490,982"</f>
        <v>7,076,497,490,982</v>
      </c>
      <c r="N65" t="str">
        <f>"66,459,657,423,950"</f>
        <v>66,459,657,423,950</v>
      </c>
      <c r="O65" t="str">
        <f>"547,306,686,330,542"</f>
        <v>547,306,686,330,542</v>
      </c>
      <c r="P65" t="str">
        <f>"3,981,985,010,746,312"</f>
        <v>3,981,985,010,746,312</v>
      </c>
      <c r="Q65" t="str">
        <f>"25,753,531,830,350,980"</f>
        <v>25,753,531,830,350,980</v>
      </c>
      <c r="R65" t="str">
        <f>"148,816,467,483,419,864"</f>
        <v>148,816,467,483,419,864</v>
      </c>
      <c r="S65" t="str">
        <f>"771,577,764,487,849,032"</f>
        <v>771,577,764,487,849,032</v>
      </c>
      <c r="T65" t="str">
        <f>"3,602,112,294,518,547,731"</f>
        <v>3,602,112,294,518,547,731</v>
      </c>
      <c r="U65" t="str">
        <f>"15,186,788,322,980,047,380"</f>
        <v>15,186,788,322,980,047,380</v>
      </c>
      <c r="V65" t="str">
        <f>"57,966,252,905,566,493,784"</f>
        <v>57,966,252,905,566,493,784</v>
      </c>
      <c r="W65" t="str">
        <f>"200,711,378,477,919,725,774"</f>
        <v>200,711,378,477,919,725,774</v>
      </c>
      <c r="X65" t="str">
        <f>"631,515,864,566,021,283,202"</f>
        <v>631,515,864,566,021,283,202</v>
      </c>
      <c r="Y65" t="str">
        <f>"1,808,006,121,017,880,700,428"</f>
        <v>1,808,006,121,017,880,700,428</v>
      </c>
      <c r="Z65" t="str">
        <f>"4,714,996,384,441,629,421,794"</f>
        <v>4,714,996,384,441,629,421,794</v>
      </c>
      <c r="AA65" t="str">
        <f>"11,209,274,218,815,076,055,846"</f>
        <v>11,209,274,218,815,076,055,846</v>
      </c>
      <c r="AB65" t="str">
        <f>"24,307,076,993,872,908,767,786"</f>
        <v>24,307,076,993,872,908,767,786</v>
      </c>
      <c r="AC65" t="str">
        <f>"48,094,394,036,839,490,138,054"</f>
        <v>48,094,394,036,839,490,138,054</v>
      </c>
      <c r="AD65" t="str">
        <f>"86,839,754,617,541,557,651,710"</f>
        <v>86,839,754,617,541,557,651,710</v>
      </c>
      <c r="AE65" t="str">
        <f>"143,078,352,078,220,097,481,142"</f>
        <v>143,078,352,078,220,097,481,142</v>
      </c>
      <c r="AF65" t="str">
        <f>"215,052,913,281,823,912,618,514"</f>
        <v>215,052,913,281,823,912,618,514</v>
      </c>
      <c r="AG65" t="str">
        <f>"294,737,861,128,151,093,345,252"</f>
        <v>294,737,861,128,151,093,345,252</v>
      </c>
      <c r="AH65" t="str">
        <f>"368,102,392,518,384,863,219,264"</f>
        <v>368,102,392,518,384,863,219,264</v>
      </c>
      <c r="AI65" t="str">
        <f>"418,588,297,578,448,339,996,526"</f>
        <v>418,588,297,578,448,339,996,526</v>
      </c>
      <c r="AJ65" t="str">
        <f>"432,968,300,189,632,037,694,198"</f>
        <v>432,968,300,189,632,037,694,198</v>
      </c>
      <c r="AK65" t="str">
        <f>"406,876,083,832,323,685,181,114"</f>
        <v>406,876,083,832,323,685,181,114</v>
      </c>
      <c r="AL65" t="str">
        <f>"346,907,679,486,333,885,790,828"</f>
        <v>346,907,679,486,333,885,790,828</v>
      </c>
      <c r="AM65" t="str">
        <f>"267,943,543,845,431,264,303,524"</f>
        <v>267,943,543,845,431,264,303,524</v>
      </c>
      <c r="AN65" t="str">
        <f>"187,157,746,067,114,623,519,328"</f>
        <v>187,157,746,067,114,623,519,328</v>
      </c>
      <c r="AO65" t="str">
        <f>"118,003,434,264,484,834,577,120"</f>
        <v>118,003,434,264,484,834,577,120</v>
      </c>
      <c r="AP65" t="str">
        <f>"67,023,619,446,746,135,727,338"</f>
        <v>67,023,619,446,746,135,727,338</v>
      </c>
      <c r="AQ65" t="str">
        <f>"34,220,000,153,605,840,812,642"</f>
        <v>34,220,000,153,605,840,812,642</v>
      </c>
      <c r="AR65" t="str">
        <f>"15,670,758,820,366,722,091,460"</f>
        <v>15,670,758,820,366,722,091,460</v>
      </c>
      <c r="AS65" t="str">
        <f>"6,422,297,759,377,702,390,412"</f>
        <v>6,422,297,759,377,702,390,412</v>
      </c>
      <c r="AT65" t="str">
        <f>"2,350,425,308,319,756,006,234"</f>
        <v>2,350,425,308,319,756,006,234</v>
      </c>
      <c r="AU65" t="str">
        <f>"766,674,377,079,164,632,914"</f>
        <v>766,674,377,079,164,632,914</v>
      </c>
      <c r="AV65" t="str">
        <f>"222,535,042,027,884,160,380"</f>
        <v>222,535,042,027,884,160,380</v>
      </c>
      <c r="AW65" t="str">
        <f>"57,422,155,366,301,498,168"</f>
        <v>57,422,155,366,301,498,168</v>
      </c>
      <c r="AX65" t="str">
        <f>"13,170,226,870,149,576,338"</f>
        <v>13,170,226,870,149,576,338</v>
      </c>
      <c r="AY65" t="str">
        <f>"2,687,605,722,159,610,002"</f>
        <v>2,687,605,722,159,610,002</v>
      </c>
      <c r="AZ65" t="str">
        <f>"489,112,312,944,071,604"</f>
        <v>489,112,312,944,071,604</v>
      </c>
      <c r="BA65" t="str">
        <f>"79,682,086,655,948,656"</f>
        <v>79,682,086,655,948,656</v>
      </c>
      <c r="BB65" t="str">
        <f>"11,679,237,790,723,098"</f>
        <v>11,679,237,790,723,098</v>
      </c>
      <c r="BC65" t="str">
        <f>"1,549,133,348,404,414"</f>
        <v>1,549,133,348,404,414</v>
      </c>
      <c r="BD65" t="str">
        <f>"186,996,366,332,614"</f>
        <v>186,996,366,332,614</v>
      </c>
      <c r="BE65" t="str">
        <f>"20,630,302,141,700"</f>
        <v>20,630,302,141,700</v>
      </c>
      <c r="BF65" t="str">
        <f>"2,083,542,311,300"</f>
        <v>2,083,542,311,300</v>
      </c>
      <c r="BG65" t="str">
        <f>"192,184,866,556"</f>
        <v>192,184,866,556</v>
      </c>
      <c r="BH65" t="str">
        <f>"16,072,628,992"</f>
        <v>16,072,628,992</v>
      </c>
      <c r="BI65" t="str">
        <f>"1,202,713,228"</f>
        <v>1,202,713,228</v>
      </c>
      <c r="BJ65" t="str">
        <f>"78,914,598"</f>
        <v>78,914,598</v>
      </c>
      <c r="BK65" t="str">
        <f>"4,409,764"</f>
        <v>4,409,764</v>
      </c>
      <c r="BL65" t="str">
        <f>"201,168"</f>
        <v>201,168</v>
      </c>
      <c r="BM65" t="str">
        <f>"7,014"</f>
        <v>7,014</v>
      </c>
      <c r="BN65" t="str">
        <f>"166"</f>
        <v>166</v>
      </c>
      <c r="BO65" t="str">
        <f>"2"</f>
        <v>2</v>
      </c>
    </row>
    <row r="66" spans="1:68" x14ac:dyDescent="0.3">
      <c r="A66">
        <v>64</v>
      </c>
      <c r="B66" t="str">
        <f>"1,375,968,129,062,134,174,771"</f>
        <v>1,375,968,129,062,134,174,771</v>
      </c>
      <c r="C66" t="str">
        <f>"8,439,043,387,454,079,353,907,535"</f>
        <v>8,439,043,387,454,079,353,907,535</v>
      </c>
      <c r="D66" t="str">
        <f t="shared" si="1"/>
        <v>1</v>
      </c>
      <c r="E66" t="str">
        <f>"128"</f>
        <v>128</v>
      </c>
      <c r="F66" t="str">
        <f>"7,952"</f>
        <v>7,952</v>
      </c>
      <c r="G66" t="str">
        <f>"319,520"</f>
        <v>319,520</v>
      </c>
      <c r="H66" t="str">
        <f>"9,336,404"</f>
        <v>9,336,404</v>
      </c>
      <c r="I66" t="str">
        <f>"211,491,832"</f>
        <v>211,491,832</v>
      </c>
      <c r="J66" t="str">
        <f>"3,866,372,136"</f>
        <v>3,866,372,136</v>
      </c>
      <c r="K66" t="str">
        <f>"58,636,760,064"</f>
        <v>58,636,760,064</v>
      </c>
      <c r="L66" t="str">
        <f>"752,598,563,471"</f>
        <v>752,598,563,471</v>
      </c>
      <c r="M66" t="str">
        <f>"8,299,064,015,840"</f>
        <v>8,299,064,015,840</v>
      </c>
      <c r="N66" t="str">
        <f>"79,553,115,046,808"</f>
        <v>79,553,115,046,808</v>
      </c>
      <c r="O66" t="str">
        <f>"669,107,731,222,152"</f>
        <v>669,107,731,222,152</v>
      </c>
      <c r="P66" t="str">
        <f>"4,975,324,689,992,572"</f>
        <v>4,975,324,689,992,572</v>
      </c>
      <c r="Q66" t="str">
        <f>"32,909,303,106,095,952"</f>
        <v>32,909,303,106,095,952</v>
      </c>
      <c r="R66" t="str">
        <f>"194,630,399,392,814,948"</f>
        <v>194,630,399,392,814,948</v>
      </c>
      <c r="S66" t="str">
        <f>"1,033,594,027,192,431,392"</f>
        <v>1,033,594,027,192,431,392</v>
      </c>
      <c r="T66" t="str">
        <f>"4,946,375,599,891,710,379"</f>
        <v>4,946,375,599,891,710,379</v>
      </c>
      <c r="U66" t="str">
        <f>"21,395,456,537,906,592,712"</f>
        <v>21,395,456,537,906,592,712</v>
      </c>
      <c r="V66" t="str">
        <f>"83,857,388,242,244,068,776"</f>
        <v>83,857,388,242,244,068,776</v>
      </c>
      <c r="W66" t="str">
        <f>"298,437,313,361,130,100,776"</f>
        <v>298,437,313,361,130,100,776</v>
      </c>
      <c r="X66" t="str">
        <f>"966,064,728,491,347,230,956"</f>
        <v>966,064,728,491,347,230,956</v>
      </c>
      <c r="Y66" t="str">
        <f>"2,848,468,018,915,174,680,256"</f>
        <v>2,848,468,018,915,174,680,256</v>
      </c>
      <c r="Z66" t="str">
        <f>"7,658,708,196,187,529,269,632"</f>
        <v>7,658,708,196,187,529,269,632</v>
      </c>
      <c r="AA66" t="str">
        <f>"18,793,773,871,829,873,297,936"</f>
        <v>18,793,773,871,829,873,297,936</v>
      </c>
      <c r="AB66" t="str">
        <f>"42,117,216,570,631,692,843,334"</f>
        <v>42,117,216,570,631,692,843,334</v>
      </c>
      <c r="AC66" t="str">
        <f>"86,232,407,579,165,737,060,888"</f>
        <v>86,232,407,579,165,737,060,888</v>
      </c>
      <c r="AD66" t="str">
        <f>"161,337,557,119,572,467,369,244"</f>
        <v>161,337,557,119,572,467,369,244</v>
      </c>
      <c r="AE66" t="str">
        <f>"275,841,059,089,735,360,658,000"</f>
        <v>275,841,059,089,735,360,658,000</v>
      </c>
      <c r="AF66" t="str">
        <f>"430,887,560,667,715,923,268,698"</f>
        <v>430,887,560,667,715,923,268,698</v>
      </c>
      <c r="AG66" t="str">
        <f>"614,744,943,228,979,513,570,848"</f>
        <v>614,744,943,228,979,513,570,848</v>
      </c>
      <c r="AH66" t="str">
        <f>"800,606,586,956,418,905,876,864"</f>
        <v>800,606,586,956,418,905,876,864</v>
      </c>
      <c r="AI66" t="str">
        <f>"951,103,272,521,516,638,478,216"</f>
        <v>951,103,272,521,516,638,478,216</v>
      </c>
      <c r="AJ66" t="str">
        <f>"1,029,760,379,693,648,261,781,798"</f>
        <v>1,029,760,379,693,648,261,781,798</v>
      </c>
      <c r="AK66" t="str">
        <f>"1,015,044,826,167,622,607,210,344"</f>
        <v>1,015,044,826,167,622,607,210,344</v>
      </c>
      <c r="AL66" t="str">
        <f>"909,788,908,318,441,655,155,620"</f>
        <v>909,788,908,318,441,655,155,620</v>
      </c>
      <c r="AM66" t="str">
        <f>"740,447,466,102,679,023,102,864"</f>
        <v>740,447,466,102,679,023,102,864</v>
      </c>
      <c r="AN66" t="str">
        <f>"546,343,005,083,556,475,112,644"</f>
        <v>546,343,005,083,556,475,112,644</v>
      </c>
      <c r="AO66" t="str">
        <f>"364,841,115,595,029,202,732,192"</f>
        <v>364,841,115,595,029,202,732,192</v>
      </c>
      <c r="AP66" t="str">
        <f>"220,087,156,823,389,509,164,748"</f>
        <v>220,087,156,823,389,509,164,748</v>
      </c>
      <c r="AQ66" t="str">
        <f>"119,692,670,828,578,770,767,296"</f>
        <v>119,692,670,828,578,770,767,296</v>
      </c>
      <c r="AR66" t="str">
        <f>"58,561,120,506,819,636,752,288"</f>
        <v>58,561,120,506,819,636,752,288</v>
      </c>
      <c r="AS66" t="str">
        <f>"25,720,853,009,975,126,797,000"</f>
        <v>25,720,853,009,975,126,797,000</v>
      </c>
      <c r="AT66" t="str">
        <f>"10,119,733,430,612,026,200,492"</f>
        <v>10,119,733,430,612,026,200,492</v>
      </c>
      <c r="AU66" t="str">
        <f>"3,559,468,942,316,586,299,064"</f>
        <v>3,559,468,942,316,586,299,064</v>
      </c>
      <c r="AV66" t="str">
        <f>"1,117,296,214,867,457,237,568"</f>
        <v>1,117,296,214,867,457,237,568</v>
      </c>
      <c r="AW66" t="str">
        <f>"312,564,579,142,773,981,688"</f>
        <v>312,564,579,142,773,981,688</v>
      </c>
      <c r="AX66" t="str">
        <f>"77,875,844,979,995,329,900"</f>
        <v>77,875,844,979,995,329,900</v>
      </c>
      <c r="AY66" t="str">
        <f>"17,284,251,538,450,616,752"</f>
        <v>17,284,251,538,450,616,752</v>
      </c>
      <c r="AZ66" t="str">
        <f>"3,421,942,027,148,009,026"</f>
        <v>3,421,942,027,148,009,026</v>
      </c>
      <c r="BA66" t="str">
        <f>"605,943,138,873,771,472"</f>
        <v>605,943,138,873,771,472</v>
      </c>
      <c r="BB66" t="str">
        <f>"96,354,553,496,517,388"</f>
        <v>96,354,553,496,517,388</v>
      </c>
      <c r="BC66" t="str">
        <f>"13,829,666,231,763,144"</f>
        <v>13,829,666,231,763,144</v>
      </c>
      <c r="BD66" t="str">
        <f>"1,801,723,111,768,810"</f>
        <v>1,801,723,111,768,810</v>
      </c>
      <c r="BE66" t="str">
        <f>"214,171,012,532,552"</f>
        <v>214,171,012,532,552</v>
      </c>
      <c r="BF66" t="str">
        <f>"23,313,840,360,188"</f>
        <v>23,313,840,360,188</v>
      </c>
      <c r="BG66" t="str">
        <f>"2,326,123,072,952"</f>
        <v>2,326,123,072,952</v>
      </c>
      <c r="BH66" t="str">
        <f>"212,088,619,144"</f>
        <v>212,088,619,144</v>
      </c>
      <c r="BI66" t="str">
        <f>"17,533,290,608"</f>
        <v>17,533,290,608</v>
      </c>
      <c r="BJ66" t="str">
        <f>"1,296,528,212"</f>
        <v>1,296,528,212</v>
      </c>
      <c r="BK66" t="str">
        <f>"84,030,344"</f>
        <v>84,030,344</v>
      </c>
      <c r="BL66" t="str">
        <f>"4,636,576"</f>
        <v>4,636,576</v>
      </c>
      <c r="BM66" t="str">
        <f>"208,816"</f>
        <v>208,816</v>
      </c>
      <c r="BN66" t="str">
        <f>"7,188"</f>
        <v>7,188</v>
      </c>
      <c r="BO66" t="str">
        <f>"168"</f>
        <v>168</v>
      </c>
      <c r="BP66" t="str">
        <f>"2"</f>
        <v>2</v>
      </c>
    </row>
    <row r="68" spans="1:68" x14ac:dyDescent="0.3">
      <c r="B68" s="3" t="s">
        <v>5</v>
      </c>
      <c r="C68" s="2" t="str">
        <f>"3,433,683,820,292,512,484,657,849,089,281"</f>
        <v>3,433,683,820,292,512,484,657,849,089,281</v>
      </c>
    </row>
    <row r="69" spans="1:68" x14ac:dyDescent="0.3">
      <c r="B69" s="3" t="s">
        <v>4</v>
      </c>
      <c r="C69" s="2" t="str">
        <f>"8,439,043,387,454,079,353,907,535"</f>
        <v>8,439,043,387,454,079,353,907,535</v>
      </c>
    </row>
    <row r="70" spans="1:68" x14ac:dyDescent="0.3">
      <c r="B70" s="3" t="s">
        <v>6</v>
      </c>
      <c r="C70" s="2" t="str">
        <f>"1,375,968,129,062,134,174,771"</f>
        <v>1,375,968,129,062,134,174,771</v>
      </c>
    </row>
    <row r="71" spans="1:68" x14ac:dyDescent="0.3">
      <c r="B71" t="str">
        <f>"17,576,673 additions"</f>
        <v>17,576,673 additions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1"/>
  <sheetViews>
    <sheetView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B71" sqref="B71"/>
    </sheetView>
  </sheetViews>
  <sheetFormatPr defaultRowHeight="14.4" x14ac:dyDescent="0.3"/>
  <cols>
    <col min="1" max="1" width="11.77734375" bestFit="1" customWidth="1"/>
    <col min="2" max="2" width="23.44140625" bestFit="1" customWidth="1"/>
    <col min="3" max="3" width="32.6640625" bestFit="1" customWidth="1"/>
    <col min="9" max="9" width="10" bestFit="1" customWidth="1"/>
    <col min="10" max="10" width="11" bestFit="1" customWidth="1"/>
    <col min="11" max="11" width="12" bestFit="1" customWidth="1"/>
    <col min="12" max="12" width="13.109375" bestFit="1" customWidth="1"/>
    <col min="13" max="13" width="14.109375" bestFit="1" customWidth="1"/>
    <col min="14" max="14" width="15.109375" bestFit="1" customWidth="1"/>
    <col min="15" max="15" width="16.109375" bestFit="1" customWidth="1"/>
    <col min="16" max="16" width="17.33203125" bestFit="1" customWidth="1"/>
    <col min="17" max="17" width="18.33203125" bestFit="1" customWidth="1"/>
    <col min="18" max="18" width="19.33203125" bestFit="1" customWidth="1"/>
    <col min="19" max="20" width="20.33203125" bestFit="1" customWidth="1"/>
    <col min="21" max="22" width="21.44140625" bestFit="1" customWidth="1"/>
    <col min="23" max="24" width="22.44140625" bestFit="1" customWidth="1"/>
    <col min="25" max="26" width="23.44140625" bestFit="1" customWidth="1"/>
    <col min="27" max="29" width="24.44140625" bestFit="1" customWidth="1"/>
    <col min="30" max="35" width="25.5546875" bestFit="1" customWidth="1"/>
    <col min="36" max="37" width="26.5546875" bestFit="1" customWidth="1"/>
    <col min="38" max="43" width="25.5546875" bestFit="1" customWidth="1"/>
    <col min="44" max="46" width="24.44140625" bestFit="1" customWidth="1"/>
    <col min="47" max="48" width="23.44140625" bestFit="1" customWidth="1"/>
    <col min="49" max="49" width="22.44140625" bestFit="1" customWidth="1"/>
    <col min="50" max="51" width="21.44140625" bestFit="1" customWidth="1"/>
    <col min="52" max="52" width="20.33203125" bestFit="1" customWidth="1"/>
    <col min="53" max="53" width="19.33203125" bestFit="1" customWidth="1"/>
    <col min="54" max="55" width="18.33203125" bestFit="1" customWidth="1"/>
    <col min="56" max="56" width="17.33203125" bestFit="1" customWidth="1"/>
    <col min="57" max="57" width="16.109375" bestFit="1" customWidth="1"/>
    <col min="58" max="58" width="15.109375" bestFit="1" customWidth="1"/>
    <col min="59" max="59" width="14.109375" bestFit="1" customWidth="1"/>
    <col min="60" max="60" width="13.109375" bestFit="1" customWidth="1"/>
    <col min="61" max="61" width="12" bestFit="1" customWidth="1"/>
    <col min="62" max="62" width="11" bestFit="1" customWidth="1"/>
    <col min="63" max="63" width="9.109375" customWidth="1"/>
    <col min="65" max="65" width="9.33203125" customWidth="1"/>
  </cols>
  <sheetData>
    <row r="1" spans="1:68" x14ac:dyDescent="0.3">
      <c r="A1" s="1" t="s">
        <v>7</v>
      </c>
      <c r="B1" s="1" t="s">
        <v>0</v>
      </c>
      <c r="D1" s="1" t="s">
        <v>1</v>
      </c>
    </row>
    <row r="2" spans="1:68" x14ac:dyDescent="0.3">
      <c r="A2" s="1" t="s">
        <v>8</v>
      </c>
      <c r="B2" s="1" t="s">
        <v>2</v>
      </c>
      <c r="C2" s="1" t="s">
        <v>3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</row>
    <row r="3" spans="1:68" x14ac:dyDescent="0.3">
      <c r="A3">
        <v>1</v>
      </c>
      <c r="B3" t="str">
        <f>"3"</f>
        <v>3</v>
      </c>
      <c r="C3" t="str">
        <f>"3"</f>
        <v>3</v>
      </c>
      <c r="D3" t="str">
        <f t="shared" ref="D3:D66" si="0">"1"</f>
        <v>1</v>
      </c>
      <c r="E3" t="str">
        <f>"2"</f>
        <v>2</v>
      </c>
    </row>
    <row r="4" spans="1:68" x14ac:dyDescent="0.3">
      <c r="A4">
        <v>2</v>
      </c>
      <c r="B4" t="str">
        <f>"8"</f>
        <v>8</v>
      </c>
      <c r="C4" t="str">
        <f>"8"</f>
        <v>8</v>
      </c>
      <c r="D4" t="str">
        <f t="shared" si="0"/>
        <v>1</v>
      </c>
      <c r="E4" t="str">
        <f>"4"</f>
        <v>4</v>
      </c>
      <c r="F4" t="str">
        <f>"3"</f>
        <v>3</v>
      </c>
    </row>
    <row r="5" spans="1:68" x14ac:dyDescent="0.3">
      <c r="A5">
        <v>3</v>
      </c>
      <c r="B5" t="str">
        <f>"22"</f>
        <v>22</v>
      </c>
      <c r="C5" t="str">
        <f>"22"</f>
        <v>22</v>
      </c>
      <c r="D5" t="str">
        <f t="shared" si="0"/>
        <v>1</v>
      </c>
      <c r="E5" t="str">
        <f>"6"</f>
        <v>6</v>
      </c>
      <c r="F5" t="str">
        <f>"10"</f>
        <v>10</v>
      </c>
      <c r="G5" t="str">
        <f>"5"</f>
        <v>5</v>
      </c>
    </row>
    <row r="6" spans="1:68" x14ac:dyDescent="0.3">
      <c r="A6">
        <v>4</v>
      </c>
      <c r="B6" t="str">
        <f>"60"</f>
        <v>60</v>
      </c>
      <c r="C6" t="str">
        <f>"60"</f>
        <v>60</v>
      </c>
      <c r="D6" t="str">
        <f t="shared" si="0"/>
        <v>1</v>
      </c>
      <c r="E6" t="str">
        <f>"8"</f>
        <v>8</v>
      </c>
      <c r="F6" t="str">
        <f>"21"</f>
        <v>21</v>
      </c>
      <c r="G6" t="str">
        <f>"22"</f>
        <v>22</v>
      </c>
      <c r="H6" t="str">
        <f>"8"</f>
        <v>8</v>
      </c>
    </row>
    <row r="7" spans="1:68" x14ac:dyDescent="0.3">
      <c r="A7">
        <v>5</v>
      </c>
      <c r="B7" t="str">
        <f>"164"</f>
        <v>164</v>
      </c>
      <c r="C7" t="str">
        <f>"164"</f>
        <v>164</v>
      </c>
      <c r="D7" t="str">
        <f t="shared" si="0"/>
        <v>1</v>
      </c>
      <c r="E7" t="str">
        <f>"10"</f>
        <v>10</v>
      </c>
      <c r="F7" t="str">
        <f>"36"</f>
        <v>36</v>
      </c>
      <c r="G7" t="str">
        <f>"59"</f>
        <v>59</v>
      </c>
      <c r="H7" t="str">
        <f>"45"</f>
        <v>45</v>
      </c>
      <c r="I7" t="str">
        <f>"13"</f>
        <v>13</v>
      </c>
    </row>
    <row r="8" spans="1:68" x14ac:dyDescent="0.3">
      <c r="A8">
        <v>6</v>
      </c>
      <c r="B8" t="str">
        <f>"448"</f>
        <v>448</v>
      </c>
      <c r="C8" t="str">
        <f>"448"</f>
        <v>448</v>
      </c>
      <c r="D8" t="str">
        <f t="shared" si="0"/>
        <v>1</v>
      </c>
      <c r="E8" t="str">
        <f>"12"</f>
        <v>12</v>
      </c>
      <c r="F8" t="str">
        <f>"55"</f>
        <v>55</v>
      </c>
      <c r="G8" t="str">
        <f>"124"</f>
        <v>124</v>
      </c>
      <c r="H8" t="str">
        <f>"147"</f>
        <v>147</v>
      </c>
      <c r="I8" t="str">
        <f>"88"</f>
        <v>88</v>
      </c>
      <c r="J8" t="str">
        <f>"21"</f>
        <v>21</v>
      </c>
    </row>
    <row r="9" spans="1:68" x14ac:dyDescent="0.3">
      <c r="A9">
        <v>7</v>
      </c>
      <c r="B9" t="str">
        <f>"1224"</f>
        <v>1224</v>
      </c>
      <c r="C9" t="str">
        <f>"1224"</f>
        <v>1224</v>
      </c>
      <c r="D9" t="str">
        <f t="shared" si="0"/>
        <v>1</v>
      </c>
      <c r="E9" t="str">
        <f>"14"</f>
        <v>14</v>
      </c>
      <c r="F9" t="str">
        <f>"78"</f>
        <v>78</v>
      </c>
      <c r="G9" t="str">
        <f>"225"</f>
        <v>225</v>
      </c>
      <c r="H9" t="str">
        <f>"366"</f>
        <v>366</v>
      </c>
      <c r="I9" t="str">
        <f>"339"</f>
        <v>339</v>
      </c>
      <c r="J9" t="str">
        <f>"167"</f>
        <v>167</v>
      </c>
      <c r="K9" t="str">
        <f>"34"</f>
        <v>34</v>
      </c>
    </row>
    <row r="10" spans="1:68" x14ac:dyDescent="0.3">
      <c r="A10">
        <v>8</v>
      </c>
      <c r="B10" t="str">
        <f>"3344"</f>
        <v>3344</v>
      </c>
      <c r="C10" t="str">
        <f>"3344"</f>
        <v>3344</v>
      </c>
      <c r="D10" t="str">
        <f t="shared" si="0"/>
        <v>1</v>
      </c>
      <c r="E10" t="str">
        <f>"16"</f>
        <v>16</v>
      </c>
      <c r="F10" t="str">
        <f>"105"</f>
        <v>105</v>
      </c>
      <c r="G10" t="str">
        <f>"370"</f>
        <v>370</v>
      </c>
      <c r="H10" t="str">
        <f>"770"</f>
        <v>770</v>
      </c>
      <c r="I10" t="str">
        <f>"976"</f>
        <v>976</v>
      </c>
      <c r="J10" t="str">
        <f>"741"</f>
        <v>741</v>
      </c>
      <c r="K10" t="str">
        <f>"310"</f>
        <v>310</v>
      </c>
      <c r="L10" t="str">
        <f>"55"</f>
        <v>55</v>
      </c>
    </row>
    <row r="11" spans="1:68" x14ac:dyDescent="0.3">
      <c r="A11">
        <v>9</v>
      </c>
      <c r="B11" t="str">
        <f>"8808"</f>
        <v>8808</v>
      </c>
      <c r="C11" t="str">
        <f>"8808"</f>
        <v>8808</v>
      </c>
      <c r="D11" t="str">
        <f t="shared" si="0"/>
        <v>1</v>
      </c>
      <c r="E11" t="str">
        <f>"18"</f>
        <v>18</v>
      </c>
      <c r="F11" t="str">
        <f>"136"</f>
        <v>136</v>
      </c>
      <c r="G11" t="str">
        <f>"566"</f>
        <v>566</v>
      </c>
      <c r="H11" t="str">
        <f>"1432"</f>
        <v>1432</v>
      </c>
      <c r="I11" t="str">
        <f>"2291"</f>
        <v>2291</v>
      </c>
      <c r="J11" t="str">
        <f>"2327"</f>
        <v>2327</v>
      </c>
      <c r="K11" t="str">
        <f>"1453"</f>
        <v>1453</v>
      </c>
      <c r="L11" t="str">
        <f>"508"</f>
        <v>508</v>
      </c>
      <c r="M11" t="str">
        <f>"76"</f>
        <v>76</v>
      </c>
    </row>
    <row r="12" spans="1:68" x14ac:dyDescent="0.3">
      <c r="A12">
        <v>10</v>
      </c>
      <c r="B12" t="str">
        <f>"19496"</f>
        <v>19496</v>
      </c>
      <c r="C12" t="str">
        <f>"19496"</f>
        <v>19496</v>
      </c>
      <c r="D12" t="str">
        <f t="shared" si="0"/>
        <v>1</v>
      </c>
      <c r="E12" t="str">
        <f>"20"</f>
        <v>20</v>
      </c>
      <c r="F12" t="str">
        <f>"170"</f>
        <v>170</v>
      </c>
      <c r="G12" t="str">
        <f>"806"</f>
        <v>806</v>
      </c>
      <c r="H12" t="str">
        <f>"2353"</f>
        <v>2353</v>
      </c>
      <c r="I12" t="str">
        <f>"4405"</f>
        <v>4405</v>
      </c>
      <c r="J12" t="str">
        <f>"5331"</f>
        <v>5331</v>
      </c>
      <c r="K12" t="str">
        <f>"4083"</f>
        <v>4083</v>
      </c>
      <c r="L12" t="str">
        <f>"1859"</f>
        <v>1859</v>
      </c>
      <c r="M12" t="str">
        <f>"434"</f>
        <v>434</v>
      </c>
      <c r="N12" t="str">
        <f>"34"</f>
        <v>34</v>
      </c>
    </row>
    <row r="13" spans="1:68" x14ac:dyDescent="0.3">
      <c r="A13">
        <v>11</v>
      </c>
      <c r="B13" t="str">
        <f>"45316"</f>
        <v>45316</v>
      </c>
      <c r="C13" t="str">
        <f>"45316"</f>
        <v>45316</v>
      </c>
      <c r="D13" t="str">
        <f t="shared" si="0"/>
        <v>1</v>
      </c>
      <c r="E13" t="str">
        <f>"22"</f>
        <v>22</v>
      </c>
      <c r="F13" t="str">
        <f>"208"</f>
        <v>208</v>
      </c>
      <c r="G13" t="str">
        <f>"1111"</f>
        <v>1111</v>
      </c>
      <c r="H13" t="str">
        <f>"3709"</f>
        <v>3709</v>
      </c>
      <c r="I13" t="str">
        <f>"8087"</f>
        <v>8087</v>
      </c>
      <c r="J13" t="str">
        <f>"11680"</f>
        <v>11680</v>
      </c>
      <c r="K13" t="str">
        <f>"11075"</f>
        <v>11075</v>
      </c>
      <c r="L13" t="str">
        <f>"6654"</f>
        <v>6654</v>
      </c>
      <c r="M13" t="str">
        <f>"2342"</f>
        <v>2342</v>
      </c>
      <c r="N13" t="str">
        <f>"406"</f>
        <v>406</v>
      </c>
      <c r="O13" t="str">
        <f>"21"</f>
        <v>21</v>
      </c>
    </row>
    <row r="14" spans="1:68" x14ac:dyDescent="0.3">
      <c r="A14">
        <v>12</v>
      </c>
      <c r="B14" t="str">
        <f>"103856"</f>
        <v>103856</v>
      </c>
      <c r="C14" t="str">
        <f>"103856"</f>
        <v>103856</v>
      </c>
      <c r="D14" t="str">
        <f t="shared" si="0"/>
        <v>1</v>
      </c>
      <c r="E14" t="str">
        <f>"24"</f>
        <v>24</v>
      </c>
      <c r="F14" t="str">
        <f>"250"</f>
        <v>250</v>
      </c>
      <c r="G14" t="str">
        <f>"1488"</f>
        <v>1488</v>
      </c>
      <c r="H14" t="str">
        <f>"5608"</f>
        <v>5608</v>
      </c>
      <c r="I14" t="str">
        <f>"14015"</f>
        <v>14015</v>
      </c>
      <c r="J14" t="str">
        <f>"23634"</f>
        <v>23634</v>
      </c>
      <c r="K14" t="str">
        <f>"26812"</f>
        <v>26812</v>
      </c>
      <c r="L14" t="str">
        <f>"19985"</f>
        <v>19985</v>
      </c>
      <c r="M14" t="str">
        <f>"9292"</f>
        <v>9292</v>
      </c>
      <c r="N14" t="str">
        <f>"2437"</f>
        <v>2437</v>
      </c>
      <c r="O14" t="str">
        <f>"297"</f>
        <v>297</v>
      </c>
      <c r="P14" t="str">
        <f>"13"</f>
        <v>13</v>
      </c>
    </row>
    <row r="15" spans="1:68" x14ac:dyDescent="0.3">
      <c r="A15">
        <v>13</v>
      </c>
      <c r="B15" t="str">
        <f>"238924"</f>
        <v>238924</v>
      </c>
      <c r="C15" t="str">
        <f>"238924"</f>
        <v>238924</v>
      </c>
      <c r="D15" t="str">
        <f t="shared" si="0"/>
        <v>1</v>
      </c>
      <c r="E15" t="str">
        <f>"26"</f>
        <v>26</v>
      </c>
      <c r="F15" t="str">
        <f>"296"</f>
        <v>296</v>
      </c>
      <c r="G15" t="str">
        <f>"1945"</f>
        <v>1945</v>
      </c>
      <c r="H15" t="str">
        <f>"8187"</f>
        <v>8187</v>
      </c>
      <c r="I15" t="str">
        <f>"23164"</f>
        <v>23164</v>
      </c>
      <c r="J15" t="str">
        <f>"44962"</f>
        <v>44962</v>
      </c>
      <c r="K15" t="str">
        <f>"59981"</f>
        <v>59981</v>
      </c>
      <c r="L15" t="str">
        <f>"54182"</f>
        <v>54182</v>
      </c>
      <c r="M15" t="str">
        <f>"32014"</f>
        <v>32014</v>
      </c>
      <c r="N15" t="str">
        <f>"11617"</f>
        <v>11617</v>
      </c>
      <c r="O15" t="str">
        <f>"2324"</f>
        <v>2324</v>
      </c>
      <c r="P15" t="str">
        <f>"217"</f>
        <v>217</v>
      </c>
      <c r="Q15" t="str">
        <f>"8"</f>
        <v>8</v>
      </c>
    </row>
    <row r="16" spans="1:68" x14ac:dyDescent="0.3">
      <c r="A16">
        <v>14</v>
      </c>
      <c r="B16" t="str">
        <f>"549584"</f>
        <v>549584</v>
      </c>
      <c r="C16" t="str">
        <f>"549584"</f>
        <v>549584</v>
      </c>
      <c r="D16" t="str">
        <f t="shared" si="0"/>
        <v>1</v>
      </c>
      <c r="E16" t="str">
        <f>"28"</f>
        <v>28</v>
      </c>
      <c r="F16" t="str">
        <f>"346"</f>
        <v>346</v>
      </c>
      <c r="G16" t="str">
        <f>"2490"</f>
        <v>2490</v>
      </c>
      <c r="H16" t="str">
        <f>"11598"</f>
        <v>11598</v>
      </c>
      <c r="I16" t="str">
        <f>"36753"</f>
        <v>36753</v>
      </c>
      <c r="J16" t="str">
        <f>"81067"</f>
        <v>81067</v>
      </c>
      <c r="K16" t="str">
        <f>"125149"</f>
        <v>125149</v>
      </c>
      <c r="L16" t="str">
        <f>"134030"</f>
        <v>134030</v>
      </c>
      <c r="M16" t="str">
        <f>"97217"</f>
        <v>97217</v>
      </c>
      <c r="N16" t="str">
        <f>"45728"</f>
        <v>45728</v>
      </c>
      <c r="O16" t="str">
        <f>"12998"</f>
        <v>12998</v>
      </c>
      <c r="P16" t="str">
        <f>"2017"</f>
        <v>2017</v>
      </c>
      <c r="Q16" t="str">
        <f>"157"</f>
        <v>157</v>
      </c>
      <c r="R16" t="str">
        <f>"5"</f>
        <v>5</v>
      </c>
    </row>
    <row r="17" spans="1:34" x14ac:dyDescent="0.3">
      <c r="A17">
        <v>15</v>
      </c>
      <c r="B17" t="str">
        <f>"1259653"</f>
        <v>1259653</v>
      </c>
      <c r="C17" t="str">
        <f>"1259653"</f>
        <v>1259653</v>
      </c>
      <c r="D17" t="str">
        <f t="shared" si="0"/>
        <v>1</v>
      </c>
      <c r="E17" t="str">
        <f>"30"</f>
        <v>30</v>
      </c>
      <c r="F17" t="str">
        <f>"400"</f>
        <v>400</v>
      </c>
      <c r="G17" t="str">
        <f>"3131"</f>
        <v>3131</v>
      </c>
      <c r="H17" t="str">
        <f>"16009"</f>
        <v>16009</v>
      </c>
      <c r="I17" t="str">
        <f>"56289"</f>
        <v>56289</v>
      </c>
      <c r="J17" t="str">
        <f>"139519"</f>
        <v>139519</v>
      </c>
      <c r="K17" t="str">
        <f>"245789"</f>
        <v>245789</v>
      </c>
      <c r="L17" t="str">
        <f>"306274"</f>
        <v>306274</v>
      </c>
      <c r="M17" t="str">
        <f>"265251"</f>
        <v>265251</v>
      </c>
      <c r="N17" t="str">
        <f>"154621"</f>
        <v>154621</v>
      </c>
      <c r="O17" t="str">
        <f>"57720"</f>
        <v>57720</v>
      </c>
      <c r="P17" t="str">
        <f>"12896"</f>
        <v>12896</v>
      </c>
      <c r="Q17" t="str">
        <f>"1613"</f>
        <v>1613</v>
      </c>
      <c r="R17" t="str">
        <f>"107"</f>
        <v>107</v>
      </c>
      <c r="S17" t="str">
        <f>"3"</f>
        <v>3</v>
      </c>
    </row>
    <row r="18" spans="1:34" x14ac:dyDescent="0.3">
      <c r="A18">
        <v>16</v>
      </c>
      <c r="B18" t="str">
        <f>"2929319"</f>
        <v>2929319</v>
      </c>
      <c r="C18" t="str">
        <f>"2929319"</f>
        <v>2929319</v>
      </c>
      <c r="D18" t="str">
        <f t="shared" si="0"/>
        <v>1</v>
      </c>
      <c r="E18" t="str">
        <f>"32"</f>
        <v>32</v>
      </c>
      <c r="F18" t="str">
        <f>"458"</f>
        <v>458</v>
      </c>
      <c r="G18" t="str">
        <f>"3876"</f>
        <v>3876</v>
      </c>
      <c r="H18" t="str">
        <f>"21605"</f>
        <v>21605</v>
      </c>
      <c r="I18" t="str">
        <f>"83624"</f>
        <v>83624</v>
      </c>
      <c r="J18" t="str">
        <f>"230866"</f>
        <v>230866</v>
      </c>
      <c r="K18" t="str">
        <f>"459676"</f>
        <v>459676</v>
      </c>
      <c r="L18" t="str">
        <f>"659653"</f>
        <v>659653</v>
      </c>
      <c r="M18" t="str">
        <f>"674564"</f>
        <v>674564</v>
      </c>
      <c r="N18" t="str">
        <f>"480482"</f>
        <v>480482</v>
      </c>
      <c r="O18" t="str">
        <f>"229900"</f>
        <v>229900</v>
      </c>
      <c r="P18" t="str">
        <f>"70216"</f>
        <v>70216</v>
      </c>
      <c r="Q18" t="str">
        <f>"12908"</f>
        <v>12908</v>
      </c>
      <c r="R18" t="str">
        <f>"1376"</f>
        <v>1376</v>
      </c>
      <c r="S18" t="str">
        <f>"80"</f>
        <v>80</v>
      </c>
      <c r="T18" t="str">
        <f>"2"</f>
        <v>2</v>
      </c>
    </row>
    <row r="19" spans="1:34" x14ac:dyDescent="0.3">
      <c r="A19">
        <v>17</v>
      </c>
      <c r="B19" t="str">
        <f>"7994712"</f>
        <v>7994712</v>
      </c>
      <c r="C19" t="str">
        <f>"7994712"</f>
        <v>7994712</v>
      </c>
      <c r="D19" t="str">
        <f t="shared" si="0"/>
        <v>1</v>
      </c>
      <c r="E19" t="str">
        <f>"34"</f>
        <v>34</v>
      </c>
      <c r="F19" t="str">
        <f>"521"</f>
        <v>521</v>
      </c>
      <c r="G19" t="str">
        <f>"4763"</f>
        <v>4763</v>
      </c>
      <c r="H19" t="str">
        <f>"28985"</f>
        <v>28985</v>
      </c>
      <c r="I19" t="str">
        <f>"124048"</f>
        <v>124048</v>
      </c>
      <c r="J19" t="str">
        <f>"384571"</f>
        <v>384571</v>
      </c>
      <c r="K19" t="str">
        <f>"876468"</f>
        <v>876468</v>
      </c>
      <c r="L19" t="str">
        <f>"1474772"</f>
        <v>1474772</v>
      </c>
      <c r="M19" t="str">
        <f>"1823727"</f>
        <v>1823727</v>
      </c>
      <c r="N19" t="str">
        <f>"1635392"</f>
        <v>1635392</v>
      </c>
      <c r="O19" t="str">
        <f>"1038766"</f>
        <v>1038766</v>
      </c>
      <c r="P19" t="str">
        <f>"450947"</f>
        <v>450947</v>
      </c>
      <c r="Q19" t="str">
        <f>"127306"</f>
        <v>127306</v>
      </c>
      <c r="R19" t="str">
        <f>"22042"</f>
        <v>22042</v>
      </c>
      <c r="S19" t="str">
        <f>"2241"</f>
        <v>2241</v>
      </c>
      <c r="T19" t="str">
        <f>"125"</f>
        <v>125</v>
      </c>
      <c r="U19" t="str">
        <f>"3"</f>
        <v>3</v>
      </c>
    </row>
    <row r="20" spans="1:34" x14ac:dyDescent="0.3">
      <c r="A20">
        <v>18</v>
      </c>
      <c r="B20" t="str">
        <f>"18692709"</f>
        <v>18692709</v>
      </c>
      <c r="C20" t="str">
        <f>"18692709"</f>
        <v>18692709</v>
      </c>
      <c r="D20" t="str">
        <f t="shared" si="0"/>
        <v>1</v>
      </c>
      <c r="E20" t="str">
        <f>"36"</f>
        <v>36</v>
      </c>
      <c r="F20" t="str">
        <f>"587"</f>
        <v>587</v>
      </c>
      <c r="G20" t="str">
        <f>"5742"</f>
        <v>5742</v>
      </c>
      <c r="H20" t="str">
        <f>"37623"</f>
        <v>37623</v>
      </c>
      <c r="I20" t="str">
        <f>"174613"</f>
        <v>174613</v>
      </c>
      <c r="J20" t="str">
        <f>"591968"</f>
        <v>591968</v>
      </c>
      <c r="K20" t="str">
        <f>"1490147"</f>
        <v>1490147</v>
      </c>
      <c r="L20" t="str">
        <f>"2803651"</f>
        <v>2803651</v>
      </c>
      <c r="M20" t="str">
        <f>"3937738"</f>
        <v>3937738</v>
      </c>
      <c r="N20" t="str">
        <f>"4093773"</f>
        <v>4093773</v>
      </c>
      <c r="O20" t="str">
        <f>"3100085"</f>
        <v>3100085</v>
      </c>
      <c r="P20" t="str">
        <f>"1668009"</f>
        <v>1668009</v>
      </c>
      <c r="Q20" t="str">
        <f>"615572"</f>
        <v>615572</v>
      </c>
      <c r="R20" t="str">
        <f>"148753"</f>
        <v>148753</v>
      </c>
      <c r="S20" t="str">
        <f>"22324"</f>
        <v>22324</v>
      </c>
      <c r="T20" t="str">
        <f>"1988"</f>
        <v>1988</v>
      </c>
      <c r="U20" t="str">
        <f>"97"</f>
        <v>97</v>
      </c>
      <c r="V20" t="str">
        <f>"2"</f>
        <v>2</v>
      </c>
    </row>
    <row r="21" spans="1:34" x14ac:dyDescent="0.3">
      <c r="A21">
        <v>19</v>
      </c>
      <c r="B21" t="str">
        <f>"45630767"</f>
        <v>45630767</v>
      </c>
      <c r="C21" t="str">
        <f>"45630767"</f>
        <v>45630767</v>
      </c>
      <c r="D21" t="str">
        <f t="shared" si="0"/>
        <v>1</v>
      </c>
      <c r="E21" t="str">
        <f>"38"</f>
        <v>38</v>
      </c>
      <c r="F21" t="str">
        <f>"657"</f>
        <v>657</v>
      </c>
      <c r="G21" t="str">
        <f>"6850"</f>
        <v>6850</v>
      </c>
      <c r="H21" t="str">
        <f>"48128"</f>
        <v>48128</v>
      </c>
      <c r="I21" t="str">
        <f>"241223"</f>
        <v>241223</v>
      </c>
      <c r="J21" t="str">
        <f>"890678"</f>
        <v>890678</v>
      </c>
      <c r="K21" t="str">
        <f>"2467210"</f>
        <v>2467210</v>
      </c>
      <c r="L21" t="str">
        <f>"5173483"</f>
        <v>5173483</v>
      </c>
      <c r="M21" t="str">
        <f>"8228707"</f>
        <v>8228707</v>
      </c>
      <c r="N21" t="str">
        <f>"9887713"</f>
        <v>9887713</v>
      </c>
      <c r="O21" t="str">
        <f>"8885844"</f>
        <v>8885844</v>
      </c>
      <c r="P21" t="str">
        <f>"5872769"</f>
        <v>5872769</v>
      </c>
      <c r="Q21" t="str">
        <f>"2784328"</f>
        <v>2784328</v>
      </c>
      <c r="R21" t="str">
        <f>"914631"</f>
        <v>914631</v>
      </c>
      <c r="S21" t="str">
        <f>"198943"</f>
        <v>198943</v>
      </c>
      <c r="T21" t="str">
        <f>"27222"</f>
        <v>27222</v>
      </c>
      <c r="U21" t="str">
        <f>"2238"</f>
        <v>2238</v>
      </c>
      <c r="V21" t="str">
        <f>"102"</f>
        <v>102</v>
      </c>
      <c r="W21" t="str">
        <f>"2"</f>
        <v>2</v>
      </c>
    </row>
    <row r="22" spans="1:34" x14ac:dyDescent="0.3">
      <c r="A22">
        <v>20</v>
      </c>
      <c r="B22" t="str">
        <f>"110019028"</f>
        <v>110019028</v>
      </c>
      <c r="C22" t="str">
        <f>"110019028"</f>
        <v>110019028</v>
      </c>
      <c r="D22" t="str">
        <f t="shared" si="0"/>
        <v>1</v>
      </c>
      <c r="E22" t="str">
        <f>"40"</f>
        <v>40</v>
      </c>
      <c r="F22" t="str">
        <f>"731"</f>
        <v>731</v>
      </c>
      <c r="G22" t="str">
        <f>"8094"</f>
        <v>8094</v>
      </c>
      <c r="H22" t="str">
        <f>"60720"</f>
        <v>60720</v>
      </c>
      <c r="I22" t="str">
        <f>"326975"</f>
        <v>326975</v>
      </c>
      <c r="J22" t="str">
        <f>"1306539"</f>
        <v>1306539</v>
      </c>
      <c r="K22" t="str">
        <f>"3950128"</f>
        <v>3950128</v>
      </c>
      <c r="L22" t="str">
        <f>"9132530"</f>
        <v>9132530</v>
      </c>
      <c r="M22" t="str">
        <f>"16212446"</f>
        <v>16212446</v>
      </c>
      <c r="N22" t="str">
        <f>"22070962"</f>
        <v>22070962</v>
      </c>
      <c r="O22" t="str">
        <f>"22894918"</f>
        <v>22894918</v>
      </c>
      <c r="P22" t="str">
        <f>"17885798"</f>
        <v>17885798</v>
      </c>
      <c r="Q22" t="str">
        <f>"10336129"</f>
        <v>10336129</v>
      </c>
      <c r="R22" t="str">
        <f>"4307808"</f>
        <v>4307808</v>
      </c>
      <c r="S22" t="str">
        <f>"1250885"</f>
        <v>1250885</v>
      </c>
      <c r="T22" t="str">
        <f>"242174"</f>
        <v>242174</v>
      </c>
      <c r="U22" t="str">
        <f>"29801"</f>
        <v>29801</v>
      </c>
      <c r="V22" t="str">
        <f>"2249"</f>
        <v>2249</v>
      </c>
      <c r="W22" t="str">
        <f>"98"</f>
        <v>98</v>
      </c>
      <c r="X22" t="str">
        <f>"2"</f>
        <v>2</v>
      </c>
    </row>
    <row r="23" spans="1:34" x14ac:dyDescent="0.3">
      <c r="A23">
        <v>21</v>
      </c>
      <c r="B23" t="str">
        <f>"266155019"</f>
        <v>266155019</v>
      </c>
      <c r="C23" t="str">
        <f>"266155021"</f>
        <v>266155021</v>
      </c>
      <c r="D23" t="str">
        <f t="shared" si="0"/>
        <v>1</v>
      </c>
      <c r="E23" t="str">
        <f>"42"</f>
        <v>42</v>
      </c>
      <c r="F23" t="str">
        <f>"809"</f>
        <v>809</v>
      </c>
      <c r="G23" t="str">
        <f>"9482"</f>
        <v>9482</v>
      </c>
      <c r="H23" t="str">
        <f>"75664"</f>
        <v>75664</v>
      </c>
      <c r="I23" t="str">
        <f>"435824"</f>
        <v>435824</v>
      </c>
      <c r="J23" t="str">
        <f>"1874765"</f>
        <v>1874765</v>
      </c>
      <c r="K23" t="str">
        <f>"6147691"</f>
        <v>6147691</v>
      </c>
      <c r="L23" t="str">
        <f>"15552357"</f>
        <v>15552357</v>
      </c>
      <c r="M23" t="str">
        <f>"30530035"</f>
        <v>30530035</v>
      </c>
      <c r="N23" t="str">
        <f>"46548658"</f>
        <v>46548658</v>
      </c>
      <c r="O23" t="str">
        <f>"54933508"</f>
        <v>54933508</v>
      </c>
      <c r="P23" t="str">
        <f>"49787669"</f>
        <v>49787669</v>
      </c>
      <c r="Q23" t="str">
        <f>"34219238"</f>
        <v>34219238</v>
      </c>
      <c r="R23" t="str">
        <f>"17510355"</f>
        <v>17510355</v>
      </c>
      <c r="S23" t="str">
        <f>"6502855"</f>
        <v>6502855</v>
      </c>
      <c r="T23" t="str">
        <f>"1693751"</f>
        <v>1693751</v>
      </c>
      <c r="U23" t="str">
        <f>"296479"</f>
        <v>296479</v>
      </c>
      <c r="V23" t="str">
        <f>"33382"</f>
        <v>33382</v>
      </c>
      <c r="W23" t="str">
        <f>"2355"</f>
        <v>2355</v>
      </c>
      <c r="X23" t="str">
        <f>"99"</f>
        <v>99</v>
      </c>
      <c r="Y23" t="str">
        <f>"2"</f>
        <v>2</v>
      </c>
    </row>
    <row r="24" spans="1:34" x14ac:dyDescent="0.3">
      <c r="A24">
        <v>22</v>
      </c>
      <c r="B24" t="str">
        <f>"643641449"</f>
        <v>643641449</v>
      </c>
      <c r="C24" t="str">
        <f>"643641551"</f>
        <v>643641551</v>
      </c>
      <c r="D24" t="str">
        <f t="shared" si="0"/>
        <v>1</v>
      </c>
      <c r="E24" t="str">
        <f>"44"</f>
        <v>44</v>
      </c>
      <c r="F24" t="str">
        <f>"891"</f>
        <v>891</v>
      </c>
      <c r="G24" t="str">
        <f>"11022"</f>
        <v>11022</v>
      </c>
      <c r="H24" t="str">
        <f>"93240"</f>
        <v>93240</v>
      </c>
      <c r="I24" t="str">
        <f>"572209"</f>
        <v>572209</v>
      </c>
      <c r="J24" t="str">
        <f>"2637595"</f>
        <v>2637595</v>
      </c>
      <c r="K24" t="str">
        <f>"9329421"</f>
        <v>9329421</v>
      </c>
      <c r="L24" t="str">
        <f>"25653602"</f>
        <v>25653602</v>
      </c>
      <c r="M24" t="str">
        <f>"55232850"</f>
        <v>55232850</v>
      </c>
      <c r="N24" t="str">
        <f>"93355327"</f>
        <v>93355327</v>
      </c>
      <c r="O24" t="str">
        <f>"123714002"</f>
        <v>123714002</v>
      </c>
      <c r="P24" t="str">
        <f>"127899629"</f>
        <v>127899629</v>
      </c>
      <c r="Q24" t="str">
        <f>"102239601"</f>
        <v>102239601</v>
      </c>
      <c r="R24" t="str">
        <f>"62349248"</f>
        <v>62349248</v>
      </c>
      <c r="S24" t="str">
        <f>"28461296"</f>
        <v>28461296</v>
      </c>
      <c r="T24" t="str">
        <f>"9475782"</f>
        <v>9475782</v>
      </c>
      <c r="U24" t="str">
        <f>"2223705"</f>
        <v>2223705</v>
      </c>
      <c r="V24" t="str">
        <f>"353025"</f>
        <v>353025</v>
      </c>
      <c r="W24" t="str">
        <f>"36526"</f>
        <v>36526</v>
      </c>
      <c r="X24" t="str">
        <f>"2433"</f>
        <v>2433</v>
      </c>
      <c r="Y24" t="str">
        <f>"100"</f>
        <v>100</v>
      </c>
      <c r="Z24" t="str">
        <f>"2"</f>
        <v>2</v>
      </c>
    </row>
    <row r="25" spans="1:34" x14ac:dyDescent="0.3">
      <c r="A25">
        <v>23</v>
      </c>
      <c r="B25" t="str">
        <f>"1553520947"</f>
        <v>1553520947</v>
      </c>
      <c r="C25" t="str">
        <f>"1553523572"</f>
        <v>1553523572</v>
      </c>
      <c r="D25" t="str">
        <f t="shared" si="0"/>
        <v>1</v>
      </c>
      <c r="E25" t="str">
        <f>"46"</f>
        <v>46</v>
      </c>
      <c r="F25" t="str">
        <f>"977"</f>
        <v>977</v>
      </c>
      <c r="G25" t="str">
        <f>"12722"</f>
        <v>12722</v>
      </c>
      <c r="H25" t="str">
        <f>"113744"</f>
        <v>113744</v>
      </c>
      <c r="I25" t="str">
        <f>"741113"</f>
        <v>741113</v>
      </c>
      <c r="J25" t="str">
        <f>"3645629"</f>
        <v>3645629</v>
      </c>
      <c r="K25" t="str">
        <f>"13841809"</f>
        <v>13841809</v>
      </c>
      <c r="L25" t="str">
        <f>"41131059"</f>
        <v>41131059</v>
      </c>
      <c r="M25" t="str">
        <f>"96441271"</f>
        <v>96441271</v>
      </c>
      <c r="N25" t="str">
        <f>"179129468"</f>
        <v>179129468</v>
      </c>
      <c r="O25" t="str">
        <f>"263652331"</f>
        <v>263652331</v>
      </c>
      <c r="P25" t="str">
        <f>"306617306"</f>
        <v>306617306</v>
      </c>
      <c r="Q25" t="str">
        <f>"280018653"</f>
        <v>280018653</v>
      </c>
      <c r="R25" t="str">
        <f>"198871000"</f>
        <v>198871000</v>
      </c>
      <c r="S25" t="str">
        <f>"108311863"</f>
        <v>108311863</v>
      </c>
      <c r="T25" t="str">
        <f>"44374811"</f>
        <v>44374811</v>
      </c>
      <c r="U25" t="str">
        <f>"13327061"</f>
        <v>13327061</v>
      </c>
      <c r="V25" t="str">
        <f>"2838026"</f>
        <v>2838026</v>
      </c>
      <c r="W25" t="str">
        <f>"412393"</f>
        <v>412393</v>
      </c>
      <c r="X25" t="str">
        <f>"39664"</f>
        <v>39664</v>
      </c>
      <c r="Y25" t="str">
        <f>"2522"</f>
        <v>2522</v>
      </c>
      <c r="Z25" t="str">
        <f>"101"</f>
        <v>101</v>
      </c>
      <c r="AA25" t="str">
        <f>"2"</f>
        <v>2</v>
      </c>
    </row>
    <row r="26" spans="1:34" x14ac:dyDescent="0.3">
      <c r="A26">
        <v>24</v>
      </c>
      <c r="B26" t="str">
        <f>"3779502819"</f>
        <v>3779502819</v>
      </c>
      <c r="C26" t="str">
        <f>"3779549833"</f>
        <v>3779549833</v>
      </c>
      <c r="D26" t="str">
        <f t="shared" si="0"/>
        <v>1</v>
      </c>
      <c r="E26" t="str">
        <f>"48"</f>
        <v>48</v>
      </c>
      <c r="F26" t="str">
        <f>"1067"</f>
        <v>1067</v>
      </c>
      <c r="G26" t="str">
        <f>"14590"</f>
        <v>14590</v>
      </c>
      <c r="H26" t="str">
        <f>"137489"</f>
        <v>137489</v>
      </c>
      <c r="I26" t="str">
        <f>"948134"</f>
        <v>948134</v>
      </c>
      <c r="J26" t="str">
        <f>"4959572"</f>
        <v>4959572</v>
      </c>
      <c r="K26" t="str">
        <f>"20131298"</f>
        <v>20131298</v>
      </c>
      <c r="L26" t="str">
        <f>"64344734"</f>
        <v>64344734</v>
      </c>
      <c r="M26" t="str">
        <f>"163430306"</f>
        <v>163430306</v>
      </c>
      <c r="N26" t="str">
        <f>"331525612"</f>
        <v>331525612</v>
      </c>
      <c r="O26" t="str">
        <f>"538042270"</f>
        <v>538042270</v>
      </c>
      <c r="P26" t="str">
        <f>"697769790"</f>
        <v>697769790</v>
      </c>
      <c r="Q26" t="str">
        <f>"720208278"</f>
        <v>720208278</v>
      </c>
      <c r="R26" t="str">
        <f>"587498756"</f>
        <v>587498756</v>
      </c>
      <c r="S26" t="str">
        <f>"374817998"</f>
        <v>374817998</v>
      </c>
      <c r="T26" t="str">
        <f>"184310996"</f>
        <v>184310996</v>
      </c>
      <c r="U26" t="str">
        <f>"68485702"</f>
        <v>68485702</v>
      </c>
      <c r="V26" t="str">
        <f>"18734338"</f>
        <v>18734338</v>
      </c>
      <c r="W26" t="str">
        <f>"3651974"</f>
        <v>3651974</v>
      </c>
      <c r="X26" t="str">
        <f>"489866"</f>
        <v>489866</v>
      </c>
      <c r="Y26" t="str">
        <f>"44214"</f>
        <v>44214</v>
      </c>
      <c r="Z26" t="str">
        <f>"2694"</f>
        <v>2694</v>
      </c>
      <c r="AA26" t="str">
        <f>"104"</f>
        <v>104</v>
      </c>
      <c r="AB26" t="str">
        <f>"2"</f>
        <v>2</v>
      </c>
    </row>
    <row r="27" spans="1:34" x14ac:dyDescent="0.3">
      <c r="A27">
        <v>25</v>
      </c>
      <c r="B27" t="str">
        <f>"10209775453"</f>
        <v>10209775453</v>
      </c>
      <c r="C27" t="str">
        <f>"10210644703"</f>
        <v>10210644703</v>
      </c>
      <c r="D27" t="str">
        <f t="shared" si="0"/>
        <v>1</v>
      </c>
      <c r="E27" t="str">
        <f>"50"</f>
        <v>50</v>
      </c>
      <c r="F27" t="str">
        <f>"1162"</f>
        <v>1162</v>
      </c>
      <c r="G27" t="str">
        <f>"16679"</f>
        <v>16679</v>
      </c>
      <c r="H27" t="str">
        <f>"165735"</f>
        <v>165735</v>
      </c>
      <c r="I27" t="str">
        <f>"1211239"</f>
        <v>1211239</v>
      </c>
      <c r="J27" t="str">
        <f>"6752311"</f>
        <v>6752311</v>
      </c>
      <c r="K27" t="str">
        <f>"29393160"</f>
        <v>29393160</v>
      </c>
      <c r="L27" t="str">
        <f>"101459453"</f>
        <v>101459453</v>
      </c>
      <c r="M27" t="str">
        <f>"280491713"</f>
        <v>280491713</v>
      </c>
      <c r="N27" t="str">
        <f>"624789492"</f>
        <v>624789492</v>
      </c>
      <c r="O27" t="str">
        <f>"1124534076"</f>
        <v>1124534076</v>
      </c>
      <c r="P27" t="str">
        <f>"1635704412"</f>
        <v>1635704412</v>
      </c>
      <c r="Q27" t="str">
        <f>"1918267568"</f>
        <v>1918267568</v>
      </c>
      <c r="R27" t="str">
        <f>"1804949486"</f>
        <v>1804949486</v>
      </c>
      <c r="S27" t="str">
        <f>"1352239982"</f>
        <v>1352239982</v>
      </c>
      <c r="T27" t="str">
        <f>"797930078"</f>
        <v>797930078</v>
      </c>
      <c r="U27" t="str">
        <f>"365423709"</f>
        <v>365423709</v>
      </c>
      <c r="V27" t="str">
        <f>"127368354"</f>
        <v>127368354</v>
      </c>
      <c r="W27" t="str">
        <f>"32945267"</f>
        <v>32945267</v>
      </c>
      <c r="X27" t="str">
        <f>"6131526"</f>
        <v>6131526</v>
      </c>
      <c r="Y27" t="str">
        <f>"794697"</f>
        <v>794697</v>
      </c>
      <c r="Z27" t="str">
        <f>"70181"</f>
        <v>70181</v>
      </c>
      <c r="AA27" t="str">
        <f>"4209"</f>
        <v>4209</v>
      </c>
      <c r="AB27" t="str">
        <f>"160"</f>
        <v>160</v>
      </c>
      <c r="AC27" t="str">
        <f>"3"</f>
        <v>3</v>
      </c>
    </row>
    <row r="28" spans="1:34" x14ac:dyDescent="0.3">
      <c r="A28">
        <v>26</v>
      </c>
      <c r="B28" t="str">
        <f>"23469447929"</f>
        <v>23469447929</v>
      </c>
      <c r="C28" t="str">
        <f>"23475842264"</f>
        <v>23475842264</v>
      </c>
      <c r="D28" t="str">
        <f t="shared" si="0"/>
        <v>1</v>
      </c>
      <c r="E28" t="str">
        <f>"52"</f>
        <v>52</v>
      </c>
      <c r="F28" t="str">
        <f>"1260"</f>
        <v>1260</v>
      </c>
      <c r="G28" t="str">
        <f>"18908"</f>
        <v>18908</v>
      </c>
      <c r="H28" t="str">
        <f>"197002"</f>
        <v>197002</v>
      </c>
      <c r="I28" t="str">
        <f>"1514379"</f>
        <v>1514379</v>
      </c>
      <c r="J28" t="str">
        <f>"8910061"</f>
        <v>8910061</v>
      </c>
      <c r="K28" t="str">
        <f>"41085895"</f>
        <v>41085895</v>
      </c>
      <c r="L28" t="str">
        <f>"150829500"</f>
        <v>150829500</v>
      </c>
      <c r="M28" t="str">
        <f>"445393063"</f>
        <v>445393063</v>
      </c>
      <c r="N28" t="str">
        <f>"1064748966"</f>
        <v>1064748966</v>
      </c>
      <c r="O28" t="str">
        <f>"2067513245"</f>
        <v>2067513245</v>
      </c>
      <c r="P28" t="str">
        <f>"3263418169"</f>
        <v>3263418169</v>
      </c>
      <c r="Q28" t="str">
        <f>"4180452130"</f>
        <v>4180452130</v>
      </c>
      <c r="R28" t="str">
        <f>"4329117314"</f>
        <v>4329117314</v>
      </c>
      <c r="S28" t="str">
        <f>"3601191876"</f>
        <v>3601191876</v>
      </c>
      <c r="T28" t="str">
        <f>"2384711028"</f>
        <v>2384711028</v>
      </c>
      <c r="U28" t="str">
        <f>"1241886195"</f>
        <v>1241886195</v>
      </c>
      <c r="V28" t="str">
        <f>"500622908"</f>
        <v>500622908</v>
      </c>
      <c r="W28" t="str">
        <f>"153131648"</f>
        <v>153131648</v>
      </c>
      <c r="X28" t="str">
        <f>"34704329"</f>
        <v>34704329</v>
      </c>
      <c r="Y28" t="str">
        <f>"5680243"</f>
        <v>5680243</v>
      </c>
      <c r="Z28" t="str">
        <f>"657588"</f>
        <v>657588</v>
      </c>
      <c r="AA28" t="str">
        <f>"53389"</f>
        <v>53389</v>
      </c>
      <c r="AB28" t="str">
        <f>"3004"</f>
        <v>3004</v>
      </c>
      <c r="AC28" t="str">
        <f>"109"</f>
        <v>109</v>
      </c>
      <c r="AD28" t="str">
        <f>"2"</f>
        <v>2</v>
      </c>
    </row>
    <row r="29" spans="1:34" x14ac:dyDescent="0.3">
      <c r="A29">
        <v>27</v>
      </c>
      <c r="B29" t="str">
        <f>"56407040754"</f>
        <v>56407040754</v>
      </c>
      <c r="C29" t="str">
        <f>"56456886738"</f>
        <v>56456886738</v>
      </c>
      <c r="D29" t="str">
        <f t="shared" si="0"/>
        <v>1</v>
      </c>
      <c r="E29" t="str">
        <f>"54"</f>
        <v>54</v>
      </c>
      <c r="F29" t="str">
        <f>"1362"</f>
        <v>1362</v>
      </c>
      <c r="G29" t="str">
        <f>"21330"</f>
        <v>21330</v>
      </c>
      <c r="H29" t="str">
        <f>"232588"</f>
        <v>232588</v>
      </c>
      <c r="I29" t="str">
        <f>"1877073"</f>
        <v>1877073</v>
      </c>
      <c r="J29" t="str">
        <f>"11634825"</f>
        <v>11634825</v>
      </c>
      <c r="K29" t="str">
        <f>"56737864"</f>
        <v>56737864</v>
      </c>
      <c r="L29" t="str">
        <f>"221221498"</f>
        <v>221221498</v>
      </c>
      <c r="M29" t="str">
        <f>"697150763"</f>
        <v>697150763</v>
      </c>
      <c r="N29" t="str">
        <f>"1788184560"</f>
        <v>1788184560</v>
      </c>
      <c r="O29" t="str">
        <f>"3748331015"</f>
        <v>3748331015</v>
      </c>
      <c r="P29" t="str">
        <f>"6431151809"</f>
        <v>6431151809</v>
      </c>
      <c r="Q29" t="str">
        <f>"9026076468"</f>
        <v>9026076468</v>
      </c>
      <c r="R29" t="str">
        <f>"10334626443"</f>
        <v>10334626443</v>
      </c>
      <c r="S29" t="str">
        <f>"9606732809"</f>
        <v>9606732809</v>
      </c>
      <c r="T29" t="str">
        <f>"7198475333"</f>
        <v>7198475333</v>
      </c>
      <c r="U29" t="str">
        <f>"4305857837"</f>
        <v>4305857837</v>
      </c>
      <c r="V29" t="str">
        <f>"2030040773"</f>
        <v>2030040773</v>
      </c>
      <c r="W29" t="str">
        <f>"742285846"</f>
        <v>742285846</v>
      </c>
      <c r="X29" t="str">
        <f>"206400503"</f>
        <v>206400503</v>
      </c>
      <c r="Y29" t="str">
        <f>"42676337"</f>
        <v>42676337</v>
      </c>
      <c r="Z29" t="str">
        <f>"6419927"</f>
        <v>6419927</v>
      </c>
      <c r="AA29" t="str">
        <f>"693030"</f>
        <v>693030</v>
      </c>
      <c r="AB29" t="str">
        <f>"53641"</f>
        <v>53641</v>
      </c>
      <c r="AC29" t="str">
        <f>"2941"</f>
        <v>2941</v>
      </c>
      <c r="AD29" t="str">
        <f>"106"</f>
        <v>106</v>
      </c>
      <c r="AE29" t="str">
        <f>"2"</f>
        <v>2</v>
      </c>
    </row>
    <row r="30" spans="1:34" x14ac:dyDescent="0.3">
      <c r="A30">
        <v>28</v>
      </c>
      <c r="B30" t="str">
        <f>"133729449184"</f>
        <v>133729449184</v>
      </c>
      <c r="C30" t="str">
        <f>"134037493808"</f>
        <v>134037493808</v>
      </c>
      <c r="D30" t="str">
        <f t="shared" si="0"/>
        <v>1</v>
      </c>
      <c r="E30" t="str">
        <f>"56"</f>
        <v>56</v>
      </c>
      <c r="F30" t="str">
        <f>"1468"</f>
        <v>1468</v>
      </c>
      <c r="G30" t="str">
        <f>"23952"</f>
        <v>23952</v>
      </c>
      <c r="H30" t="str">
        <f>"272825"</f>
        <v>272825</v>
      </c>
      <c r="I30" t="str">
        <f>"2306617"</f>
        <v>2306617</v>
      </c>
      <c r="J30" t="str">
        <f>"15025295"</f>
        <v>15025295</v>
      </c>
      <c r="K30" t="str">
        <f>"77269828"</f>
        <v>77269828</v>
      </c>
      <c r="L30" t="str">
        <f>"318927844"</f>
        <v>318927844</v>
      </c>
      <c r="M30" t="str">
        <f>"1068419691"</f>
        <v>1068419691</v>
      </c>
      <c r="N30" t="str">
        <f>"2926771459"</f>
        <v>2926771459</v>
      </c>
      <c r="O30" t="str">
        <f>"6585714581"</f>
        <v>6585714581</v>
      </c>
      <c r="P30" t="str">
        <f>"12198862997"</f>
        <v>12198862997</v>
      </c>
      <c r="Q30" t="str">
        <f>"18602313712"</f>
        <v>18602313712</v>
      </c>
      <c r="R30" t="str">
        <f>"23309181143"</f>
        <v>23309181143</v>
      </c>
      <c r="S30" t="str">
        <f>"23907719603"</f>
        <v>23907719603</v>
      </c>
      <c r="T30" t="str">
        <f>"19955178135"</f>
        <v>19955178135</v>
      </c>
      <c r="U30" t="str">
        <f>"13445324371"</f>
        <v>13445324371</v>
      </c>
      <c r="V30" t="str">
        <f>"7236128304"</f>
        <v>7236128304</v>
      </c>
      <c r="W30" t="str">
        <f>"3069774032"</f>
        <v>3069774032</v>
      </c>
      <c r="X30" t="str">
        <f>"1010233270"</f>
        <v>1010233270</v>
      </c>
      <c r="Y30" t="str">
        <f>"253257149"</f>
        <v>253257149</v>
      </c>
      <c r="Z30" t="str">
        <f>"47491748"</f>
        <v>47491748</v>
      </c>
      <c r="AA30" t="str">
        <f>"6572707"</f>
        <v>6572707</v>
      </c>
      <c r="AB30" t="str">
        <f>"669628"</f>
        <v>669628</v>
      </c>
      <c r="AC30" t="str">
        <f>"50502"</f>
        <v>50502</v>
      </c>
      <c r="AD30" t="str">
        <f>"2785"</f>
        <v>2785</v>
      </c>
      <c r="AE30" t="str">
        <f>"103"</f>
        <v>103</v>
      </c>
      <c r="AF30" t="str">
        <f>"2"</f>
        <v>2</v>
      </c>
    </row>
    <row r="31" spans="1:34" x14ac:dyDescent="0.3">
      <c r="A31">
        <v>29</v>
      </c>
      <c r="B31" t="str">
        <f>"317608676762"</f>
        <v>317608676762</v>
      </c>
      <c r="C31" t="str">
        <f>"319327860224"</f>
        <v>319327860224</v>
      </c>
      <c r="D31" t="str">
        <f t="shared" si="0"/>
        <v>1</v>
      </c>
      <c r="E31" t="str">
        <f>"58"</f>
        <v>58</v>
      </c>
      <c r="F31" t="str">
        <f>"1578"</f>
        <v>1578</v>
      </c>
      <c r="G31" t="str">
        <f>"26782"</f>
        <v>26782</v>
      </c>
      <c r="H31" t="str">
        <f>"318106"</f>
        <v>318106</v>
      </c>
      <c r="I31" t="str">
        <f>"2811982"</f>
        <v>2811982</v>
      </c>
      <c r="J31" t="str">
        <f>"19207914"</f>
        <v>19207914</v>
      </c>
      <c r="K31" t="str">
        <f>"103915190"</f>
        <v>103915190</v>
      </c>
      <c r="L31" t="str">
        <f>"452794802"</f>
        <v>452794802</v>
      </c>
      <c r="M31" t="str">
        <f>"1607582640"</f>
        <v>1607582640</v>
      </c>
      <c r="N31" t="str">
        <f>"4687074137"</f>
        <v>4687074137</v>
      </c>
      <c r="O31" t="str">
        <f>"11278739813"</f>
        <v>11278739813</v>
      </c>
      <c r="P31" t="str">
        <f>"22460680282"</f>
        <v>22460680282</v>
      </c>
      <c r="Q31" t="str">
        <f>"37042424488"</f>
        <v>37042424488</v>
      </c>
      <c r="R31" t="str">
        <f>"50537016218"</f>
        <v>50537016218</v>
      </c>
      <c r="S31" t="str">
        <f>"56872737362"</f>
        <v>56872737362</v>
      </c>
      <c r="T31" t="str">
        <f>"52546893390"</f>
        <v>52546893390</v>
      </c>
      <c r="U31" t="str">
        <f>"39597267825"</f>
        <v>39597267825</v>
      </c>
      <c r="V31" t="str">
        <f>"24125411231"</f>
        <v>24125411231</v>
      </c>
      <c r="W31" t="str">
        <f>"11754513856"</f>
        <v>11754513856</v>
      </c>
      <c r="X31" t="str">
        <f>"4519259107"</f>
        <v>4519259107</v>
      </c>
      <c r="Y31" t="str">
        <f>"1350155673"</f>
        <v>1350155673</v>
      </c>
      <c r="Z31" t="str">
        <f>"308384601"</f>
        <v>308384601</v>
      </c>
      <c r="AA31" t="str">
        <f>"53089042"</f>
        <v>53089042</v>
      </c>
      <c r="AB31" t="str">
        <f>"6839843"</f>
        <v>6839843</v>
      </c>
      <c r="AC31" t="str">
        <f>"662703"</f>
        <v>662703</v>
      </c>
      <c r="AD31" t="str">
        <f>"48800"</f>
        <v>48800</v>
      </c>
      <c r="AE31" t="str">
        <f>"2696"</f>
        <v>2696</v>
      </c>
      <c r="AF31" t="str">
        <f>"102"</f>
        <v>102</v>
      </c>
      <c r="AG31" t="str">
        <f>"2"</f>
        <v>2</v>
      </c>
    </row>
    <row r="32" spans="1:34" x14ac:dyDescent="0.3">
      <c r="A32">
        <v>30</v>
      </c>
      <c r="B32" t="str">
        <f>"752004505091"</f>
        <v>752004505091</v>
      </c>
      <c r="C32" t="str">
        <f>"760583387984"</f>
        <v>760583387984</v>
      </c>
      <c r="D32" t="str">
        <f t="shared" si="0"/>
        <v>1</v>
      </c>
      <c r="E32" t="str">
        <f>"60"</f>
        <v>60</v>
      </c>
      <c r="F32" t="str">
        <f>"1692"</f>
        <v>1692</v>
      </c>
      <c r="G32" t="str">
        <f>"29828"</f>
        <v>29828</v>
      </c>
      <c r="H32" t="str">
        <f>"368839"</f>
        <v>368839</v>
      </c>
      <c r="I32" t="str">
        <f>"3402863"</f>
        <v>3402863</v>
      </c>
      <c r="J32" t="str">
        <f>"24325349"</f>
        <v>24325349</v>
      </c>
      <c r="K32" t="str">
        <f>"138131631"</f>
        <v>138131631</v>
      </c>
      <c r="L32" t="str">
        <f>"633812258"</f>
        <v>633812258</v>
      </c>
      <c r="M32" t="str">
        <f>"2378071073"</f>
        <v>2378071073</v>
      </c>
      <c r="N32" t="str">
        <f>"7356125973"</f>
        <v>7356125973</v>
      </c>
      <c r="O32" t="str">
        <f>"18861947513"</f>
        <v>18861947513</v>
      </c>
      <c r="P32" t="str">
        <f>"40217779272"</f>
        <v>40217779272</v>
      </c>
      <c r="Q32" t="str">
        <f>"71399948151"</f>
        <v>71399948151</v>
      </c>
      <c r="R32" t="str">
        <f>"105495546620"</f>
        <v>105495546620</v>
      </c>
      <c r="S32" t="str">
        <f>"129456429016"</f>
        <v>129456429016</v>
      </c>
      <c r="T32" t="str">
        <f>"131446806607"</f>
        <v>131446806607</v>
      </c>
      <c r="U32" t="str">
        <f>"109838037918"</f>
        <v>109838037918</v>
      </c>
      <c r="V32" t="str">
        <f>"74985118493"</f>
        <v>74985118493</v>
      </c>
      <c r="W32" t="str">
        <f>"41438800258"</f>
        <v>41438800258</v>
      </c>
      <c r="X32" t="str">
        <f>"18329821676"</f>
        <v>18329821676</v>
      </c>
      <c r="Y32" t="str">
        <f>"6405192963"</f>
        <v>6405192963</v>
      </c>
      <c r="Z32" t="str">
        <f>"1743240169"</f>
        <v>1743240169</v>
      </c>
      <c r="AA32" t="str">
        <f>"364604561"</f>
        <v>364604561</v>
      </c>
      <c r="AB32" t="str">
        <f>"58085709"</f>
        <v>58085709</v>
      </c>
      <c r="AC32" t="str">
        <f>"7050232"</f>
        <v>7050232</v>
      </c>
      <c r="AD32" t="str">
        <f>"658689"</f>
        <v>658689</v>
      </c>
      <c r="AE32" t="str">
        <f>"47824"</f>
        <v>47824</v>
      </c>
      <c r="AF32" t="str">
        <f>"2643"</f>
        <v>2643</v>
      </c>
      <c r="AG32" t="str">
        <f>"101"</f>
        <v>101</v>
      </c>
      <c r="AH32" t="str">
        <f>"2"</f>
        <v>2</v>
      </c>
    </row>
    <row r="33" spans="1:50" x14ac:dyDescent="0.3">
      <c r="A33">
        <v>31</v>
      </c>
      <c r="B33" t="str">
        <f>"1768126487668"</f>
        <v>1768126487668</v>
      </c>
      <c r="C33" t="str">
        <f>"1806671710896"</f>
        <v>1806671710896</v>
      </c>
      <c r="D33" t="str">
        <f t="shared" si="0"/>
        <v>1</v>
      </c>
      <c r="E33" t="str">
        <f>"62"</f>
        <v>62</v>
      </c>
      <c r="F33" t="str">
        <f>"1810"</f>
        <v>1810</v>
      </c>
      <c r="G33" t="str">
        <f>"33098"</f>
        <v>33098</v>
      </c>
      <c r="H33" t="str">
        <f>"425448"</f>
        <v>425448</v>
      </c>
      <c r="I33" t="str">
        <f>"4089755"</f>
        <v>4089755</v>
      </c>
      <c r="J33" t="str">
        <f>"30538884"</f>
        <v>30538884</v>
      </c>
      <c r="K33" t="str">
        <f>"181644822"</f>
        <v>181644822</v>
      </c>
      <c r="L33" t="str">
        <f>"875645315"</f>
        <v>875645315</v>
      </c>
      <c r="M33" t="str">
        <f>"3462996438"</f>
        <v>3462996438</v>
      </c>
      <c r="N33" t="str">
        <f>"11331640058"</f>
        <v>11331640058</v>
      </c>
      <c r="O33" t="str">
        <f>"30857164884"</f>
        <v>30857164884</v>
      </c>
      <c r="P33" t="str">
        <f>"70177423267"</f>
        <v>70177423267</v>
      </c>
      <c r="Q33" t="str">
        <f>"133528093003"</f>
        <v>133528093003</v>
      </c>
      <c r="R33" t="str">
        <f>"212581650093"</f>
        <v>212581650093</v>
      </c>
      <c r="S33" t="str">
        <f>"282770048563"</f>
        <v>282770048563</v>
      </c>
      <c r="T33" t="str">
        <f>"313339626194"</f>
        <v>313339626194</v>
      </c>
      <c r="U33" t="str">
        <f>"287951344123"</f>
        <v>287951344123</v>
      </c>
      <c r="V33" t="str">
        <f>"218115531147"</f>
        <v>218115531147</v>
      </c>
      <c r="W33" t="str">
        <f>"135118312708"</f>
        <v>135118312708</v>
      </c>
      <c r="X33" t="str">
        <f>"67800277995"</f>
        <v>67800277995</v>
      </c>
      <c r="Y33" t="str">
        <f>"27248723194"</f>
        <v>27248723194</v>
      </c>
      <c r="Z33" t="str">
        <f>"8662654517"</f>
        <v>8662654517</v>
      </c>
      <c r="AA33" t="str">
        <f>"2151563365"</f>
        <v>2151563365</v>
      </c>
      <c r="AB33" t="str">
        <f>"413370499"</f>
        <v>413370499</v>
      </c>
      <c r="AC33" t="str">
        <f>"61205438"</f>
        <v>61205438</v>
      </c>
      <c r="AD33" t="str">
        <f>"7024915"</f>
        <v>7024915</v>
      </c>
      <c r="AE33" t="str">
        <f>"633506"</f>
        <v>633506</v>
      </c>
      <c r="AF33" t="str">
        <f>"45209"</f>
        <v>45209</v>
      </c>
      <c r="AG33" t="str">
        <f>"2487"</f>
        <v>2487</v>
      </c>
      <c r="AH33" t="str">
        <f>"96"</f>
        <v>96</v>
      </c>
      <c r="AI33" t="str">
        <f>"2"</f>
        <v>2</v>
      </c>
    </row>
    <row r="34" spans="1:50" x14ac:dyDescent="0.3">
      <c r="A34">
        <v>32</v>
      </c>
      <c r="B34" t="str">
        <f>"4172841091899"</f>
        <v>4172841091899</v>
      </c>
      <c r="C34" t="str">
        <f>"4338686379488"</f>
        <v>4338686379488</v>
      </c>
      <c r="D34" t="str">
        <f t="shared" si="0"/>
        <v>1</v>
      </c>
      <c r="E34" t="str">
        <f>"64"</f>
        <v>64</v>
      </c>
      <c r="F34" t="str">
        <f>"1932"</f>
        <v>1932</v>
      </c>
      <c r="G34" t="str">
        <f>"36600"</f>
        <v>36600</v>
      </c>
      <c r="H34" t="str">
        <f>"488374"</f>
        <v>488374</v>
      </c>
      <c r="I34" t="str">
        <f>"4884040"</f>
        <v>4884040</v>
      </c>
      <c r="J34" t="str">
        <f>"38031400"</f>
        <v>38031400</v>
      </c>
      <c r="K34" t="str">
        <f>"236506632"</f>
        <v>236506632</v>
      </c>
      <c r="L34" t="str">
        <f>"1195386134"</f>
        <v>1195386134</v>
      </c>
      <c r="M34" t="str">
        <f>"4972090256"</f>
        <v>4972090256</v>
      </c>
      <c r="N34" t="str">
        <f>"17169968458"</f>
        <v>17169968458</v>
      </c>
      <c r="O34" t="str">
        <f>"49529145988"</f>
        <v>49529145988</v>
      </c>
      <c r="P34" t="str">
        <f>"119825247166"</f>
        <v>119825247166</v>
      </c>
      <c r="Q34" t="str">
        <f>"243666980864"</f>
        <v>243666980864</v>
      </c>
      <c r="R34" t="str">
        <f>"416768402950"</f>
        <v>416768402950</v>
      </c>
      <c r="S34" t="str">
        <f>"599111775272"</f>
        <v>599111775272</v>
      </c>
      <c r="T34" t="str">
        <f>"722266594916"</f>
        <v>722266594916</v>
      </c>
      <c r="U34" t="str">
        <f>"727641029256"</f>
        <v>727641029256</v>
      </c>
      <c r="V34" t="str">
        <f>"609521265286"</f>
        <v>609521265286</v>
      </c>
      <c r="W34" t="str">
        <f>"421765146880"</f>
        <v>421765146880</v>
      </c>
      <c r="X34" t="str">
        <f>"239128109430"</f>
        <v>239128109430</v>
      </c>
      <c r="Y34" t="str">
        <f>"110016666180"</f>
        <v>110016666180</v>
      </c>
      <c r="Z34" t="str">
        <f>"40623528336"</f>
        <v>40623528336</v>
      </c>
      <c r="AA34" t="str">
        <f>"11900542320"</f>
        <v>11900542320</v>
      </c>
      <c r="AB34" t="str">
        <f>"2736855523"</f>
        <v>2736855523</v>
      </c>
      <c r="AC34" t="str">
        <f>"490784588"</f>
        <v>490784588</v>
      </c>
      <c r="AD34" t="str">
        <f>"68644922"</f>
        <v>68644922</v>
      </c>
      <c r="AE34" t="str">
        <f>"7554344"</f>
        <v>7554344</v>
      </c>
      <c r="AF34" t="str">
        <f>"662402"</f>
        <v>662402</v>
      </c>
      <c r="AG34" t="str">
        <f>"46364"</f>
        <v>46364</v>
      </c>
      <c r="AH34" t="str">
        <f>"2512"</f>
        <v>2512</v>
      </c>
      <c r="AI34" t="str">
        <f>"96"</f>
        <v>96</v>
      </c>
      <c r="AJ34" t="str">
        <f>"2"</f>
        <v>2</v>
      </c>
    </row>
    <row r="35" spans="1:50" x14ac:dyDescent="0.3">
      <c r="A35">
        <v>33</v>
      </c>
      <c r="B35" t="str">
        <f>"10927210979397"</f>
        <v>10927210979397</v>
      </c>
      <c r="C35" t="str">
        <f>"11754835298544"</f>
        <v>11754835298544</v>
      </c>
      <c r="D35" t="str">
        <f t="shared" si="0"/>
        <v>1</v>
      </c>
      <c r="E35" t="str">
        <f>"66"</f>
        <v>66</v>
      </c>
      <c r="F35" t="str">
        <f>"2059"</f>
        <v>2059</v>
      </c>
      <c r="G35" t="str">
        <f>"40403"</f>
        <v>40403</v>
      </c>
      <c r="H35" t="str">
        <f>"559823"</f>
        <v>559823</v>
      </c>
      <c r="I35" t="str">
        <f>"5829325"</f>
        <v>5829325</v>
      </c>
      <c r="J35" t="str">
        <f>"47402338"</f>
        <v>47402338</v>
      </c>
      <c r="K35" t="str">
        <f>"308823199"</f>
        <v>308823199</v>
      </c>
      <c r="L35" t="str">
        <f>"1640969074"</f>
        <v>1640969074</v>
      </c>
      <c r="M35" t="str">
        <f>"7203000454"</f>
        <v>7203000454</v>
      </c>
      <c r="N35" t="str">
        <f>"26359684927"</f>
        <v>26359684927</v>
      </c>
      <c r="O35" t="str">
        <f>"80950524262"</f>
        <v>80950524262</v>
      </c>
      <c r="P35" t="str">
        <f>"209550923588"</f>
        <v>209550923588</v>
      </c>
      <c r="Q35" t="str">
        <f>"458508246557"</f>
        <v>458508246557</v>
      </c>
      <c r="R35" t="str">
        <f>"849083546797"</f>
        <v>849083546797</v>
      </c>
      <c r="S35" t="str">
        <f>"1330694865251"</f>
        <v>1330694865251</v>
      </c>
      <c r="T35" t="str">
        <f>"1762629206046"</f>
        <v>1762629206046</v>
      </c>
      <c r="U35" t="str">
        <f>"1968265042828"</f>
        <v>1968265042828</v>
      </c>
      <c r="V35" t="str">
        <f>"1845756536099"</f>
        <v>1845756536099</v>
      </c>
      <c r="W35" t="str">
        <f>"1446025703811"</f>
        <v>1446025703811</v>
      </c>
      <c r="X35" t="str">
        <f>"940180072489"</f>
        <v>940180072489</v>
      </c>
      <c r="Y35" t="str">
        <f>"503218450783"</f>
        <v>503218450783</v>
      </c>
      <c r="Z35" t="str">
        <f>"219612506972"</f>
        <v>219612506972</v>
      </c>
      <c r="AA35" t="str">
        <f>"77309900278"</f>
        <v>77309900278</v>
      </c>
      <c r="AB35" t="str">
        <f>"21707174495"</f>
        <v>21707174495</v>
      </c>
      <c r="AC35" t="str">
        <f>"4812031860"</f>
        <v>4812031860</v>
      </c>
      <c r="AD35" t="str">
        <f>"836679845"</f>
        <v>836679845</v>
      </c>
      <c r="AE35" t="str">
        <f>"114124141"</f>
        <v>114124141</v>
      </c>
      <c r="AF35" t="str">
        <f>"12311307"</f>
        <v>12311307</v>
      </c>
      <c r="AG35" t="str">
        <f>"1062140"</f>
        <v>1062140</v>
      </c>
      <c r="AH35" t="str">
        <f>"73265"</f>
        <v>73265</v>
      </c>
      <c r="AI35" t="str">
        <f>"3911"</f>
        <v>3911</v>
      </c>
      <c r="AJ35" t="str">
        <f>"147"</f>
        <v>147</v>
      </c>
      <c r="AK35" t="str">
        <f>"3"</f>
        <v>3</v>
      </c>
    </row>
    <row r="36" spans="1:50" x14ac:dyDescent="0.3">
      <c r="A36">
        <v>34</v>
      </c>
      <c r="B36" t="str">
        <f>"24354983828484"</f>
        <v>24354983828484</v>
      </c>
      <c r="C36" t="str">
        <f>"27164642347952"</f>
        <v>27164642347952</v>
      </c>
      <c r="D36" t="str">
        <f t="shared" si="0"/>
        <v>1</v>
      </c>
      <c r="E36" t="str">
        <f>"68"</f>
        <v>68</v>
      </c>
      <c r="F36" t="str">
        <f>"2189"</f>
        <v>2189</v>
      </c>
      <c r="G36" t="str">
        <f>"44394"</f>
        <v>44394</v>
      </c>
      <c r="H36" t="str">
        <f>"636824"</f>
        <v>636824</v>
      </c>
      <c r="I36" t="str">
        <f>"6877407"</f>
        <v>6877407</v>
      </c>
      <c r="J36" t="str">
        <f>"58112598"</f>
        <v>58112598</v>
      </c>
      <c r="K36" t="str">
        <f>"394204580"</f>
        <v>394204580</v>
      </c>
      <c r="L36" t="str">
        <f>"2185680282"</f>
        <v>2185680282</v>
      </c>
      <c r="M36" t="str">
        <f>"10033908206"</f>
        <v>10033908206</v>
      </c>
      <c r="N36" t="str">
        <f>"38497651242"</f>
        <v>38497651242</v>
      </c>
      <c r="O36" t="str">
        <f>"124279452444"</f>
        <v>124279452444</v>
      </c>
      <c r="P36" t="str">
        <f>"339154808254"</f>
        <v>339154808254</v>
      </c>
      <c r="Q36" t="str">
        <f>"784764322349"</f>
        <v>784764322349</v>
      </c>
      <c r="R36" t="str">
        <f>"1542108661724"</f>
        <v>1542108661724</v>
      </c>
      <c r="S36" t="str">
        <f>"2574340867030"</f>
        <v>2574340867030</v>
      </c>
      <c r="T36" t="str">
        <f>"3647704709089"</f>
        <v>3647704709089</v>
      </c>
      <c r="U36" t="str">
        <f>"4378288376898"</f>
        <v>4378288376898</v>
      </c>
      <c r="V36" t="str">
        <f>"4437594055415"</f>
        <v>4437594055415</v>
      </c>
      <c r="W36" t="str">
        <f>"3781466852460"</f>
        <v>3781466852460</v>
      </c>
      <c r="X36" t="str">
        <f>"2694104605030"</f>
        <v>2694104605030</v>
      </c>
      <c r="Y36" t="str">
        <f>"1593759406834"</f>
        <v>1593759406834</v>
      </c>
      <c r="Z36" t="str">
        <f>"776496487589"</f>
        <v>776496487589</v>
      </c>
      <c r="AA36" t="str">
        <f>"308685595767"</f>
        <v>308685595767</v>
      </c>
      <c r="AB36" t="str">
        <f>"99122985997"</f>
        <v>99122985997</v>
      </c>
      <c r="AC36" t="str">
        <f>"25455854979"</f>
        <v>25455854979</v>
      </c>
      <c r="AD36" t="str">
        <f>"5185519608"</f>
        <v>5185519608</v>
      </c>
      <c r="AE36" t="str">
        <f>"834520286"</f>
        <v>834520286</v>
      </c>
      <c r="AF36" t="str">
        <f>"106366299"</f>
        <v>106366299</v>
      </c>
      <c r="AG36" t="str">
        <f>"10831734"</f>
        <v>10831734</v>
      </c>
      <c r="AH36" t="str">
        <f>"888871"</f>
        <v>888871</v>
      </c>
      <c r="AI36" t="str">
        <f>"58435"</f>
        <v>58435</v>
      </c>
      <c r="AJ36" t="str">
        <f>"2962"</f>
        <v>2962</v>
      </c>
      <c r="AK36" t="str">
        <f>"105"</f>
        <v>105</v>
      </c>
      <c r="AL36" t="str">
        <f>"2"</f>
        <v>2</v>
      </c>
    </row>
    <row r="37" spans="1:50" x14ac:dyDescent="0.3">
      <c r="A37">
        <v>35</v>
      </c>
      <c r="B37" t="str">
        <f>"55687769045465"</f>
        <v>55687769045465</v>
      </c>
      <c r="C37" t="str">
        <f>"65622282410848"</f>
        <v>65622282410848</v>
      </c>
      <c r="D37" t="str">
        <f t="shared" si="0"/>
        <v>1</v>
      </c>
      <c r="E37" t="str">
        <f>"70"</f>
        <v>70</v>
      </c>
      <c r="F37" t="str">
        <f>"2323"</f>
        <v>2323</v>
      </c>
      <c r="G37" t="str">
        <f>"48642"</f>
        <v>48642</v>
      </c>
      <c r="H37" t="str">
        <f>"721620"</f>
        <v>721620</v>
      </c>
      <c r="I37" t="str">
        <f>"8073996"</f>
        <v>8073996</v>
      </c>
      <c r="J37" t="str">
        <f>"70817749"</f>
        <v>70817749</v>
      </c>
      <c r="K37" t="str">
        <f>"499692577"</f>
        <v>499692577</v>
      </c>
      <c r="L37" t="str">
        <f>"2888386113"</f>
        <v>2888386113</v>
      </c>
      <c r="M37" t="str">
        <f>"13857687127"</f>
        <v>13857687127</v>
      </c>
      <c r="N37" t="str">
        <f>"55714731849"</f>
        <v>55714731849</v>
      </c>
      <c r="O37" t="str">
        <f>"189027995571"</f>
        <v>189027995571</v>
      </c>
      <c r="P37" t="str">
        <f>"543902461155"</f>
        <v>543902461155</v>
      </c>
      <c r="Q37" t="str">
        <f>"1331721488401"</f>
        <v>1331721488401</v>
      </c>
      <c r="R37" t="str">
        <f>"2780154398592"</f>
        <v>2780154398592</v>
      </c>
      <c r="S37" t="str">
        <f>"4952578208606"</f>
        <v>4952578208606</v>
      </c>
      <c r="T37" t="str">
        <f>"7526025193565"</f>
        <v>7526025193565</v>
      </c>
      <c r="U37" t="str">
        <f>"9742708244861"</f>
        <v>9742708244861</v>
      </c>
      <c r="V37" t="str">
        <f>"10718371871560"</f>
        <v>10718371871560</v>
      </c>
      <c r="W37" t="str">
        <f>"9986364396450"</f>
        <v>9986364396450</v>
      </c>
      <c r="X37" t="str">
        <f>"7843874624637"</f>
        <v>7843874624637</v>
      </c>
      <c r="Y37" t="str">
        <f>"5164312371148"</f>
        <v>5164312371148</v>
      </c>
      <c r="Z37" t="str">
        <f>"2830416329465"</f>
        <v>2830416329465</v>
      </c>
      <c r="AA37" t="str">
        <f>"1280960196024"</f>
        <v>1280960196024</v>
      </c>
      <c r="AB37" t="str">
        <f>"474381774914"</f>
        <v>474381774914</v>
      </c>
      <c r="AC37" t="str">
        <f>"142382071955"</f>
        <v>142382071955</v>
      </c>
      <c r="AD37" t="str">
        <f>"34319117554"</f>
        <v>34319117554</v>
      </c>
      <c r="AE37" t="str">
        <f>"6596614234"</f>
        <v>6596614234</v>
      </c>
      <c r="AF37" t="str">
        <f>"1008595498"</f>
        <v>1008595498</v>
      </c>
      <c r="AG37" t="str">
        <f>"123145244"</f>
        <v>123145244</v>
      </c>
      <c r="AH37" t="str">
        <f>"12116596"</f>
        <v>12116596</v>
      </c>
      <c r="AI37" t="str">
        <f>"967435"</f>
        <v>967435</v>
      </c>
      <c r="AJ37" t="str">
        <f>"62126"</f>
        <v>62126</v>
      </c>
      <c r="AK37" t="str">
        <f>"3081"</f>
        <v>3081</v>
      </c>
      <c r="AL37" t="str">
        <f>"107"</f>
        <v>107</v>
      </c>
      <c r="AM37" t="str">
        <f>"2"</f>
        <v>2</v>
      </c>
    </row>
    <row r="38" spans="1:50" x14ac:dyDescent="0.3">
      <c r="A38">
        <v>36</v>
      </c>
      <c r="B38" t="str">
        <f>"124146334859675"</f>
        <v>124146334859675</v>
      </c>
      <c r="C38" t="str">
        <f>"156521315846424"</f>
        <v>156521315846424</v>
      </c>
      <c r="D38" t="str">
        <f t="shared" si="0"/>
        <v>1</v>
      </c>
      <c r="E38" t="str">
        <f>"72"</f>
        <v>72</v>
      </c>
      <c r="F38" t="str">
        <f>"2461"</f>
        <v>2461</v>
      </c>
      <c r="G38" t="str">
        <f>"53154"</f>
        <v>53154</v>
      </c>
      <c r="H38" t="str">
        <f>"814655"</f>
        <v>814655</v>
      </c>
      <c r="I38" t="str">
        <f>"9432379"</f>
        <v>9432379</v>
      </c>
      <c r="J38" t="str">
        <f>"85767397"</f>
        <v>85767397</v>
      </c>
      <c r="K38" t="str">
        <f>"628591241"</f>
        <v>628591241</v>
      </c>
      <c r="L38" t="str">
        <f>"3781880452"</f>
        <v>3781880452</v>
      </c>
      <c r="M38" t="str">
        <f>"18927915929"</f>
        <v>18927915929</v>
      </c>
      <c r="N38" t="str">
        <f>"79577867561"</f>
        <v>79577867561</v>
      </c>
      <c r="O38" t="str">
        <f>"283071883477"</f>
        <v>283071883477</v>
      </c>
      <c r="P38" t="str">
        <f>"856399467244"</f>
        <v>856399467244</v>
      </c>
      <c r="Q38" t="str">
        <f>"2211572545429"</f>
        <v>2211572545429</v>
      </c>
      <c r="R38" t="str">
        <f>"4886116040599"</f>
        <v>4886116040599</v>
      </c>
      <c r="S38" t="str">
        <f>"9246005975244"</f>
        <v>9246005975244</v>
      </c>
      <c r="T38" t="str">
        <f>"14986738718869"</f>
        <v>14986738718869</v>
      </c>
      <c r="U38" t="str">
        <f>"20788786715338"</f>
        <v>20788786715338</v>
      </c>
      <c r="V38" t="str">
        <f>"24632553995120"</f>
        <v>24632553995120</v>
      </c>
      <c r="W38" t="str">
        <f>"24861000664947"</f>
        <v>24861000664947</v>
      </c>
      <c r="X38" t="str">
        <f>"21291076528106"</f>
        <v>21291076528106</v>
      </c>
      <c r="Y38" t="str">
        <f>"15397194483160"</f>
        <v>15397194483160</v>
      </c>
      <c r="Z38" t="str">
        <f>"9347267276436"</f>
        <v>9347267276436</v>
      </c>
      <c r="AA38" t="str">
        <f>"4730404046053"</f>
        <v>4730404046053</v>
      </c>
      <c r="AB38" t="str">
        <f>"1979817087908"</f>
        <v>1979817087908</v>
      </c>
      <c r="AC38" t="str">
        <f>"679343337064"</f>
        <v>679343337064</v>
      </c>
      <c r="AD38" t="str">
        <f>"189430449347"</f>
        <v>189430449347</v>
      </c>
      <c r="AE38" t="str">
        <f>"42588306240"</f>
        <v>42588306240</v>
      </c>
      <c r="AF38" t="str">
        <f>"7681134642"</f>
        <v>7681134642</v>
      </c>
      <c r="AG38" t="str">
        <f>"1111513514"</f>
        <v>1111513514</v>
      </c>
      <c r="AH38" t="str">
        <f>"129917431"</f>
        <v>129917431</v>
      </c>
      <c r="AI38" t="str">
        <f>"12397982"</f>
        <v>12397982</v>
      </c>
      <c r="AJ38" t="str">
        <f>"971914"</f>
        <v>971914</v>
      </c>
      <c r="AK38" t="str">
        <f>"61882"</f>
        <v>61882</v>
      </c>
      <c r="AL38" t="str">
        <f>"3067"</f>
        <v>3067</v>
      </c>
      <c r="AM38" t="str">
        <f>"107"</f>
        <v>107</v>
      </c>
      <c r="AN38" t="str">
        <f>"2"</f>
        <v>2</v>
      </c>
    </row>
    <row r="39" spans="1:50" x14ac:dyDescent="0.3">
      <c r="A39">
        <v>37</v>
      </c>
      <c r="B39" t="str">
        <f>"272878596166636"</f>
        <v>272878596166636</v>
      </c>
      <c r="C39" t="str">
        <f>"374617808119408"</f>
        <v>374617808119408</v>
      </c>
      <c r="D39" t="str">
        <f t="shared" si="0"/>
        <v>1</v>
      </c>
      <c r="E39" t="str">
        <f>"74"</f>
        <v>74</v>
      </c>
      <c r="F39" t="str">
        <f>"2603"</f>
        <v>2603</v>
      </c>
      <c r="G39" t="str">
        <f>"57938"</f>
        <v>57938</v>
      </c>
      <c r="H39" t="str">
        <f>"916450"</f>
        <v>916450</v>
      </c>
      <c r="I39" t="str">
        <f>"10968591"</f>
        <v>10968591</v>
      </c>
      <c r="J39" t="str">
        <f>"103271898"</f>
        <v>103271898</v>
      </c>
      <c r="K39" t="str">
        <f>"785141368"</f>
        <v>785141368</v>
      </c>
      <c r="L39" t="str">
        <f>"4909702834"</f>
        <v>4909702834</v>
      </c>
      <c r="M39" t="str">
        <f>"25593620344"</f>
        <v>25593620344</v>
      </c>
      <c r="N39" t="str">
        <f>"112328308083"</f>
        <v>112328308083</v>
      </c>
      <c r="O39" t="str">
        <f>"418147777972"</f>
        <v>418147777972</v>
      </c>
      <c r="P39" t="str">
        <f>"1327412445422"</f>
        <v>1327412445422</v>
      </c>
      <c r="Q39" t="str">
        <f>"3607382043945"</f>
        <v>3607382043945</v>
      </c>
      <c r="R39" t="str">
        <f>"8413970951826"</f>
        <v>8413970951826</v>
      </c>
      <c r="S39" t="str">
        <f>"16867881216893"</f>
        <v>16867881216893</v>
      </c>
      <c r="T39" t="str">
        <f>"29078062535433"</f>
        <v>29078062535433</v>
      </c>
      <c r="U39" t="str">
        <f>"43083272559685"</f>
        <v>43083272559685</v>
      </c>
      <c r="V39" t="str">
        <f>"54789513937310"</f>
        <v>54789513937310</v>
      </c>
      <c r="W39" t="str">
        <f>"59670220053830"</f>
        <v>59670220053830</v>
      </c>
      <c r="X39" t="str">
        <f>"55479000654136"</f>
        <v>55479000654136</v>
      </c>
      <c r="Y39" t="str">
        <f>"43858284006904"</f>
        <v>43858284006904</v>
      </c>
      <c r="Z39" t="str">
        <f>"29332956581480"</f>
        <v>29332956581480</v>
      </c>
      <c r="AA39" t="str">
        <f>"16498697428763"</f>
        <v>16498697428763</v>
      </c>
      <c r="AB39" t="str">
        <f>"7750518582849"</f>
        <v>7750518582849</v>
      </c>
      <c r="AC39" t="str">
        <f>"3017447268214"</f>
        <v>3017447268214</v>
      </c>
      <c r="AD39" t="str">
        <f>"965607481745"</f>
        <v>965607481745</v>
      </c>
      <c r="AE39" t="str">
        <f>"251952650257"</f>
        <v>251952650257</v>
      </c>
      <c r="AF39" t="str">
        <f>"53250649381"</f>
        <v>53250649381</v>
      </c>
      <c r="AG39" t="str">
        <f>"9086812427"</f>
        <v>9086812427</v>
      </c>
      <c r="AH39" t="str">
        <f>"1254814945"</f>
        <v>1254814945</v>
      </c>
      <c r="AI39" t="str">
        <f>"141433887"</f>
        <v>141433887</v>
      </c>
      <c r="AJ39" t="str">
        <f>"13159124"</f>
        <v>13159124</v>
      </c>
      <c r="AK39" t="str">
        <f>"1015455"</f>
        <v>1015455</v>
      </c>
      <c r="AL39" t="str">
        <f>"64075"</f>
        <v>64075</v>
      </c>
      <c r="AM39" t="str">
        <f>"3155"</f>
        <v>3155</v>
      </c>
      <c r="AN39" t="str">
        <f>"109"</f>
        <v>109</v>
      </c>
      <c r="AO39" t="str">
        <f>"2"</f>
        <v>2</v>
      </c>
    </row>
    <row r="40" spans="1:50" x14ac:dyDescent="0.3">
      <c r="A40">
        <v>38</v>
      </c>
      <c r="B40" t="str">
        <f>"589331414111341"</f>
        <v>589331414111341</v>
      </c>
      <c r="C40" t="str">
        <f>"896342432655744"</f>
        <v>896342432655744</v>
      </c>
      <c r="D40" t="str">
        <f t="shared" si="0"/>
        <v>1</v>
      </c>
      <c r="E40" t="str">
        <f>"76"</f>
        <v>76</v>
      </c>
      <c r="F40" t="str">
        <f>"2749"</f>
        <v>2749</v>
      </c>
      <c r="G40" t="str">
        <f>"63002"</f>
        <v>63002</v>
      </c>
      <c r="H40" t="str">
        <f>"1027541"</f>
        <v>1027541</v>
      </c>
      <c r="I40" t="str">
        <f>"12699631"</f>
        <v>12699631</v>
      </c>
      <c r="J40" t="str">
        <f>"123670871"</f>
        <v>123670871</v>
      </c>
      <c r="K40" t="str">
        <f>"974142074"</f>
        <v>974142074</v>
      </c>
      <c r="L40" t="str">
        <f>"6322908942"</f>
        <v>6322908942</v>
      </c>
      <c r="M40" t="str">
        <f>"34279805632"</f>
        <v>34279805632</v>
      </c>
      <c r="N40" t="str">
        <f>"156806627932"</f>
        <v>156806627932</v>
      </c>
      <c r="O40" t="str">
        <f>"609776768771"</f>
        <v>609776768771</v>
      </c>
      <c r="P40" t="str">
        <f>"2027182126332"</f>
        <v>2027182126332</v>
      </c>
      <c r="Q40" t="str">
        <f>"5784927864527"</f>
        <v>5784927864527</v>
      </c>
      <c r="R40" t="str">
        <f>"14210346369924"</f>
        <v>14210346369924</v>
      </c>
      <c r="S40" t="str">
        <f>"30099671535460"</f>
        <v>30099671535460</v>
      </c>
      <c r="T40" t="str">
        <f>"55017728194835"</f>
        <v>55017728194835</v>
      </c>
      <c r="U40" t="str">
        <f>"86772114537089"</f>
        <v>86772114537089</v>
      </c>
      <c r="V40" t="str">
        <f>"117974109595704"</f>
        <v>117974109595704</v>
      </c>
      <c r="W40" t="str">
        <f>"138026571860330"</f>
        <v>138026571860330</v>
      </c>
      <c r="X40" t="str">
        <f>"138610464309918"</f>
        <v>138610464309918</v>
      </c>
      <c r="Y40" t="str">
        <f>"119073241648137"</f>
        <v>119073241648137</v>
      </c>
      <c r="Z40" t="str">
        <f>"87130961495647"</f>
        <v>87130961495647</v>
      </c>
      <c r="AA40" t="str">
        <f>"54030988864473"</f>
        <v>54030988864473</v>
      </c>
      <c r="AB40" t="str">
        <f>"28223564290986"</f>
        <v>28223564290986</v>
      </c>
      <c r="AC40" t="str">
        <f>"12333981559823"</f>
        <v>12333981559823</v>
      </c>
      <c r="AD40" t="str">
        <f>"4475640508554"</f>
        <v>4475640508554</v>
      </c>
      <c r="AE40" t="str">
        <f>"1338130270822"</f>
        <v>1338130270822</v>
      </c>
      <c r="AF40" t="str">
        <f>"327274264759"</f>
        <v>327274264759</v>
      </c>
      <c r="AG40" t="str">
        <f>"65138472611"</f>
        <v>65138472611</v>
      </c>
      <c r="AH40" t="str">
        <f>"10538036511"</f>
        <v>10538036511</v>
      </c>
      <c r="AI40" t="str">
        <f>"1392343116"</f>
        <v>1392343116</v>
      </c>
      <c r="AJ40" t="str">
        <f>"151839093"</f>
        <v>151839093</v>
      </c>
      <c r="AK40" t="str">
        <f>"13826031"</f>
        <v>13826031</v>
      </c>
      <c r="AL40" t="str">
        <f>"1054328"</f>
        <v>1054328</v>
      </c>
      <c r="AM40" t="str">
        <f>"66156"</f>
        <v>66156</v>
      </c>
      <c r="AN40" t="str">
        <f>"3243"</f>
        <v>3243</v>
      </c>
      <c r="AO40" t="str">
        <f>"111"</f>
        <v>111</v>
      </c>
      <c r="AP40" t="str">
        <f>"2"</f>
        <v>2</v>
      </c>
    </row>
    <row r="41" spans="1:50" x14ac:dyDescent="0.3">
      <c r="A41">
        <v>39</v>
      </c>
      <c r="B41" t="str">
        <f>"1248354235498855"</f>
        <v>1248354235498855</v>
      </c>
      <c r="C41" t="str">
        <f>"2139582772403285"</f>
        <v>2139582772403285</v>
      </c>
      <c r="D41" t="str">
        <f t="shared" si="0"/>
        <v>1</v>
      </c>
      <c r="E41" t="str">
        <f>"78"</f>
        <v>78</v>
      </c>
      <c r="F41" t="str">
        <f>"2899"</f>
        <v>2899</v>
      </c>
      <c r="G41" t="str">
        <f>"68354"</f>
        <v>68354</v>
      </c>
      <c r="H41" t="str">
        <f>"1148480"</f>
        <v>1148480</v>
      </c>
      <c r="I41" t="str">
        <f>"14643554"</f>
        <v>14643554</v>
      </c>
      <c r="J41" t="str">
        <f>"147336904"</f>
        <v>147336904</v>
      </c>
      <c r="K41" t="str">
        <f>"1201040449"</f>
        <v>1201040449</v>
      </c>
      <c r="L41" t="str">
        <f>"8081555561"</f>
        <v>8081555561</v>
      </c>
      <c r="M41" t="str">
        <f>"45505540049"</f>
        <v>45505540049</v>
      </c>
      <c r="N41" t="str">
        <f>"216621942354"</f>
        <v>216621942354</v>
      </c>
      <c r="O41" t="str">
        <f>"878517513618"</f>
        <v>878517513618</v>
      </c>
      <c r="P41" t="str">
        <f>"3052921102170"</f>
        <v>3052921102170</v>
      </c>
      <c r="Q41" t="str">
        <f>"9129489060584"</f>
        <v>9129489060584</v>
      </c>
      <c r="R41" t="str">
        <f>"23564159316653"</f>
        <v>23564159316653</v>
      </c>
      <c r="S41" t="str">
        <f>"52599697122200"</f>
        <v>52599697122200</v>
      </c>
      <c r="T41" t="str">
        <f>"101646001764941"</f>
        <v>101646001764941</v>
      </c>
      <c r="U41" t="str">
        <f>"170082440815735"</f>
        <v>170082440815735</v>
      </c>
      <c r="V41" t="str">
        <f>"246284562094851"</f>
        <v>246284562094851</v>
      </c>
      <c r="W41" t="str">
        <f>"308207063562162"</f>
        <v>308207063562162</v>
      </c>
      <c r="X41" t="str">
        <f>"332637809867258"</f>
        <v>332637809867258</v>
      </c>
      <c r="Y41" t="str">
        <f>"308741000818232"</f>
        <v>308741000818232</v>
      </c>
      <c r="Z41" t="str">
        <f>"245554342667949"</f>
        <v>245554342667949</v>
      </c>
      <c r="AA41" t="str">
        <f>"166619883223549"</f>
        <v>166619883223549</v>
      </c>
      <c r="AB41" t="str">
        <f>"95957946371093"</f>
        <v>95957946371093</v>
      </c>
      <c r="AC41" t="str">
        <f>"46625307637125"</f>
        <v>46625307637125</v>
      </c>
      <c r="AD41" t="str">
        <f>"18987311096911"</f>
        <v>18987311096911</v>
      </c>
      <c r="AE41" t="str">
        <f>"6434643511978"</f>
        <v>6434643511978</v>
      </c>
      <c r="AF41" t="str">
        <f>"1801938845633"</f>
        <v>1801938845633</v>
      </c>
      <c r="AG41" t="str">
        <f>"414437272693"</f>
        <v>414437272693</v>
      </c>
      <c r="AH41" t="str">
        <f>"77999136788"</f>
        <v>77999136788</v>
      </c>
      <c r="AI41" t="str">
        <f>"12021422186"</f>
        <v>12021422186</v>
      </c>
      <c r="AJ41" t="str">
        <f>"1527425001"</f>
        <v>1527425001</v>
      </c>
      <c r="AK41" t="str">
        <f>"161856865"</f>
        <v>161856865</v>
      </c>
      <c r="AL41" t="str">
        <f>"14458365"</f>
        <v>14458365</v>
      </c>
      <c r="AM41" t="str">
        <f>"1088934"</f>
        <v>1088934</v>
      </c>
      <c r="AN41" t="str">
        <f>"67719"</f>
        <v>67719</v>
      </c>
      <c r="AO41" t="str">
        <f>"3295"</f>
        <v>3295</v>
      </c>
      <c r="AP41" t="str">
        <f>"112"</f>
        <v>112</v>
      </c>
      <c r="AQ41" t="str">
        <f>"2"</f>
        <v>2</v>
      </c>
    </row>
    <row r="42" spans="1:50" x14ac:dyDescent="0.3">
      <c r="A42">
        <v>40</v>
      </c>
      <c r="B42" t="str">
        <f>"2611067501551077"</f>
        <v>2611067501551077</v>
      </c>
      <c r="C42" t="str">
        <f>"5157239789537295"</f>
        <v>5157239789537295</v>
      </c>
      <c r="D42" t="str">
        <f t="shared" si="0"/>
        <v>1</v>
      </c>
      <c r="E42" t="str">
        <f>"80"</f>
        <v>80</v>
      </c>
      <c r="F42" t="str">
        <f>"3053"</f>
        <v>3053</v>
      </c>
      <c r="G42" t="str">
        <f>"74002"</f>
        <v>74002</v>
      </c>
      <c r="H42" t="str">
        <f>"1279836"</f>
        <v>1279836</v>
      </c>
      <c r="I42" t="str">
        <f>"16819574"</f>
        <v>16819574</v>
      </c>
      <c r="J42" t="str">
        <f>"174680023"</f>
        <v>174680023</v>
      </c>
      <c r="K42" t="str">
        <f>"1472046162"</f>
        <v>1472046162</v>
      </c>
      <c r="L42" t="str">
        <f>"10256697497"</f>
        <v>10256697497</v>
      </c>
      <c r="M42" t="str">
        <f>"59909439410"</f>
        <v>59909439410</v>
      </c>
      <c r="N42" t="str">
        <f>"296401362284"</f>
        <v>296401362284</v>
      </c>
      <c r="O42" t="str">
        <f>"1251897451000"</f>
        <v>1251897451000</v>
      </c>
      <c r="P42" t="str">
        <f>"4540894796900"</f>
        <v>4540894796900</v>
      </c>
      <c r="Q42" t="str">
        <f>"14207863773768"</f>
        <v>14207863773768</v>
      </c>
      <c r="R42" t="str">
        <f>"38470853037351"</f>
        <v>38470853037351</v>
      </c>
      <c r="S42" t="str">
        <f>"90345330730530"</f>
        <v>90345330730530</v>
      </c>
      <c r="T42" t="str">
        <f>"184254432003507"</f>
        <v>184254432003507</v>
      </c>
      <c r="U42" t="str">
        <f>"326503638332954"</f>
        <v>326503638332954</v>
      </c>
      <c r="V42" t="str">
        <f>"502589564438906"</f>
        <v>502589564438906</v>
      </c>
      <c r="W42" t="str">
        <f>"671405648020896"</f>
        <v>671405648020896</v>
      </c>
      <c r="X42" t="str">
        <f>"777129146563343"</f>
        <v>777129146563343</v>
      </c>
      <c r="Y42" t="str">
        <f>"777550157036524"</f>
        <v>777550157036524</v>
      </c>
      <c r="Z42" t="str">
        <f>"670463934762018"</f>
        <v>670463934762018</v>
      </c>
      <c r="AA42" t="str">
        <f>"496369790765116"</f>
        <v>496369790765116</v>
      </c>
      <c r="AB42" t="str">
        <f>"314100221201674"</f>
        <v>314100221201674</v>
      </c>
      <c r="AC42" t="str">
        <f>"169002363533908"</f>
        <v>169002363533908</v>
      </c>
      <c r="AD42" t="str">
        <f>"76860675276479"</f>
        <v>76860675276479</v>
      </c>
      <c r="AE42" t="str">
        <f>"29354906912762"</f>
        <v>29354906912762</v>
      </c>
      <c r="AF42" t="str">
        <f>"9351519608160"</f>
        <v>9351519608160</v>
      </c>
      <c r="AG42" t="str">
        <f>"2468900694706"</f>
        <v>2468900694706</v>
      </c>
      <c r="AH42" t="str">
        <f>"537426224532"</f>
        <v>537426224532</v>
      </c>
      <c r="AI42" t="str">
        <f>"96238902830"</f>
        <v>96238902830</v>
      </c>
      <c r="AJ42" t="str">
        <f>"14211644514"</f>
        <v>14211644514</v>
      </c>
      <c r="AK42" t="str">
        <f>"1744407678"</f>
        <v>1744407678</v>
      </c>
      <c r="AL42" t="str">
        <f>"180018963"</f>
        <v>180018963</v>
      </c>
      <c r="AM42" t="str">
        <f>"15755310"</f>
        <v>15755310</v>
      </c>
      <c r="AN42" t="str">
        <f>"1166192"</f>
        <v>1166192</v>
      </c>
      <c r="AO42" t="str">
        <f>"71324"</f>
        <v>71324</v>
      </c>
      <c r="AP42" t="str">
        <f>"3412"</f>
        <v>3412</v>
      </c>
      <c r="AQ42" t="str">
        <f>"114"</f>
        <v>114</v>
      </c>
      <c r="AR42" t="str">
        <f>"2"</f>
        <v>2</v>
      </c>
    </row>
    <row r="43" spans="1:50" x14ac:dyDescent="0.3">
      <c r="A43">
        <v>41</v>
      </c>
      <c r="B43" t="str">
        <f>"5819653178643422"</f>
        <v>5819653178643422</v>
      </c>
      <c r="C43" t="str">
        <f>"13961272972480352"</f>
        <v>13961272972480352</v>
      </c>
      <c r="D43" t="str">
        <f t="shared" si="0"/>
        <v>1</v>
      </c>
      <c r="E43" t="str">
        <f>"82"</f>
        <v>82</v>
      </c>
      <c r="F43" t="str">
        <f>"3212"</f>
        <v>3212</v>
      </c>
      <c r="G43" t="str">
        <f>"80031"</f>
        <v>80031</v>
      </c>
      <c r="H43" t="str">
        <f>"1425016"</f>
        <v>1425016</v>
      </c>
      <c r="I43" t="str">
        <f>"19313568"</f>
        <v>19313568</v>
      </c>
      <c r="J43" t="str">
        <f>"207231161"</f>
        <v>207231161</v>
      </c>
      <c r="K43" t="str">
        <f>"1807734648"</f>
        <v>1807734648</v>
      </c>
      <c r="L43" t="str">
        <f>"13065286933"</f>
        <v>13065286933</v>
      </c>
      <c r="M43" t="str">
        <f>"79335262500"</f>
        <v>79335262500</v>
      </c>
      <c r="N43" t="str">
        <f>"409018273970"</f>
        <v>409018273970</v>
      </c>
      <c r="O43" t="str">
        <f>"1804810236359"</f>
        <v>1804810236359</v>
      </c>
      <c r="P43" t="str">
        <f>"6857997473398"</f>
        <v>6857997473398</v>
      </c>
      <c r="Q43" t="str">
        <f>"22545649219346"</f>
        <v>22545649219346</v>
      </c>
      <c r="R43" t="str">
        <f>"64347287297087"</f>
        <v>64347287297087</v>
      </c>
      <c r="S43" t="str">
        <f>"159833162727841"</f>
        <v>159833162727841</v>
      </c>
      <c r="T43" t="str">
        <f>"346070117156393"</f>
        <v>346070117156393</v>
      </c>
      <c r="U43" t="str">
        <f>"653700943389028"</f>
        <v>653700943389028</v>
      </c>
      <c r="V43" t="str">
        <f>"1077365382826855"</f>
        <v>1077365382826855</v>
      </c>
      <c r="W43" t="str">
        <f>"1548382599587798"</f>
        <v>1548382599587798</v>
      </c>
      <c r="X43" t="str">
        <f>"1938241774118195"</f>
        <v>1938241774118195</v>
      </c>
      <c r="Y43" t="str">
        <f>"2109395753820672"</f>
        <v>2109395753820672</v>
      </c>
      <c r="Z43" t="str">
        <f>"1990924158738142"</f>
        <v>1990924158738142</v>
      </c>
      <c r="AA43" t="str">
        <f>"1624565200760180"</f>
        <v>1624565200760180</v>
      </c>
      <c r="AB43" t="str">
        <f>"1141692597124776"</f>
        <v>1141692597124776</v>
      </c>
      <c r="AC43" t="str">
        <f>"687911429102322"</f>
        <v>687911429102322</v>
      </c>
      <c r="AD43" t="str">
        <f>"353531589331472"</f>
        <v>353531589331472</v>
      </c>
      <c r="AE43" t="str">
        <f>"154062778989261"</f>
        <v>154062778989261</v>
      </c>
      <c r="AF43" t="str">
        <f>"56569585955024"</f>
        <v>56569585955024</v>
      </c>
      <c r="AG43" t="str">
        <f>"17387546382017"</f>
        <v>17387546382017</v>
      </c>
      <c r="AH43" t="str">
        <f>"4446128931362"</f>
        <v>4446128931362</v>
      </c>
      <c r="AI43" t="str">
        <f>"941294930894"</f>
        <v>941294930894</v>
      </c>
      <c r="AJ43" t="str">
        <f>"164664871598"</f>
        <v>164664871598</v>
      </c>
      <c r="AK43" t="str">
        <f>"23858811616"</f>
        <v>23858811616</v>
      </c>
      <c r="AL43" t="str">
        <f>"2884637291"</f>
        <v>2884637291</v>
      </c>
      <c r="AM43" t="str">
        <f>"294025030"</f>
        <v>294025030</v>
      </c>
      <c r="AN43" t="str">
        <f>"25445737"</f>
        <v>25445737</v>
      </c>
      <c r="AO43" t="str">
        <f>"1861684"</f>
        <v>1861684</v>
      </c>
      <c r="AP43" t="str">
        <f>"112379"</f>
        <v>112379</v>
      </c>
      <c r="AQ43" t="str">
        <f>"5296"</f>
        <v>5296</v>
      </c>
      <c r="AR43" t="str">
        <f>"174"</f>
        <v>174</v>
      </c>
      <c r="AS43" t="str">
        <f>"3"</f>
        <v>3</v>
      </c>
    </row>
    <row r="44" spans="1:50" x14ac:dyDescent="0.3">
      <c r="A44">
        <v>42</v>
      </c>
      <c r="B44" t="str">
        <f>"11410930423013252"</f>
        <v>11410930423013252</v>
      </c>
      <c r="C44" t="str">
        <f>"32213139277648829"</f>
        <v>32213139277648829</v>
      </c>
      <c r="D44" t="str">
        <f t="shared" si="0"/>
        <v>1</v>
      </c>
      <c r="E44" t="str">
        <f>"84"</f>
        <v>84</v>
      </c>
      <c r="F44" t="str">
        <f>"3374"</f>
        <v>3374</v>
      </c>
      <c r="G44" t="str">
        <f>"86296"</f>
        <v>86296</v>
      </c>
      <c r="H44" t="str">
        <f>"1579047"</f>
        <v>1579047</v>
      </c>
      <c r="I44" t="str">
        <f>"22018273"</f>
        <v>22018273</v>
      </c>
      <c r="J44" t="str">
        <f>"243359163"</f>
        <v>243359163</v>
      </c>
      <c r="K44" t="str">
        <f>"2189532007"</f>
        <v>2189532007</v>
      </c>
      <c r="L44" t="str">
        <f>"16343274713"</f>
        <v>16343274713</v>
      </c>
      <c r="M44" t="str">
        <f>"102635852785"</f>
        <v>102635852785</v>
      </c>
      <c r="N44" t="str">
        <f>"548061928851"</f>
        <v>548061928851</v>
      </c>
      <c r="O44" t="str">
        <f>"2508702338820"</f>
        <v>2508702338820</v>
      </c>
      <c r="P44" t="str">
        <f>"9905145627499"</f>
        <v>9905145627499</v>
      </c>
      <c r="Q44" t="str">
        <f>"33894592887375"</f>
        <v>33894592887375</v>
      </c>
      <c r="R44" t="str">
        <f>"100880695564371"</f>
        <v>100880695564371</v>
      </c>
      <c r="S44" t="str">
        <f>"261827106843863"</f>
        <v>261827106843863</v>
      </c>
      <c r="T44" t="str">
        <f>"593611300866894"</f>
        <v>593611300866894</v>
      </c>
      <c r="U44" t="str">
        <f>"1176784698620586"</f>
        <v>1176784698620586</v>
      </c>
      <c r="V44" t="str">
        <f>"2040465117328830"</f>
        <v>2040465117328830</v>
      </c>
      <c r="W44" t="str">
        <f>"3093511730320581"</f>
        <v>3093511730320581</v>
      </c>
      <c r="X44" t="str">
        <f>"4096871834979839"</f>
        <v>4096871834979839</v>
      </c>
      <c r="Y44" t="str">
        <f>"4732144243584783"</f>
        <v>4732144243584783</v>
      </c>
      <c r="Z44" t="str">
        <f>"4757017034326394"</f>
        <v>4757017034326394</v>
      </c>
      <c r="AA44" t="str">
        <f>"4150342987734008"</f>
        <v>4150342987734008</v>
      </c>
      <c r="AB44" t="str">
        <f>"3132107627109595"</f>
        <v>3132107627109595</v>
      </c>
      <c r="AC44" t="str">
        <f>"2036330115669149"</f>
        <v>2036330115669149</v>
      </c>
      <c r="AD44" t="str">
        <f>"1135270292744712"</f>
        <v>1135270292744712</v>
      </c>
      <c r="AE44" t="str">
        <f>"539896698561209"</f>
        <v>539896698561209</v>
      </c>
      <c r="AF44" t="str">
        <f>"217763578225495"</f>
        <v>217763578225495</v>
      </c>
      <c r="AG44" t="str">
        <f>"74045744481214"</f>
        <v>74045744481214</v>
      </c>
      <c r="AH44" t="str">
        <f>"21099993017361"</f>
        <v>21099993017361</v>
      </c>
      <c r="AI44" t="str">
        <f>"5013152975099"</f>
        <v>5013152975099</v>
      </c>
      <c r="AJ44" t="str">
        <f>"989870145408"</f>
        <v>989870145408</v>
      </c>
      <c r="AK44" t="str">
        <f>"162432079213"</f>
        <v>162432079213</v>
      </c>
      <c r="AL44" t="str">
        <f>"22246171068"</f>
        <v>22246171068</v>
      </c>
      <c r="AM44" t="str">
        <f>"2564171653"</f>
        <v>2564171653</v>
      </c>
      <c r="AN44" t="str">
        <f>"251083325"</f>
        <v>251083325</v>
      </c>
      <c r="AO44" t="str">
        <f>"20980762"</f>
        <v>20980762</v>
      </c>
      <c r="AP44" t="str">
        <f>"1484552"</f>
        <v>1484552</v>
      </c>
      <c r="AQ44" t="str">
        <f>"86531"</f>
        <v>86531</v>
      </c>
      <c r="AR44" t="str">
        <f>"3921"</f>
        <v>3921</v>
      </c>
      <c r="AS44" t="str">
        <f>"123"</f>
        <v>123</v>
      </c>
      <c r="AT44" t="str">
        <f>"2"</f>
        <v>2</v>
      </c>
    </row>
    <row r="45" spans="1:50" x14ac:dyDescent="0.3">
      <c r="A45">
        <v>43</v>
      </c>
      <c r="B45" t="str">
        <f>"22527375007438319"</f>
        <v>22527375007438319</v>
      </c>
      <c r="C45" t="str">
        <f>"77712652038512113"</f>
        <v>77712652038512113</v>
      </c>
      <c r="D45" t="str">
        <f t="shared" si="0"/>
        <v>1</v>
      </c>
      <c r="E45" t="str">
        <f>"86"</f>
        <v>86</v>
      </c>
      <c r="F45" t="str">
        <f>"3540"</f>
        <v>3540</v>
      </c>
      <c r="G45" t="str">
        <f>"92882"</f>
        <v>92882</v>
      </c>
      <c r="H45" t="str">
        <f>"1745373"</f>
        <v>1745373</v>
      </c>
      <c r="I45" t="str">
        <f>"25022262"</f>
        <v>25022262</v>
      </c>
      <c r="J45" t="str">
        <f>"284688397"</f>
        <v>284688397</v>
      </c>
      <c r="K45" t="str">
        <f>"2640064117"</f>
        <v>2640064117</v>
      </c>
      <c r="L45" t="str">
        <f>"20339615877"</f>
        <v>20339615877</v>
      </c>
      <c r="M45" t="str">
        <f>"132033258689"</f>
        <v>132033258689</v>
      </c>
      <c r="N45" t="str">
        <f>"729927022966"</f>
        <v>729927022966</v>
      </c>
      <c r="O45" t="str">
        <f>"3464966885874"</f>
        <v>3464966885874</v>
      </c>
      <c r="P45" t="str">
        <f>"14213482479633"</f>
        <v>14213482479633</v>
      </c>
      <c r="Q45" t="str">
        <f>"50630272726875"</f>
        <v>50630272726875</v>
      </c>
      <c r="R45" t="str">
        <f>"157197819762619"</f>
        <v>157197819762619</v>
      </c>
      <c r="S45" t="str">
        <f>"426585128583841"</f>
        <v>426585128583841</v>
      </c>
      <c r="T45" t="str">
        <f>"1013735068884484"</f>
        <v>1013735068884484</v>
      </c>
      <c r="U45" t="str">
        <f>"2112144530011229"</f>
        <v>2112144530011229</v>
      </c>
      <c r="V45" t="str">
        <f>"3860460894339289"</f>
        <v>3860460894339289</v>
      </c>
      <c r="W45" t="str">
        <f>"6189321101051336"</f>
        <v>6189321101051336</v>
      </c>
      <c r="X45" t="str">
        <f>"8698736491198949"</f>
        <v>8698736491198949</v>
      </c>
      <c r="Y45" t="str">
        <f>"10704225394455257"</f>
        <v>10704225394455257</v>
      </c>
      <c r="Z45" t="str">
        <f>"11512614370742863"</f>
        <v>11512614370742863</v>
      </c>
      <c r="AA45" t="str">
        <f>"10796939767460904"</f>
        <v>10796939767460904</v>
      </c>
      <c r="AB45" t="str">
        <f>"8803863657413306"</f>
        <v>8803863657413306</v>
      </c>
      <c r="AC45" t="str">
        <f>"6219759278681990"</f>
        <v>6219759278681990</v>
      </c>
      <c r="AD45" t="str">
        <f>"3791612815678968"</f>
        <v>3791612815678968</v>
      </c>
      <c r="AE45" t="str">
        <f>"1985147770249589"</f>
        <v>1985147770249589</v>
      </c>
      <c r="AF45" t="str">
        <f>"888007561163665"</f>
        <v>888007561163665</v>
      </c>
      <c r="AG45" t="str">
        <f>"337485475144521"</f>
        <v>337485475144521</v>
      </c>
      <c r="AH45" t="str">
        <f>"108343319626052"</f>
        <v>108343319626052</v>
      </c>
      <c r="AI45" t="str">
        <f>"29220499513597"</f>
        <v>29220499513597</v>
      </c>
      <c r="AJ45" t="str">
        <f>"6591839112490"</f>
        <v>6591839112490</v>
      </c>
      <c r="AK45" t="str">
        <f>"1241057980938"</f>
        <v>1241057980938</v>
      </c>
      <c r="AL45" t="str">
        <f>"195234008981"</f>
        <v>195234008981</v>
      </c>
      <c r="AM45" t="str">
        <f>"25800027121"</f>
        <v>25800027121</v>
      </c>
      <c r="AN45" t="str">
        <f>"2889008561"</f>
        <v>2889008561</v>
      </c>
      <c r="AO45" t="str">
        <f>"276463397"</f>
        <v>276463397</v>
      </c>
      <c r="AP45" t="str">
        <f>"22669390"</f>
        <v>22669390</v>
      </c>
      <c r="AQ45" t="str">
        <f>"1577507"</f>
        <v>1577507</v>
      </c>
      <c r="AR45" t="str">
        <f>"90528"</f>
        <v>90528</v>
      </c>
      <c r="AS45" t="str">
        <f>"4042"</f>
        <v>4042</v>
      </c>
      <c r="AT45" t="str">
        <f>"125"</f>
        <v>125</v>
      </c>
      <c r="AU45" t="str">
        <f>"2"</f>
        <v>2</v>
      </c>
    </row>
    <row r="46" spans="1:50" x14ac:dyDescent="0.3">
      <c r="A46">
        <v>44</v>
      </c>
      <c r="B46" t="str">
        <f>"43476415298208333"</f>
        <v>43476415298208333</v>
      </c>
      <c r="C46" t="str">
        <f>"185100154012183212"</f>
        <v>185100154012183212</v>
      </c>
      <c r="D46" t="str">
        <f t="shared" si="0"/>
        <v>1</v>
      </c>
      <c r="E46" t="str">
        <f>"88"</f>
        <v>88</v>
      </c>
      <c r="F46" t="str">
        <f>"3710"</f>
        <v>3710</v>
      </c>
      <c r="G46" t="str">
        <f>"99796"</f>
        <v>99796</v>
      </c>
      <c r="H46" t="str">
        <f>"1924550"</f>
        <v>1924550</v>
      </c>
      <c r="I46" t="str">
        <f>"28346605"</f>
        <v>28346605</v>
      </c>
      <c r="J46" t="str">
        <f>"331726103"</f>
        <v>331726103</v>
      </c>
      <c r="K46" t="str">
        <f>"3168045642"</f>
        <v>3168045642</v>
      </c>
      <c r="L46" t="str">
        <f>"25168111872"</f>
        <v>25168111872</v>
      </c>
      <c r="M46" t="str">
        <f>"168702217337"</f>
        <v>168702217337</v>
      </c>
      <c r="N46" t="str">
        <f>"964456654872"</f>
        <v>964456654872</v>
      </c>
      <c r="O46" t="str">
        <f>"4741822298449"</f>
        <v>4741822298449</v>
      </c>
      <c r="P46" t="str">
        <f>"20179531614180"</f>
        <v>20179531614180</v>
      </c>
      <c r="Q46" t="str">
        <f>"74705938716868"</f>
        <v>74705938716868</v>
      </c>
      <c r="R46" t="str">
        <f>"241517419304425"</f>
        <v>241517419304425</v>
      </c>
      <c r="S46" t="str">
        <f>"683825987469567"</f>
        <v>683825987469567</v>
      </c>
      <c r="T46" t="str">
        <f>"1699210242753259"</f>
        <v>1699210242753259</v>
      </c>
      <c r="U46" t="str">
        <f>"3710603308630792"</f>
        <v>3710603308630792</v>
      </c>
      <c r="V46" t="str">
        <f>"7126105567174240"</f>
        <v>7126105567174240</v>
      </c>
      <c r="W46" t="str">
        <f>"12037317469664911"</f>
        <v>12037317469664911</v>
      </c>
      <c r="X46" t="str">
        <f>"17877046153451066"</f>
        <v>17877046153451066</v>
      </c>
      <c r="Y46" t="str">
        <f>"23320450184068987"</f>
        <v>23320450184068987</v>
      </c>
      <c r="Z46" t="str">
        <f>"26681533201181177"</f>
        <v>26681533201181177</v>
      </c>
      <c r="AA46" t="str">
        <f>"26720548959720397"</f>
        <v>26720548959720397</v>
      </c>
      <c r="AB46" t="str">
        <f>"23363402619574011"</f>
        <v>23363402619574011</v>
      </c>
      <c r="AC46" t="str">
        <f>"17780396602115718"</f>
        <v>17780396602115718</v>
      </c>
      <c r="AD46" t="str">
        <f>"11734927000323126"</f>
        <v>11734927000323126</v>
      </c>
      <c r="AE46" t="str">
        <f>"6688601196360433"</f>
        <v>6688601196360433</v>
      </c>
      <c r="AF46" t="str">
        <f>"3276930992446794"</f>
        <v>3276930992446794</v>
      </c>
      <c r="AG46" t="str">
        <f>"1372951047499686"</f>
        <v>1372951047499686</v>
      </c>
      <c r="AH46" t="str">
        <f>"489298980630065"</f>
        <v>489298980630065</v>
      </c>
      <c r="AI46" t="str">
        <f>"147551347778333"</f>
        <v>147551347778333</v>
      </c>
      <c r="AJ46" t="str">
        <f>"37476985094223"</f>
        <v>37476985094223</v>
      </c>
      <c r="AK46" t="str">
        <f>"7992669166954"</f>
        <v>7992669166954</v>
      </c>
      <c r="AL46" t="str">
        <f>"1430538970225"</f>
        <v>1430538970225</v>
      </c>
      <c r="AM46" t="str">
        <f>"215542421676"</f>
        <v>215542421676</v>
      </c>
      <c r="AN46" t="str">
        <f>"27530179689"</f>
        <v>27530179689</v>
      </c>
      <c r="AO46" t="str">
        <f>"3008359328"</f>
        <v>3008359328</v>
      </c>
      <c r="AP46" t="str">
        <f>"283377105"</f>
        <v>283377105</v>
      </c>
      <c r="AQ46" t="str">
        <f>"23018853"</f>
        <v>23018853</v>
      </c>
      <c r="AR46" t="str">
        <f>"1592858"</f>
        <v>1592858</v>
      </c>
      <c r="AS46" t="str">
        <f>"91061"</f>
        <v>91061</v>
      </c>
      <c r="AT46" t="str">
        <f>"4053"</f>
        <v>4053</v>
      </c>
      <c r="AU46" t="str">
        <f>"125"</f>
        <v>125</v>
      </c>
      <c r="AV46" t="str">
        <f>"2"</f>
        <v>2</v>
      </c>
    </row>
    <row r="47" spans="1:50" x14ac:dyDescent="0.3">
      <c r="A47">
        <v>45</v>
      </c>
      <c r="B47" t="str">
        <f>"82585343644822201"</f>
        <v>82585343644822201</v>
      </c>
      <c r="C47" t="str">
        <f>"442400383704440235"</f>
        <v>442400383704440235</v>
      </c>
      <c r="D47" t="str">
        <f t="shared" si="0"/>
        <v>1</v>
      </c>
      <c r="E47" t="str">
        <f>"90"</f>
        <v>90</v>
      </c>
      <c r="F47" t="str">
        <f>"3884"</f>
        <v>3884</v>
      </c>
      <c r="G47" t="str">
        <f>"107046"</f>
        <v>107046</v>
      </c>
      <c r="H47" t="str">
        <f>"2117227"</f>
        <v>2117227</v>
      </c>
      <c r="I47" t="str">
        <f>"32016449"</f>
        <v>32016449</v>
      </c>
      <c r="J47" t="str">
        <f>"385091990"</f>
        <v>385091990</v>
      </c>
      <c r="K47" t="str">
        <f>"3784388671"</f>
        <v>3784388671</v>
      </c>
      <c r="L47" t="str">
        <f>"30974997257"</f>
        <v>30974997257</v>
      </c>
      <c r="M47" t="str">
        <f>"214193987797"</f>
        <v>214193987797</v>
      </c>
      <c r="N47" t="str">
        <f>"1265027572495"</f>
        <v>1265027572495</v>
      </c>
      <c r="O47" t="str">
        <f>"6434827117615"</f>
        <v>6434827117615</v>
      </c>
      <c r="P47" t="str">
        <f>"28376754150068"</f>
        <v>28376754150068</v>
      </c>
      <c r="Q47" t="str">
        <f>"109043223853703"</f>
        <v>109043223853703</v>
      </c>
      <c r="R47" t="str">
        <f>"366578189350805"</f>
        <v>366578189350805</v>
      </c>
      <c r="S47" t="str">
        <f>"1081376925637864"</f>
        <v>1081376925637864</v>
      </c>
      <c r="T47" t="str">
        <f>"2805386613430241"</f>
        <v>2805386613430241</v>
      </c>
      <c r="U47" t="str">
        <f>"6410234652986908"</f>
        <v>6410234652986908</v>
      </c>
      <c r="V47" t="str">
        <f>"12912547941582998"</f>
        <v>12912547941582998</v>
      </c>
      <c r="W47" t="str">
        <f>"22937815337255887"</f>
        <v>22937815337255887</v>
      </c>
      <c r="X47" t="str">
        <f>"35926034779173205"</f>
        <v>35926034779173205</v>
      </c>
      <c r="Y47" t="str">
        <f>"49576764719157918"</f>
        <v>49576764719157918</v>
      </c>
      <c r="Z47" t="str">
        <f>"60205705617990915"</f>
        <v>60205705617990915</v>
      </c>
      <c r="AA47" t="str">
        <f>"64232086290093352"</f>
        <v>64232086290093352</v>
      </c>
      <c r="AB47" t="str">
        <f>"60071616517591933"</f>
        <v>60071616517591933</v>
      </c>
      <c r="AC47" t="str">
        <f>"49115426328776076"</f>
        <v>49115426328776076</v>
      </c>
      <c r="AD47" t="str">
        <f>"34994815636297194"</f>
        <v>34994815636297194</v>
      </c>
      <c r="AE47" t="str">
        <f>"21647637732364470"</f>
        <v>21647637732364470</v>
      </c>
      <c r="AF47" t="str">
        <f>"11577337299915908"</f>
        <v>11577337299915908</v>
      </c>
      <c r="AG47" t="str">
        <f>"5328189804652183"</f>
        <v>5328189804652183</v>
      </c>
      <c r="AH47" t="str">
        <f>"2099755555860205"</f>
        <v>2099755555860205</v>
      </c>
      <c r="AI47" t="str">
        <f>"704991586841160"</f>
        <v>704991586841160</v>
      </c>
      <c r="AJ47" t="str">
        <f>"200708891638829"</f>
        <v>200708891638829</v>
      </c>
      <c r="AK47" t="str">
        <f>"48268135430127"</f>
        <v>48268135430127</v>
      </c>
      <c r="AL47" t="str">
        <f>"9785739825601"</f>
        <v>9785739825601</v>
      </c>
      <c r="AM47" t="str">
        <f>"1673912743258"</f>
        <v>1673912743258</v>
      </c>
      <c r="AN47" t="str">
        <f>"242688283342"</f>
        <v>242688283342</v>
      </c>
      <c r="AO47" t="str">
        <f>"30064820973"</f>
        <v>30064820973</v>
      </c>
      <c r="AP47" t="str">
        <f>"3213219866"</f>
        <v>3213219866</v>
      </c>
      <c r="AQ47" t="str">
        <f>"298329313"</f>
        <v>298329313</v>
      </c>
      <c r="AR47" t="str">
        <f>"24031807"</f>
        <v>24031807</v>
      </c>
      <c r="AS47" t="str">
        <f>"1655091"</f>
        <v>1655091</v>
      </c>
      <c r="AT47" t="str">
        <f>"94219"</f>
        <v>94219</v>
      </c>
      <c r="AU47" t="str">
        <f>"4165"</f>
        <v>4165</v>
      </c>
      <c r="AV47" t="str">
        <f>"127"</f>
        <v>127</v>
      </c>
      <c r="AW47" t="str">
        <f>"2"</f>
        <v>2</v>
      </c>
    </row>
    <row r="48" spans="1:50" x14ac:dyDescent="0.3">
      <c r="A48">
        <v>46</v>
      </c>
      <c r="B48" t="str">
        <f>"154313771519093140"</f>
        <v>154313771519093140</v>
      </c>
      <c r="C48" t="str">
        <f>"1057080359935212943"</f>
        <v>1057080359935212943</v>
      </c>
      <c r="D48" t="str">
        <f t="shared" si="0"/>
        <v>1</v>
      </c>
      <c r="E48" t="str">
        <f>"92"</f>
        <v>92</v>
      </c>
      <c r="F48" t="str">
        <f>"4062"</f>
        <v>4062</v>
      </c>
      <c r="G48" t="str">
        <f>"114640"</f>
        <v>114640</v>
      </c>
      <c r="H48" t="str">
        <f>"2324068"</f>
        <v>2324068</v>
      </c>
      <c r="I48" t="str">
        <f>"36058145"</f>
        <v>36058145</v>
      </c>
      <c r="J48" t="str">
        <f>"445451909"</f>
        <v>445451909</v>
      </c>
      <c r="K48" t="str">
        <f>"4501129559"</f>
        <v>4501129559</v>
      </c>
      <c r="L48" t="str">
        <f>"37926072368"</f>
        <v>37926072368</v>
      </c>
      <c r="M48" t="str">
        <f>"270318875737"</f>
        <v>270318875737</v>
      </c>
      <c r="N48" t="str">
        <f>"1647730306188"</f>
        <v>1647730306188</v>
      </c>
      <c r="O48" t="str">
        <f>"8662640366145"</f>
        <v>8662640366145</v>
      </c>
      <c r="P48" t="str">
        <f>"39541439175344"</f>
        <v>39541439175344</v>
      </c>
      <c r="Q48" t="str">
        <f>"157527486223951"</f>
        <v>157527486223951</v>
      </c>
      <c r="R48" t="str">
        <f>"549958942095087"</f>
        <v>549958942095087</v>
      </c>
      <c r="S48" t="str">
        <f>"1687858183165666"</f>
        <v>1687858183165666</v>
      </c>
      <c r="T48" t="str">
        <f>"4564491403941021"</f>
        <v>4564491403941021</v>
      </c>
      <c r="U48" t="str">
        <f>"10894878319263277"</f>
        <v>10894878319263277</v>
      </c>
      <c r="V48" t="str">
        <f>"22976628949552801"</f>
        <v>22976628949552801</v>
      </c>
      <c r="W48" t="str">
        <f>"42835747772563846"</f>
        <v>42835747772563846</v>
      </c>
      <c r="X48" t="str">
        <f>"70596515422409233"</f>
        <v>70596515422409233</v>
      </c>
      <c r="Y48" t="str">
        <f>"102803350955872353"</f>
        <v>102803350955872353</v>
      </c>
      <c r="Z48" t="str">
        <f>"132149096342898140"</f>
        <v>132149096342898140</v>
      </c>
      <c r="AA48" t="str">
        <f>"149739990763470395"</f>
        <v>149739990763470395</v>
      </c>
      <c r="AB48" t="str">
        <f>"149282599334853598"</f>
        <v>149282599334853598</v>
      </c>
      <c r="AC48" t="str">
        <f>"130633448097937462"</f>
        <v>130633448097937462</v>
      </c>
      <c r="AD48" t="str">
        <f>"100055645718791232"</f>
        <v>100055645718791232</v>
      </c>
      <c r="AE48" t="str">
        <f>"66854449774317633"</f>
        <v>66854449774317633</v>
      </c>
      <c r="AF48" t="str">
        <f>"38821835595801423"</f>
        <v>38821835595801423</v>
      </c>
      <c r="AG48" t="str">
        <f>"19509512058814817"</f>
        <v>19509512058814817</v>
      </c>
      <c r="AH48" t="str">
        <f>"8446123652439339"</f>
        <v>8446123652439339</v>
      </c>
      <c r="AI48" t="str">
        <f>"3135049722071491"</f>
        <v>3135049722071491</v>
      </c>
      <c r="AJ48" t="str">
        <f>"993084253385161"</f>
        <v>993084253385161</v>
      </c>
      <c r="AK48" t="str">
        <f>"267365843668865"</f>
        <v>267365843668865</v>
      </c>
      <c r="AL48" t="str">
        <f>"61005736985286"</f>
        <v>61005736985286</v>
      </c>
      <c r="AM48" t="str">
        <f>"11789067210212"</f>
        <v>11789067210212</v>
      </c>
      <c r="AN48" t="str">
        <f>"1934044700575"</f>
        <v>1934044700575</v>
      </c>
      <c r="AO48" t="str">
        <f>"270967585555"</f>
        <v>270967585555</v>
      </c>
      <c r="AP48" t="str">
        <f>"32709568250"</f>
        <v>32709568250</v>
      </c>
      <c r="AQ48" t="str">
        <f>"3433601076"</f>
        <v>3433601076</v>
      </c>
      <c r="AR48" t="str">
        <f>"315121333"</f>
        <v>315121333</v>
      </c>
      <c r="AS48" t="str">
        <f>"25197771"</f>
        <v>25197771</v>
      </c>
      <c r="AT48" t="str">
        <f>"1725769"</f>
        <v>1725769</v>
      </c>
      <c r="AU48" t="str">
        <f>"97655"</f>
        <v>97655</v>
      </c>
      <c r="AV48" t="str">
        <f>"4281"</f>
        <v>4281</v>
      </c>
      <c r="AW48" t="str">
        <f>"129"</f>
        <v>129</v>
      </c>
      <c r="AX48" t="str">
        <f>"2"</f>
        <v>2</v>
      </c>
    </row>
    <row r="49" spans="1:66" x14ac:dyDescent="0.3">
      <c r="A49">
        <v>47</v>
      </c>
      <c r="B49" t="str">
        <f>"283633371242961616"</f>
        <v>283633371242961616</v>
      </c>
      <c r="C49" t="str">
        <f>"2519472323862346980"</f>
        <v>2519472323862346980</v>
      </c>
      <c r="D49" t="str">
        <f t="shared" si="0"/>
        <v>1</v>
      </c>
      <c r="E49" t="str">
        <f>"94"</f>
        <v>94</v>
      </c>
      <c r="F49" t="str">
        <f>"4244"</f>
        <v>4244</v>
      </c>
      <c r="G49" t="str">
        <f>"122586"</f>
        <v>122586</v>
      </c>
      <c r="H49" t="str">
        <f>"2545753"</f>
        <v>2545753</v>
      </c>
      <c r="I49" t="str">
        <f>"40499356"</f>
        <v>40499356</v>
      </c>
      <c r="J49" t="str">
        <f>"513523128"</f>
        <v>513523128</v>
      </c>
      <c r="K49" t="str">
        <f>"5331587083"</f>
        <v>5331587083</v>
      </c>
      <c r="L49" t="str">
        <f>"46210008572"</f>
        <v>46210008572</v>
      </c>
      <c r="M49" t="str">
        <f>"339197855688"</f>
        <v>339197855688</v>
      </c>
      <c r="N49" t="str">
        <f>"2131998588529"</f>
        <v>2131998588529</v>
      </c>
      <c r="O49" t="str">
        <f>"11573192805559"</f>
        <v>11573192805559</v>
      </c>
      <c r="P49" t="str">
        <f>"54622399590930"</f>
        <v>54622399590930</v>
      </c>
      <c r="Q49" t="str">
        <f>"225341673767351"</f>
        <v>225341673767351</v>
      </c>
      <c r="R49" t="str">
        <f>"815972106388213"</f>
        <v>815972106388213</v>
      </c>
      <c r="S49" t="str">
        <f>"2601831509526169"</f>
        <v>2601831509526169</v>
      </c>
      <c r="T49" t="str">
        <f>"7323549862845790"</f>
        <v>7323549862845790</v>
      </c>
      <c r="U49" t="str">
        <f>"18229718300860595"</f>
        <v>18229718300860595</v>
      </c>
      <c r="V49" t="str">
        <f>"40176720518044392"</f>
        <v>40176720518044392</v>
      </c>
      <c r="W49" t="str">
        <f>"78450146973333689"</f>
        <v>78450146973333689</v>
      </c>
      <c r="X49" t="str">
        <f>"135741371411063894"</f>
        <v>135741371411063894</v>
      </c>
      <c r="Y49" t="str">
        <f>"208066528298137407"</f>
        <v>208066528298137407</v>
      </c>
      <c r="Z49" t="str">
        <f>"282319769708317914"</f>
        <v>282319769708317914</v>
      </c>
      <c r="AA49" t="str">
        <f>"338700545458743604"</f>
        <v>338700545458743604</v>
      </c>
      <c r="AB49" t="str">
        <f>"358692368357573739"</f>
        <v>358692368357573739</v>
      </c>
      <c r="AC49" t="str">
        <f>"334629745547720153"</f>
        <v>334629745547720153</v>
      </c>
      <c r="AD49" t="str">
        <f>"274317842513833053"</f>
        <v>274317842513833053</v>
      </c>
      <c r="AE49" t="str">
        <f>"197018465726965989"</f>
        <v>197018465726965989</v>
      </c>
      <c r="AF49" t="str">
        <f>"123551279434935961"</f>
        <v>123551279434935961</v>
      </c>
      <c r="AG49" t="str">
        <f>"67393374865260023"</f>
        <v>67393374865260023</v>
      </c>
      <c r="AH49" t="str">
        <f>"31842110814761790"</f>
        <v>31842110814761790</v>
      </c>
      <c r="AI49" t="str">
        <f>"12974128580134776"</f>
        <v>12974128580134776</v>
      </c>
      <c r="AJ49" t="str">
        <f>"4538406150393548"</f>
        <v>4538406150393548</v>
      </c>
      <c r="AK49" t="str">
        <f>"1357253093287055"</f>
        <v>1357253093287055</v>
      </c>
      <c r="AL49" t="str">
        <f>"345848435889508"</f>
        <v>345848435889508</v>
      </c>
      <c r="AM49" t="str">
        <f>"74951531836749"</f>
        <v>74951531836749</v>
      </c>
      <c r="AN49" t="str">
        <f>"13822762442765"</f>
        <v>13822762442765</v>
      </c>
      <c r="AO49" t="str">
        <f>"2177545934185"</f>
        <v>2177545934185</v>
      </c>
      <c r="AP49" t="str">
        <f>"295122570533"</f>
        <v>295122570533</v>
      </c>
      <c r="AQ49" t="str">
        <f>"34736126029"</f>
        <v>34736126029</v>
      </c>
      <c r="AR49" t="str">
        <f>"3581964069"</f>
        <v>3581964069</v>
      </c>
      <c r="AS49" t="str">
        <f>"324907294"</f>
        <v>324907294</v>
      </c>
      <c r="AT49" t="str">
        <f>"25787911"</f>
        <v>25787911</v>
      </c>
      <c r="AU49" t="str">
        <f>"1757722"</f>
        <v>1757722</v>
      </c>
      <c r="AV49" t="str">
        <f>"99123"</f>
        <v>99123</v>
      </c>
      <c r="AW49" t="str">
        <f>"4332"</f>
        <v>4332</v>
      </c>
      <c r="AX49" t="str">
        <f>"130"</f>
        <v>130</v>
      </c>
      <c r="AY49" t="str">
        <f>"2"</f>
        <v>2</v>
      </c>
    </row>
    <row r="50" spans="1:66" x14ac:dyDescent="0.3">
      <c r="A50">
        <v>48</v>
      </c>
      <c r="B50" t="str">
        <f>"514873966661421500"</f>
        <v>514873966661421500</v>
      </c>
      <c r="C50" t="str">
        <f>"6066511906233254169"</f>
        <v>6066511906233254169</v>
      </c>
      <c r="D50" t="str">
        <f t="shared" si="0"/>
        <v>1</v>
      </c>
      <c r="E50" t="str">
        <f>"96"</f>
        <v>96</v>
      </c>
      <c r="F50" t="str">
        <f>"4430"</f>
        <v>4430</v>
      </c>
      <c r="G50" t="str">
        <f>"130892"</f>
        <v>130892</v>
      </c>
      <c r="H50" t="str">
        <f>"2782979"</f>
        <v>2782979</v>
      </c>
      <c r="I50" t="str">
        <f>"45369176"</f>
        <v>45369176</v>
      </c>
      <c r="J50" t="str">
        <f>"590080546"</f>
        <v>590080546</v>
      </c>
      <c r="K50" t="str">
        <f>"6290558824"</f>
        <v>6290558824</v>
      </c>
      <c r="L50" t="str">
        <f>"56042641820"</f>
        <v>56042641820</v>
      </c>
      <c r="M50" t="str">
        <f>"423332426152"</f>
        <v>423332426152</v>
      </c>
      <c r="N50" t="str">
        <f>"2741494457618"</f>
        <v>2741494457618</v>
      </c>
      <c r="O50" t="str">
        <f>"15352693146716"</f>
        <v>15352693146716</v>
      </c>
      <c r="P50" t="str">
        <f>"74856193068375"</f>
        <v>74856193068375</v>
      </c>
      <c r="Q50" t="str">
        <f>"319490399479764"</f>
        <v>319490399479764</v>
      </c>
      <c r="R50" t="str">
        <f>"1198746979697928"</f>
        <v>1198746979697928</v>
      </c>
      <c r="S50" t="str">
        <f>"3967261981516660"</f>
        <v>3967261981516660</v>
      </c>
      <c r="T50" t="str">
        <f>"11610959509712120"</f>
        <v>11610959509712120</v>
      </c>
      <c r="U50" t="str">
        <f>"30108793841300640"</f>
        <v>30108793841300640</v>
      </c>
      <c r="V50" t="str">
        <f>"69270734563003840"</f>
        <v>69270734563003840</v>
      </c>
      <c r="W50" t="str">
        <f>"141512678526201488"</f>
        <v>141512678526201488</v>
      </c>
      <c r="X50" t="str">
        <f>"256791864175841435"</f>
        <v>256791864175841435</v>
      </c>
      <c r="Y50" t="str">
        <f>"413870893033743904"</f>
        <v>413870893033743904</v>
      </c>
      <c r="Z50" t="str">
        <f>"592131288279153762"</f>
        <v>592131288279153762</v>
      </c>
      <c r="AA50" t="str">
        <f>"751331220189519596"</f>
        <v>751331220189519596</v>
      </c>
      <c r="AB50" t="str">
        <f>"844338559855230879"</f>
        <v>844338559855230879</v>
      </c>
      <c r="AC50" t="str">
        <f>"838890320758085364"</f>
        <v>838890320758085364</v>
      </c>
      <c r="AD50" t="str">
        <f>"735270480026021966"</f>
        <v>735270480026021966</v>
      </c>
      <c r="AE50" t="str">
        <f>"567034165210842720"</f>
        <v>567034165210842720</v>
      </c>
      <c r="AF50" t="str">
        <f>"383597181336860296"</f>
        <v>383597181336860296</v>
      </c>
      <c r="AG50" t="str">
        <f>"226857088660326652"</f>
        <v>226857088660326652</v>
      </c>
      <c r="AH50" t="str">
        <f>"116838250461596650"</f>
        <v>116838250461596650</v>
      </c>
      <c r="AI50" t="str">
        <f>"52190275753176564"</f>
        <v>52190275753176564</v>
      </c>
      <c r="AJ50" t="str">
        <f>"20133262611496338"</f>
        <v>20133262611496338</v>
      </c>
      <c r="AK50" t="str">
        <f>"6679481650971368"</f>
        <v>6679481650971368</v>
      </c>
      <c r="AL50" t="str">
        <f>"1898714708846508"</f>
        <v>1898714708846508</v>
      </c>
      <c r="AM50" t="str">
        <f>"461200821831116"</f>
        <v>461200821831116</v>
      </c>
      <c r="AN50" t="str">
        <f>"95634470512982"</f>
        <v>95634470512982</v>
      </c>
      <c r="AO50" t="str">
        <f>"16955545463664"</f>
        <v>16955545463664</v>
      </c>
      <c r="AP50" t="str">
        <f>"2582273003670"</f>
        <v>2582273003670</v>
      </c>
      <c r="AQ50" t="str">
        <f>"340384864764"</f>
        <v>340384864764</v>
      </c>
      <c r="AR50" t="str">
        <f>"39186027452"</f>
        <v>39186027452</v>
      </c>
      <c r="AS50" t="str">
        <f>"3969803436"</f>
        <v>3969803436</v>
      </c>
      <c r="AT50" t="str">
        <f>"354714910"</f>
        <v>354714910</v>
      </c>
      <c r="AU50" t="str">
        <f>"27763672"</f>
        <v>27763672</v>
      </c>
      <c r="AV50" t="str">
        <f>"1866112"</f>
        <v>1866112</v>
      </c>
      <c r="AW50" t="str">
        <f>"103724"</f>
        <v>103724</v>
      </c>
      <c r="AX50" t="str">
        <f>"4466"</f>
        <v>4466</v>
      </c>
      <c r="AY50" t="str">
        <f>"132"</f>
        <v>132</v>
      </c>
      <c r="AZ50" t="str">
        <f>"2"</f>
        <v>2</v>
      </c>
    </row>
    <row r="51" spans="1:66" x14ac:dyDescent="0.3">
      <c r="A51">
        <v>49</v>
      </c>
      <c r="B51" t="str">
        <f>"975944580827534058"</f>
        <v>975944580827534058</v>
      </c>
      <c r="C51" t="str">
        <f>"16426491875892052719"</f>
        <v>16426491875892052719</v>
      </c>
      <c r="D51" t="str">
        <f t="shared" si="0"/>
        <v>1</v>
      </c>
      <c r="E51" t="str">
        <f>"98"</f>
        <v>98</v>
      </c>
      <c r="F51" t="str">
        <f>"4621"</f>
        <v>4621</v>
      </c>
      <c r="G51" t="str">
        <f>"139659"</f>
        <v>139659</v>
      </c>
      <c r="H51" t="str">
        <f>"3040610"</f>
        <v>3040610</v>
      </c>
      <c r="I51" t="str">
        <f>"50816521"</f>
        <v>50816521</v>
      </c>
      <c r="J51" t="str">
        <f>"678383988"</f>
        <v>678383988</v>
      </c>
      <c r="K51" t="str">
        <f>"7432441207"</f>
        <v>7432441207</v>
      </c>
      <c r="L51" t="str">
        <f>"68144273598"</f>
        <v>68144273598</v>
      </c>
      <c r="M51" t="str">
        <f>"530501393206"</f>
        <v>530501393206</v>
      </c>
      <c r="N51" t="str">
        <f>"3546092026065"</f>
        <v>3546092026065</v>
      </c>
      <c r="O51" t="str">
        <f>"20530934158944"</f>
        <v>20530934158944</v>
      </c>
      <c r="P51" t="str">
        <f>"103671829706195"</f>
        <v>103671829706195</v>
      </c>
      <c r="Q51" t="str">
        <f>"459085895253051"</f>
        <v>459085895253051</v>
      </c>
      <c r="R51" t="str">
        <f>"1790653478020443"</f>
        <v>1790653478020443</v>
      </c>
      <c r="S51" t="str">
        <f>"6173368995696152"</f>
        <v>6173368995696152</v>
      </c>
      <c r="T51" t="str">
        <f>"18862771437181782"</f>
        <v>18862771437181782</v>
      </c>
      <c r="U51" t="str">
        <f>"51187025457051181"</f>
        <v>51187025457051181</v>
      </c>
      <c r="V51" t="str">
        <f>"123548864524454509"</f>
        <v>123548864524454509</v>
      </c>
      <c r="W51" t="str">
        <f>"265507453546476184"</f>
        <v>265507453546476184</v>
      </c>
      <c r="X51" t="str">
        <f>"508287001827016043"</f>
        <v>508287001827016043</v>
      </c>
      <c r="Y51" t="str">
        <f>"866932380242105686"</f>
        <v>866932380242105686</v>
      </c>
      <c r="Z51" t="str">
        <f>"1316978325268051267"</f>
        <v>1316978325268051267</v>
      </c>
      <c r="AA51" t="str">
        <f>"1780703896361635918"</f>
        <v>1780703896361635918</v>
      </c>
      <c r="AB51" t="str">
        <f>"2140714862547592500"</f>
        <v>2140714862547592500</v>
      </c>
      <c r="AC51" t="str">
        <f>"2284790719147550325"</f>
        <v>2284790719147550325</v>
      </c>
      <c r="AD51" t="str">
        <f>"2160984265865225024"</f>
        <v>2160984265865225024</v>
      </c>
      <c r="AE51" t="str">
        <f>"1807173333647100779"</f>
        <v>1807173333647100779</v>
      </c>
      <c r="AF51" t="str">
        <f>"1332732580501691511"</f>
        <v>1332732580501691511</v>
      </c>
      <c r="AG51" t="str">
        <f>"864092582489891570"</f>
        <v>864092582489891570</v>
      </c>
      <c r="AH51" t="str">
        <f>"490866857353364045"</f>
        <v>490866857353364045</v>
      </c>
      <c r="AI51" t="str">
        <f>"243396639948605505"</f>
        <v>243396639948605505</v>
      </c>
      <c r="AJ51" t="str">
        <f>"104919607310679605"</f>
        <v>104919607310679605</v>
      </c>
      <c r="AK51" t="str">
        <f>"39154102838167605"</f>
        <v>39154102838167605</v>
      </c>
      <c r="AL51" t="str">
        <f>"12598250478187527"</f>
        <v>12598250478187527</v>
      </c>
      <c r="AM51" t="str">
        <f>"3482549413311929"</f>
        <v>3482549413311929</v>
      </c>
      <c r="AN51" t="str">
        <f>"824939214449086"</f>
        <v>824939214449086</v>
      </c>
      <c r="AO51" t="str">
        <f>"167306256876871"</f>
        <v>167306256876871</v>
      </c>
      <c r="AP51" t="str">
        <f>"29098044666766"</f>
        <v>29098044666766</v>
      </c>
      <c r="AQ51" t="str">
        <f>"4359711987502"</f>
        <v>4359711987502</v>
      </c>
      <c r="AR51" t="str">
        <f>"566835763425"</f>
        <v>566835763425</v>
      </c>
      <c r="AS51" t="str">
        <f>"64500017175"</f>
        <v>64500017175</v>
      </c>
      <c r="AT51" t="str">
        <f>"6467715692"</f>
        <v>6467715692</v>
      </c>
      <c r="AU51" t="str">
        <f>"572390801"</f>
        <v>572390801</v>
      </c>
      <c r="AV51" t="str">
        <f>"44369655"</f>
        <v>44369655</v>
      </c>
      <c r="AW51" t="str">
        <f>"2951592"</f>
        <v>2951592</v>
      </c>
      <c r="AX51" t="str">
        <f>"162200"</f>
        <v>162200</v>
      </c>
      <c r="AY51" t="str">
        <f>"6896"</f>
        <v>6896</v>
      </c>
      <c r="AZ51" t="str">
        <f>"201"</f>
        <v>201</v>
      </c>
      <c r="BA51" t="str">
        <f>"3"</f>
        <v>3</v>
      </c>
    </row>
    <row r="52" spans="1:66" x14ac:dyDescent="0.3">
      <c r="A52">
        <v>50</v>
      </c>
      <c r="B52" t="str">
        <f>"1692894618320538968"</f>
        <v>1692894618320538968</v>
      </c>
      <c r="C52" t="str">
        <f>"37919379202484619544"</f>
        <v>37919379202484619544</v>
      </c>
      <c r="D52" t="str">
        <f t="shared" si="0"/>
        <v>1</v>
      </c>
      <c r="E52" t="str">
        <f>"100"</f>
        <v>100</v>
      </c>
      <c r="F52" t="str">
        <f>"4815"</f>
        <v>4815</v>
      </c>
      <c r="G52" t="str">
        <f>"148710"</f>
        <v>148710</v>
      </c>
      <c r="H52" t="str">
        <f>"3311159"</f>
        <v>3311159</v>
      </c>
      <c r="I52" t="str">
        <f>"56639931"</f>
        <v>56639931</v>
      </c>
      <c r="J52" t="str">
        <f>"774561999"</f>
        <v>774561999</v>
      </c>
      <c r="K52" t="str">
        <f>"8700694854"</f>
        <v>8700694854</v>
      </c>
      <c r="L52" t="str">
        <f>"81863118627"</f>
        <v>81863118627</v>
      </c>
      <c r="M52" t="str">
        <f>"654625677870"</f>
        <v>654625677870</v>
      </c>
      <c r="N52" t="str">
        <f>"4499174400401"</f>
        <v>4499174400401</v>
      </c>
      <c r="O52" t="str">
        <f>"26811148781411"</f>
        <v>26811148781411</v>
      </c>
      <c r="P52" t="str">
        <f>"139495173813750"</f>
        <v>139495173813750</v>
      </c>
      <c r="Q52" t="str">
        <f>"637197070765145"</f>
        <v>637197070765145</v>
      </c>
      <c r="R52" t="str">
        <f>"2566765643685925"</f>
        <v>2566765643685925</v>
      </c>
      <c r="S52" t="str">
        <f>"9150211083081363"</f>
        <v>9150211083081363</v>
      </c>
      <c r="T52" t="str">
        <f>"28947855049755949"</f>
        <v>28947855049755949</v>
      </c>
      <c r="U52" t="str">
        <f>"81446413157524040"</f>
        <v>81446413157524040</v>
      </c>
      <c r="V52" t="str">
        <f>"204120195374987779"</f>
        <v>204120195374987779</v>
      </c>
      <c r="W52" t="str">
        <f>"456175364763390367"</f>
        <v>456175364763390367</v>
      </c>
      <c r="X52" t="str">
        <f>"909679064656194772"</f>
        <v>909679064656194772</v>
      </c>
      <c r="Y52" t="str">
        <f>"1619025115510074976"</f>
        <v>1619025115510074976</v>
      </c>
      <c r="Z52" t="str">
        <f>"2571322000904876180"</f>
        <v>2571322000904876180</v>
      </c>
      <c r="AA52" t="str">
        <f>"3642184469096783731"</f>
        <v>3642184469096783731</v>
      </c>
      <c r="AB52" t="str">
        <f>"4597010346709192853"</f>
        <v>4597010346709192853</v>
      </c>
      <c r="AC52" t="str">
        <f>"5163503007211829135"</f>
        <v>5163503007211829135</v>
      </c>
      <c r="AD52" t="str">
        <f>"5152972333457996598"</f>
        <v>5152972333457996598</v>
      </c>
      <c r="AE52" t="str">
        <f>"4559793608327523247"</f>
        <v>4559793608327523247</v>
      </c>
      <c r="AF52" t="str">
        <f>"3569239346574745961"</f>
        <v>3569239346574745961</v>
      </c>
      <c r="AG52" t="str">
        <f>"2464668308994924634"</f>
        <v>2464668308994924634</v>
      </c>
      <c r="AH52" t="str">
        <f>"1496743295706390463"</f>
        <v>1496743295706390463</v>
      </c>
      <c r="AI52" t="str">
        <f>"796621600133466149"</f>
        <v>796621600133466149</v>
      </c>
      <c r="AJ52" t="str">
        <f>"370222589964729242"</f>
        <v>370222589964729242</v>
      </c>
      <c r="AK52" t="str">
        <f>"149656059330588511"</f>
        <v>149656059330588511</v>
      </c>
      <c r="AL52" t="str">
        <f>"52415450680302522"</f>
        <v>52415450680302522</v>
      </c>
      <c r="AM52" t="str">
        <f>"15848461358718111"</f>
        <v>15848461358718111</v>
      </c>
      <c r="AN52" t="str">
        <f>"4124739009271761"</f>
        <v>4124739009271761</v>
      </c>
      <c r="AO52" t="str">
        <f>"922425945057251"</f>
        <v>922425945057251</v>
      </c>
      <c r="AP52" t="str">
        <f>"177272694113597"</f>
        <v>177272694113597</v>
      </c>
      <c r="AQ52" t="str">
        <f>"29352334634021"</f>
        <v>29352334634021</v>
      </c>
      <c r="AR52" t="str">
        <f>"4209383729939"</f>
        <v>4209383729939</v>
      </c>
      <c r="AS52" t="str">
        <f>"526717824420"</f>
        <v>526717824420</v>
      </c>
      <c r="AT52" t="str">
        <f>"57956234554"</f>
        <v>57956234554</v>
      </c>
      <c r="AU52" t="str">
        <f>"5637617389"</f>
        <v>5637617389</v>
      </c>
      <c r="AV52" t="str">
        <f>"484540577"</f>
        <v>484540577</v>
      </c>
      <c r="AW52" t="str">
        <f>"36440064"</f>
        <v>36440064</v>
      </c>
      <c r="AX52" t="str">
        <f>"2345280"</f>
        <v>2345280</v>
      </c>
      <c r="AY52" t="str">
        <f>"124201"</f>
        <v>124201</v>
      </c>
      <c r="AZ52" t="str">
        <f>"5066"</f>
        <v>5066</v>
      </c>
      <c r="BA52" t="str">
        <f>"141"</f>
        <v>141</v>
      </c>
      <c r="BB52" t="str">
        <f>"2"</f>
        <v>2</v>
      </c>
    </row>
    <row r="53" spans="1:66" x14ac:dyDescent="0.3">
      <c r="A53">
        <v>51</v>
      </c>
      <c r="B53" t="str">
        <f>"2938564145194070885"</f>
        <v>2938564145194070885</v>
      </c>
      <c r="C53" t="str">
        <f>"91516004889870149738"</f>
        <v>91516004889870149738</v>
      </c>
      <c r="D53" t="str">
        <f t="shared" si="0"/>
        <v>1</v>
      </c>
      <c r="E53" t="str">
        <f>"102"</f>
        <v>102</v>
      </c>
      <c r="F53" t="str">
        <f>"5013"</f>
        <v>5013</v>
      </c>
      <c r="G53" t="str">
        <f>"158146"</f>
        <v>158146</v>
      </c>
      <c r="H53" t="str">
        <f>"3599527"</f>
        <v>3599527</v>
      </c>
      <c r="I53" t="str">
        <f>"62991610"</f>
        <v>62991610</v>
      </c>
      <c r="J53" t="str">
        <f>"882014563"</f>
        <v>882014563</v>
      </c>
      <c r="K53" t="str">
        <f>"10153533456"</f>
        <v>10153533456</v>
      </c>
      <c r="L53" t="str">
        <f>"97994123700"</f>
        <v>97994123700</v>
      </c>
      <c r="M53" t="str">
        <f>"804600697319"</f>
        <v>804600697319</v>
      </c>
      <c r="N53" t="str">
        <f>"5683909766106"</f>
        <v>5683909766106</v>
      </c>
      <c r="O53" t="str">
        <f>"34852537094829"</f>
        <v>34852537094829</v>
      </c>
      <c r="P53" t="str">
        <f>"186805226674453"</f>
        <v>186805226674453</v>
      </c>
      <c r="Q53" t="str">
        <f>"880140189676636"</f>
        <v>880140189676636</v>
      </c>
      <c r="R53" t="str">
        <f>"3661709559721099"</f>
        <v>3661709559721099</v>
      </c>
      <c r="S53" t="str">
        <f>"13500718412894882"</f>
        <v>13500718412894882</v>
      </c>
      <c r="T53" t="str">
        <f>"44240437754282277"</f>
        <v>44240437754282277</v>
      </c>
      <c r="U53" t="str">
        <f>"129135616185765845"</f>
        <v>129135616185765845</v>
      </c>
      <c r="V53" t="str">
        <f>"336336442082470518"</f>
        <v>336336442082470518</v>
      </c>
      <c r="W53" t="str">
        <f>"782583076241213796"</f>
        <v>782583076241213796</v>
      </c>
      <c r="X53" t="str">
        <f>"1627997749397387007"</f>
        <v>1627997749397387007</v>
      </c>
      <c r="Y53" t="str">
        <f>"3029061909382867982"</f>
        <v>3029061909382867982</v>
      </c>
      <c r="Z53" t="str">
        <f>"5040743019504686964"</f>
        <v>5040743019504686964</v>
      </c>
      <c r="AA53" t="str">
        <f>"7499949677112099686"</f>
        <v>7499949677112099686</v>
      </c>
      <c r="AB53" t="str">
        <f>"9969965603303033911"</f>
        <v>9969965603303033911</v>
      </c>
      <c r="AC53" t="str">
        <f>"11828935262025559464"</f>
        <v>11828935262025559464</v>
      </c>
      <c r="AD53" t="str">
        <f>"12508664906200376473"</f>
        <v>12508664906200376473</v>
      </c>
      <c r="AE53" t="str">
        <f>"11768926861392094438"</f>
        <v>11768926861392094438</v>
      </c>
      <c r="AF53" t="str">
        <f>"9831506792574205428"</f>
        <v>9831506792574205428</v>
      </c>
      <c r="AG53" t="str">
        <f>"7274549506049995945"</f>
        <v>7274549506049995945</v>
      </c>
      <c r="AH53" t="str">
        <f>"4754345547695362469"</f>
        <v>4754345547695362469</v>
      </c>
      <c r="AI53" t="str">
        <f>"2736064512824528253"</f>
        <v>2736064512824528253</v>
      </c>
      <c r="AJ53" t="str">
        <f>"1381771317342988057"</f>
        <v>1381771317342988057</v>
      </c>
      <c r="AK53" t="str">
        <f>"610158521490122709"</f>
        <v>610158521490122709</v>
      </c>
      <c r="AL53" t="str">
        <f>"234702101727966279"</f>
        <v>234702101727966279</v>
      </c>
      <c r="AM53" t="str">
        <f>"78353842599742830"</f>
        <v>78353842599742830</v>
      </c>
      <c r="AN53" t="str">
        <f>"22627132962518077"</f>
        <v>22627132962518077</v>
      </c>
      <c r="AO53" t="str">
        <f>"5637905628461672"</f>
        <v>5637905628461672</v>
      </c>
      <c r="AP53" t="str">
        <f>"1210573115432676"</f>
        <v>1210573115432676</v>
      </c>
      <c r="AQ53" t="str">
        <f>"224157945289988"</f>
        <v>224157945289988</v>
      </c>
      <c r="AR53" t="str">
        <f>"35906261629608"</f>
        <v>35906261629608</v>
      </c>
      <c r="AS53" t="str">
        <f>"5003682378700"</f>
        <v>5003682378700</v>
      </c>
      <c r="AT53" t="str">
        <f>"611100429268"</f>
        <v>611100429268</v>
      </c>
      <c r="AU53" t="str">
        <f>"65882828595"</f>
        <v>65882828595</v>
      </c>
      <c r="AV53" t="str">
        <f>"6296840626"</f>
        <v>6296840626</v>
      </c>
      <c r="AW53" t="str">
        <f>"532575189"</f>
        <v>532575189</v>
      </c>
      <c r="AX53" t="str">
        <f>"39430515"</f>
        <v>39430515</v>
      </c>
      <c r="AY53" t="str">
        <f>"2497575"</f>
        <v>2497575</v>
      </c>
      <c r="AZ53" t="str">
        <f>"130111"</f>
        <v>130111</v>
      </c>
      <c r="BA53" t="str">
        <f>"5220"</f>
        <v>5220</v>
      </c>
      <c r="BB53" t="str">
        <f>"143"</f>
        <v>143</v>
      </c>
      <c r="BC53" t="str">
        <f>"2"</f>
        <v>2</v>
      </c>
    </row>
    <row r="54" spans="1:66" x14ac:dyDescent="0.3">
      <c r="A54">
        <v>52</v>
      </c>
      <c r="B54" t="str">
        <f>"5021662522077721403"</f>
        <v>5021662522077721403</v>
      </c>
      <c r="C54" t="str">
        <f>"218069542585047732356"</f>
        <v>218069542585047732356</v>
      </c>
      <c r="D54" t="str">
        <f t="shared" si="0"/>
        <v>1</v>
      </c>
      <c r="E54" t="str">
        <f>"104"</f>
        <v>104</v>
      </c>
      <c r="F54" t="str">
        <f>"5215"</f>
        <v>5215</v>
      </c>
      <c r="G54" t="str">
        <f>"167974"</f>
        <v>167974</v>
      </c>
      <c r="H54" t="str">
        <f>"3906382"</f>
        <v>3906382</v>
      </c>
      <c r="I54" t="str">
        <f>"69902203"</f>
        <v>69902203</v>
      </c>
      <c r="J54" t="str">
        <f>"1001641946"</f>
        <v>1001641946</v>
      </c>
      <c r="K54" t="str">
        <f>"11809990969"</f>
        <v>11809990969</v>
      </c>
      <c r="L54" t="str">
        <f>"116845898870"</f>
        <v>116845898870</v>
      </c>
      <c r="M54" t="str">
        <f>"984419174157"</f>
        <v>984419174157</v>
      </c>
      <c r="N54" t="str">
        <f>"7142647327638"</f>
        <v>7142647327638</v>
      </c>
      <c r="O54" t="str">
        <f>"45030568288034"</f>
        <v>45030568288034</v>
      </c>
      <c r="P54" t="str">
        <f>"248425252796797"</f>
        <v>248425252796797</v>
      </c>
      <c r="Q54" t="str">
        <f>"1206120680154081"</f>
        <v>1206120680154081</v>
      </c>
      <c r="R54" t="str">
        <f>"5177036830984781"</f>
        <v>5177036830984781</v>
      </c>
      <c r="S54" t="str">
        <f>"19718271090177711"</f>
        <v>19718271090177711</v>
      </c>
      <c r="T54" t="str">
        <f>"66839682321427403"</f>
        <v>66839682321427403</v>
      </c>
      <c r="U54" t="str">
        <f>"202109793573845595"</f>
        <v>202109793573845595</v>
      </c>
      <c r="V54" t="str">
        <f>"546138612914788529"</f>
        <v>546138612914788529</v>
      </c>
      <c r="W54" t="str">
        <f>"1320534144301081021"</f>
        <v>1320534144301081021</v>
      </c>
      <c r="X54" t="str">
        <f>"2859637147746161992"</f>
        <v>2859637147746161992</v>
      </c>
      <c r="Y54" t="str">
        <f>"5548817259445324598"</f>
        <v>5548817259445324598</v>
      </c>
      <c r="Z54" t="str">
        <f>"9648806123666411902"</f>
        <v>9648806123666411902</v>
      </c>
      <c r="AA54" t="str">
        <f>"15032657103373609865"</f>
        <v>15032657103373609865</v>
      </c>
      <c r="AB54" t="str">
        <f>"20972367098849460897"</f>
        <v>20972367098849460897</v>
      </c>
      <c r="AC54" t="str">
        <f>"26177453273394778081"</f>
        <v>26177453273394778081</v>
      </c>
      <c r="AD54" t="str">
        <f>"29198043087551198586"</f>
        <v>29198043087551198586</v>
      </c>
      <c r="AE54" t="str">
        <f>"29057892569483996905"</f>
        <v>29057892569483996905</v>
      </c>
      <c r="AF54" t="str">
        <f>"25754604091638419497"</f>
        <v>25754604091638419497</v>
      </c>
      <c r="AG54" t="str">
        <f>"20285266135995448295"</f>
        <v>20285266135995448295</v>
      </c>
      <c r="AH54" t="str">
        <f>"14163007739040889422"</f>
        <v>14163007739040889422</v>
      </c>
      <c r="AI54" t="str">
        <f>"8740905855561874223"</f>
        <v>8740905855561874223</v>
      </c>
      <c r="AJ54" t="str">
        <f>"4753725854084968824"</f>
        <v>4753725854084968824</v>
      </c>
      <c r="AK54" t="str">
        <f>"2270556998412824336"</f>
        <v>2270556998412824336</v>
      </c>
      <c r="AL54" t="str">
        <f>"949126256232271806"</f>
        <v>949126256232271806</v>
      </c>
      <c r="AM54" t="str">
        <f>"345994917040167462"</f>
        <v>345994917040167462</v>
      </c>
      <c r="AN54" t="str">
        <f>"109625531482407333"</f>
        <v>109625531482407333</v>
      </c>
      <c r="AO54" t="str">
        <f>"30103112860131831"</f>
        <v>30103112860131831</v>
      </c>
      <c r="AP54" t="str">
        <f>"7150560273364199"</f>
        <v>7150560273364199</v>
      </c>
      <c r="AQ54" t="str">
        <f>"1468640299095991"</f>
        <v>1468640299095991</v>
      </c>
      <c r="AR54" t="str">
        <f>"261244107644229"</f>
        <v>261244107644229</v>
      </c>
      <c r="AS54" t="str">
        <f>"40410634335652"</f>
        <v>40410634335652</v>
      </c>
      <c r="AT54" t="str">
        <f>"5470297384566"</f>
        <v>5470297384566</v>
      </c>
      <c r="AU54" t="str">
        <f>"652940527621"</f>
        <v>652940527621</v>
      </c>
      <c r="AV54" t="str">
        <f>"69185013254"</f>
        <v>69185013254</v>
      </c>
      <c r="AW54" t="str">
        <f>"6528643422"</f>
        <v>6528643422</v>
      </c>
      <c r="AX54" t="str">
        <f>"546956659"</f>
        <v>546956659</v>
      </c>
      <c r="AY54" t="str">
        <f>"40194801"</f>
        <v>40194801</v>
      </c>
      <c r="AZ54" t="str">
        <f>"2530212"</f>
        <v>2530212</v>
      </c>
      <c r="BA54" t="str">
        <f>"131103"</f>
        <v>131103</v>
      </c>
      <c r="BB54" t="str">
        <f>"5236"</f>
        <v>5236</v>
      </c>
      <c r="BC54" t="str">
        <f>"143"</f>
        <v>143</v>
      </c>
      <c r="BD54" t="str">
        <f>"2"</f>
        <v>2</v>
      </c>
    </row>
    <row r="55" spans="1:66" x14ac:dyDescent="0.3">
      <c r="A55">
        <v>53</v>
      </c>
      <c r="B55" t="str">
        <f>"8478229641700451313"</f>
        <v>8478229641700451313</v>
      </c>
      <c r="C55" t="str">
        <f>"521419135159980055884"</f>
        <v>521419135159980055884</v>
      </c>
      <c r="D55" t="str">
        <f t="shared" si="0"/>
        <v>1</v>
      </c>
      <c r="E55" t="str">
        <f>"106"</f>
        <v>106</v>
      </c>
      <c r="F55" t="str">
        <f>"5421"</f>
        <v>5421</v>
      </c>
      <c r="G55" t="str">
        <f>"178202"</f>
        <v>178202</v>
      </c>
      <c r="H55" t="str">
        <f>"4232501"</f>
        <v>4232501</v>
      </c>
      <c r="I55" t="str">
        <f>"77408017"</f>
        <v>77408017</v>
      </c>
      <c r="J55" t="str">
        <f>"1134531418"</f>
        <v>1134531418</v>
      </c>
      <c r="K55" t="str">
        <f>"13693520383"</f>
        <v>13693520383</v>
      </c>
      <c r="L55" t="str">
        <f>"138806743725"</f>
        <v>138806743725</v>
      </c>
      <c r="M55" t="str">
        <f>"1199215847447"</f>
        <v>1199215847447</v>
      </c>
      <c r="N55" t="str">
        <f>"8931107260797"</f>
        <v>8931107260797</v>
      </c>
      <c r="O55" t="str">
        <f>"57851192239947"</f>
        <v>57851192239947</v>
      </c>
      <c r="P55" t="str">
        <f>"328255773813894"</f>
        <v>328255773813894</v>
      </c>
      <c r="Q55" t="str">
        <f>"1640955651132027"</f>
        <v>1640955651132027</v>
      </c>
      <c r="R55" t="str">
        <f>"7260744941123516"</f>
        <v>7260744941123516</v>
      </c>
      <c r="S55" t="str">
        <f>"28542755284897861"</f>
        <v>28542755284897861</v>
      </c>
      <c r="T55" t="str">
        <f>"99989223878916414"</f>
        <v>99989223878916414</v>
      </c>
      <c r="U55" t="str">
        <f>"312893573715027201"</f>
        <v>312893573715027201</v>
      </c>
      <c r="V55" t="str">
        <f>"876271131759976279"</f>
        <v>876271131759976279</v>
      </c>
      <c r="W55" t="str">
        <f>"2199318379831372430"</f>
        <v>2199318379831372430</v>
      </c>
      <c r="X55" t="str">
        <f>"4951916485632223726"</f>
        <v>4951916485632223726</v>
      </c>
      <c r="Y55" t="str">
        <f>"10008217878521013637"</f>
        <v>10008217878521013637</v>
      </c>
      <c r="Z55" t="str">
        <f>"18161337668034558058"</f>
        <v>18161337668034558058</v>
      </c>
      <c r="AA55" t="str">
        <f>"29587715771028207061"</f>
        <v>29587715771028207061</v>
      </c>
      <c r="AB55" t="str">
        <f>"43258740811198855851"</f>
        <v>43258740811198855851</v>
      </c>
      <c r="AC55" t="str">
        <f>"56718744311980446127"</f>
        <v>56718744311980446127</v>
      </c>
      <c r="AD55" t="str">
        <f>"66623618827367436020"</f>
        <v>66623618827367436020</v>
      </c>
      <c r="AE55" t="str">
        <f>"70017243849213209575"</f>
        <v>70017243849213209575</v>
      </c>
      <c r="AF55" t="str">
        <f>"65728056457979037605"</f>
        <v>65728056457979037605</v>
      </c>
      <c r="AG55" t="str">
        <f>"55008076550850507037"</f>
        <v>55008076550850507037</v>
      </c>
      <c r="AH55" t="str">
        <f>"40950606679771556567"</f>
        <v>40950606679771556567</v>
      </c>
      <c r="AI55" t="str">
        <f>"27048959163479868826"</f>
        <v>27048959163479868826</v>
      </c>
      <c r="AJ55" t="str">
        <f>"15807800830166661548"</f>
        <v>15807800830166661548</v>
      </c>
      <c r="AK55" t="str">
        <f>"8148674270386393440"</f>
        <v>8148674270386393440</v>
      </c>
      <c r="AL55" t="str">
        <f>"3692964750490065753"</f>
        <v>3692964750490065753</v>
      </c>
      <c r="AM55" t="str">
        <f>"1466459849863051011"</f>
        <v>1466459849863051011</v>
      </c>
      <c r="AN55" t="str">
        <f>"508544923531216228"</f>
        <v>508544923531216228</v>
      </c>
      <c r="AO55" t="str">
        <f>"153544949680034073"</f>
        <v>153544949680034073</v>
      </c>
      <c r="AP55" t="str">
        <f>"40266562351814651"</f>
        <v>40266562351814651</v>
      </c>
      <c r="AQ55" t="str">
        <f>"9159688875524881"</f>
        <v>9159688875524881</v>
      </c>
      <c r="AR55" t="str">
        <f>"1807873376942497"</f>
        <v>1807873376942497</v>
      </c>
      <c r="AS55" t="str">
        <f>"310347113382894"</f>
        <v>310347113382894</v>
      </c>
      <c r="AT55" t="str">
        <f>"46556736084919"</f>
        <v>46556736084919</v>
      </c>
      <c r="AU55" t="str">
        <f>"6144734837016"</f>
        <v>6144734837016</v>
      </c>
      <c r="AV55" t="str">
        <f>"718907008533"</f>
        <v>718907008533</v>
      </c>
      <c r="AW55" t="str">
        <f>"75018389084"</f>
        <v>75018389084</v>
      </c>
      <c r="AX55" t="str">
        <f>"6997478001"</f>
        <v>6997478001</v>
      </c>
      <c r="AY55" t="str">
        <f>"580889713"</f>
        <v>580889713</v>
      </c>
      <c r="AZ55" t="str">
        <f>"42348040"</f>
        <v>42348040</v>
      </c>
      <c r="BA55" t="str">
        <f>"2644573"</f>
        <v>2644573</v>
      </c>
      <c r="BB55" t="str">
        <f>"135834"</f>
        <v>135834</v>
      </c>
      <c r="BC55" t="str">
        <f>"5371"</f>
        <v>5371</v>
      </c>
      <c r="BD55" t="str">
        <f>"145"</f>
        <v>145</v>
      </c>
      <c r="BE55" t="str">
        <f>"2"</f>
        <v>2</v>
      </c>
    </row>
    <row r="56" spans="1:66" x14ac:dyDescent="0.3">
      <c r="A56">
        <v>54</v>
      </c>
      <c r="B56" t="str">
        <f>"14142451232816764807"</f>
        <v>14142451232816764807</v>
      </c>
      <c r="C56" t="str">
        <f>"1246398677900766994408"</f>
        <v>1246398677900766994408</v>
      </c>
      <c r="D56" t="str">
        <f t="shared" si="0"/>
        <v>1</v>
      </c>
      <c r="E56" t="str">
        <f>"108"</f>
        <v>108</v>
      </c>
      <c r="F56" t="str">
        <f>"5631"</f>
        <v>5631</v>
      </c>
      <c r="G56" t="str">
        <f>"188838"</f>
        <v>188838</v>
      </c>
      <c r="H56" t="str">
        <f>"4578676"</f>
        <v>4578676</v>
      </c>
      <c r="I56" t="str">
        <f>"85546803"</f>
        <v>85546803</v>
      </c>
      <c r="J56" t="str">
        <f>"1281837110"</f>
        <v>1281837110</v>
      </c>
      <c r="K56" t="str">
        <f>"15829558244"</f>
        <v>15829558244</v>
      </c>
      <c r="L56" t="str">
        <f>"164307333338"</f>
        <v>164307333338</v>
      </c>
      <c r="M56" t="str">
        <f>"1454820119060"</f>
        <v>1454820119060</v>
      </c>
      <c r="N56" t="str">
        <f>"11114102456482"</f>
        <v>11114102456482</v>
      </c>
      <c r="O56" t="str">
        <f>"73917999136186"</f>
        <v>73917999136186</v>
      </c>
      <c r="P56" t="str">
        <f>"431074382101097"</f>
        <v>431074382101097</v>
      </c>
      <c r="Q56" t="str">
        <f>"2217149108830599"</f>
        <v>2217149108830599</v>
      </c>
      <c r="R56" t="str">
        <f>"10104587993358078"</f>
        <v>10104587993358078</v>
      </c>
      <c r="S56" t="str">
        <f>"40961958379490413"</f>
        <v>40961958379490413</v>
      </c>
      <c r="T56" t="str">
        <f>"148157103793390725"</f>
        <v>148157103793390725</v>
      </c>
      <c r="U56" t="str">
        <f>"479312742999258197"</f>
        <v>479312742999258197</v>
      </c>
      <c r="V56" t="str">
        <f>"1389686113516870724"</f>
        <v>1389686113516870724</v>
      </c>
      <c r="W56" t="str">
        <f>"3616282451716482946"</f>
        <v>3616282451716482946</v>
      </c>
      <c r="X56" t="str">
        <f>"8455211382496221551"</f>
        <v>8455211382496221551</v>
      </c>
      <c r="Y56" t="str">
        <f>"17775028658006310602"</f>
        <v>17775028658006310602</v>
      </c>
      <c r="Z56" t="str">
        <f>"33610747508755156273"</f>
        <v>33610747508755156273</v>
      </c>
      <c r="AA56" t="str">
        <f>"57167163031974850792"</f>
        <v>57167163031974850792</v>
      </c>
      <c r="AB56" t="str">
        <f>"87438173860227674033"</f>
        <v>87438173860227674033</v>
      </c>
      <c r="AC56" t="str">
        <f>"120198188440633202744"</f>
        <v>120198188440633202744</v>
      </c>
      <c r="AD56" t="str">
        <f>"148377208366067503150"</f>
        <v>148377208366067503150</v>
      </c>
      <c r="AE56" t="str">
        <f>"164290949051621067394"</f>
        <v>164290949051621067394</v>
      </c>
      <c r="AF56" t="str">
        <f>"162935930182345021984"</f>
        <v>162935930182345021984</v>
      </c>
      <c r="AG56" t="str">
        <f>"144487768644732195931"</f>
        <v>144487768644732195931</v>
      </c>
      <c r="AH56" t="str">
        <f>"114336552428465045151"</f>
        <v>114336552428465045151</v>
      </c>
      <c r="AI56" t="str">
        <f>"80553336453108929903"</f>
        <v>80553336453108929903</v>
      </c>
      <c r="AJ56" t="str">
        <f>"50397723559379374047"</f>
        <v>50397723559379374047</v>
      </c>
      <c r="AK56" t="str">
        <f>"27921619886792309133"</f>
        <v>27921619886792309133</v>
      </c>
      <c r="AL56" t="str">
        <f>"13656893778637339801"</f>
        <v>13656893778637339801</v>
      </c>
      <c r="AM56" t="str">
        <f>"5878412632928991380"</f>
        <v>5878412632928991380</v>
      </c>
      <c r="AN56" t="str">
        <f>"2219550746227983423"</f>
        <v>2219550746227983423</v>
      </c>
      <c r="AO56" t="str">
        <f>"732872237625755454"</f>
        <v>732872237625755454</v>
      </c>
      <c r="AP56" t="str">
        <f>"211049950932035388"</f>
        <v>211049950932035388</v>
      </c>
      <c r="AQ56" t="str">
        <f>"52905806631605497"</f>
        <v>52905806631605497</v>
      </c>
      <c r="AR56" t="str">
        <f>"11536721613110569"</f>
        <v>11536721613110569</v>
      </c>
      <c r="AS56" t="str">
        <f>"2190672808594671"</f>
        <v>2190672808594671</v>
      </c>
      <c r="AT56" t="str">
        <f>"363398670226486"</f>
        <v>363398670226486</v>
      </c>
      <c r="AU56" t="str">
        <f>"52950819809346"</f>
        <v>52950819809346</v>
      </c>
      <c r="AV56" t="str">
        <f>"6825809011473"</f>
        <v>6825809011473</v>
      </c>
      <c r="AW56" t="str">
        <f>"784255236482"</f>
        <v>784255236482</v>
      </c>
      <c r="AX56" t="str">
        <f>"80758142283"</f>
        <v>80758142283</v>
      </c>
      <c r="AY56" t="str">
        <f>"7461338139"</f>
        <v>7461338139</v>
      </c>
      <c r="AZ56" t="str">
        <f>"614951208"</f>
        <v>614951208</v>
      </c>
      <c r="BA56" t="str">
        <f>"44547440"</f>
        <v>44547440</v>
      </c>
      <c r="BB56" t="str">
        <f>"2763010"</f>
        <v>2763010</v>
      </c>
      <c r="BC56" t="str">
        <f>"140755"</f>
        <v>140755</v>
      </c>
      <c r="BD56" t="str">
        <f>"5510"</f>
        <v>5510</v>
      </c>
      <c r="BE56" t="str">
        <f>"147"</f>
        <v>147</v>
      </c>
      <c r="BF56" t="str">
        <f>"2"</f>
        <v>2</v>
      </c>
    </row>
    <row r="57" spans="1:66" x14ac:dyDescent="0.3">
      <c r="A57">
        <v>55</v>
      </c>
      <c r="B57" t="str">
        <f>"23313290816748562972"</f>
        <v>23313290816748562972</v>
      </c>
      <c r="C57" t="str">
        <f>"2972077237714090817544"</f>
        <v>2972077237714090817544</v>
      </c>
      <c r="D57" t="str">
        <f t="shared" si="0"/>
        <v>1</v>
      </c>
      <c r="E57" t="str">
        <f>"110"</f>
        <v>110</v>
      </c>
      <c r="F57" t="str">
        <f>"5845"</f>
        <v>5845</v>
      </c>
      <c r="G57" t="str">
        <f>"199890"</f>
        <v>199890</v>
      </c>
      <c r="H57" t="str">
        <f>"4945715"</f>
        <v>4945715</v>
      </c>
      <c r="I57" t="str">
        <f>"94357880"</f>
        <v>94357880</v>
      </c>
      <c r="J57" t="str">
        <f>"1444787114"</f>
        <v>1444787114</v>
      </c>
      <c r="K57" t="str">
        <f>"18245777968"</f>
        <v>18245777968</v>
      </c>
      <c r="L57" t="str">
        <f>"193827096558"</f>
        <v>193827096558</v>
      </c>
      <c r="M57" t="str">
        <f>"1757877433250"</f>
        <v>1757877433250</v>
      </c>
      <c r="N57" t="str">
        <f>"13767361300044"</f>
        <v>13767361300044</v>
      </c>
      <c r="O57" t="str">
        <f>"93954467245130"</f>
        <v>93954467245130</v>
      </c>
      <c r="P57" t="str">
        <f>"562761188733379"</f>
        <v>562761188733379</v>
      </c>
      <c r="Q57" t="str">
        <f>"2975819186259343"</f>
        <v>2975819186259343</v>
      </c>
      <c r="R57" t="str">
        <f>"13958145925833359"</f>
        <v>13958145925833359</v>
      </c>
      <c r="S57" t="str">
        <f>"58300126925475896"</f>
        <v>58300126925475896</v>
      </c>
      <c r="T57" t="str">
        <f>"217520076425568177"</f>
        <v>217520076425568177</v>
      </c>
      <c r="U57" t="str">
        <f>"726809519912602460"</f>
        <v>726809519912602460</v>
      </c>
      <c r="V57" t="str">
        <f>"2179266469290905932"</f>
        <v>2179266469290905932</v>
      </c>
      <c r="W57" t="str">
        <f>"5872841048242218469"</f>
        <v>5872841048242218469</v>
      </c>
      <c r="X57" t="str">
        <f>"14240947156327816452"</f>
        <v>14240947156327816452</v>
      </c>
      <c r="Y57" t="str">
        <f>"31097721198329372787"</f>
        <v>31097721198329372787</v>
      </c>
      <c r="Z57" t="str">
        <f>"61181253688978660195"</f>
        <v>61181253688978660195</v>
      </c>
      <c r="AA57" t="str">
        <f>"108461026149400174737"</f>
        <v>108461026149400174737</v>
      </c>
      <c r="AB57" t="str">
        <f>"173233298015634033211"</f>
        <v>173233298015634033211</v>
      </c>
      <c r="AC57" t="str">
        <f>"249174972739661685802"</f>
        <v>249174972739661685802</v>
      </c>
      <c r="AD57" t="str">
        <f>"322541267540070342150"</f>
        <v>322541267540070342150</v>
      </c>
      <c r="AE57" t="str">
        <f>"375359633685259252824"</f>
        <v>375359633685259252824</v>
      </c>
      <c r="AF57" t="str">
        <f>"392235359988887477399"</f>
        <v>392235359988887477399</v>
      </c>
      <c r="AG57" t="str">
        <f>"367468742361384779457"</f>
        <v>367468742361384779457</v>
      </c>
      <c r="AH57" t="str">
        <f>"308097680066806465330"</f>
        <v>308097680066806465330</v>
      </c>
      <c r="AI57" t="str">
        <f>"230703384613126591801"</f>
        <v>230703384613126591801</v>
      </c>
      <c r="AJ57" t="str">
        <f>"153923983443950126764"</f>
        <v>153923983443950126764</v>
      </c>
      <c r="AK57" t="str">
        <f>"91269819209868252512"</f>
        <v>91269819209868252512</v>
      </c>
      <c r="AL57" t="str">
        <f>"47962650278121883955"</f>
        <v>47962650278121883955</v>
      </c>
      <c r="AM57" t="str">
        <f>"22271373767710495669"</f>
        <v>22271373767710495669</v>
      </c>
      <c r="AN57" t="str">
        <f>"9110311804589079791"</f>
        <v>9110311804589079791</v>
      </c>
      <c r="AO57" t="str">
        <f>"3273061612618057925"</f>
        <v>3273061612618057925</v>
      </c>
      <c r="AP57" t="str">
        <f>"1029921592872275756"</f>
        <v>1029921592872275756</v>
      </c>
      <c r="AQ57" t="str">
        <f>"283204623317599061"</f>
        <v>283204623317599061</v>
      </c>
      <c r="AR57" t="str">
        <f>"67958671762837861"</f>
        <v>67958671762837861</v>
      </c>
      <c r="AS57" t="str">
        <f>"14230583407744128"</f>
        <v>14230583407744128</v>
      </c>
      <c r="AT57" t="str">
        <f>"2604983148557427"</f>
        <v>2604983148557427</v>
      </c>
      <c r="AU57" t="str">
        <f>"418494364752871"</f>
        <v>418494364752871</v>
      </c>
      <c r="AV57" t="str">
        <f>"59356708378142"</f>
        <v>59356708378142</v>
      </c>
      <c r="AW57" t="str">
        <f>"7487021085736"</f>
        <v>7487021085736</v>
      </c>
      <c r="AX57" t="str">
        <f>"845807859584"</f>
        <v>845807859584</v>
      </c>
      <c r="AY57" t="str">
        <f>"85978374160"</f>
        <v>85978374160</v>
      </c>
      <c r="AZ57" t="str">
        <f>"7864079916"</f>
        <v>7864079916</v>
      </c>
      <c r="BA57" t="str">
        <f>"642767693"</f>
        <v>642767693</v>
      </c>
      <c r="BB57" t="str">
        <f>"46214674"</f>
        <v>46214674</v>
      </c>
      <c r="BC57" t="str">
        <f>"2845621"</f>
        <v>2845621</v>
      </c>
      <c r="BD57" t="str">
        <f>"143893"</f>
        <v>143893</v>
      </c>
      <c r="BE57" t="str">
        <f>"5590"</f>
        <v>5590</v>
      </c>
      <c r="BF57" t="str">
        <f>"148"</f>
        <v>148</v>
      </c>
      <c r="BG57" t="str">
        <f>"2"</f>
        <v>2</v>
      </c>
    </row>
    <row r="58" spans="1:66" x14ac:dyDescent="0.3">
      <c r="A58">
        <v>56</v>
      </c>
      <c r="B58" t="str">
        <f>"38061840583619565141"</f>
        <v>38061840583619565141</v>
      </c>
      <c r="C58" t="str">
        <f>"7158465461001983140304"</f>
        <v>7158465461001983140304</v>
      </c>
      <c r="D58" t="str">
        <f t="shared" si="0"/>
        <v>1</v>
      </c>
      <c r="E58" t="str">
        <f>"112"</f>
        <v>112</v>
      </c>
      <c r="F58" t="str">
        <f>"6063"</f>
        <v>6063</v>
      </c>
      <c r="G58" t="str">
        <f>"211366"</f>
        <v>211366</v>
      </c>
      <c r="H58" t="str">
        <f>"5334443"</f>
        <v>5334443</v>
      </c>
      <c r="I58" t="str">
        <f>"103882270"</f>
        <v>103882270</v>
      </c>
      <c r="J58" t="str">
        <f>"1624691698"</f>
        <v>1624691698</v>
      </c>
      <c r="K58" t="str">
        <f>"20972397472"</f>
        <v>20972397472</v>
      </c>
      <c r="L58" t="str">
        <f>"227902288401"</f>
        <v>227902288401</v>
      </c>
      <c r="M58" t="str">
        <f>"2116008679082"</f>
        <v>2116008679082</v>
      </c>
      <c r="N58" t="str">
        <f>"16980004891987"</f>
        <v>16980004891987</v>
      </c>
      <c r="O58" t="str">
        <f>"118835199788440"</f>
        <v>118835199788440</v>
      </c>
      <c r="P58" t="str">
        <f>"730625514338428"</f>
        <v>730625514338428</v>
      </c>
      <c r="Q58" t="str">
        <f>"3969578826617052"</f>
        <v>3969578826617052</v>
      </c>
      <c r="R58" t="str">
        <f>"19150512170522836"</f>
        <v>19150512170522836</v>
      </c>
      <c r="S58" t="str">
        <f>"82358757052495872"</f>
        <v>82358757052495872</v>
      </c>
      <c r="T58" t="str">
        <f>"316757901946556499"</f>
        <v>316757901946556499</v>
      </c>
      <c r="U58" t="str">
        <f>"1092361454565872212"</f>
        <v>1092361454565872212</v>
      </c>
      <c r="V58" t="str">
        <f>"3384820888475250960"</f>
        <v>3384820888475250960</v>
      </c>
      <c r="W58" t="str">
        <f>"9439522604681894742"</f>
        <v>9439522604681894742</v>
      </c>
      <c r="X58" t="str">
        <f>"23722030078563845205"</f>
        <v>23722030078563845205</v>
      </c>
      <c r="Y58" t="str">
        <f>"53768607482530673842"</f>
        <v>53768607482530673842</v>
      </c>
      <c r="Z58" t="str">
        <f>"109983333354296267432"</f>
        <v>109983333354296267432</v>
      </c>
      <c r="AA58" t="str">
        <f>"203076923649199800038"</f>
        <v>203076923649199800038</v>
      </c>
      <c r="AB58" t="str">
        <f>"338469986186562542682"</f>
        <v>338469986186562542682</v>
      </c>
      <c r="AC58" t="str">
        <f>"509069428485813052750"</f>
        <v>509069428485813052750</v>
      </c>
      <c r="AD58" t="str">
        <f>"690537271052328125647"</f>
        <v>690537271052328125647</v>
      </c>
      <c r="AE58" t="str">
        <f>"844098637324050943080"</f>
        <v>844098637324050943080</v>
      </c>
      <c r="AF58" t="str">
        <f>"928807496650967196887"</f>
        <v>928807496650967196887</v>
      </c>
      <c r="AG58" t="str">
        <f>"918762389504244575144"</f>
        <v>918762389504244575144</v>
      </c>
      <c r="AH58" t="str">
        <f>"815703576302776610482"</f>
        <v>815703576302776610482</v>
      </c>
      <c r="AI58" t="str">
        <f>"648796342077331219896"</f>
        <v>648796342077331219896</v>
      </c>
      <c r="AJ58" t="str">
        <f>"461335222535203001693"</f>
        <v>461335222535203001693</v>
      </c>
      <c r="AK58" t="str">
        <f>"292574508422136073848"</f>
        <v>292574508422136073848</v>
      </c>
      <c r="AL58" t="str">
        <f>"165063021298965129636"</f>
        <v>165063021298965129636</v>
      </c>
      <c r="AM58" t="str">
        <f>"82614374795744725338"</f>
        <v>82614374795744725338</v>
      </c>
      <c r="AN58" t="str">
        <f>"36575959320422469205"</f>
        <v>36575959320422469205</v>
      </c>
      <c r="AO58" t="str">
        <f>"14282204178987191082"</f>
        <v>14282204178987191082</v>
      </c>
      <c r="AP58" t="str">
        <f>"4904843442233329949"</f>
        <v>4904843442233329949</v>
      </c>
      <c r="AQ58" t="str">
        <f>"1477726074263595658"</f>
        <v>1477726074263595658</v>
      </c>
      <c r="AR58" t="str">
        <f>"389829657701605331"</f>
        <v>389829657701605331</v>
      </c>
      <c r="AS58" t="str">
        <f>"89964352785841498"</f>
        <v>89964352785841498</v>
      </c>
      <c r="AT58" t="str">
        <f>"18171956184824426"</f>
        <v>18171956184824426</v>
      </c>
      <c r="AU58" t="str">
        <f>"3220210267041546"</f>
        <v>3220210267041546</v>
      </c>
      <c r="AV58" t="str">
        <f>"502825626804986"</f>
        <v>502825626804986</v>
      </c>
      <c r="AW58" t="str">
        <f>"69611623629140"</f>
        <v>69611623629140</v>
      </c>
      <c r="AX58" t="str">
        <f>"8605034252108"</f>
        <v>8605034252108</v>
      </c>
      <c r="AY58" t="str">
        <f>"955904713904"</f>
        <v>955904713904</v>
      </c>
      <c r="AZ58" t="str">
        <f>"95780815449"</f>
        <v>95780815449</v>
      </c>
      <c r="BA58" t="str">
        <f>"8646975108"</f>
        <v>8646975108</v>
      </c>
      <c r="BB58" t="str">
        <f>"697853176"</f>
        <v>697853176</v>
      </c>
      <c r="BC58" t="str">
        <f>"49529482"</f>
        <v>49529482</v>
      </c>
      <c r="BD58" t="str">
        <f>"3008794"</f>
        <v>3008794</v>
      </c>
      <c r="BE58" t="str">
        <f>"150028"</f>
        <v>150028</v>
      </c>
      <c r="BF58" t="str">
        <f>"5746"</f>
        <v>5746</v>
      </c>
      <c r="BG58" t="str">
        <f>"150"</f>
        <v>150</v>
      </c>
      <c r="BH58" t="str">
        <f>"2"</f>
        <v>2</v>
      </c>
    </row>
    <row r="59" spans="1:66" x14ac:dyDescent="0.3">
      <c r="A59">
        <v>57</v>
      </c>
      <c r="B59" t="str">
        <f>"64107724137431728126"</f>
        <v>64107724137431728126</v>
      </c>
      <c r="C59" t="str">
        <f>"19381992917763357573560"</f>
        <v>19381992917763357573560</v>
      </c>
      <c r="D59" t="str">
        <f t="shared" si="0"/>
        <v>1</v>
      </c>
      <c r="E59" t="str">
        <f>"114"</f>
        <v>114</v>
      </c>
      <c r="F59" t="str">
        <f>"6286"</f>
        <v>6286</v>
      </c>
      <c r="G59" t="str">
        <f>"223383"</f>
        <v>223383</v>
      </c>
      <c r="H59" t="str">
        <f>"5751437"</f>
        <v>5751437</v>
      </c>
      <c r="I59" t="str">
        <f>"114356792"</f>
        <v>114356792</v>
      </c>
      <c r="J59" t="str">
        <f>"1827694043"</f>
        <v>1827694043</v>
      </c>
      <c r="K59" t="str">
        <f>"24131828576"</f>
        <v>24131828576</v>
      </c>
      <c r="L59" t="str">
        <f>"268483773593"</f>
        <v>268483773593</v>
      </c>
      <c r="M59" t="str">
        <f>"2554775659962"</f>
        <v>2554775659962</v>
      </c>
      <c r="N59" t="str">
        <f>"21032956627190"</f>
        <v>21032956627190</v>
      </c>
      <c r="O59" t="str">
        <f>"151188887774500"</f>
        <v>151188887774500</v>
      </c>
      <c r="P59" t="str">
        <f>"955855547590088"</f>
        <v>955855547590088</v>
      </c>
      <c r="Q59" t="str">
        <f>"5346897691431083"</f>
        <v>5346897691431083</v>
      </c>
      <c r="R59" t="str">
        <f>"26592789987526722"</f>
        <v>26592789987526722</v>
      </c>
      <c r="S59" t="str">
        <f>"118063598077861975"</f>
        <v>118063598077861975</v>
      </c>
      <c r="T59" t="str">
        <f>"469446099084859897"</f>
        <v>469446099084859897</v>
      </c>
      <c r="U59" t="str">
        <f>"1676258330089895750"</f>
        <v>1676258330089895750</v>
      </c>
      <c r="V59" t="str">
        <f>"5386767722098265786"</f>
        <v>5386767722098265786</v>
      </c>
      <c r="W59" t="str">
        <f>"15606386531476740661"</f>
        <v>15606386531476740661</v>
      </c>
      <c r="X59" t="str">
        <f>"40817731242193860287"</f>
        <v>40817731242193860287</v>
      </c>
      <c r="Y59" t="str">
        <f>"96472111726012676675"</f>
        <v>96472111726012676675</v>
      </c>
      <c r="Z59" t="str">
        <f>"206185049467703519844"</f>
        <v>206185049467703519844</v>
      </c>
      <c r="AA59" t="str">
        <f>"398642362658376470922"</f>
        <v>398642362658376470922</v>
      </c>
      <c r="AB59" t="str">
        <f>"697315328895846621355"</f>
        <v>697315328895846621355</v>
      </c>
      <c r="AC59" t="str">
        <f>"1103389611006243063830"</f>
        <v>1103389611006243063830</v>
      </c>
      <c r="AD59" t="str">
        <f>"1578725590125368430587"</f>
        <v>1578725590125368430587</v>
      </c>
      <c r="AE59" t="str">
        <f>"2041168504006955363359"</f>
        <v>2041168504006955363359</v>
      </c>
      <c r="AF59" t="str">
        <f>"2382623422694835204726"</f>
        <v>2382623422694835204726</v>
      </c>
      <c r="AG59" t="str">
        <f>"2508072816868695472091"</f>
        <v>2508072816868695472091</v>
      </c>
      <c r="AH59" t="str">
        <f>"2377556173226085590570"</f>
        <v>2377556173226085590570</v>
      </c>
      <c r="AI59" t="str">
        <f>"2026370108911014912937"</f>
        <v>2026370108911014912937</v>
      </c>
      <c r="AJ59" t="str">
        <f>"1549849570077576743731"</f>
        <v>1549849570077576743731</v>
      </c>
      <c r="AK59" t="str">
        <f>"1061510425732389253781"</f>
        <v>1061510425732389253781</v>
      </c>
      <c r="AL59" t="str">
        <f>"649537143594940582970"</f>
        <v>649537143594940582970</v>
      </c>
      <c r="AM59" t="str">
        <f>"354175306460855925595"</f>
        <v>354175306460855925595</v>
      </c>
      <c r="AN59" t="str">
        <f>"171625008903803338985"</f>
        <v>171625008903803338985</v>
      </c>
      <c r="AO59" t="str">
        <f>"73697720327644489626"</f>
        <v>73697720327644489626</v>
      </c>
      <c r="AP59" t="str">
        <f>"27963575643478468085"</f>
        <v>27963575643478468085</v>
      </c>
      <c r="AQ59" t="str">
        <f>"9349829890402457392"</f>
        <v>9349829890402457392</v>
      </c>
      <c r="AR59" t="str">
        <f>"2748135090975249927"</f>
        <v>2748135090975249927</v>
      </c>
      <c r="AS59" t="str">
        <f>"708786004979586678"</f>
        <v>708786004979586678</v>
      </c>
      <c r="AT59" t="str">
        <f>"160280647432341361"</f>
        <v>160280647432341361</v>
      </c>
      <c r="AU59" t="str">
        <f>"31797141320872972"</f>
        <v>31797141320872972</v>
      </c>
      <c r="AV59" t="str">
        <f>"5546959239402060"</f>
        <v>5546959239402060</v>
      </c>
      <c r="AW59" t="str">
        <f>"854549696617598"</f>
        <v>854549696617598</v>
      </c>
      <c r="AX59" t="str">
        <f>"116952095483736"</f>
        <v>116952095483736</v>
      </c>
      <c r="AY59" t="str">
        <f>"14314133984902"</f>
        <v>14314133984902</v>
      </c>
      <c r="AZ59" t="str">
        <f>"1576016511036"</f>
        <v>1576016511036</v>
      </c>
      <c r="BA59" t="str">
        <f>"156586061944"</f>
        <v>156586061944</v>
      </c>
      <c r="BB59" t="str">
        <f>"14016307826"</f>
        <v>14016307826</v>
      </c>
      <c r="BC59" t="str">
        <f>"1121057374"</f>
        <v>1121057374</v>
      </c>
      <c r="BD59" t="str">
        <f>"78800804"</f>
        <v>78800804</v>
      </c>
      <c r="BE59" t="str">
        <f>"4737462"</f>
        <v>4737462</v>
      </c>
      <c r="BF59" t="str">
        <f>"233619"</f>
        <v>233619</v>
      </c>
      <c r="BG59" t="str">
        <f>"8843"</f>
        <v>8843</v>
      </c>
      <c r="BH59" t="str">
        <f>"228"</f>
        <v>228</v>
      </c>
      <c r="BI59" t="str">
        <f>"3"</f>
        <v>3</v>
      </c>
    </row>
    <row r="60" spans="1:66" x14ac:dyDescent="0.3">
      <c r="A60">
        <v>58</v>
      </c>
      <c r="B60" t="str">
        <f>"101465822016766230488"</f>
        <v>101465822016766230488</v>
      </c>
      <c r="C60" t="str">
        <f>"44735334655531319958936"</f>
        <v>44735334655531319958936</v>
      </c>
      <c r="D60" t="str">
        <f t="shared" si="0"/>
        <v>1</v>
      </c>
      <c r="E60" t="str">
        <f>"116"</f>
        <v>116</v>
      </c>
      <c r="F60" t="str">
        <f>"6512"</f>
        <v>6512</v>
      </c>
      <c r="G60" t="str">
        <f>"235732"</f>
        <v>235732</v>
      </c>
      <c r="H60" t="str">
        <f>"6186184"</f>
        <v>6186184</v>
      </c>
      <c r="I60" t="str">
        <f>"125442461"</f>
        <v>125442461</v>
      </c>
      <c r="J60" t="str">
        <f>"2045922361"</f>
        <v>2045922361</v>
      </c>
      <c r="K60" t="str">
        <f>"27583862527"</f>
        <v>27583862527</v>
      </c>
      <c r="L60" t="str">
        <f>"313579673606"</f>
        <v>313579673606</v>
      </c>
      <c r="M60" t="str">
        <f>"3051009913622"</f>
        <v>3051009913622</v>
      </c>
      <c r="N60" t="str">
        <f>"25701521716875"</f>
        <v>25701521716875</v>
      </c>
      <c r="O60" t="str">
        <f>"189175118615929"</f>
        <v>189175118615929</v>
      </c>
      <c r="P60" t="str">
        <f>"1225609083007407"</f>
        <v>1225609083007407</v>
      </c>
      <c r="Q60" t="str">
        <f>"7031043470472449"</f>
        <v>7031043470472449</v>
      </c>
      <c r="R60" t="str">
        <f>"35891879600639799"</f>
        <v>35891879600639799</v>
      </c>
      <c r="S60" t="str">
        <f>"163694233595301142"</f>
        <v>163694233595301142</v>
      </c>
      <c r="T60" t="str">
        <f>"669228465906452788"</f>
        <v>669228465906452788</v>
      </c>
      <c r="U60" t="str">
        <f>"2459257062410945976"</f>
        <v>2459257062410945976</v>
      </c>
      <c r="V60" t="str">
        <f>"8141167158838815761"</f>
        <v>8141167158838815761</v>
      </c>
      <c r="W60" t="str">
        <f>"24321875030533082957"</f>
        <v>24321875030533082957</v>
      </c>
      <c r="X60" t="str">
        <f>"65666233262335936283"</f>
        <v>65666233262335936283</v>
      </c>
      <c r="Y60" t="str">
        <f>"160390748580206198356"</f>
        <v>160390748580206198356</v>
      </c>
      <c r="Z60" t="str">
        <f>"354674900999183041414"</f>
        <v>354674900999183041414</v>
      </c>
      <c r="AA60" t="str">
        <f>"710382532674225741254"</f>
        <v>710382532674225741254</v>
      </c>
      <c r="AB60" t="str">
        <f>"1288975332169823030550"</f>
        <v>1288975332169823030550</v>
      </c>
      <c r="AC60" t="str">
        <f>"2118636378612086698511"</f>
        <v>2118636378612086698511</v>
      </c>
      <c r="AD60" t="str">
        <f>"3153480611852390070757"</f>
        <v>3153480611852390070757</v>
      </c>
      <c r="AE60" t="str">
        <f>"4248196862487562171124"</f>
        <v>4248196862487562171124</v>
      </c>
      <c r="AF60" t="str">
        <f>"5175553322818521688446"</f>
        <v>5175553322818521688446</v>
      </c>
      <c r="AG60" t="str">
        <f>"5696428328955015714070"</f>
        <v>5696428328955015714070</v>
      </c>
      <c r="AH60" t="str">
        <f>"5657148641049272116401"</f>
        <v>5657148641049272116401</v>
      </c>
      <c r="AI60" t="str">
        <f>"5061702118280217158921"</f>
        <v>5061702118280217158921</v>
      </c>
      <c r="AJ60" t="str">
        <f>"4073376169328317258036"</f>
        <v>4073376169328317258036</v>
      </c>
      <c r="AK60" t="str">
        <f>"2942575761338412746879"</f>
        <v>2942575761338412746879</v>
      </c>
      <c r="AL60" t="str">
        <f>"1904043772808212528166"</f>
        <v>1904043772808212528166</v>
      </c>
      <c r="AM60" t="str">
        <f>"1100967729553904908844"</f>
        <v>1100967729553904908844</v>
      </c>
      <c r="AN60" t="str">
        <f>"567434924029456719529"</f>
        <v>567434924029456719529</v>
      </c>
      <c r="AO60" t="str">
        <f>"259979913116853805979"</f>
        <v>259979913116853805979</v>
      </c>
      <c r="AP60" t="str">
        <f>"105598749577619349451"</f>
        <v>105598749577619349451</v>
      </c>
      <c r="AQ60" t="str">
        <f>"37923507636295542391"</f>
        <v>37923507636295542391</v>
      </c>
      <c r="AR60" t="str">
        <f>"12012047013961092708"</f>
        <v>12012047013961092708</v>
      </c>
      <c r="AS60" t="str">
        <f>"3348903733493189649"</f>
        <v>3348903733493189649</v>
      </c>
      <c r="AT60" t="str">
        <f>"820733705333921498"</f>
        <v>820733705333921498</v>
      </c>
      <c r="AU60" t="str">
        <f>"176776864184566324"</f>
        <v>176776864184566324</v>
      </c>
      <c r="AV60" t="str">
        <f>"33505364784925490"</f>
        <v>33505364784925490</v>
      </c>
      <c r="AW60" t="str">
        <f>"5604856114048784"</f>
        <v>5604856114048784</v>
      </c>
      <c r="AX60" t="str">
        <f>"831443354930462"</f>
        <v>831443354930462</v>
      </c>
      <c r="AY60" t="str">
        <f>"110039197677120"</f>
        <v>110039197677120</v>
      </c>
      <c r="AZ60" t="str">
        <f>"13075646732602"</f>
        <v>13075646732602</v>
      </c>
      <c r="BA60" t="str">
        <f>"1402099415948"</f>
        <v>1402099415948</v>
      </c>
      <c r="BB60" t="str">
        <f>"135933837583"</f>
        <v>135933837583</v>
      </c>
      <c r="BC60" t="str">
        <f>"11878954447"</f>
        <v>11878954447</v>
      </c>
      <c r="BD60" t="str">
        <f>"926674804"</f>
        <v>926674804</v>
      </c>
      <c r="BE60" t="str">
        <f>"63391514"</f>
        <v>63391514</v>
      </c>
      <c r="BF60" t="str">
        <f>"3697565"</f>
        <v>3697565</v>
      </c>
      <c r="BG60" t="str">
        <f>"176283"</f>
        <v>176283</v>
      </c>
      <c r="BH60" t="str">
        <f>"6427"</f>
        <v>6427</v>
      </c>
      <c r="BI60" t="str">
        <f>"159"</f>
        <v>159</v>
      </c>
      <c r="BJ60" t="str">
        <f>"2"</f>
        <v>2</v>
      </c>
    </row>
    <row r="61" spans="1:66" x14ac:dyDescent="0.3">
      <c r="A61">
        <v>59</v>
      </c>
      <c r="B61" t="str">
        <f>"160400427950821970083"</f>
        <v>160400427950821970083</v>
      </c>
      <c r="C61" t="str">
        <f>"107952637749886364255164"</f>
        <v>107952637749886364255164</v>
      </c>
      <c r="D61" t="str">
        <f t="shared" si="0"/>
        <v>1</v>
      </c>
      <c r="E61" t="str">
        <f>"118"</f>
        <v>118</v>
      </c>
      <c r="F61" t="str">
        <f>"6742"</f>
        <v>6742</v>
      </c>
      <c r="G61" t="str">
        <f>"248530"</f>
        <v>248530</v>
      </c>
      <c r="H61" t="str">
        <f>"6645298"</f>
        <v>6645298</v>
      </c>
      <c r="I61" t="str">
        <f>"137379976"</f>
        <v>137379976</v>
      </c>
      <c r="J61" t="str">
        <f>"2285716189"</f>
        <v>2285716189</v>
      </c>
      <c r="K61" t="str">
        <f>"31457300326"</f>
        <v>31457300326</v>
      </c>
      <c r="L61" t="str">
        <f>"365291112634"</f>
        <v>365291112634</v>
      </c>
      <c r="M61" t="str">
        <f>"3632995342193"</f>
        <v>3632995342193</v>
      </c>
      <c r="N61" t="str">
        <f>"31306159007840"</f>
        <v>31306159007840</v>
      </c>
      <c r="O61" t="str">
        <f>"235895665180737"</f>
        <v>235895665180737</v>
      </c>
      <c r="P61" t="str">
        <f>"1565830977319663"</f>
        <v>1565830977319663</v>
      </c>
      <c r="Q61" t="str">
        <f>"9211271158106408"</f>
        <v>9211271158106408</v>
      </c>
      <c r="R61" t="str">
        <f>"48260528345379858"</f>
        <v>48260528345379858</v>
      </c>
      <c r="S61" t="str">
        <f>"226118105700948144"</f>
        <v>226118105700948144</v>
      </c>
      <c r="T61" t="str">
        <f>"950637351979904298"</f>
        <v>950637351979904298</v>
      </c>
      <c r="U61" t="str">
        <f>"3596164434488206593"</f>
        <v>3596164434488206593</v>
      </c>
      <c r="V61" t="str">
        <f>"12268747826369122404"</f>
        <v>12268747826369122404</v>
      </c>
      <c r="W61" t="str">
        <f>"37818100424802582612"</f>
        <v>37818100424802582612</v>
      </c>
      <c r="X61" t="str">
        <f>"105481350943002459519"</f>
        <v>105481350943002459519</v>
      </c>
      <c r="Y61" t="str">
        <f>"266513328014610283871"</f>
        <v>266513328014610283871</v>
      </c>
      <c r="Z61" t="str">
        <f>"610502392540040456129"</f>
        <v>610502392540040456129</v>
      </c>
      <c r="AA61" t="str">
        <f>"1268577472977931193618"</f>
        <v>1268577472977931193618</v>
      </c>
      <c r="AB61" t="str">
        <f>"2391829988494296457610"</f>
        <v>2391829988494296457610</v>
      </c>
      <c r="AC61" t="str">
        <f>"4092066210601256218770"</f>
        <v>4092066210601256218770</v>
      </c>
      <c r="AD61" t="str">
        <f>"6351361916355884126258"</f>
        <v>6351361916355884126258</v>
      </c>
      <c r="AE61" t="str">
        <f>"8939566583500422552201"</f>
        <v>8939566583500422552201</v>
      </c>
      <c r="AF61" t="str">
        <f>"11402701321628868569531"</f>
        <v>11402701321628868569531</v>
      </c>
      <c r="AG61" t="str">
        <f>"13169245478544955280424"</f>
        <v>13169245478544955280424</v>
      </c>
      <c r="AH61" t="str">
        <f>"13756261454064093928145"</f>
        <v>13756261454064093928145</v>
      </c>
      <c r="AI61" t="str">
        <f>"12979420182161181040026"</f>
        <v>12979420182161181040026</v>
      </c>
      <c r="AJ61" t="str">
        <f>"11044828775582274611680"</f>
        <v>11044828775582274611680</v>
      </c>
      <c r="AK61" t="str">
        <f>"8461554006840487470929"</f>
        <v>8461554006840487470929</v>
      </c>
      <c r="AL61" t="str">
        <f>"5824710573872852147881"</f>
        <v>5824710573872852147881</v>
      </c>
      <c r="AM61" t="str">
        <f>"3594913384024116524118"</f>
        <v>3594913384024116524118</v>
      </c>
      <c r="AN61" t="str">
        <f>"1984578187993290768907"</f>
        <v>1984578187993290768907</v>
      </c>
      <c r="AO61" t="str">
        <f>"977512498529285391552"</f>
        <v>977512498529285391552</v>
      </c>
      <c r="AP61" t="str">
        <f>"428464194656362716898"</f>
        <v>428464194656362716898</v>
      </c>
      <c r="AQ61" t="str">
        <f>"166685825256138482142"</f>
        <v>166685825256138482142</v>
      </c>
      <c r="AR61" t="str">
        <f>"57407759690209906479"</f>
        <v>57407759690209906479</v>
      </c>
      <c r="AS61" t="str">
        <f>"17463963842568793247"</f>
        <v>17463963842568793247</v>
      </c>
      <c r="AT61" t="str">
        <f>"4684314983683473343"</f>
        <v>4684314983683473343</v>
      </c>
      <c r="AU61" t="str">
        <f>"1106774123306929465"</f>
        <v>1106774123306929465</v>
      </c>
      <c r="AV61" t="str">
        <f>"230386710662054511"</f>
        <v>230386710662054511</v>
      </c>
      <c r="AW61" t="str">
        <f>"42321282771452703"</f>
        <v>42321282771452703</v>
      </c>
      <c r="AX61" t="str">
        <f>"6883547192222753"</f>
        <v>6883547192222753</v>
      </c>
      <c r="AY61" t="str">
        <f>"996237038095398"</f>
        <v>996237038095398</v>
      </c>
      <c r="AZ61" t="str">
        <f>"129066891329200"</f>
        <v>129066891329200</v>
      </c>
      <c r="BA61" t="str">
        <f>"15057854580790"</f>
        <v>15057854580790</v>
      </c>
      <c r="BB61" t="str">
        <f>"1589006147498"</f>
        <v>1589006147498</v>
      </c>
      <c r="BC61" t="str">
        <f>"151841375943"</f>
        <v>151841375943</v>
      </c>
      <c r="BD61" t="str">
        <f>"13088395764"</f>
        <v>13088395764</v>
      </c>
      <c r="BE61" t="str">
        <f>"1007252248"</f>
        <v>1007252248</v>
      </c>
      <c r="BF61" t="str">
        <f>"67956755"</f>
        <v>67956755</v>
      </c>
      <c r="BG61" t="str">
        <f>"3907899"</f>
        <v>3907899</v>
      </c>
      <c r="BH61" t="str">
        <f>"183633"</f>
        <v>183633</v>
      </c>
      <c r="BI61" t="str">
        <f>"6599"</f>
        <v>6599</v>
      </c>
      <c r="BJ61" t="str">
        <f>"161"</f>
        <v>161</v>
      </c>
      <c r="BK61" t="str">
        <f>"2"</f>
        <v>2</v>
      </c>
    </row>
    <row r="62" spans="1:66" x14ac:dyDescent="0.3">
      <c r="A62">
        <v>60</v>
      </c>
      <c r="B62" t="str">
        <f>"250839153864702385377"</f>
        <v>250839153864702385377</v>
      </c>
      <c r="C62" t="str">
        <f>"257203030436248601856536"</f>
        <v>257203030436248601856536</v>
      </c>
      <c r="D62" t="str">
        <f t="shared" si="0"/>
        <v>1</v>
      </c>
      <c r="E62" t="str">
        <f>"120"</f>
        <v>120</v>
      </c>
      <c r="F62" t="str">
        <f>"6976"</f>
        <v>6976</v>
      </c>
      <c r="G62" t="str">
        <f>"261784"</f>
        <v>261784</v>
      </c>
      <c r="H62" t="str">
        <f>"7129559"</f>
        <v>7129559</v>
      </c>
      <c r="I62" t="str">
        <f>"150211349"</f>
        <v>150211349</v>
      </c>
      <c r="J62" t="str">
        <f>"2548532883"</f>
        <v>2548532883</v>
      </c>
      <c r="K62" t="str">
        <f>"35788743996"</f>
        <v>35788743996</v>
      </c>
      <c r="L62" t="str">
        <f>"424327487600"</f>
        <v>424327487600</v>
      </c>
      <c r="M62" t="str">
        <f>"4311775353880"</f>
        <v>4311775353880</v>
      </c>
      <c r="N62" t="str">
        <f>"37988781939600"</f>
        <v>37988781939600</v>
      </c>
      <c r="O62" t="str">
        <f>"292885969724783"</f>
        <v>292885969724783</v>
      </c>
      <c r="P62" t="str">
        <f>"1990717863649566"</f>
        <v>1990717863649566</v>
      </c>
      <c r="Q62" t="str">
        <f>"12001048109651654"</f>
        <v>12001048109651654</v>
      </c>
      <c r="R62" t="str">
        <f>"64489842062795722"</f>
        <v>64489842062795722</v>
      </c>
      <c r="S62" t="str">
        <f>"310181865207731755"</f>
        <v>310181865207731755</v>
      </c>
      <c r="T62" t="str">
        <f>"1339918601448067428"</f>
        <v>1339918601448067428</v>
      </c>
      <c r="U62" t="str">
        <f>"5213218215830007035"</f>
        <v>5213218215830007035</v>
      </c>
      <c r="V62" t="str">
        <f>"18310946788751495164"</f>
        <v>18310946788751495164</v>
      </c>
      <c r="W62" t="str">
        <f>"58172584311885512649"</f>
        <v>58172584311885512649</v>
      </c>
      <c r="X62" t="str">
        <f>"167413486824194081873"</f>
        <v>167413486824194081873</v>
      </c>
      <c r="Y62" t="str">
        <f>"436962089734739944754"</f>
        <v>436962089734739944754</v>
      </c>
      <c r="Z62" t="str">
        <f>"1035295061077616987600"</f>
        <v>1035295061077616987600</v>
      </c>
      <c r="AA62" t="str">
        <f>"2228012928055804234582"</f>
        <v>2228012928055804234582</v>
      </c>
      <c r="AB62" t="str">
        <f>"4356718623974193981965"</f>
        <v>4356718623974193981965</v>
      </c>
      <c r="AC62" t="str">
        <f>"7741768336380513015843"</f>
        <v>7741768336380513015843</v>
      </c>
      <c r="AD62" t="str">
        <f>"12500021922467317582007"</f>
        <v>12500021922467317582007</v>
      </c>
      <c r="AE62" t="str">
        <f>"18332699556365004240651"</f>
        <v>18332699556365004240651</v>
      </c>
      <c r="AF62" t="str">
        <f>"24408921952797344479849"</f>
        <v>24408921952797344479849</v>
      </c>
      <c r="AG62" t="str">
        <f>"29481300706721092447134"</f>
        <v>29481300706721092447134</v>
      </c>
      <c r="AH62" t="str">
        <f>"32269964320820904127085"</f>
        <v>32269964320820904127085</v>
      </c>
      <c r="AI62" t="str">
        <f>"31973560513681496406749"</f>
        <v>31973560513681496406749</v>
      </c>
      <c r="AJ62" t="str">
        <f>"28636516987764055376802"</f>
        <v>28636516987764055376802</v>
      </c>
      <c r="AK62" t="str">
        <f>"23146840768742327626656"</f>
        <v>23146840768742327626656</v>
      </c>
      <c r="AL62" t="str">
        <f>"16854749833441611405622"</f>
        <v>16854749833441611405622</v>
      </c>
      <c r="AM62" t="str">
        <f>"11034250943430254554969"</f>
        <v>11034250943430254554969</v>
      </c>
      <c r="AN62" t="str">
        <f>"6480439093197761150103"</f>
        <v>6480439093197761150103</v>
      </c>
      <c r="AO62" t="str">
        <f>"3406346043394494039627"</f>
        <v>3406346043394494039627</v>
      </c>
      <c r="AP62" t="str">
        <f>"1598547122551139462631"</f>
        <v>1598547122551139462631</v>
      </c>
      <c r="AQ62" t="str">
        <f>"668065260627273185670"</f>
        <v>668065260627273185670</v>
      </c>
      <c r="AR62" t="str">
        <f>"248021270444331473697"</f>
        <v>248021270444331473697</v>
      </c>
      <c r="AS62" t="str">
        <f>"81607401050730379853"</f>
        <v>81607401050730379853</v>
      </c>
      <c r="AT62" t="str">
        <f>"23751467609278751302"</f>
        <v>23751467609278751302</v>
      </c>
      <c r="AU62" t="str">
        <f>"6106386870455260589"</f>
        <v>6106386870455260589</v>
      </c>
      <c r="AV62" t="str">
        <f>"1386173282506436191"</f>
        <v>1386173282506436191</v>
      </c>
      <c r="AW62" t="str">
        <f>"278055334661921457"</f>
        <v>278055334661921457</v>
      </c>
      <c r="AX62" t="str">
        <f>"49399409477521319"</f>
        <v>49399409477521319</v>
      </c>
      <c r="AY62" t="str">
        <f>"7803456858038982"</f>
        <v>7803456858038982</v>
      </c>
      <c r="AZ62" t="str">
        <f>"1101870961792118"</f>
        <v>1101870961792118</v>
      </c>
      <c r="BA62" t="str">
        <f>"139915832282570"</f>
        <v>139915832282570</v>
      </c>
      <c r="BB62" t="str">
        <f>"16066364389027"</f>
        <v>16066364389027</v>
      </c>
      <c r="BC62" t="str">
        <f>"1674437009600"</f>
        <v>1674437009600</v>
      </c>
      <c r="BD62" t="str">
        <f>"158412795900"</f>
        <v>158412795900</v>
      </c>
      <c r="BE62" t="str">
        <f>"13539684102"</f>
        <v>13539684102</v>
      </c>
      <c r="BF62" t="str">
        <f>"1034064815"</f>
        <v>1034064815</v>
      </c>
      <c r="BG62" t="str">
        <f>"69270428"</f>
        <v>69270428</v>
      </c>
      <c r="BH62" t="str">
        <f>"3957246"</f>
        <v>3957246</v>
      </c>
      <c r="BI62" t="str">
        <f>"184886"</f>
        <v>184886</v>
      </c>
      <c r="BJ62" t="str">
        <f>"6615"</f>
        <v>6615</v>
      </c>
      <c r="BK62" t="str">
        <f>"161"</f>
        <v>161</v>
      </c>
      <c r="BL62" t="str">
        <f>"2"</f>
        <v>2</v>
      </c>
    </row>
    <row r="63" spans="1:66" x14ac:dyDescent="0.3">
      <c r="A63">
        <v>61</v>
      </c>
      <c r="B63" t="str">
        <f>"388790810732431392712"</f>
        <v>388790810732431392712</v>
      </c>
      <c r="C63" t="str">
        <f>"614911465452554353686588"</f>
        <v>614911465452554353686588</v>
      </c>
      <c r="D63" t="str">
        <f t="shared" si="0"/>
        <v>1</v>
      </c>
      <c r="E63" t="str">
        <f>"122"</f>
        <v>122</v>
      </c>
      <c r="F63" t="str">
        <f>"7214"</f>
        <v>7214</v>
      </c>
      <c r="G63" t="str">
        <f>"275502"</f>
        <v>275502</v>
      </c>
      <c r="H63" t="str">
        <f>"7639872"</f>
        <v>7639872</v>
      </c>
      <c r="I63" t="str">
        <f>"163986095"</f>
        <v>163986095</v>
      </c>
      <c r="J63" t="str">
        <f>"2836118250"</f>
        <v>2836118250</v>
      </c>
      <c r="K63" t="str">
        <f>"40622787020"</f>
        <v>40622787020</v>
      </c>
      <c r="L63" t="str">
        <f>"491568370554"</f>
        <v>491568370554</v>
      </c>
      <c r="M63" t="str">
        <f>"5101294140000"</f>
        <v>5101294140000</v>
      </c>
      <c r="N63" t="str">
        <f>"45932001537822"</f>
        <v>45932001537822</v>
      </c>
      <c r="O63" t="str">
        <f>"362161004486876"</f>
        <v>362161004486876</v>
      </c>
      <c r="P63" t="str">
        <f>"2519284306627222"</f>
        <v>2519284306627222</v>
      </c>
      <c r="Q63" t="str">
        <f>"15555608065211305"</f>
        <v>15555608065211305</v>
      </c>
      <c r="R63" t="str">
        <f>"85686263585914014"</f>
        <v>85686263585914014</v>
      </c>
      <c r="S63" t="str">
        <f>"422821330437994284"</f>
        <v>422821330437994284</v>
      </c>
      <c r="T63" t="str">
        <f>"1875538385675701782"</f>
        <v>1875538385675701782</v>
      </c>
      <c r="U63" t="str">
        <f>"7500084932897812587"</f>
        <v>7500084932897812587</v>
      </c>
      <c r="V63" t="str">
        <f>"27102547511646065891"</f>
        <v>27102547511646065891</v>
      </c>
      <c r="W63" t="str">
        <f>"88675811133098451516"</f>
        <v>88675811133098451516</v>
      </c>
      <c r="X63" t="str">
        <f>"263109832553218264783"</f>
        <v>263109832553218264783</v>
      </c>
      <c r="Y63" t="str">
        <f>"708840121805205888285"</f>
        <v>708840121805205888285</v>
      </c>
      <c r="Z63" t="str">
        <f>"1735611273626232407954"</f>
        <v>1735611273626232407954</v>
      </c>
      <c r="AA63" t="str">
        <f>"3864967311782557870088"</f>
        <v>3864967311782557870088</v>
      </c>
      <c r="AB63" t="str">
        <f>"7830979538962145725505"</f>
        <v>7830979538962145725505</v>
      </c>
      <c r="AC63" t="str">
        <f>"14439405333949164881146"</f>
        <v>14439405333949164881146</v>
      </c>
      <c r="AD63" t="str">
        <f>"24228977135544915215702"</f>
        <v>24228977135544915215702</v>
      </c>
      <c r="AE63" t="str">
        <f>"36988810960129787442933"</f>
        <v>36988810960129787442933</v>
      </c>
      <c r="AF63" t="str">
        <f>"51352570125145421703332"</f>
        <v>51352570125145421703332</v>
      </c>
      <c r="AG63" t="str">
        <f>"64793181593943409394275"</f>
        <v>64793181593943409394275</v>
      </c>
      <c r="AH63" t="str">
        <f>"74234077238365494822054"</f>
        <v>74234077238365494822054</v>
      </c>
      <c r="AI63" t="str">
        <f>"77148784816298804301618"</f>
        <v>77148784816298804301618</v>
      </c>
      <c r="AJ63" t="str">
        <f>"72638201482988275326882"</f>
        <v>72638201482988275326882</v>
      </c>
      <c r="AK63" t="str">
        <f>"61870508305690116235184"</f>
        <v>61870508305690116235184</v>
      </c>
      <c r="AL63" t="str">
        <f>"47596186763247716685846"</f>
        <v>47596186763247716685846</v>
      </c>
      <c r="AM63" t="str">
        <f>"33009183707704030392705"</f>
        <v>33009183707704030392705</v>
      </c>
      <c r="AN63" t="str">
        <f>"20596672832210725673128"</f>
        <v>20596672832210725673128</v>
      </c>
      <c r="AO63" t="str">
        <f>"11537543297709016619750"</f>
        <v>11537543297709016619750</v>
      </c>
      <c r="AP63" t="str">
        <f>"5788678119879175000260"</f>
        <v>5788678119879175000260</v>
      </c>
      <c r="AQ63" t="str">
        <f>"2595091045180723085952"</f>
        <v>2595091045180723085952</v>
      </c>
      <c r="AR63" t="str">
        <f>"1037008858703702321943"</f>
        <v>1037008858703702321943</v>
      </c>
      <c r="AS63" t="str">
        <f>"368515427572067477953"</f>
        <v>368515427572067477953</v>
      </c>
      <c r="AT63" t="str">
        <f>"116214323077492485928"</f>
        <v>116214323077492485928</v>
      </c>
      <c r="AU63" t="str">
        <f>"32468988449257624717"</f>
        <v>32468988449257624717</v>
      </c>
      <c r="AV63" t="str">
        <f>"8028867835311735079"</f>
        <v>8028867835311735079</v>
      </c>
      <c r="AW63" t="str">
        <f>"1757170277633772777"</f>
        <v>1757170277633772777</v>
      </c>
      <c r="AX63" t="str">
        <f>"340802568830616155"</f>
        <v>340802568830616155</v>
      </c>
      <c r="AY63" t="str">
        <f>"58740058014913633"</f>
        <v>58740058014913633</v>
      </c>
      <c r="AZ63" t="str">
        <f>"9036326530340503"</f>
        <v>9036326530340503</v>
      </c>
      <c r="BA63" t="str">
        <f>"1247647085186063"</f>
        <v>1247647085186063</v>
      </c>
      <c r="BB63" t="str">
        <f>"155542320113817"</f>
        <v>155542320113817</v>
      </c>
      <c r="BC63" t="str">
        <f>"17601601278664"</f>
        <v>17601601278664</v>
      </c>
      <c r="BD63" t="str">
        <f>"1813547092796"</f>
        <v>1813547092796</v>
      </c>
      <c r="BE63" t="str">
        <f>"170017683058"</f>
        <v>170017683058</v>
      </c>
      <c r="BF63" t="str">
        <f>"14420413195"</f>
        <v>14420413195</v>
      </c>
      <c r="BG63" t="str">
        <f>"1093520129"</f>
        <v>1093520129</v>
      </c>
      <c r="BH63" t="str">
        <f>"72724693"</f>
        <v>72724693</v>
      </c>
      <c r="BI63" t="str">
        <f>"4122287"</f>
        <v>4122287</v>
      </c>
      <c r="BJ63" t="str">
        <f>"190954"</f>
        <v>190954</v>
      </c>
      <c r="BK63" t="str">
        <f>"6768"</f>
        <v>6768</v>
      </c>
      <c r="BL63" t="str">
        <f>"163"</f>
        <v>163</v>
      </c>
      <c r="BM63" t="str">
        <f>"2"</f>
        <v>2</v>
      </c>
    </row>
    <row r="64" spans="1:66" x14ac:dyDescent="0.3">
      <c r="A64">
        <v>62</v>
      </c>
      <c r="B64" t="str">
        <f>"597344903487383778885"</f>
        <v>597344903487383778885</v>
      </c>
      <c r="C64" t="str">
        <f>"1469702891218760151501024"</f>
        <v>1469702891218760151501024</v>
      </c>
      <c r="D64" t="str">
        <f t="shared" si="0"/>
        <v>1</v>
      </c>
      <c r="E64" t="str">
        <f>"124"</f>
        <v>124</v>
      </c>
      <c r="F64" t="str">
        <f>"7456"</f>
        <v>7456</v>
      </c>
      <c r="G64" t="str">
        <f>"289692"</f>
        <v>289692</v>
      </c>
      <c r="H64" t="str">
        <f>"8177157"</f>
        <v>8177157</v>
      </c>
      <c r="I64" t="str">
        <f>"178755413"</f>
        <v>178755413</v>
      </c>
      <c r="J64" t="str">
        <f>"3150309517"</f>
        <v>3150309517</v>
      </c>
      <c r="K64" t="str">
        <f>"46007220511"</f>
        <v>46007220511</v>
      </c>
      <c r="L64" t="str">
        <f>"567974344802"</f>
        <v>567974344802</v>
      </c>
      <c r="M64" t="str">
        <f>"6017080418502"</f>
        <v>6017080418502</v>
      </c>
      <c r="N64" t="str">
        <f>"55343333760126"</f>
        <v>55343333760126</v>
      </c>
      <c r="O64" t="str">
        <f>"446059030119648"</f>
        <v>446059030119648</v>
      </c>
      <c r="P64" t="str">
        <f>"3174080021006179"</f>
        <v>3174080021006179</v>
      </c>
      <c r="Q64" t="str">
        <f>"20063237128501462"</f>
        <v>20063237128501462</v>
      </c>
      <c r="R64" t="str">
        <f>"113223523019664870"</f>
        <v>113223523019664870</v>
      </c>
      <c r="S64" t="str">
        <f>"572858975338189267"</f>
        <v>572858975338189267</v>
      </c>
      <c r="T64" t="str">
        <f>"2607672013974439960"</f>
        <v>2607672013974439960</v>
      </c>
      <c r="U64" t="str">
        <f>"10710708489651985367"</f>
        <v>10710708489651985367</v>
      </c>
      <c r="V64" t="str">
        <f>"39791955344983898056"</f>
        <v>39791955344983898056</v>
      </c>
      <c r="W64" t="str">
        <f>"133983811242735864970"</f>
        <v>133983811242735864970</v>
      </c>
      <c r="X64" t="str">
        <f>"409540928543766825805"</f>
        <v>409540928543766825805</v>
      </c>
      <c r="Y64" t="str">
        <f>"1137880384281554093336"</f>
        <v>1137880384281554093336</v>
      </c>
      <c r="Z64" t="str">
        <f>"2876667499110802930586"</f>
        <v>2876667499110802930586</v>
      </c>
      <c r="AA64" t="str">
        <f>"6622173288781279539705"</f>
        <v>6622173288781279539705</v>
      </c>
      <c r="AB64" t="str">
        <f>"13888233696924251999064"</f>
        <v>13888233696924251999064</v>
      </c>
      <c r="AC64" t="str">
        <f>"26542857575287613777522"</f>
        <v>26542857575287613777522</v>
      </c>
      <c r="AD64" t="str">
        <f>"46230367748875260038905"</f>
        <v>46230367748875260038905</v>
      </c>
      <c r="AE64" t="str">
        <f>"73370444928379348267933"</f>
        <v>73370444928379348267933</v>
      </c>
      <c r="AF64" t="str">
        <f>"106066302854532055269088"</f>
        <v>106066302854532055269088</v>
      </c>
      <c r="AG64" t="str">
        <f>"139591739558621575690164"</f>
        <v>139591739558621575690164</v>
      </c>
      <c r="AH64" t="str">
        <f>"167127523064054005869744"</f>
        <v>167127523064054005869744</v>
      </c>
      <c r="AI64" t="str">
        <f>"181860866174407840830747"</f>
        <v>181860866174407840830747</v>
      </c>
      <c r="AJ64" t="str">
        <f>"179658613300428761502941"</f>
        <v>179658613300428761502941</v>
      </c>
      <c r="AK64" t="str">
        <f>"160918717237496647787012"</f>
        <v>160918717237496647787012</v>
      </c>
      <c r="AL64" t="str">
        <f>"130486442516466036564077"</f>
        <v>130486442516466036564077</v>
      </c>
      <c r="AM64" t="str">
        <f>"95630171837371726969167"</f>
        <v>95630171837371726969167</v>
      </c>
      <c r="AN64" t="str">
        <f>"63224943820545975360846"</f>
        <v>63224943820545975360846</v>
      </c>
      <c r="AO64" t="str">
        <f>"37632894038574826793007"</f>
        <v>37632894038574826793007</v>
      </c>
      <c r="AP64" t="str">
        <f>"20122968329303729199915"</f>
        <v>20122968329303729199915</v>
      </c>
      <c r="AQ64" t="str">
        <f>"9644386365164881217984"</f>
        <v>9644386365164881217984</v>
      </c>
      <c r="AR64" t="str">
        <f>"4133377480522870384586"</f>
        <v>4133377480522870384586</v>
      </c>
      <c r="AS64" t="str">
        <f>"1580466539425041833998"</f>
        <v>1580466539425041833998</v>
      </c>
      <c r="AT64" t="str">
        <f>"537996784472855251688"</f>
        <v>537996784472855251688</v>
      </c>
      <c r="AU64" t="str">
        <f>"162736375684815665786"</f>
        <v>162736375684815665786</v>
      </c>
      <c r="AV64" t="str">
        <f>"43683770428134322784"</f>
        <v>43683770428134322784</v>
      </c>
      <c r="AW64" t="str">
        <f>"10400205193762485416"</f>
        <v>10400205193762485416</v>
      </c>
      <c r="AX64" t="str">
        <f>"2197184625435967191"</f>
        <v>2197184625435967191</v>
      </c>
      <c r="AY64" t="str">
        <f>"412655162127842944"</f>
        <v>412655162127842944</v>
      </c>
      <c r="AZ64" t="str">
        <f>"69126180463019584"</f>
        <v>69126180463019584</v>
      </c>
      <c r="BA64" t="str">
        <f>"10377281071879737"</f>
        <v>10377281071879737</v>
      </c>
      <c r="BB64" t="str">
        <f>"1404063852057809"</f>
        <v>1404063852057809</v>
      </c>
      <c r="BC64" t="str">
        <f>"172220664475111"</f>
        <v>172220664475111</v>
      </c>
      <c r="BD64" t="str">
        <f>"19241697587875"</f>
        <v>19241697587875</v>
      </c>
      <c r="BE64" t="str">
        <f>"1962701819980"</f>
        <v>1962701819980</v>
      </c>
      <c r="BF64" t="str">
        <f>"182494543493"</f>
        <v>182494543493</v>
      </c>
      <c r="BG64" t="str">
        <f>"15366843430"</f>
        <v>15366843430</v>
      </c>
      <c r="BH64" t="str">
        <f>"1157143377"</f>
        <v>1157143377</v>
      </c>
      <c r="BI64" t="str">
        <f>"76395136"</f>
        <v>76395136</v>
      </c>
      <c r="BJ64" t="str">
        <f>"4296103"</f>
        <v>4296103</v>
      </c>
      <c r="BK64" t="str">
        <f>"197276"</f>
        <v>197276</v>
      </c>
      <c r="BL64" t="str">
        <f>"6925"</f>
        <v>6925</v>
      </c>
      <c r="BM64" t="str">
        <f>"165"</f>
        <v>165</v>
      </c>
      <c r="BN64" t="str">
        <f>"2"</f>
        <v>2</v>
      </c>
    </row>
    <row r="65" spans="1:68" x14ac:dyDescent="0.3">
      <c r="A65">
        <v>63</v>
      </c>
      <c r="B65" t="str">
        <f>"909933147868947953647"</f>
        <v>909933147868947953647</v>
      </c>
      <c r="C65" t="str">
        <f>"3504050212918918438596837"</f>
        <v>3504050212918918438596837</v>
      </c>
      <c r="D65" t="str">
        <f t="shared" si="0"/>
        <v>1</v>
      </c>
      <c r="E65" t="str">
        <f>"126"</f>
        <v>126</v>
      </c>
      <c r="F65" t="str">
        <f>"7702"</f>
        <v>7702</v>
      </c>
      <c r="G65" t="str">
        <f>"304362"</f>
        <v>304362</v>
      </c>
      <c r="H65" t="str">
        <f>"8742350"</f>
        <v>8742350</v>
      </c>
      <c r="I65" t="str">
        <f>"194572326"</f>
        <v>194572326</v>
      </c>
      <c r="J65" t="str">
        <f>"3493044512"</f>
        <v>3493044512</v>
      </c>
      <c r="K65" t="str">
        <f>"51993412436"</f>
        <v>51993412436</v>
      </c>
      <c r="L65" t="str">
        <f>"654598160299"</f>
        <v>654598160299</v>
      </c>
      <c r="M65" t="str">
        <f>"7076497490982"</f>
        <v>7076497490982</v>
      </c>
      <c r="N65" t="str">
        <f>"66459657423950"</f>
        <v>66459657423950</v>
      </c>
      <c r="O65" t="str">
        <f>"547306686330542"</f>
        <v>547306686330542</v>
      </c>
      <c r="P65" t="str">
        <f>"3981985010746312"</f>
        <v>3981985010746312</v>
      </c>
      <c r="Q65" t="str">
        <f>"25753531830350980"</f>
        <v>25753531830350980</v>
      </c>
      <c r="R65" t="str">
        <f>"148816467483419864"</f>
        <v>148816467483419864</v>
      </c>
      <c r="S65" t="str">
        <f>"771577764487849032"</f>
        <v>771577764487849032</v>
      </c>
      <c r="T65" t="str">
        <f>"3602112294518547731"</f>
        <v>3602112294518547731</v>
      </c>
      <c r="U65" t="str">
        <f>"15186788322980047380"</f>
        <v>15186788322980047380</v>
      </c>
      <c r="V65" t="str">
        <f>"57966252905566493784"</f>
        <v>57966252905566493784</v>
      </c>
      <c r="W65" t="str">
        <f>"200711378477919725774"</f>
        <v>200711378477919725774</v>
      </c>
      <c r="X65" t="str">
        <f>"631515864566021283202"</f>
        <v>631515864566021283202</v>
      </c>
      <c r="Y65" t="str">
        <f>"1808006121017880700428"</f>
        <v>1808006121017880700428</v>
      </c>
      <c r="Z65" t="str">
        <f>"4714996384441629421794"</f>
        <v>4714996384441629421794</v>
      </c>
      <c r="AA65" t="str">
        <f>"11209274218815076055846"</f>
        <v>11209274218815076055846</v>
      </c>
      <c r="AB65" t="str">
        <f>"24307076993872908767786"</f>
        <v>24307076993872908767786</v>
      </c>
      <c r="AC65" t="str">
        <f>"48094394036839490138054"</f>
        <v>48094394036839490138054</v>
      </c>
      <c r="AD65" t="str">
        <f>"86839754617541557651710"</f>
        <v>86839754617541557651710</v>
      </c>
      <c r="AE65" t="str">
        <f>"143078352078220097481142"</f>
        <v>143078352078220097481142</v>
      </c>
      <c r="AF65" t="str">
        <f>"215052913281823912618514"</f>
        <v>215052913281823912618514</v>
      </c>
      <c r="AG65" t="str">
        <f>"294737861128151093345252"</f>
        <v>294737861128151093345252</v>
      </c>
      <c r="AH65" t="str">
        <f>"368102392518384863219264"</f>
        <v>368102392518384863219264</v>
      </c>
      <c r="AI65" t="str">
        <f>"418588297578448339996526"</f>
        <v>418588297578448339996526</v>
      </c>
      <c r="AJ65" t="str">
        <f>"432968300189632037694198"</f>
        <v>432968300189632037694198</v>
      </c>
      <c r="AK65" t="str">
        <f>"406876083832323685181114"</f>
        <v>406876083832323685181114</v>
      </c>
      <c r="AL65" t="str">
        <f>"346907679486333885790828"</f>
        <v>346907679486333885790828</v>
      </c>
      <c r="AM65" t="str">
        <f>"267943543845431264303524"</f>
        <v>267943543845431264303524</v>
      </c>
      <c r="AN65" t="str">
        <f>"187157746067114623519328"</f>
        <v>187157746067114623519328</v>
      </c>
      <c r="AO65" t="str">
        <f>"118003434264484834577120"</f>
        <v>118003434264484834577120</v>
      </c>
      <c r="AP65" t="str">
        <f>"67023619446746135727338"</f>
        <v>67023619446746135727338</v>
      </c>
      <c r="AQ65" t="str">
        <f>"34220000153605840812642"</f>
        <v>34220000153605840812642</v>
      </c>
      <c r="AR65" t="str">
        <f>"15670758820366722091460"</f>
        <v>15670758820366722091460</v>
      </c>
      <c r="AS65" t="str">
        <f>"6422297759377702390412"</f>
        <v>6422297759377702390412</v>
      </c>
      <c r="AT65" t="str">
        <f>"2350425308319756006234"</f>
        <v>2350425308319756006234</v>
      </c>
      <c r="AU65" t="str">
        <f>"766674377079164632914"</f>
        <v>766674377079164632914</v>
      </c>
      <c r="AV65" t="str">
        <f>"222535042027884160380"</f>
        <v>222535042027884160380</v>
      </c>
      <c r="AW65" t="str">
        <f>"57422155366301498168"</f>
        <v>57422155366301498168</v>
      </c>
      <c r="AX65" t="str">
        <f>"13170226870149576338"</f>
        <v>13170226870149576338</v>
      </c>
      <c r="AY65" t="str">
        <f>"2687605722159610002"</f>
        <v>2687605722159610002</v>
      </c>
      <c r="AZ65" t="str">
        <f>"489112312944071604"</f>
        <v>489112312944071604</v>
      </c>
      <c r="BA65" t="str">
        <f>"79682086655948656"</f>
        <v>79682086655948656</v>
      </c>
      <c r="BB65" t="str">
        <f>"11679237790723098"</f>
        <v>11679237790723098</v>
      </c>
      <c r="BC65" t="str">
        <f>"1549133348404414"</f>
        <v>1549133348404414</v>
      </c>
      <c r="BD65" t="str">
        <f>"186996366332614"</f>
        <v>186996366332614</v>
      </c>
      <c r="BE65" t="str">
        <f>"20630302141700"</f>
        <v>20630302141700</v>
      </c>
      <c r="BF65" t="str">
        <f>"2083542311300"</f>
        <v>2083542311300</v>
      </c>
      <c r="BG65" t="str">
        <f>"192184866556"</f>
        <v>192184866556</v>
      </c>
      <c r="BH65" t="str">
        <f>"16072628992"</f>
        <v>16072628992</v>
      </c>
      <c r="BI65" t="str">
        <f>"1202713228"</f>
        <v>1202713228</v>
      </c>
      <c r="BJ65" t="str">
        <f>"78914598"</f>
        <v>78914598</v>
      </c>
      <c r="BK65" t="str">
        <f>"4409764"</f>
        <v>4409764</v>
      </c>
      <c r="BL65" t="str">
        <f>"201168"</f>
        <v>201168</v>
      </c>
      <c r="BM65" t="str">
        <f>"7014"</f>
        <v>7014</v>
      </c>
      <c r="BN65" t="str">
        <f>"166"</f>
        <v>166</v>
      </c>
      <c r="BO65" t="str">
        <f>"2"</f>
        <v>2</v>
      </c>
    </row>
    <row r="66" spans="1:68" x14ac:dyDescent="0.3">
      <c r="A66">
        <v>64</v>
      </c>
      <c r="B66" t="str">
        <f>"1375968129062134174771"</f>
        <v>1375968129062134174771</v>
      </c>
      <c r="C66" t="str">
        <f>"8439043387454079353907535"</f>
        <v>8439043387454079353907535</v>
      </c>
      <c r="D66" t="str">
        <f t="shared" si="0"/>
        <v>1</v>
      </c>
      <c r="E66" t="str">
        <f>"128"</f>
        <v>128</v>
      </c>
      <c r="F66" t="str">
        <f>"7952"</f>
        <v>7952</v>
      </c>
      <c r="G66" t="str">
        <f>"319520"</f>
        <v>319520</v>
      </c>
      <c r="H66" t="str">
        <f>"9336404"</f>
        <v>9336404</v>
      </c>
      <c r="I66" t="str">
        <f>"211491832"</f>
        <v>211491832</v>
      </c>
      <c r="J66" t="str">
        <f>"3866372136"</f>
        <v>3866372136</v>
      </c>
      <c r="K66" t="str">
        <f>"58636760064"</f>
        <v>58636760064</v>
      </c>
      <c r="L66" t="str">
        <f>"752598563471"</f>
        <v>752598563471</v>
      </c>
      <c r="M66" t="str">
        <f>"8299064015840"</f>
        <v>8299064015840</v>
      </c>
      <c r="N66" t="str">
        <f>"79553115046808"</f>
        <v>79553115046808</v>
      </c>
      <c r="O66" t="str">
        <f>"669107731222152"</f>
        <v>669107731222152</v>
      </c>
      <c r="P66" t="str">
        <f>"4975324689992572"</f>
        <v>4975324689992572</v>
      </c>
      <c r="Q66" t="str">
        <f>"32909303106095952"</f>
        <v>32909303106095952</v>
      </c>
      <c r="R66" t="str">
        <f>"194630399392814948"</f>
        <v>194630399392814948</v>
      </c>
      <c r="S66" t="str">
        <f>"1033594027192431392"</f>
        <v>1033594027192431392</v>
      </c>
      <c r="T66" t="str">
        <f>"4946375599891710379"</f>
        <v>4946375599891710379</v>
      </c>
      <c r="U66" t="str">
        <f>"21395456537906592712"</f>
        <v>21395456537906592712</v>
      </c>
      <c r="V66" t="str">
        <f>"83857388242244068776"</f>
        <v>83857388242244068776</v>
      </c>
      <c r="W66" t="str">
        <f>"298437313361130100776"</f>
        <v>298437313361130100776</v>
      </c>
      <c r="X66" t="str">
        <f>"966064728491347230956"</f>
        <v>966064728491347230956</v>
      </c>
      <c r="Y66" t="str">
        <f>"2848468018915174680256"</f>
        <v>2848468018915174680256</v>
      </c>
      <c r="Z66" t="str">
        <f>"7658708196187529269632"</f>
        <v>7658708196187529269632</v>
      </c>
      <c r="AA66" t="str">
        <f>"18793773871829873297936"</f>
        <v>18793773871829873297936</v>
      </c>
      <c r="AB66" t="str">
        <f>"42117216570631692843334"</f>
        <v>42117216570631692843334</v>
      </c>
      <c r="AC66" t="str">
        <f>"86232407579165737060888"</f>
        <v>86232407579165737060888</v>
      </c>
      <c r="AD66" t="str">
        <f>"161337557119572467369244"</f>
        <v>161337557119572467369244</v>
      </c>
      <c r="AE66" t="str">
        <f>"275841059089735360658000"</f>
        <v>275841059089735360658000</v>
      </c>
      <c r="AF66" t="str">
        <f>"430887560667715923268698"</f>
        <v>430887560667715923268698</v>
      </c>
      <c r="AG66" t="str">
        <f>"614744943228979513570848"</f>
        <v>614744943228979513570848</v>
      </c>
      <c r="AH66" t="str">
        <f>"800606586956418905876864"</f>
        <v>800606586956418905876864</v>
      </c>
      <c r="AI66" t="str">
        <f>"951103272521516638478216"</f>
        <v>951103272521516638478216</v>
      </c>
      <c r="AJ66" t="str">
        <f>"1029760379693648261781798"</f>
        <v>1029760379693648261781798</v>
      </c>
      <c r="AK66" t="str">
        <f>"1015044826167622607210344"</f>
        <v>1015044826167622607210344</v>
      </c>
      <c r="AL66" t="str">
        <f>"909788908318441655155620"</f>
        <v>909788908318441655155620</v>
      </c>
      <c r="AM66" t="str">
        <f>"740447466102679023102864"</f>
        <v>740447466102679023102864</v>
      </c>
      <c r="AN66" t="str">
        <f>"546343005083556475112644"</f>
        <v>546343005083556475112644</v>
      </c>
      <c r="AO66" t="str">
        <f>"364841115595029202732192"</f>
        <v>364841115595029202732192</v>
      </c>
      <c r="AP66" t="str">
        <f>"220087156823389509164748"</f>
        <v>220087156823389509164748</v>
      </c>
      <c r="AQ66" t="str">
        <f>"119692670828578770767296"</f>
        <v>119692670828578770767296</v>
      </c>
      <c r="AR66" t="str">
        <f>"58561120506819636752288"</f>
        <v>58561120506819636752288</v>
      </c>
      <c r="AS66" t="str">
        <f>"25720853009975126797000"</f>
        <v>25720853009975126797000</v>
      </c>
      <c r="AT66" t="str">
        <f>"10119733430612026200492"</f>
        <v>10119733430612026200492</v>
      </c>
      <c r="AU66" t="str">
        <f>"3559468942316586299064"</f>
        <v>3559468942316586299064</v>
      </c>
      <c r="AV66" t="str">
        <f>"1117296214867457237568"</f>
        <v>1117296214867457237568</v>
      </c>
      <c r="AW66" t="str">
        <f>"312564579142773981688"</f>
        <v>312564579142773981688</v>
      </c>
      <c r="AX66" t="str">
        <f>"77875844979995329900"</f>
        <v>77875844979995329900</v>
      </c>
      <c r="AY66" t="str">
        <f>"17284251538450616752"</f>
        <v>17284251538450616752</v>
      </c>
      <c r="AZ66" t="str">
        <f>"3421942027148009026"</f>
        <v>3421942027148009026</v>
      </c>
      <c r="BA66" t="str">
        <f>"605943138873771472"</f>
        <v>605943138873771472</v>
      </c>
      <c r="BB66" t="str">
        <f>"96354553496517388"</f>
        <v>96354553496517388</v>
      </c>
      <c r="BC66" t="str">
        <f>"13829666231763144"</f>
        <v>13829666231763144</v>
      </c>
      <c r="BD66" t="str">
        <f>"1801723111768810"</f>
        <v>1801723111768810</v>
      </c>
      <c r="BE66" t="str">
        <f>"214171012532552"</f>
        <v>214171012532552</v>
      </c>
      <c r="BF66" t="str">
        <f>"23313840360188"</f>
        <v>23313840360188</v>
      </c>
      <c r="BG66" t="str">
        <f>"2326123072952"</f>
        <v>2326123072952</v>
      </c>
      <c r="BH66" t="str">
        <f>"212088619144"</f>
        <v>212088619144</v>
      </c>
      <c r="BI66" t="str">
        <f>"17533290608"</f>
        <v>17533290608</v>
      </c>
      <c r="BJ66" t="str">
        <f>"1296528212"</f>
        <v>1296528212</v>
      </c>
      <c r="BK66" t="str">
        <f>"84030344"</f>
        <v>84030344</v>
      </c>
      <c r="BL66" t="str">
        <f>"4636576"</f>
        <v>4636576</v>
      </c>
      <c r="BM66" t="str">
        <f>"208816"</f>
        <v>208816</v>
      </c>
      <c r="BN66" t="str">
        <f>"7188"</f>
        <v>7188</v>
      </c>
      <c r="BO66" t="str">
        <f>"168"</f>
        <v>168</v>
      </c>
      <c r="BP66" t="str">
        <f>"2"</f>
        <v>2</v>
      </c>
    </row>
    <row r="68" spans="1:68" x14ac:dyDescent="0.3">
      <c r="B68" s="3" t="s">
        <v>5</v>
      </c>
      <c r="C68" s="2" t="str">
        <f>"3433683820292512484657849089281"</f>
        <v>3433683820292512484657849089281</v>
      </c>
    </row>
    <row r="69" spans="1:68" x14ac:dyDescent="0.3">
      <c r="B69" s="3" t="s">
        <v>4</v>
      </c>
      <c r="C69" s="2" t="str">
        <f>"8439043387454079353907535"</f>
        <v>8439043387454079353907535</v>
      </c>
    </row>
    <row r="70" spans="1:68" x14ac:dyDescent="0.3">
      <c r="B70" s="3" t="s">
        <v>6</v>
      </c>
      <c r="C70" s="2" t="str">
        <f>"1375968129062134174771"</f>
        <v>1375968129062134174771</v>
      </c>
    </row>
    <row r="71" spans="1:68" x14ac:dyDescent="0.3">
      <c r="B71" t="str">
        <f>"17576673 additions"</f>
        <v>17576673 additions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rrayOfDocumentManager.DocumentInfo xmlns:i="http://www.w3.org/2001/XMLSchema-instance" xmlns="http://schemas.datacontract.org/2004/07/IGT.Tools.GameDataEditor.PaytableExporter"/>
</file>

<file path=customXml/itemProps1.xml><?xml version="1.0" encoding="utf-8"?>
<ds:datastoreItem xmlns:ds="http://schemas.openxmlformats.org/officeDocument/2006/customXml" ds:itemID="{1920A417-1748-473D-B5A6-EE658D7D2BE3}">
  <ds:schemaRefs>
    <ds:schemaRef ds:uri="http://schemas.datacontract.org/2004/07/IGT.Tools.GameDataEditor.PaytableExport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Commas</vt:lpstr>
      <vt:lpstr>Without Commas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</cp:lastModifiedBy>
  <dcterms:created xsi:type="dcterms:W3CDTF">2019-03-25T18:21:00Z</dcterms:created>
  <dcterms:modified xsi:type="dcterms:W3CDTF">2024-04-11T01:43:43Z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Directory">
    <vt:lpwstr>{1920A417-1748-473D-B5A6-EE658D7D2BE3}</vt:lpwstr>
  </property>
</Properties>
</file>